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updateLinks="never" codeName="ThisWorkbook" hidePivotFieldList="1"/>
  <mc:AlternateContent xmlns:mc="http://schemas.openxmlformats.org/markup-compatibility/2006">
    <mc:Choice Requires="x15">
      <x15ac:absPath xmlns:x15ac="http://schemas.microsoft.com/office/spreadsheetml/2010/11/ac" url="https://inkada.sharepoint.com/Gedeelde documenten/10 Projecten/Christelijk College Nassau-Veluwe/Schoonmaak 2022/Bestek/"/>
    </mc:Choice>
  </mc:AlternateContent>
  <xr:revisionPtr revIDLastSave="310" documentId="8_{B720F3D8-E847-4F94-83F0-3CED317F4D25}" xr6:coauthVersionLast="47" xr6:coauthVersionMax="47" xr10:uidLastSave="{B407636B-22CB-49F6-B41C-C2C28ED65CD9}"/>
  <bookViews>
    <workbookView xWindow="-120" yWindow="-120" windowWidth="29040" windowHeight="15840" tabRatio="848" xr2:uid="{00000000-000D-0000-FFFF-FFFF00000000}"/>
  </bookViews>
  <sheets>
    <sheet name="Legenda Handelingen" sheetId="29" r:id="rId1"/>
    <sheet name="Werkprogramma diepreinigen" sheetId="21" r:id="rId2"/>
    <sheet name="Programma" sheetId="39" r:id="rId3"/>
    <sheet name="Tariefsopbouw" sheetId="31" r:id="rId4"/>
    <sheet name="Prestatiefactoren" sheetId="11" r:id="rId5"/>
    <sheet name="Ruimtestaat" sheetId="13" r:id="rId6"/>
    <sheet name="Vloeronderhoud" sheetId="38" r:id="rId7"/>
    <sheet name="Glasbewassing" sheetId="22" r:id="rId8"/>
    <sheet name="Extra werkzaamheden" sheetId="32" r:id="rId9"/>
    <sheet name="Regie en afroep" sheetId="24" r:id="rId10"/>
    <sheet name="Totalisatie" sheetId="19" r:id="rId11"/>
  </sheets>
  <externalReferences>
    <externalReference r:id="rId12"/>
    <externalReference r:id="rId13"/>
  </externalReferences>
  <definedNames>
    <definedName name="_1F" localSheetId="0" hidden="1">[1]Psychiatrie!#REF!</definedName>
    <definedName name="_1F" localSheetId="3" hidden="1">[1]Psychiatrie!#REF!</definedName>
    <definedName name="_1F" localSheetId="6" hidden="1">[1]Psychiatrie!#REF!</definedName>
    <definedName name="_1F" hidden="1">[1]Psychiatrie!#REF!</definedName>
    <definedName name="_2_0_F" localSheetId="0" hidden="1">[1]Psychiatrie!#REF!</definedName>
    <definedName name="_2_0_F" localSheetId="6" hidden="1">[1]Psychiatrie!#REF!</definedName>
    <definedName name="_2_0_F" hidden="1">[1]Psychiatrie!#REF!</definedName>
    <definedName name="_Dist_Bin" localSheetId="0" hidden="1">#REF!</definedName>
    <definedName name="_Dist_Bin" localSheetId="3" hidden="1">#REF!</definedName>
    <definedName name="_Dist_Bin" localSheetId="6" hidden="1">#REF!</definedName>
    <definedName name="_Dist_Bin" hidden="1">#REF!</definedName>
    <definedName name="_Dist_Values" localSheetId="6" hidden="1">#REF!</definedName>
    <definedName name="_Dist_Values" hidden="1">#REF!</definedName>
    <definedName name="_Fill" localSheetId="6" hidden="1">'[2]#REF'!#REF!</definedName>
    <definedName name="_Fill" hidden="1">'[2]#REF'!#REF!</definedName>
    <definedName name="_xlnm._FilterDatabase" localSheetId="10" hidden="1">Totalisatie!#REF!</definedName>
    <definedName name="_Key1" localSheetId="0" hidden="1">'[2]#REF'!#REF!</definedName>
    <definedName name="_Key1" localSheetId="6" hidden="1">'[2]#REF'!#REF!</definedName>
    <definedName name="_Key1" hidden="1">'[2]#REF'!#REF!</definedName>
    <definedName name="_Order1" hidden="1">255</definedName>
    <definedName name="_Sort" localSheetId="0" hidden="1">#REF!</definedName>
    <definedName name="_Sort" localSheetId="3" hidden="1">#REF!</definedName>
    <definedName name="_Sort" localSheetId="6" hidden="1">#REF!</definedName>
    <definedName name="_Sort" hidden="1">#REF!</definedName>
    <definedName name="_Table1_In1" localSheetId="6" hidden="1">#REF!</definedName>
    <definedName name="_Table1_In1" hidden="1">#REF!</definedName>
    <definedName name="_Table1_Out" localSheetId="6" hidden="1">#REF!</definedName>
    <definedName name="_Table1_Out" hidden="1">#REF!</definedName>
    <definedName name="_Toc534973915" localSheetId="0">'Legenda Handelingen'!$A$98</definedName>
    <definedName name="_Toc534973916" localSheetId="0">'Legenda Handelingen'!$A$100</definedName>
    <definedName name="_Toc534973917" localSheetId="0">'Legenda Handelingen'!$A$102</definedName>
    <definedName name="_Toc534973918" localSheetId="0">'Legenda Handelingen'!#REF!</definedName>
    <definedName name="_Toc534973919" localSheetId="0">'Legenda Handelingen'!$A$106</definedName>
    <definedName name="_Toc534973920" localSheetId="0">'Legenda Handelingen'!$A$107</definedName>
    <definedName name="_Toc534973921" localSheetId="0">'Legenda Handelingen'!$A$109</definedName>
    <definedName name="_Toc534973922" localSheetId="0">'Legenda Handelingen'!$A$111</definedName>
    <definedName name="_Toc534973923" localSheetId="0">'Legenda Handelingen'!$A$113</definedName>
    <definedName name="_Toc534973924" localSheetId="0">'Legenda Handelingen'!$A$115</definedName>
    <definedName name="_Toc534973925" localSheetId="0">'Legenda Handelingen'!#REF!</definedName>
    <definedName name="_Toc534973926" localSheetId="0">'Legenda Handelingen'!$A$117</definedName>
    <definedName name="_Toc534973927" localSheetId="0">'Legenda Handelingen'!$A$119</definedName>
    <definedName name="_Toc534973928" localSheetId="0">'Legenda Handelingen'!#REF!</definedName>
    <definedName name="_Toc534973929" localSheetId="0">'Legenda Handelingen'!$A$121</definedName>
    <definedName name="_Toc534973930" localSheetId="0">'Legenda Handelingen'!$A$123</definedName>
    <definedName name="_Toc534973931" localSheetId="0">'Legenda Handelingen'!$A$125</definedName>
    <definedName name="_Toc534973932" localSheetId="0">'Legenda Handelingen'!$A$130</definedName>
    <definedName name="_Toc534973933" localSheetId="0">'Legenda Handelingen'!$A$132</definedName>
    <definedName name="_Toc534973934" localSheetId="0">'Legenda Handelingen'!$A$134</definedName>
    <definedName name="AccessDatabase" hidden="1">"C:\data\excel\BASISWP.mdb"</definedName>
    <definedName name="_xlnm.Print_Area" localSheetId="7">Glasbewassing!$A$1:$I$30</definedName>
    <definedName name="_xlnm.Print_Area" localSheetId="4">Prestatiefactoren!$A$1:$F$52</definedName>
    <definedName name="_xlnm.Print_Area" localSheetId="9">'Regie en afroep'!$A$1:$I$79</definedName>
    <definedName name="_xlnm.Print_Area" localSheetId="5">'Ruimtestaat'!$A$1:$BV$204</definedName>
    <definedName name="_xlnm.Print_Area" localSheetId="3">Tariefsopbouw!$A$1:$Q$42</definedName>
    <definedName name="_xlnm.Print_Area" localSheetId="10">Totalisatie!$A$1:$I$23</definedName>
    <definedName name="_xlnm.Print_Area" localSheetId="6">Vloeronderhoud!$A$1:$J$23</definedName>
    <definedName name="_xlnm.Print_Area" localSheetId="1">'Werkprogramma diepreinigen'!$A$1:$A$16</definedName>
    <definedName name="_xlnm.Print_Titles" localSheetId="5">'Ruimtestaat'!$2:$4</definedName>
    <definedName name="Glas" hidden="1">[1]Psychiatrie!#REF!</definedName>
    <definedName name="Invulglas1">Glasbewassing!$A$9:$I$21</definedName>
    <definedName name="Invulvloer1" localSheetId="6">Vloeronderhoud!$A$9:$I$16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38" l="1"/>
  <c r="F9" i="38" s="1"/>
  <c r="G9" i="38" s="1"/>
  <c r="H9" i="38" s="1"/>
  <c r="I9" i="38" s="1"/>
  <c r="E10" i="38"/>
  <c r="F10" i="38" s="1"/>
  <c r="G10" i="38" s="1"/>
  <c r="H10" i="38" s="1"/>
  <c r="I10" i="38" s="1"/>
  <c r="E11" i="38"/>
  <c r="F11" i="38" s="1"/>
  <c r="G11" i="38" s="1"/>
  <c r="H11" i="38" s="1"/>
  <c r="I11" i="38" s="1"/>
  <c r="E12" i="38"/>
  <c r="F12" i="38" s="1"/>
  <c r="G12" i="38" s="1"/>
  <c r="H12" i="38" s="1"/>
  <c r="I12" i="38" s="1"/>
  <c r="E13" i="38"/>
  <c r="F13" i="38" s="1"/>
  <c r="G13" i="38" s="1"/>
  <c r="H13" i="38" s="1"/>
  <c r="I13" i="38" s="1"/>
  <c r="E14" i="38"/>
  <c r="F14" i="38" s="1"/>
  <c r="G14" i="38" s="1"/>
  <c r="H14" i="38" s="1"/>
  <c r="I14" i="38" s="1"/>
  <c r="E15" i="38"/>
  <c r="F15" i="38" s="1"/>
  <c r="G15" i="38" s="1"/>
  <c r="H15" i="38" s="1"/>
  <c r="I15" i="38" s="1"/>
  <c r="E16" i="38"/>
  <c r="F16" i="38" s="1"/>
  <c r="G16" i="38" s="1"/>
  <c r="H16" i="38" s="1"/>
  <c r="I16" i="38" s="1"/>
  <c r="C9" i="32"/>
  <c r="E9" i="32" s="1"/>
  <c r="F9" i="32" s="1"/>
  <c r="G9" i="32" s="1"/>
  <c r="H9" i="32" s="1"/>
  <c r="I9" i="32" s="1"/>
  <c r="E203" i="13" l="1"/>
  <c r="D203" i="13"/>
  <c r="C203" i="13"/>
  <c r="E202" i="13"/>
  <c r="D202" i="13"/>
  <c r="C202" i="13"/>
  <c r="E201" i="13"/>
  <c r="D201" i="13"/>
  <c r="C201" i="13"/>
  <c r="E200" i="13"/>
  <c r="D200" i="13"/>
  <c r="C200" i="13"/>
  <c r="E199" i="13"/>
  <c r="D199" i="13"/>
  <c r="C199" i="13"/>
  <c r="E198" i="13"/>
  <c r="D198" i="13"/>
  <c r="C198" i="13"/>
  <c r="E197" i="13"/>
  <c r="D197" i="13"/>
  <c r="C197" i="13"/>
  <c r="E196" i="13"/>
  <c r="D196" i="13"/>
  <c r="C196" i="13"/>
  <c r="E195" i="13"/>
  <c r="D195" i="13"/>
  <c r="C195" i="13"/>
  <c r="E194" i="13"/>
  <c r="D194" i="13"/>
  <c r="C194" i="13"/>
  <c r="E193" i="13"/>
  <c r="D193" i="13"/>
  <c r="C193" i="13"/>
  <c r="E192" i="13"/>
  <c r="D192" i="13"/>
  <c r="C192" i="13"/>
  <c r="E191" i="13"/>
  <c r="D191" i="13"/>
  <c r="C191" i="13"/>
  <c r="E190" i="13"/>
  <c r="D190" i="13"/>
  <c r="C190" i="13"/>
  <c r="E189" i="13"/>
  <c r="D189" i="13"/>
  <c r="C189" i="13"/>
  <c r="E188" i="13"/>
  <c r="D188" i="13"/>
  <c r="C188" i="13"/>
  <c r="E187" i="13"/>
  <c r="D187" i="13"/>
  <c r="C187" i="13"/>
  <c r="E186" i="13"/>
  <c r="D186" i="13"/>
  <c r="C186" i="13"/>
  <c r="E185" i="13"/>
  <c r="D185" i="13"/>
  <c r="C185" i="13"/>
  <c r="E184" i="13"/>
  <c r="D184" i="13"/>
  <c r="C184" i="13"/>
  <c r="E183" i="13"/>
  <c r="D183" i="13"/>
  <c r="C183" i="13"/>
  <c r="E182" i="13"/>
  <c r="D182" i="13"/>
  <c r="C182" i="13"/>
  <c r="E181" i="13"/>
  <c r="D181" i="13"/>
  <c r="C181" i="13"/>
  <c r="E180" i="13"/>
  <c r="D180" i="13"/>
  <c r="C180" i="13"/>
  <c r="E179" i="13"/>
  <c r="D179" i="13"/>
  <c r="C179" i="13"/>
  <c r="E178" i="13"/>
  <c r="D178" i="13"/>
  <c r="C178" i="13"/>
  <c r="E177" i="13"/>
  <c r="D177" i="13"/>
  <c r="C177" i="13"/>
  <c r="E176" i="13"/>
  <c r="D176" i="13"/>
  <c r="C176" i="13"/>
  <c r="E175" i="13"/>
  <c r="D175" i="13"/>
  <c r="C175" i="13"/>
  <c r="E174" i="13"/>
  <c r="D174" i="13"/>
  <c r="C174" i="13"/>
  <c r="E173" i="13"/>
  <c r="D173" i="13"/>
  <c r="C173" i="13"/>
  <c r="E172" i="13"/>
  <c r="D172" i="13"/>
  <c r="C172" i="13"/>
  <c r="E171" i="13"/>
  <c r="D171" i="13"/>
  <c r="C171" i="13"/>
  <c r="E170" i="13"/>
  <c r="D170" i="13"/>
  <c r="C170" i="13"/>
  <c r="E169" i="13"/>
  <c r="D169" i="13"/>
  <c r="C169" i="13"/>
  <c r="E168" i="13"/>
  <c r="D168" i="13"/>
  <c r="C168" i="13"/>
  <c r="E167" i="13"/>
  <c r="D167" i="13"/>
  <c r="C167" i="13"/>
  <c r="E166" i="13"/>
  <c r="D166" i="13"/>
  <c r="C166" i="13"/>
  <c r="E165" i="13"/>
  <c r="D165" i="13"/>
  <c r="C165" i="13"/>
  <c r="E164" i="13"/>
  <c r="D164" i="13"/>
  <c r="C164" i="13"/>
  <c r="E163" i="13"/>
  <c r="D163" i="13"/>
  <c r="C163" i="13"/>
  <c r="E162" i="13"/>
  <c r="D162" i="13"/>
  <c r="C162" i="13"/>
  <c r="E161" i="13"/>
  <c r="D161" i="13"/>
  <c r="C161" i="13"/>
  <c r="E160" i="13"/>
  <c r="D160" i="13"/>
  <c r="C160" i="13"/>
  <c r="E159" i="13"/>
  <c r="D159" i="13"/>
  <c r="C159" i="13"/>
  <c r="E158" i="13"/>
  <c r="D158" i="13"/>
  <c r="C158" i="13"/>
  <c r="E157" i="13"/>
  <c r="D157" i="13"/>
  <c r="C157" i="13"/>
  <c r="E156" i="13"/>
  <c r="D156" i="13"/>
  <c r="C156" i="13"/>
  <c r="E155" i="13"/>
  <c r="D155" i="13"/>
  <c r="C155" i="13"/>
  <c r="E154" i="13"/>
  <c r="D154" i="13"/>
  <c r="C154" i="13"/>
  <c r="E153" i="13"/>
  <c r="D153" i="13"/>
  <c r="C153" i="13"/>
  <c r="E152" i="13"/>
  <c r="D152" i="13"/>
  <c r="C152" i="13"/>
  <c r="E151" i="13"/>
  <c r="D151" i="13"/>
  <c r="C151" i="13"/>
  <c r="E150" i="13"/>
  <c r="D150" i="13"/>
  <c r="C150" i="13"/>
  <c r="E149" i="13"/>
  <c r="D149" i="13"/>
  <c r="C149" i="13"/>
  <c r="E148" i="13"/>
  <c r="D148" i="13"/>
  <c r="C148" i="13"/>
  <c r="E147" i="13"/>
  <c r="D147" i="13"/>
  <c r="C147" i="13"/>
  <c r="E146" i="13"/>
  <c r="D146" i="13"/>
  <c r="C146" i="13"/>
  <c r="E145" i="13"/>
  <c r="D145" i="13"/>
  <c r="C145" i="13"/>
  <c r="E144" i="13"/>
  <c r="D144" i="13"/>
  <c r="C144" i="13"/>
  <c r="E143" i="13"/>
  <c r="D143" i="13"/>
  <c r="C143" i="13"/>
  <c r="E142" i="13"/>
  <c r="D142" i="13"/>
  <c r="C142" i="13"/>
  <c r="E141" i="13"/>
  <c r="D141" i="13"/>
  <c r="C141" i="13"/>
  <c r="E140" i="13"/>
  <c r="D140" i="13"/>
  <c r="C140" i="13"/>
  <c r="E139" i="13"/>
  <c r="D139" i="13"/>
  <c r="C139" i="13"/>
  <c r="E138" i="13"/>
  <c r="D138" i="13"/>
  <c r="C138" i="13"/>
  <c r="E137" i="13"/>
  <c r="D137" i="13"/>
  <c r="C137" i="13"/>
  <c r="E136" i="13"/>
  <c r="D136" i="13"/>
  <c r="C136" i="13"/>
  <c r="E135" i="13"/>
  <c r="D135" i="13"/>
  <c r="C135" i="13"/>
  <c r="E134" i="13"/>
  <c r="D134" i="13"/>
  <c r="C134" i="13"/>
  <c r="E133" i="13"/>
  <c r="D133" i="13"/>
  <c r="C133" i="13"/>
  <c r="E132" i="13"/>
  <c r="D132" i="13"/>
  <c r="C132" i="13"/>
  <c r="E131" i="13"/>
  <c r="D131" i="13"/>
  <c r="C131" i="13"/>
  <c r="E130" i="13"/>
  <c r="D130" i="13"/>
  <c r="C130" i="13"/>
  <c r="E129" i="13"/>
  <c r="D129" i="13"/>
  <c r="C129" i="13"/>
  <c r="E128" i="13"/>
  <c r="D128" i="13"/>
  <c r="C128" i="13"/>
  <c r="E127" i="13"/>
  <c r="D127" i="13"/>
  <c r="C127" i="13"/>
  <c r="E126" i="13"/>
  <c r="D126" i="13"/>
  <c r="C126" i="13"/>
  <c r="E125" i="13"/>
  <c r="D125" i="13"/>
  <c r="C125" i="13"/>
  <c r="E124" i="13"/>
  <c r="D124" i="13"/>
  <c r="C124" i="13"/>
  <c r="E123" i="13"/>
  <c r="D123" i="13"/>
  <c r="C123" i="13"/>
  <c r="E122" i="13"/>
  <c r="D122" i="13"/>
  <c r="C122" i="13"/>
  <c r="E121" i="13"/>
  <c r="D121" i="13"/>
  <c r="C121" i="13"/>
  <c r="E120" i="13"/>
  <c r="D120" i="13"/>
  <c r="C120" i="13"/>
  <c r="E119" i="13"/>
  <c r="D119" i="13"/>
  <c r="C119" i="13"/>
  <c r="E118" i="13"/>
  <c r="D118" i="13"/>
  <c r="C118" i="13"/>
  <c r="E117" i="13"/>
  <c r="D117" i="13"/>
  <c r="C117" i="13"/>
  <c r="E116" i="13"/>
  <c r="D116" i="13"/>
  <c r="C116" i="13"/>
  <c r="E115" i="13"/>
  <c r="D115" i="13"/>
  <c r="C115" i="13"/>
  <c r="E114" i="13"/>
  <c r="D114" i="13"/>
  <c r="C114" i="13"/>
  <c r="E113" i="13"/>
  <c r="D113" i="13"/>
  <c r="C113" i="13"/>
  <c r="E112" i="13"/>
  <c r="D112" i="13"/>
  <c r="C112" i="13"/>
  <c r="E111" i="13"/>
  <c r="D111" i="13"/>
  <c r="C111" i="13"/>
  <c r="E110" i="13"/>
  <c r="D110" i="13"/>
  <c r="C110" i="13"/>
  <c r="E109" i="13"/>
  <c r="D109" i="13"/>
  <c r="C109" i="13"/>
  <c r="E108" i="13"/>
  <c r="D108" i="13"/>
  <c r="C108" i="13"/>
  <c r="E107" i="13"/>
  <c r="D107" i="13"/>
  <c r="C107" i="13"/>
  <c r="E106" i="13"/>
  <c r="D106" i="13"/>
  <c r="C106" i="13"/>
  <c r="E105" i="13"/>
  <c r="D105" i="13"/>
  <c r="C105" i="13"/>
  <c r="E104" i="13"/>
  <c r="D104" i="13"/>
  <c r="C104" i="13"/>
  <c r="E103" i="13"/>
  <c r="D103" i="13"/>
  <c r="C103" i="13"/>
  <c r="E102" i="13"/>
  <c r="D102" i="13"/>
  <c r="C102" i="13"/>
  <c r="E101" i="13"/>
  <c r="D101" i="13"/>
  <c r="C101" i="13"/>
  <c r="E100" i="13"/>
  <c r="D100" i="13"/>
  <c r="C100" i="13"/>
  <c r="E99" i="13"/>
  <c r="D99" i="13"/>
  <c r="C99" i="13"/>
  <c r="E98" i="13"/>
  <c r="D98" i="13"/>
  <c r="C98" i="13"/>
  <c r="E97" i="13"/>
  <c r="D97" i="13"/>
  <c r="C97" i="13"/>
  <c r="E96" i="13"/>
  <c r="D96" i="13"/>
  <c r="C96" i="13"/>
  <c r="E95" i="13"/>
  <c r="D95" i="13"/>
  <c r="C95" i="13"/>
  <c r="E94" i="13"/>
  <c r="D94" i="13"/>
  <c r="C94" i="13"/>
  <c r="E93" i="13"/>
  <c r="D93" i="13"/>
  <c r="C93" i="13"/>
  <c r="E92" i="13"/>
  <c r="D92" i="13"/>
  <c r="C92" i="13"/>
  <c r="E91" i="13"/>
  <c r="D91" i="13"/>
  <c r="C91" i="13"/>
  <c r="E90" i="13"/>
  <c r="D90" i="13"/>
  <c r="C90" i="13"/>
  <c r="E89" i="13"/>
  <c r="D89" i="13"/>
  <c r="C89" i="13"/>
  <c r="E88" i="13"/>
  <c r="D88" i="13"/>
  <c r="C88" i="13"/>
  <c r="E87" i="13"/>
  <c r="D87" i="13"/>
  <c r="C87" i="13"/>
  <c r="E86" i="13"/>
  <c r="D86" i="13"/>
  <c r="C86" i="13"/>
  <c r="E85" i="13"/>
  <c r="D85" i="13"/>
  <c r="C85" i="13"/>
  <c r="E84" i="13"/>
  <c r="D84" i="13"/>
  <c r="C84" i="13"/>
  <c r="E83" i="13"/>
  <c r="D83" i="13"/>
  <c r="C83" i="13"/>
  <c r="E82" i="13"/>
  <c r="D82" i="13"/>
  <c r="C82" i="13"/>
  <c r="E81" i="13"/>
  <c r="D81" i="13"/>
  <c r="C81" i="13"/>
  <c r="E80" i="13"/>
  <c r="D80" i="13"/>
  <c r="C80" i="13"/>
  <c r="E79" i="13"/>
  <c r="D79" i="13"/>
  <c r="C79" i="13"/>
  <c r="E78" i="13"/>
  <c r="D78" i="13"/>
  <c r="C78" i="13"/>
  <c r="E77" i="13"/>
  <c r="D77" i="13"/>
  <c r="C77" i="13"/>
  <c r="E76" i="13"/>
  <c r="D76" i="13"/>
  <c r="C76" i="13"/>
  <c r="E75" i="13"/>
  <c r="D75" i="13"/>
  <c r="C75" i="13"/>
  <c r="E74" i="13"/>
  <c r="D74" i="13"/>
  <c r="C74" i="13"/>
  <c r="E73" i="13"/>
  <c r="D73" i="13"/>
  <c r="C73" i="13"/>
  <c r="E72" i="13"/>
  <c r="D72" i="13"/>
  <c r="C72" i="13"/>
  <c r="E71" i="13"/>
  <c r="D71" i="13"/>
  <c r="C71" i="13"/>
  <c r="E70" i="13"/>
  <c r="D70" i="13"/>
  <c r="C70" i="13"/>
  <c r="E69" i="13"/>
  <c r="D69" i="13"/>
  <c r="C69" i="13"/>
  <c r="E68" i="13"/>
  <c r="D68" i="13"/>
  <c r="C68" i="13"/>
  <c r="E67" i="13"/>
  <c r="D67" i="13"/>
  <c r="C67" i="13"/>
  <c r="E66" i="13"/>
  <c r="D66" i="13"/>
  <c r="C66" i="13"/>
  <c r="E65" i="13"/>
  <c r="D65" i="13"/>
  <c r="C65" i="13"/>
  <c r="E64" i="13"/>
  <c r="D64" i="13"/>
  <c r="C64" i="13"/>
  <c r="E63" i="13"/>
  <c r="D63" i="13"/>
  <c r="C63" i="13"/>
  <c r="E62" i="13"/>
  <c r="D62" i="13"/>
  <c r="C62" i="13"/>
  <c r="E61" i="13"/>
  <c r="D61" i="13"/>
  <c r="C61" i="13"/>
  <c r="E60" i="13"/>
  <c r="D60" i="13"/>
  <c r="C60" i="13"/>
  <c r="E59" i="13"/>
  <c r="D59" i="13"/>
  <c r="C59" i="13"/>
  <c r="E58" i="13"/>
  <c r="D58" i="13"/>
  <c r="C58" i="13"/>
  <c r="E57" i="13"/>
  <c r="D57" i="13"/>
  <c r="C57" i="13"/>
  <c r="E56" i="13"/>
  <c r="D56" i="13"/>
  <c r="C56" i="13"/>
  <c r="E55" i="13"/>
  <c r="D55" i="13"/>
  <c r="C55" i="13"/>
  <c r="E54" i="13"/>
  <c r="D54" i="13"/>
  <c r="C54" i="13"/>
  <c r="E53" i="13"/>
  <c r="D53" i="13"/>
  <c r="C53" i="13"/>
  <c r="E52" i="13"/>
  <c r="D52" i="13"/>
  <c r="C52" i="13"/>
  <c r="E51" i="13"/>
  <c r="D51" i="13"/>
  <c r="C51" i="13"/>
  <c r="E50" i="13"/>
  <c r="D50" i="13"/>
  <c r="C50" i="13"/>
  <c r="E49" i="13"/>
  <c r="D49" i="13"/>
  <c r="C49" i="13"/>
  <c r="E48" i="13"/>
  <c r="D48" i="13"/>
  <c r="C48" i="13"/>
  <c r="E47" i="13"/>
  <c r="D47" i="13"/>
  <c r="C47" i="13"/>
  <c r="E46" i="13"/>
  <c r="D46" i="13"/>
  <c r="C46" i="13"/>
  <c r="E45" i="13"/>
  <c r="D45" i="13"/>
  <c r="C45" i="13"/>
  <c r="E44" i="13"/>
  <c r="D44" i="13"/>
  <c r="C44" i="13"/>
  <c r="E43" i="13"/>
  <c r="D43" i="13"/>
  <c r="C43" i="13"/>
  <c r="E42" i="13"/>
  <c r="D42" i="13"/>
  <c r="C42" i="13"/>
  <c r="E41" i="13"/>
  <c r="D41" i="13"/>
  <c r="C41" i="13"/>
  <c r="E40" i="13"/>
  <c r="D40" i="13"/>
  <c r="C40" i="13"/>
  <c r="E39" i="13"/>
  <c r="D39" i="13"/>
  <c r="C39" i="13"/>
  <c r="E38" i="13"/>
  <c r="D38" i="13"/>
  <c r="C38" i="13"/>
  <c r="E37" i="13"/>
  <c r="D37" i="13"/>
  <c r="C37" i="13"/>
  <c r="E36" i="13"/>
  <c r="D36" i="13"/>
  <c r="C36" i="13"/>
  <c r="E35" i="13"/>
  <c r="D35" i="13"/>
  <c r="C35" i="13"/>
  <c r="E34" i="13"/>
  <c r="D34" i="13"/>
  <c r="C34" i="13"/>
  <c r="E33" i="13"/>
  <c r="D33" i="13"/>
  <c r="C33" i="13"/>
  <c r="E32" i="13"/>
  <c r="D32" i="13"/>
  <c r="C32" i="13"/>
  <c r="E31" i="13"/>
  <c r="D31" i="13"/>
  <c r="C31" i="13"/>
  <c r="E30" i="13"/>
  <c r="D30" i="13"/>
  <c r="C30" i="13"/>
  <c r="E29" i="13"/>
  <c r="D29" i="13"/>
  <c r="C29" i="13"/>
  <c r="E28" i="13"/>
  <c r="D28" i="13"/>
  <c r="C28" i="13"/>
  <c r="E27" i="13"/>
  <c r="D27" i="13"/>
  <c r="C27" i="13"/>
  <c r="E26" i="13"/>
  <c r="D26" i="13"/>
  <c r="C26" i="13"/>
  <c r="E25" i="13"/>
  <c r="D25" i="13"/>
  <c r="C25" i="13"/>
  <c r="E24" i="13"/>
  <c r="D24" i="13"/>
  <c r="C24" i="13"/>
  <c r="E23" i="13"/>
  <c r="D23" i="13"/>
  <c r="C23" i="13"/>
  <c r="E22" i="13"/>
  <c r="D22" i="13"/>
  <c r="C22" i="13"/>
  <c r="E21" i="13"/>
  <c r="D21" i="13"/>
  <c r="C21" i="13"/>
  <c r="E20" i="13"/>
  <c r="D20" i="13"/>
  <c r="C20" i="13"/>
  <c r="E19" i="13"/>
  <c r="D19" i="13"/>
  <c r="C19" i="13"/>
  <c r="E18" i="13"/>
  <c r="D18" i="13"/>
  <c r="C18" i="13"/>
  <c r="E17" i="13"/>
  <c r="D17" i="13"/>
  <c r="C17" i="13"/>
  <c r="E16" i="13"/>
  <c r="D16" i="13"/>
  <c r="C16" i="13"/>
  <c r="E15" i="13"/>
  <c r="D15" i="13"/>
  <c r="C15" i="13"/>
  <c r="E14" i="13"/>
  <c r="D14" i="13"/>
  <c r="C14" i="13"/>
  <c r="E13" i="13"/>
  <c r="D13" i="13"/>
  <c r="C13" i="13"/>
  <c r="E12" i="13"/>
  <c r="D12" i="13"/>
  <c r="C12" i="13"/>
  <c r="E11" i="13"/>
  <c r="D11" i="13"/>
  <c r="C11" i="13"/>
  <c r="E10" i="13"/>
  <c r="D10" i="13"/>
  <c r="C10" i="13"/>
  <c r="E9" i="13"/>
  <c r="D9" i="13"/>
  <c r="C9" i="13"/>
  <c r="E8" i="13"/>
  <c r="D8" i="13"/>
  <c r="C8" i="13"/>
  <c r="E7" i="13"/>
  <c r="D7" i="13"/>
  <c r="C7" i="13"/>
  <c r="E6" i="13"/>
  <c r="D6" i="13"/>
  <c r="C6" i="13"/>
  <c r="E5" i="13"/>
  <c r="D5" i="13"/>
  <c r="C5" i="13"/>
  <c r="K5" i="13" l="1"/>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K146" i="13"/>
  <c r="K147" i="13"/>
  <c r="K148" i="13"/>
  <c r="K149" i="13"/>
  <c r="K150" i="13"/>
  <c r="K151" i="13"/>
  <c r="K152" i="13"/>
  <c r="K153" i="13"/>
  <c r="K154" i="13"/>
  <c r="K155" i="13"/>
  <c r="K156" i="13"/>
  <c r="K157" i="13"/>
  <c r="K158" i="13"/>
  <c r="K159" i="13"/>
  <c r="K160" i="13"/>
  <c r="K161" i="13"/>
  <c r="K162" i="13"/>
  <c r="K163" i="13"/>
  <c r="K164" i="13"/>
  <c r="K165" i="13"/>
  <c r="K166" i="13"/>
  <c r="K167" i="13"/>
  <c r="K168" i="13"/>
  <c r="K169" i="13"/>
  <c r="K170" i="13"/>
  <c r="K171" i="13"/>
  <c r="K172" i="13"/>
  <c r="K173" i="13"/>
  <c r="K174" i="13"/>
  <c r="K175" i="13"/>
  <c r="K176" i="13"/>
  <c r="K177" i="13"/>
  <c r="K178" i="13"/>
  <c r="K179" i="13"/>
  <c r="K180" i="13"/>
  <c r="K181" i="13"/>
  <c r="K182" i="13"/>
  <c r="K183" i="13"/>
  <c r="K184" i="13"/>
  <c r="K185" i="13"/>
  <c r="K186" i="13"/>
  <c r="K187" i="13"/>
  <c r="K188" i="13"/>
  <c r="K189" i="13"/>
  <c r="K190" i="13"/>
  <c r="K191" i="13"/>
  <c r="K192" i="13"/>
  <c r="K193" i="13"/>
  <c r="K194" i="13"/>
  <c r="K195" i="13"/>
  <c r="K196" i="13"/>
  <c r="K197" i="13"/>
  <c r="K198" i="13"/>
  <c r="K199" i="13"/>
  <c r="K200" i="13"/>
  <c r="K201" i="13"/>
  <c r="K202" i="13"/>
  <c r="K203" i="13"/>
  <c r="Q41" i="31"/>
  <c r="O41" i="31"/>
  <c r="M41" i="31"/>
  <c r="K41" i="31"/>
  <c r="I41" i="31"/>
  <c r="Q40" i="31"/>
  <c r="O40" i="31"/>
  <c r="M40" i="31"/>
  <c r="K40" i="31"/>
  <c r="I40" i="31"/>
  <c r="Q39" i="31"/>
  <c r="O39" i="31"/>
  <c r="M39" i="31"/>
  <c r="K39" i="31"/>
  <c r="I39" i="31"/>
  <c r="Q38" i="31"/>
  <c r="O38" i="31"/>
  <c r="M38" i="31"/>
  <c r="K38" i="31"/>
  <c r="I38" i="31"/>
  <c r="Q37" i="31"/>
  <c r="O37" i="31"/>
  <c r="M37" i="31"/>
  <c r="K37" i="31"/>
  <c r="I37" i="31"/>
  <c r="G13" i="32"/>
  <c r="H13" i="32" s="1"/>
  <c r="D13" i="32"/>
  <c r="B13" i="32"/>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P114" i="13"/>
  <c r="P115" i="13"/>
  <c r="P116" i="13"/>
  <c r="P117" i="13"/>
  <c r="P118" i="13"/>
  <c r="P119" i="13"/>
  <c r="P120" i="13"/>
  <c r="P121" i="13"/>
  <c r="P122" i="13"/>
  <c r="P123" i="13"/>
  <c r="P124" i="13"/>
  <c r="P125" i="13"/>
  <c r="P126" i="13"/>
  <c r="P127" i="13"/>
  <c r="P128" i="13"/>
  <c r="P129" i="13"/>
  <c r="P130" i="13"/>
  <c r="P131" i="13"/>
  <c r="P132" i="13"/>
  <c r="P133" i="13"/>
  <c r="P134" i="13"/>
  <c r="P135" i="13"/>
  <c r="P136" i="13"/>
  <c r="P137" i="13"/>
  <c r="P138" i="13"/>
  <c r="P139" i="13"/>
  <c r="P140" i="13"/>
  <c r="P141" i="13"/>
  <c r="P142" i="13"/>
  <c r="P143" i="13"/>
  <c r="P144" i="13"/>
  <c r="P145" i="13"/>
  <c r="P146" i="13"/>
  <c r="P147" i="13"/>
  <c r="P148" i="13"/>
  <c r="P149" i="13"/>
  <c r="P150" i="13"/>
  <c r="P151" i="13"/>
  <c r="P152" i="13"/>
  <c r="P153" i="13"/>
  <c r="P154" i="13"/>
  <c r="P155" i="13"/>
  <c r="P156" i="13"/>
  <c r="P157" i="13"/>
  <c r="P158" i="13"/>
  <c r="P159" i="13"/>
  <c r="P160" i="13"/>
  <c r="P161" i="13"/>
  <c r="P162" i="13"/>
  <c r="P163" i="13"/>
  <c r="P164" i="13"/>
  <c r="P165" i="13"/>
  <c r="P166" i="13"/>
  <c r="P167" i="13"/>
  <c r="P168" i="13"/>
  <c r="P169" i="13"/>
  <c r="P170" i="13"/>
  <c r="P171" i="13"/>
  <c r="P172" i="13"/>
  <c r="P173" i="13"/>
  <c r="P174" i="13"/>
  <c r="P175" i="13"/>
  <c r="P176" i="13"/>
  <c r="P177" i="13"/>
  <c r="P178" i="13"/>
  <c r="P179" i="13"/>
  <c r="P180" i="13"/>
  <c r="P181" i="13"/>
  <c r="P182" i="13"/>
  <c r="P183" i="13"/>
  <c r="P184" i="13"/>
  <c r="P185" i="13"/>
  <c r="P186" i="13"/>
  <c r="P187" i="13"/>
  <c r="P188" i="13"/>
  <c r="P189" i="13"/>
  <c r="P190" i="13"/>
  <c r="P191" i="13"/>
  <c r="P192" i="13"/>
  <c r="P193" i="13"/>
  <c r="P194" i="13"/>
  <c r="P195" i="13"/>
  <c r="P196" i="13"/>
  <c r="P197" i="13"/>
  <c r="P198" i="13"/>
  <c r="P199" i="13"/>
  <c r="P200" i="13"/>
  <c r="P201" i="13"/>
  <c r="P202" i="13"/>
  <c r="P203" i="13"/>
  <c r="P204" i="13"/>
  <c r="Y204" i="13"/>
  <c r="S204" i="13"/>
  <c r="T204" i="13" s="1"/>
  <c r="V204" i="13" s="1"/>
  <c r="W204" i="13" s="1"/>
  <c r="Y203" i="13"/>
  <c r="Z203" i="13" s="1"/>
  <c r="AB203" i="13" s="1"/>
  <c r="AC203" i="13" s="1"/>
  <c r="S203" i="13"/>
  <c r="Y202" i="13"/>
  <c r="AA202" i="13" s="1"/>
  <c r="S202" i="13"/>
  <c r="Y201" i="13"/>
  <c r="S201" i="13"/>
  <c r="T201" i="13" s="1"/>
  <c r="V201" i="13" s="1"/>
  <c r="W201" i="13" s="1"/>
  <c r="Y200" i="13"/>
  <c r="S200" i="13"/>
  <c r="T200" i="13" s="1"/>
  <c r="V200" i="13" s="1"/>
  <c r="W200" i="13" s="1"/>
  <c r="Y199" i="13"/>
  <c r="AA199" i="13" s="1"/>
  <c r="S199" i="13"/>
  <c r="Y198" i="13"/>
  <c r="AA198" i="13" s="1"/>
  <c r="S198" i="13"/>
  <c r="T198" i="13" s="1"/>
  <c r="V198" i="13" s="1"/>
  <c r="W198" i="13" s="1"/>
  <c r="Y197" i="13"/>
  <c r="S197" i="13"/>
  <c r="U197" i="13" s="1"/>
  <c r="Y196" i="13"/>
  <c r="Z196" i="13" s="1"/>
  <c r="AB196" i="13" s="1"/>
  <c r="AC196" i="13" s="1"/>
  <c r="S196" i="13"/>
  <c r="U196" i="13" s="1"/>
  <c r="Y195" i="13"/>
  <c r="Z195" i="13" s="1"/>
  <c r="AB195" i="13" s="1"/>
  <c r="AC195" i="13" s="1"/>
  <c r="S195" i="13"/>
  <c r="U195" i="13" s="1"/>
  <c r="Y194" i="13"/>
  <c r="AA194" i="13" s="1"/>
  <c r="S194" i="13"/>
  <c r="T194" i="13" s="1"/>
  <c r="V194" i="13" s="1"/>
  <c r="W194" i="13" s="1"/>
  <c r="Y193" i="13"/>
  <c r="Z193" i="13" s="1"/>
  <c r="AB193" i="13" s="1"/>
  <c r="AC193" i="13" s="1"/>
  <c r="S193" i="13"/>
  <c r="Y192" i="13"/>
  <c r="AA192" i="13" s="1"/>
  <c r="S192" i="13"/>
  <c r="Y191" i="13"/>
  <c r="AA191" i="13" s="1"/>
  <c r="S191" i="13"/>
  <c r="T191" i="13" s="1"/>
  <c r="V191" i="13" s="1"/>
  <c r="W191" i="13" s="1"/>
  <c r="Y190" i="13"/>
  <c r="AA190" i="13" s="1"/>
  <c r="S190" i="13"/>
  <c r="T190" i="13" s="1"/>
  <c r="V190" i="13" s="1"/>
  <c r="W190" i="13" s="1"/>
  <c r="Y189" i="13"/>
  <c r="Z189" i="13" s="1"/>
  <c r="AB189" i="13" s="1"/>
  <c r="S189" i="13"/>
  <c r="U189" i="13" s="1"/>
  <c r="Y188" i="13"/>
  <c r="AA188" i="13" s="1"/>
  <c r="S188" i="13"/>
  <c r="Y187" i="13"/>
  <c r="AA187" i="13" s="1"/>
  <c r="S187" i="13"/>
  <c r="U187" i="13" s="1"/>
  <c r="Y186" i="13"/>
  <c r="Z186" i="13" s="1"/>
  <c r="AB186" i="13" s="1"/>
  <c r="S186" i="13"/>
  <c r="U186" i="13" s="1"/>
  <c r="Y185" i="13"/>
  <c r="AA185" i="13" s="1"/>
  <c r="S185" i="13"/>
  <c r="Y184" i="13"/>
  <c r="AA184" i="13" s="1"/>
  <c r="S184" i="13"/>
  <c r="Y183" i="13"/>
  <c r="S183" i="13"/>
  <c r="U183" i="13" s="1"/>
  <c r="Y182" i="13"/>
  <c r="S182" i="13"/>
  <c r="T182" i="13" s="1"/>
  <c r="V182" i="13" s="1"/>
  <c r="W182" i="13" s="1"/>
  <c r="Y181" i="13"/>
  <c r="Z181" i="13" s="1"/>
  <c r="AB181" i="13" s="1"/>
  <c r="S181" i="13"/>
  <c r="Y180" i="13"/>
  <c r="Z180" i="13" s="1"/>
  <c r="AB180" i="13" s="1"/>
  <c r="S180" i="13"/>
  <c r="U180" i="13" s="1"/>
  <c r="Y179" i="13"/>
  <c r="Z179" i="13" s="1"/>
  <c r="AB179" i="13" s="1"/>
  <c r="S179" i="13"/>
  <c r="U179" i="13" s="1"/>
  <c r="Y178" i="13"/>
  <c r="Z178" i="13" s="1"/>
  <c r="AB178" i="13" s="1"/>
  <c r="AC178" i="13" s="1"/>
  <c r="S178" i="13"/>
  <c r="T178" i="13" s="1"/>
  <c r="V178" i="13" s="1"/>
  <c r="W178" i="13" s="1"/>
  <c r="Y177" i="13"/>
  <c r="Z177" i="13" s="1"/>
  <c r="AB177" i="13" s="1"/>
  <c r="S177" i="13"/>
  <c r="U177" i="13" s="1"/>
  <c r="Y176" i="13"/>
  <c r="S176" i="13"/>
  <c r="T176" i="13" s="1"/>
  <c r="V176" i="13" s="1"/>
  <c r="W176" i="13" s="1"/>
  <c r="Y175" i="13"/>
  <c r="S175" i="13"/>
  <c r="Y174" i="13"/>
  <c r="AA174" i="13" s="1"/>
  <c r="S174" i="13"/>
  <c r="U174" i="13" s="1"/>
  <c r="Y173" i="13"/>
  <c r="Z173" i="13" s="1"/>
  <c r="AB173" i="13" s="1"/>
  <c r="S173" i="13"/>
  <c r="U173" i="13" s="1"/>
  <c r="Y172" i="13"/>
  <c r="Z172" i="13" s="1"/>
  <c r="AB172" i="13" s="1"/>
  <c r="AC172" i="13" s="1"/>
  <c r="S172" i="13"/>
  <c r="T172" i="13" s="1"/>
  <c r="V172" i="13" s="1"/>
  <c r="W172" i="13" s="1"/>
  <c r="Y171" i="13"/>
  <c r="Z171" i="13" s="1"/>
  <c r="AB171" i="13" s="1"/>
  <c r="S171" i="13"/>
  <c r="U171" i="13" s="1"/>
  <c r="Y170" i="13"/>
  <c r="S170" i="13"/>
  <c r="T170" i="13" s="1"/>
  <c r="V170" i="13" s="1"/>
  <c r="W170" i="13" s="1"/>
  <c r="Y169" i="13"/>
  <c r="AA169" i="13" s="1"/>
  <c r="S169" i="13"/>
  <c r="Y168" i="13"/>
  <c r="AA168" i="13" s="1"/>
  <c r="S168" i="13"/>
  <c r="U168" i="13" s="1"/>
  <c r="Y167" i="13"/>
  <c r="Z167" i="13" s="1"/>
  <c r="AB167" i="13" s="1"/>
  <c r="S167" i="13"/>
  <c r="T167" i="13" s="1"/>
  <c r="V167" i="13" s="1"/>
  <c r="W167" i="13" s="1"/>
  <c r="Y166" i="13"/>
  <c r="Z166" i="13" s="1"/>
  <c r="AB166" i="13" s="1"/>
  <c r="AC166" i="13" s="1"/>
  <c r="S166" i="13"/>
  <c r="T166" i="13" s="1"/>
  <c r="V166" i="13" s="1"/>
  <c r="W166" i="13" s="1"/>
  <c r="Y165" i="13"/>
  <c r="Z165" i="13" s="1"/>
  <c r="AB165" i="13" s="1"/>
  <c r="AC165" i="13" s="1"/>
  <c r="S165" i="13"/>
  <c r="U165" i="13" s="1"/>
  <c r="Y164" i="13"/>
  <c r="S164" i="13"/>
  <c r="T164" i="13" s="1"/>
  <c r="V164" i="13" s="1"/>
  <c r="W164" i="13" s="1"/>
  <c r="Y163" i="13"/>
  <c r="AA163" i="13" s="1"/>
  <c r="S163" i="13"/>
  <c r="Y162" i="13"/>
  <c r="AA162" i="13" s="1"/>
  <c r="S162" i="13"/>
  <c r="U162" i="13" s="1"/>
  <c r="Y161" i="13"/>
  <c r="S161" i="13"/>
  <c r="U161" i="13" s="1"/>
  <c r="Y160" i="13"/>
  <c r="AA160" i="13" s="1"/>
  <c r="S160" i="13"/>
  <c r="Y159" i="13"/>
  <c r="S159" i="13"/>
  <c r="T159" i="13" s="1"/>
  <c r="V159" i="13" s="1"/>
  <c r="W159" i="13" s="1"/>
  <c r="Y158" i="13"/>
  <c r="AA158" i="13" s="1"/>
  <c r="S158" i="13"/>
  <c r="Y157" i="13"/>
  <c r="Z157" i="13" s="1"/>
  <c r="AB157" i="13" s="1"/>
  <c r="S157" i="13"/>
  <c r="U157" i="13" s="1"/>
  <c r="Y156" i="13"/>
  <c r="Z156" i="13" s="1"/>
  <c r="AB156" i="13" s="1"/>
  <c r="S156" i="13"/>
  <c r="U156" i="13" s="1"/>
  <c r="Y155" i="13"/>
  <c r="Z155" i="13" s="1"/>
  <c r="AB155" i="13" s="1"/>
  <c r="S155" i="13"/>
  <c r="U155" i="13" s="1"/>
  <c r="Y154" i="13"/>
  <c r="Z154" i="13" s="1"/>
  <c r="AB154" i="13" s="1"/>
  <c r="AC154" i="13" s="1"/>
  <c r="S154" i="13"/>
  <c r="U154" i="13" s="1"/>
  <c r="Y153" i="13"/>
  <c r="S153" i="13"/>
  <c r="T153" i="13" s="1"/>
  <c r="V153" i="13" s="1"/>
  <c r="W153" i="13" s="1"/>
  <c r="Y152" i="13"/>
  <c r="AA152" i="13" s="1"/>
  <c r="S152" i="13"/>
  <c r="Y151" i="13"/>
  <c r="AA151" i="13" s="1"/>
  <c r="S151" i="13"/>
  <c r="U151" i="13" s="1"/>
  <c r="Y150" i="13"/>
  <c r="Z150" i="13" s="1"/>
  <c r="AB150" i="13" s="1"/>
  <c r="S150" i="13"/>
  <c r="T150" i="13" s="1"/>
  <c r="V150" i="13" s="1"/>
  <c r="W150" i="13" s="1"/>
  <c r="Y149" i="13"/>
  <c r="AA149" i="13" s="1"/>
  <c r="S149" i="13"/>
  <c r="U149" i="13" s="1"/>
  <c r="Y148" i="13"/>
  <c r="Z148" i="13" s="1"/>
  <c r="AB148" i="13" s="1"/>
  <c r="S148" i="13"/>
  <c r="U148" i="13" s="1"/>
  <c r="Y147" i="13"/>
  <c r="S147" i="13"/>
  <c r="T147" i="13" s="1"/>
  <c r="V147" i="13" s="1"/>
  <c r="W147" i="13" s="1"/>
  <c r="Y146" i="13"/>
  <c r="AA146" i="13" s="1"/>
  <c r="S146" i="13"/>
  <c r="Y145" i="13"/>
  <c r="Z145" i="13" s="1"/>
  <c r="AB145" i="13" s="1"/>
  <c r="S145" i="13"/>
  <c r="U145" i="13" s="1"/>
  <c r="Y144" i="13"/>
  <c r="AA144" i="13" s="1"/>
  <c r="S144" i="13"/>
  <c r="U144" i="13" s="1"/>
  <c r="Y143" i="13"/>
  <c r="Z143" i="13" s="1"/>
  <c r="AB143" i="13" s="1"/>
  <c r="S143" i="13"/>
  <c r="T143" i="13" s="1"/>
  <c r="V143" i="13" s="1"/>
  <c r="W143" i="13" s="1"/>
  <c r="Y142" i="13"/>
  <c r="Z142" i="13" s="1"/>
  <c r="AB142" i="13" s="1"/>
  <c r="S142" i="13"/>
  <c r="T142" i="13" s="1"/>
  <c r="V142" i="13" s="1"/>
  <c r="W142" i="13" s="1"/>
  <c r="Y141" i="13"/>
  <c r="S141" i="13"/>
  <c r="T141" i="13" s="1"/>
  <c r="V141" i="13" s="1"/>
  <c r="W141" i="13" s="1"/>
  <c r="Y140" i="13"/>
  <c r="AA140" i="13" s="1"/>
  <c r="S140" i="13"/>
  <c r="Y139" i="13"/>
  <c r="Z139" i="13" s="1"/>
  <c r="AB139" i="13" s="1"/>
  <c r="S139" i="13"/>
  <c r="U139" i="13" s="1"/>
  <c r="Y138" i="13"/>
  <c r="AA138" i="13" s="1"/>
  <c r="S138" i="13"/>
  <c r="U138" i="13" s="1"/>
  <c r="Y137" i="13"/>
  <c r="AA137" i="13" s="1"/>
  <c r="S137" i="13"/>
  <c r="U137" i="13" s="1"/>
  <c r="Y136" i="13"/>
  <c r="Z136" i="13" s="1"/>
  <c r="AB136" i="13" s="1"/>
  <c r="AC136" i="13" s="1"/>
  <c r="S136" i="13"/>
  <c r="T136" i="13" s="1"/>
  <c r="V136" i="13" s="1"/>
  <c r="W136" i="13" s="1"/>
  <c r="Y135" i="13"/>
  <c r="S135" i="13"/>
  <c r="T135" i="13" s="1"/>
  <c r="V135" i="13" s="1"/>
  <c r="W135" i="13" s="1"/>
  <c r="Y134" i="13"/>
  <c r="AA134" i="13" s="1"/>
  <c r="S134" i="13"/>
  <c r="Y133" i="13"/>
  <c r="Z133" i="13" s="1"/>
  <c r="AB133" i="13" s="1"/>
  <c r="S133" i="13"/>
  <c r="U133" i="13" s="1"/>
  <c r="Y132" i="13"/>
  <c r="Z132" i="13" s="1"/>
  <c r="AB132" i="13" s="1"/>
  <c r="S132" i="13"/>
  <c r="U132" i="13" s="1"/>
  <c r="Y131" i="13"/>
  <c r="AA131" i="13" s="1"/>
  <c r="S131" i="13"/>
  <c r="U131" i="13" s="1"/>
  <c r="Y130" i="13"/>
  <c r="Z130" i="13" s="1"/>
  <c r="AB130" i="13" s="1"/>
  <c r="S130" i="13"/>
  <c r="U130" i="13" s="1"/>
  <c r="Y129" i="13"/>
  <c r="S129" i="13"/>
  <c r="T129" i="13" s="1"/>
  <c r="V129" i="13" s="1"/>
  <c r="W129" i="13" s="1"/>
  <c r="Y128" i="13"/>
  <c r="AA128" i="13" s="1"/>
  <c r="S128" i="13"/>
  <c r="Y127" i="13"/>
  <c r="AA127" i="13" s="1"/>
  <c r="S127" i="13"/>
  <c r="U127" i="13" s="1"/>
  <c r="Y126" i="13"/>
  <c r="AA126" i="13" s="1"/>
  <c r="S126" i="13"/>
  <c r="U126" i="13" s="1"/>
  <c r="Y125" i="13"/>
  <c r="AA125" i="13" s="1"/>
  <c r="S125" i="13"/>
  <c r="U125" i="13" s="1"/>
  <c r="Y124" i="13"/>
  <c r="Z124" i="13" s="1"/>
  <c r="AB124" i="13" s="1"/>
  <c r="AC124" i="13" s="1"/>
  <c r="S124" i="13"/>
  <c r="U124" i="13" s="1"/>
  <c r="Y123" i="13"/>
  <c r="S123" i="13"/>
  <c r="T123" i="13" s="1"/>
  <c r="V123" i="13" s="1"/>
  <c r="W123" i="13" s="1"/>
  <c r="Y122" i="13"/>
  <c r="AA122" i="13" s="1"/>
  <c r="S122" i="13"/>
  <c r="Y121" i="13"/>
  <c r="Z121" i="13" s="1"/>
  <c r="AB121" i="13" s="1"/>
  <c r="S121" i="13"/>
  <c r="U121" i="13" s="1"/>
  <c r="Y120" i="13"/>
  <c r="AA120" i="13" s="1"/>
  <c r="S120" i="13"/>
  <c r="U120" i="13" s="1"/>
  <c r="Y119" i="13"/>
  <c r="Z119" i="13" s="1"/>
  <c r="AB119" i="13" s="1"/>
  <c r="S119" i="13"/>
  <c r="T119" i="13" s="1"/>
  <c r="V119" i="13" s="1"/>
  <c r="W119" i="13" s="1"/>
  <c r="Y118" i="13"/>
  <c r="Z118" i="13" s="1"/>
  <c r="AB118" i="13" s="1"/>
  <c r="S118" i="13"/>
  <c r="T118" i="13" s="1"/>
  <c r="V118" i="13" s="1"/>
  <c r="W118" i="13" s="1"/>
  <c r="Y117" i="13"/>
  <c r="S117" i="13"/>
  <c r="T117" i="13" s="1"/>
  <c r="V117" i="13" s="1"/>
  <c r="W117" i="13" s="1"/>
  <c r="Y116" i="13"/>
  <c r="AA116" i="13" s="1"/>
  <c r="S116" i="13"/>
  <c r="Y115" i="13"/>
  <c r="Z115" i="13" s="1"/>
  <c r="AB115" i="13" s="1"/>
  <c r="S115" i="13"/>
  <c r="U115" i="13" s="1"/>
  <c r="Y114" i="13"/>
  <c r="AA114" i="13" s="1"/>
  <c r="S114" i="13"/>
  <c r="U114" i="13" s="1"/>
  <c r="Y113" i="13"/>
  <c r="Z113" i="13" s="1"/>
  <c r="AB113" i="13" s="1"/>
  <c r="S113" i="13"/>
  <c r="U113" i="13" s="1"/>
  <c r="Y112" i="13"/>
  <c r="Z112" i="13" s="1"/>
  <c r="AB112" i="13" s="1"/>
  <c r="AC112" i="13" s="1"/>
  <c r="S112" i="13"/>
  <c r="T112" i="13" s="1"/>
  <c r="V112" i="13" s="1"/>
  <c r="W112" i="13" s="1"/>
  <c r="Y111" i="13"/>
  <c r="S111" i="13"/>
  <c r="T111" i="13" s="1"/>
  <c r="V111" i="13" s="1"/>
  <c r="W111" i="13" s="1"/>
  <c r="Y110" i="13"/>
  <c r="AA110" i="13" s="1"/>
  <c r="S110" i="13"/>
  <c r="Y109" i="13"/>
  <c r="AA109" i="13" s="1"/>
  <c r="S109" i="13"/>
  <c r="U109" i="13" s="1"/>
  <c r="Y108" i="13"/>
  <c r="AA108" i="13" s="1"/>
  <c r="S108" i="13"/>
  <c r="U108" i="13" s="1"/>
  <c r="Y107" i="13"/>
  <c r="Z107" i="13" s="1"/>
  <c r="AB107" i="13" s="1"/>
  <c r="S107" i="13"/>
  <c r="T107" i="13" s="1"/>
  <c r="V107" i="13" s="1"/>
  <c r="W107" i="13" s="1"/>
  <c r="Y106" i="13"/>
  <c r="Z106" i="13" s="1"/>
  <c r="AB106" i="13" s="1"/>
  <c r="AC106" i="13" s="1"/>
  <c r="S106" i="13"/>
  <c r="U106" i="13" s="1"/>
  <c r="Y105" i="13"/>
  <c r="S105" i="13"/>
  <c r="U105" i="13" s="1"/>
  <c r="Y104" i="13"/>
  <c r="AA104" i="13" s="1"/>
  <c r="S104" i="13"/>
  <c r="Y103" i="13"/>
  <c r="AA103" i="13" s="1"/>
  <c r="S103" i="13"/>
  <c r="U103" i="13" s="1"/>
  <c r="Y102" i="13"/>
  <c r="Z102" i="13" s="1"/>
  <c r="AB102" i="13" s="1"/>
  <c r="S102" i="13"/>
  <c r="T102" i="13" s="1"/>
  <c r="V102" i="13" s="1"/>
  <c r="W102" i="13" s="1"/>
  <c r="Y101" i="13"/>
  <c r="AA101" i="13" s="1"/>
  <c r="S101" i="13"/>
  <c r="U101" i="13" s="1"/>
  <c r="Y100" i="13"/>
  <c r="AA100" i="13" s="1"/>
  <c r="S100" i="13"/>
  <c r="U100" i="13" s="1"/>
  <c r="Y99" i="13"/>
  <c r="S99" i="13"/>
  <c r="U99" i="13" s="1"/>
  <c r="Y98" i="13"/>
  <c r="AA98" i="13" s="1"/>
  <c r="S98" i="13"/>
  <c r="Y97" i="13"/>
  <c r="Z97" i="13" s="1"/>
  <c r="AB97" i="13" s="1"/>
  <c r="S97" i="13"/>
  <c r="U97" i="13" s="1"/>
  <c r="Y96" i="13"/>
  <c r="AA96" i="13" s="1"/>
  <c r="S96" i="13"/>
  <c r="U96" i="13" s="1"/>
  <c r="Y95" i="13"/>
  <c r="Z95" i="13" s="1"/>
  <c r="AB95" i="13" s="1"/>
  <c r="S95" i="13"/>
  <c r="T95" i="13" s="1"/>
  <c r="V95" i="13" s="1"/>
  <c r="W95" i="13" s="1"/>
  <c r="Y94" i="13"/>
  <c r="AA94" i="13" s="1"/>
  <c r="S94" i="13"/>
  <c r="U94" i="13" s="1"/>
  <c r="Y93" i="13"/>
  <c r="S93" i="13"/>
  <c r="U93" i="13" s="1"/>
  <c r="Y92" i="13"/>
  <c r="AA92" i="13" s="1"/>
  <c r="S92" i="13"/>
  <c r="Y91" i="13"/>
  <c r="Z91" i="13" s="1"/>
  <c r="AB91" i="13" s="1"/>
  <c r="S91" i="13"/>
  <c r="U91" i="13" s="1"/>
  <c r="Y90" i="13"/>
  <c r="Z90" i="13" s="1"/>
  <c r="AB90" i="13" s="1"/>
  <c r="S90" i="13"/>
  <c r="U90" i="13" s="1"/>
  <c r="Y89" i="13"/>
  <c r="Z89" i="13" s="1"/>
  <c r="AB89" i="13" s="1"/>
  <c r="S89" i="13"/>
  <c r="U89" i="13" s="1"/>
  <c r="Y88" i="13"/>
  <c r="AA88" i="13" s="1"/>
  <c r="S88" i="13"/>
  <c r="T88" i="13" s="1"/>
  <c r="V88" i="13" s="1"/>
  <c r="W88" i="13" s="1"/>
  <c r="Y87" i="13"/>
  <c r="S87" i="13"/>
  <c r="U87" i="13" s="1"/>
  <c r="Y86" i="13"/>
  <c r="AA86" i="13" s="1"/>
  <c r="S86" i="13"/>
  <c r="Y85" i="13"/>
  <c r="AA85" i="13" s="1"/>
  <c r="S85" i="13"/>
  <c r="U85" i="13" s="1"/>
  <c r="Y84" i="13"/>
  <c r="AA84" i="13" s="1"/>
  <c r="S84" i="13"/>
  <c r="U84" i="13" s="1"/>
  <c r="Y83" i="13"/>
  <c r="AA83" i="13" s="1"/>
  <c r="S83" i="13"/>
  <c r="T83" i="13" s="1"/>
  <c r="V83" i="13" s="1"/>
  <c r="W83" i="13" s="1"/>
  <c r="Y82" i="13"/>
  <c r="AA82" i="13" s="1"/>
  <c r="S82" i="13"/>
  <c r="T82" i="13" s="1"/>
  <c r="V82" i="13" s="1"/>
  <c r="W82" i="13" s="1"/>
  <c r="Y81" i="13"/>
  <c r="S81" i="13"/>
  <c r="U81" i="13" s="1"/>
  <c r="Y80" i="13"/>
  <c r="AA80" i="13" s="1"/>
  <c r="S80" i="13"/>
  <c r="Y79" i="13"/>
  <c r="AA79" i="13" s="1"/>
  <c r="S79" i="13"/>
  <c r="U79" i="13" s="1"/>
  <c r="Y78" i="13"/>
  <c r="AA78" i="13" s="1"/>
  <c r="S78" i="13"/>
  <c r="T78" i="13" s="1"/>
  <c r="V78" i="13" s="1"/>
  <c r="W78" i="13" s="1"/>
  <c r="Y77" i="13"/>
  <c r="Z77" i="13" s="1"/>
  <c r="AB77" i="13" s="1"/>
  <c r="S77" i="13"/>
  <c r="U77" i="13" s="1"/>
  <c r="Y76" i="13"/>
  <c r="AA76" i="13" s="1"/>
  <c r="S76" i="13"/>
  <c r="T76" i="13" s="1"/>
  <c r="V76" i="13" s="1"/>
  <c r="W76" i="13" s="1"/>
  <c r="Y75" i="13"/>
  <c r="S75" i="13"/>
  <c r="U75" i="13" s="1"/>
  <c r="Y74" i="13"/>
  <c r="AA74" i="13" s="1"/>
  <c r="S74" i="13"/>
  <c r="Y73" i="13"/>
  <c r="AA73" i="13" s="1"/>
  <c r="S73" i="13"/>
  <c r="U73" i="13" s="1"/>
  <c r="Y72" i="13"/>
  <c r="AA72" i="13" s="1"/>
  <c r="S72" i="13"/>
  <c r="U72" i="13" s="1"/>
  <c r="Y71" i="13"/>
  <c r="AA71" i="13" s="1"/>
  <c r="S71" i="13"/>
  <c r="T71" i="13" s="1"/>
  <c r="V71" i="13" s="1"/>
  <c r="W71" i="13" s="1"/>
  <c r="Y70" i="13"/>
  <c r="AA70" i="13" s="1"/>
  <c r="S70" i="13"/>
  <c r="U70" i="13" s="1"/>
  <c r="Y69" i="13"/>
  <c r="S69" i="13"/>
  <c r="U69" i="13" s="1"/>
  <c r="Y68" i="13"/>
  <c r="AA68" i="13" s="1"/>
  <c r="S68" i="13"/>
  <c r="Y67" i="13"/>
  <c r="AA67" i="13" s="1"/>
  <c r="S67" i="13"/>
  <c r="U67" i="13" s="1"/>
  <c r="Y66" i="13"/>
  <c r="Z66" i="13" s="1"/>
  <c r="AB66" i="13" s="1"/>
  <c r="S66" i="13"/>
  <c r="T66" i="13" s="1"/>
  <c r="V66" i="13" s="1"/>
  <c r="W66" i="13" s="1"/>
  <c r="Y65" i="13"/>
  <c r="Z65" i="13" s="1"/>
  <c r="AB65" i="13" s="1"/>
  <c r="S65" i="13"/>
  <c r="T65" i="13" s="1"/>
  <c r="V65" i="13" s="1"/>
  <c r="W65" i="13" s="1"/>
  <c r="Y64" i="13"/>
  <c r="Z64" i="13" s="1"/>
  <c r="AB64" i="13" s="1"/>
  <c r="S64" i="13"/>
  <c r="U64" i="13" s="1"/>
  <c r="Y63" i="13"/>
  <c r="AA63" i="13" s="1"/>
  <c r="S63" i="13"/>
  <c r="T63" i="13" s="1"/>
  <c r="V63" i="13" s="1"/>
  <c r="W63" i="13" s="1"/>
  <c r="Y62" i="13"/>
  <c r="AA62" i="13" s="1"/>
  <c r="S62" i="13"/>
  <c r="U62" i="13" s="1"/>
  <c r="Y61" i="13"/>
  <c r="AA61" i="13" s="1"/>
  <c r="S61" i="13"/>
  <c r="U61" i="13" s="1"/>
  <c r="Y60" i="13"/>
  <c r="AA60" i="13" s="1"/>
  <c r="S60" i="13"/>
  <c r="U60" i="13" s="1"/>
  <c r="Y59" i="13"/>
  <c r="Z59" i="13" s="1"/>
  <c r="AB59" i="13" s="1"/>
  <c r="S59" i="13"/>
  <c r="U59" i="13" s="1"/>
  <c r="Y58" i="13"/>
  <c r="Z58" i="13" s="1"/>
  <c r="AB58" i="13" s="1"/>
  <c r="S58" i="13"/>
  <c r="U58" i="13" s="1"/>
  <c r="Y57" i="13"/>
  <c r="AA57" i="13" s="1"/>
  <c r="S57" i="13"/>
  <c r="T57" i="13" s="1"/>
  <c r="V57" i="13" s="1"/>
  <c r="W57" i="13" s="1"/>
  <c r="Y56" i="13"/>
  <c r="Z56" i="13" s="1"/>
  <c r="AB56" i="13" s="1"/>
  <c r="S56" i="13"/>
  <c r="U56" i="13" s="1"/>
  <c r="Y55" i="13"/>
  <c r="AA55" i="13" s="1"/>
  <c r="S55" i="13"/>
  <c r="U55" i="13" s="1"/>
  <c r="Y54" i="13"/>
  <c r="AA54" i="13" s="1"/>
  <c r="S54" i="13"/>
  <c r="U54" i="13" s="1"/>
  <c r="Y53" i="13"/>
  <c r="AA53" i="13" s="1"/>
  <c r="S53" i="13"/>
  <c r="T53" i="13" s="1"/>
  <c r="V53" i="13" s="1"/>
  <c r="W53" i="13" s="1"/>
  <c r="Y52" i="13"/>
  <c r="Z52" i="13" s="1"/>
  <c r="AB52" i="13" s="1"/>
  <c r="AC52" i="13" s="1"/>
  <c r="S52" i="13"/>
  <c r="T52" i="13" s="1"/>
  <c r="V52" i="13" s="1"/>
  <c r="W52" i="13" s="1"/>
  <c r="Y51" i="13"/>
  <c r="AA51" i="13" s="1"/>
  <c r="S51" i="13"/>
  <c r="T51" i="13" s="1"/>
  <c r="V51" i="13" s="1"/>
  <c r="W51" i="13" s="1"/>
  <c r="Y50" i="13"/>
  <c r="AA50" i="13" s="1"/>
  <c r="S50" i="13"/>
  <c r="U50" i="13" s="1"/>
  <c r="Y49" i="13"/>
  <c r="Z49" i="13" s="1"/>
  <c r="AB49" i="13" s="1"/>
  <c r="S49" i="13"/>
  <c r="U49" i="13" s="1"/>
  <c r="Y48" i="13"/>
  <c r="AA48" i="13" s="1"/>
  <c r="S48" i="13"/>
  <c r="U48" i="13" s="1"/>
  <c r="Y47" i="13"/>
  <c r="AA47" i="13" s="1"/>
  <c r="S47" i="13"/>
  <c r="U47" i="13" s="1"/>
  <c r="Y46" i="13"/>
  <c r="Z46" i="13" s="1"/>
  <c r="AB46" i="13" s="1"/>
  <c r="S46" i="13"/>
  <c r="U46" i="13" s="1"/>
  <c r="Y45" i="13"/>
  <c r="AA45" i="13" s="1"/>
  <c r="S45" i="13"/>
  <c r="T45" i="13" s="1"/>
  <c r="V45" i="13" s="1"/>
  <c r="W45" i="13" s="1"/>
  <c r="Y44" i="13"/>
  <c r="AA44" i="13" s="1"/>
  <c r="S44" i="13"/>
  <c r="U44" i="13" s="1"/>
  <c r="Y43" i="13"/>
  <c r="AA43" i="13" s="1"/>
  <c r="S43" i="13"/>
  <c r="T43" i="13" s="1"/>
  <c r="V43" i="13" s="1"/>
  <c r="W43" i="13" s="1"/>
  <c r="Y42" i="13"/>
  <c r="Z42" i="13" s="1"/>
  <c r="AB42" i="13" s="1"/>
  <c r="S42" i="13"/>
  <c r="U42" i="13" s="1"/>
  <c r="Y41" i="13"/>
  <c r="AA41" i="13" s="1"/>
  <c r="S41" i="13"/>
  <c r="U41" i="13" s="1"/>
  <c r="Y40" i="13"/>
  <c r="Z40" i="13" s="1"/>
  <c r="AB40" i="13" s="1"/>
  <c r="S40" i="13"/>
  <c r="U40" i="13" s="1"/>
  <c r="Y39" i="13"/>
  <c r="AA39" i="13" s="1"/>
  <c r="S39" i="13"/>
  <c r="T39" i="13" s="1"/>
  <c r="V39" i="13" s="1"/>
  <c r="W39" i="13" s="1"/>
  <c r="Y38" i="13"/>
  <c r="AA38" i="13" s="1"/>
  <c r="S38" i="13"/>
  <c r="U38" i="13" s="1"/>
  <c r="Y37" i="13"/>
  <c r="Z37" i="13" s="1"/>
  <c r="AB37" i="13" s="1"/>
  <c r="S37" i="13"/>
  <c r="T37" i="13" s="1"/>
  <c r="V37" i="13" s="1"/>
  <c r="W37" i="13" s="1"/>
  <c r="Y36" i="13"/>
  <c r="AA36" i="13" s="1"/>
  <c r="S36" i="13"/>
  <c r="U36" i="13" s="1"/>
  <c r="Y35" i="13"/>
  <c r="Z35" i="13" s="1"/>
  <c r="AB35" i="13" s="1"/>
  <c r="S35" i="13"/>
  <c r="T35" i="13" s="1"/>
  <c r="V35" i="13" s="1"/>
  <c r="W35" i="13" s="1"/>
  <c r="Y34" i="13"/>
  <c r="Z34" i="13" s="1"/>
  <c r="AB34" i="13" s="1"/>
  <c r="AC34" i="13" s="1"/>
  <c r="S34" i="13"/>
  <c r="T34" i="13" s="1"/>
  <c r="V34" i="13" s="1"/>
  <c r="Y33" i="13"/>
  <c r="AA33" i="13" s="1"/>
  <c r="S33" i="13"/>
  <c r="T33" i="13" s="1"/>
  <c r="V33" i="13" s="1"/>
  <c r="W33" i="13" s="1"/>
  <c r="Y32" i="13"/>
  <c r="AA32" i="13" s="1"/>
  <c r="S32" i="13"/>
  <c r="U32" i="13" s="1"/>
  <c r="Y31" i="13"/>
  <c r="Z31" i="13" s="1"/>
  <c r="AB31" i="13" s="1"/>
  <c r="S31" i="13"/>
  <c r="U31" i="13" s="1"/>
  <c r="Y30" i="13"/>
  <c r="Z30" i="13" s="1"/>
  <c r="AB30" i="13" s="1"/>
  <c r="S30" i="13"/>
  <c r="U30" i="13" s="1"/>
  <c r="Y29" i="13"/>
  <c r="AA29" i="13" s="1"/>
  <c r="S29" i="13"/>
  <c r="T29" i="13" s="1"/>
  <c r="V29" i="13" s="1"/>
  <c r="W29" i="13" s="1"/>
  <c r="Y28" i="13"/>
  <c r="AA28" i="13" s="1"/>
  <c r="S28" i="13"/>
  <c r="U28" i="13" s="1"/>
  <c r="Y27" i="13"/>
  <c r="AA27" i="13" s="1"/>
  <c r="S27" i="13"/>
  <c r="U27" i="13" s="1"/>
  <c r="Y26" i="13"/>
  <c r="AA26" i="13" s="1"/>
  <c r="S26" i="13"/>
  <c r="U26" i="13" s="1"/>
  <c r="Y25" i="13"/>
  <c r="AA25" i="13" s="1"/>
  <c r="S25" i="13"/>
  <c r="U25" i="13" s="1"/>
  <c r="Y24" i="13"/>
  <c r="Z24" i="13" s="1"/>
  <c r="AB24" i="13" s="1"/>
  <c r="S24" i="13"/>
  <c r="U24" i="13" s="1"/>
  <c r="Y23" i="13"/>
  <c r="AA23" i="13" s="1"/>
  <c r="S23" i="13"/>
  <c r="T23" i="13" s="1"/>
  <c r="V23" i="13" s="1"/>
  <c r="W23" i="13" s="1"/>
  <c r="Y22" i="13"/>
  <c r="AA22" i="13" s="1"/>
  <c r="S22" i="13"/>
  <c r="U22" i="13" s="1"/>
  <c r="Y21" i="13"/>
  <c r="AA21" i="13" s="1"/>
  <c r="S21" i="13"/>
  <c r="U21" i="13" s="1"/>
  <c r="Y20" i="13"/>
  <c r="AA20" i="13" s="1"/>
  <c r="S20" i="13"/>
  <c r="U20" i="13" s="1"/>
  <c r="Y19" i="13"/>
  <c r="AA19" i="13" s="1"/>
  <c r="S19" i="13"/>
  <c r="U19" i="13" s="1"/>
  <c r="Y18" i="13"/>
  <c r="Z18" i="13" s="1"/>
  <c r="AB18" i="13" s="1"/>
  <c r="S18" i="13"/>
  <c r="U18" i="13" s="1"/>
  <c r="Y17" i="13"/>
  <c r="AA17" i="13" s="1"/>
  <c r="S17" i="13"/>
  <c r="T17" i="13" s="1"/>
  <c r="V17" i="13" s="1"/>
  <c r="W17" i="13" s="1"/>
  <c r="Y16" i="13"/>
  <c r="AA16" i="13" s="1"/>
  <c r="S16" i="13"/>
  <c r="U16" i="13" s="1"/>
  <c r="Y15" i="13"/>
  <c r="AA15" i="13" s="1"/>
  <c r="S15" i="13"/>
  <c r="U15" i="13" s="1"/>
  <c r="Y14" i="13"/>
  <c r="AA14" i="13" s="1"/>
  <c r="S14" i="13"/>
  <c r="U14" i="13" s="1"/>
  <c r="Y13" i="13"/>
  <c r="Z13" i="13" s="1"/>
  <c r="AB13" i="13" s="1"/>
  <c r="S13" i="13"/>
  <c r="U13" i="13" s="1"/>
  <c r="Y12" i="13"/>
  <c r="Z12" i="13" s="1"/>
  <c r="AB12" i="13" s="1"/>
  <c r="S12" i="13"/>
  <c r="U12" i="13" s="1"/>
  <c r="Y11" i="13"/>
  <c r="AA11" i="13" s="1"/>
  <c r="S11" i="13"/>
  <c r="T11" i="13" s="1"/>
  <c r="V11" i="13" s="1"/>
  <c r="W11" i="13" s="1"/>
  <c r="Y10" i="13"/>
  <c r="Z10" i="13" s="1"/>
  <c r="AB10" i="13" s="1"/>
  <c r="S10" i="13"/>
  <c r="U10" i="13" s="1"/>
  <c r="Y9" i="13"/>
  <c r="AA9" i="13" s="1"/>
  <c r="S9" i="13"/>
  <c r="T9" i="13" s="1"/>
  <c r="V9" i="13" s="1"/>
  <c r="W9" i="13" s="1"/>
  <c r="Y8" i="13"/>
  <c r="AA8" i="13" s="1"/>
  <c r="S8" i="13"/>
  <c r="U8" i="13" s="1"/>
  <c r="Y7" i="13"/>
  <c r="AA7" i="13" s="1"/>
  <c r="S7" i="13"/>
  <c r="U7" i="13" s="1"/>
  <c r="Y6" i="13"/>
  <c r="Z6" i="13" s="1"/>
  <c r="AB6" i="13" s="1"/>
  <c r="S6" i="13"/>
  <c r="U6" i="13" s="1"/>
  <c r="C7" i="19"/>
  <c r="B7" i="19"/>
  <c r="B191" i="13"/>
  <c r="AH191" i="13"/>
  <c r="AT191" i="13" s="1"/>
  <c r="BC191" i="13"/>
  <c r="BO191" i="13" s="1"/>
  <c r="B202" i="13"/>
  <c r="B201" i="13"/>
  <c r="B200" i="13"/>
  <c r="B199" i="13"/>
  <c r="B198" i="13"/>
  <c r="B197" i="13"/>
  <c r="B196" i="13"/>
  <c r="AH196" i="13"/>
  <c r="AH197" i="13"/>
  <c r="AK197" i="13" s="1"/>
  <c r="AH198" i="13"/>
  <c r="AO198" i="13" s="1"/>
  <c r="AH199" i="13"/>
  <c r="AN199" i="13" s="1"/>
  <c r="AH200" i="13"/>
  <c r="AH201" i="13"/>
  <c r="AK201" i="13" s="1"/>
  <c r="AH202" i="13"/>
  <c r="BC196" i="13"/>
  <c r="BK196" i="13" s="1"/>
  <c r="BC197" i="13"/>
  <c r="BS197" i="13" s="1"/>
  <c r="BC198" i="13"/>
  <c r="BC199" i="13"/>
  <c r="BG199" i="13" s="1"/>
  <c r="BC200" i="13"/>
  <c r="BC201" i="13"/>
  <c r="BM201" i="13" s="1"/>
  <c r="BC202" i="13"/>
  <c r="B195" i="13"/>
  <c r="B194" i="13"/>
  <c r="B193" i="13"/>
  <c r="B192" i="13"/>
  <c r="B190" i="13"/>
  <c r="B189" i="13"/>
  <c r="B188" i="13"/>
  <c r="AH188" i="13"/>
  <c r="AH189" i="13"/>
  <c r="AU189" i="13" s="1"/>
  <c r="AH190" i="13"/>
  <c r="AY190" i="13" s="1"/>
  <c r="AH192" i="13"/>
  <c r="AZ192" i="13" s="1"/>
  <c r="AH193" i="13"/>
  <c r="AK193" i="13" s="1"/>
  <c r="AH194" i="13"/>
  <c r="AH195" i="13"/>
  <c r="AO195" i="13" s="1"/>
  <c r="BC188" i="13"/>
  <c r="BK188" i="13" s="1"/>
  <c r="BC189" i="13"/>
  <c r="BS189" i="13" s="1"/>
  <c r="BC190" i="13"/>
  <c r="BC192" i="13"/>
  <c r="BI192" i="13" s="1"/>
  <c r="BC193" i="13"/>
  <c r="BK193" i="13" s="1"/>
  <c r="BC194" i="13"/>
  <c r="BN194" i="13" s="1"/>
  <c r="BC195" i="13"/>
  <c r="BO195" i="13" s="1"/>
  <c r="B173" i="13"/>
  <c r="B172" i="13"/>
  <c r="B171" i="13"/>
  <c r="B170" i="13"/>
  <c r="B169" i="13"/>
  <c r="B168" i="13"/>
  <c r="B167" i="13"/>
  <c r="B166" i="13"/>
  <c r="B165" i="13"/>
  <c r="B164" i="13"/>
  <c r="B163" i="13"/>
  <c r="B162" i="13"/>
  <c r="B161" i="13"/>
  <c r="B160" i="13"/>
  <c r="AH160" i="13"/>
  <c r="AR160" i="13" s="1"/>
  <c r="AH161" i="13"/>
  <c r="AO161" i="13" s="1"/>
  <c r="AH162" i="13"/>
  <c r="AH163" i="13"/>
  <c r="AU163" i="13" s="1"/>
  <c r="AH164" i="13"/>
  <c r="AH165" i="13"/>
  <c r="AH166" i="13"/>
  <c r="AJ166" i="13" s="1"/>
  <c r="BC160" i="13"/>
  <c r="BC161" i="13"/>
  <c r="BC162" i="13"/>
  <c r="BG162" i="13" s="1"/>
  <c r="BC163" i="13"/>
  <c r="BD163" i="13" s="1"/>
  <c r="BC164" i="13"/>
  <c r="BO164" i="13" s="1"/>
  <c r="BC165" i="13"/>
  <c r="BH165" i="13" s="1"/>
  <c r="BC166" i="13"/>
  <c r="BP166" i="13" s="1"/>
  <c r="AH167" i="13"/>
  <c r="AH168" i="13"/>
  <c r="AH169" i="13"/>
  <c r="AI169" i="13" s="1"/>
  <c r="AH170" i="13"/>
  <c r="AL170" i="13" s="1"/>
  <c r="AH171" i="13"/>
  <c r="BC167" i="13"/>
  <c r="BJ167" i="13" s="1"/>
  <c r="BC168" i="13"/>
  <c r="BO168" i="13" s="1"/>
  <c r="BC169" i="13"/>
  <c r="BC170" i="13"/>
  <c r="BJ170" i="13" s="1"/>
  <c r="BC171" i="13"/>
  <c r="AH172" i="13"/>
  <c r="AU172" i="13" s="1"/>
  <c r="AH173" i="13"/>
  <c r="AI173" i="13" s="1"/>
  <c r="BC172" i="13"/>
  <c r="BF172" i="13" s="1"/>
  <c r="BC173" i="13"/>
  <c r="BS173" i="13" s="1"/>
  <c r="B153" i="13"/>
  <c r="B152" i="13"/>
  <c r="B151" i="13"/>
  <c r="AH152" i="13"/>
  <c r="AJ152" i="13" s="1"/>
  <c r="BC152" i="13"/>
  <c r="AH151" i="13"/>
  <c r="BC151" i="13"/>
  <c r="BE151" i="13" s="1"/>
  <c r="AH153" i="13"/>
  <c r="AK153" i="13" s="1"/>
  <c r="BC153" i="13"/>
  <c r="BF153" i="13" s="1"/>
  <c r="B159" i="13"/>
  <c r="B158" i="13"/>
  <c r="B157" i="13"/>
  <c r="B156" i="13"/>
  <c r="B155" i="13"/>
  <c r="AH156" i="13"/>
  <c r="AJ156" i="13" s="1"/>
  <c r="AH157" i="13"/>
  <c r="AI157" i="13" s="1"/>
  <c r="AH158" i="13"/>
  <c r="AK158" i="13" s="1"/>
  <c r="AH159" i="13"/>
  <c r="AK159" i="13" s="1"/>
  <c r="BC156" i="13"/>
  <c r="BE156" i="13" s="1"/>
  <c r="BC157" i="13"/>
  <c r="BD157" i="13" s="1"/>
  <c r="BC158" i="13"/>
  <c r="BE158" i="13" s="1"/>
  <c r="BC159" i="13"/>
  <c r="BF159" i="13" s="1"/>
  <c r="AH155" i="13"/>
  <c r="AI155" i="13" s="1"/>
  <c r="BC155" i="13"/>
  <c r="BD155" i="13" s="1"/>
  <c r="B154" i="13"/>
  <c r="B150" i="13"/>
  <c r="B149" i="13"/>
  <c r="B148" i="13"/>
  <c r="B147" i="13"/>
  <c r="B146" i="13"/>
  <c r="B145" i="13"/>
  <c r="B144" i="13"/>
  <c r="B143" i="13"/>
  <c r="B142" i="13"/>
  <c r="B141" i="13"/>
  <c r="B140" i="13"/>
  <c r="B139" i="13"/>
  <c r="AH139" i="13"/>
  <c r="AV139" i="13" s="1"/>
  <c r="AH140" i="13"/>
  <c r="AU140" i="13" s="1"/>
  <c r="AH141" i="13"/>
  <c r="AI141" i="13" s="1"/>
  <c r="AH142" i="13"/>
  <c r="AI142" i="13" s="1"/>
  <c r="AH143" i="13"/>
  <c r="AH144" i="13"/>
  <c r="AQ144" i="13" s="1"/>
  <c r="AH145" i="13"/>
  <c r="AQ145" i="13" s="1"/>
  <c r="AH146" i="13"/>
  <c r="AI146" i="13" s="1"/>
  <c r="BC139" i="13"/>
  <c r="BF139" i="13" s="1"/>
  <c r="BC140" i="13"/>
  <c r="BK140" i="13" s="1"/>
  <c r="BC141" i="13"/>
  <c r="BT141" i="13" s="1"/>
  <c r="BC142" i="13"/>
  <c r="BI142" i="13" s="1"/>
  <c r="BC143" i="13"/>
  <c r="BN143" i="13" s="1"/>
  <c r="BC144" i="13"/>
  <c r="BH144" i="13" s="1"/>
  <c r="BC145" i="13"/>
  <c r="BE145" i="13" s="1"/>
  <c r="BC146" i="13"/>
  <c r="BI146" i="13" s="1"/>
  <c r="AH147" i="13"/>
  <c r="AJ147" i="13" s="1"/>
  <c r="AH148" i="13"/>
  <c r="AH149" i="13"/>
  <c r="AK149" i="13" s="1"/>
  <c r="AH150" i="13"/>
  <c r="AJ150" i="13" s="1"/>
  <c r="BC147" i="13"/>
  <c r="BE147" i="13" s="1"/>
  <c r="BC148" i="13"/>
  <c r="BQ148" i="13" s="1"/>
  <c r="BC149" i="13"/>
  <c r="BE149" i="13" s="1"/>
  <c r="BC150" i="13"/>
  <c r="BD150" i="13" s="1"/>
  <c r="AH154" i="13"/>
  <c r="AI154" i="13" s="1"/>
  <c r="BC154" i="13"/>
  <c r="BD154" i="13" s="1"/>
  <c r="B127" i="13"/>
  <c r="B126" i="13"/>
  <c r="B128" i="13"/>
  <c r="B125" i="13"/>
  <c r="AH125" i="13"/>
  <c r="AJ125" i="13" s="1"/>
  <c r="BC125" i="13"/>
  <c r="BE125" i="13" s="1"/>
  <c r="AH126" i="13"/>
  <c r="AJ126" i="13" s="1"/>
  <c r="BC126" i="13"/>
  <c r="BE126" i="13" s="1"/>
  <c r="AH127" i="13"/>
  <c r="AJ127" i="13" s="1"/>
  <c r="BC127" i="13"/>
  <c r="BF127" i="13" s="1"/>
  <c r="B124" i="13"/>
  <c r="B123" i="13"/>
  <c r="B122" i="13"/>
  <c r="B121" i="13"/>
  <c r="B120" i="13"/>
  <c r="AH124" i="13"/>
  <c r="AO124" i="13" s="1"/>
  <c r="BC124" i="13"/>
  <c r="BH124" i="13" s="1"/>
  <c r="AH120" i="13"/>
  <c r="AN120" i="13" s="1"/>
  <c r="AH121" i="13"/>
  <c r="AI121" i="13" s="1"/>
  <c r="BC120" i="13"/>
  <c r="BE120" i="13" s="1"/>
  <c r="BC121" i="13"/>
  <c r="BI121" i="13" s="1"/>
  <c r="AH122" i="13"/>
  <c r="BC122" i="13"/>
  <c r="BH122" i="13" s="1"/>
  <c r="AH123" i="13"/>
  <c r="AL123" i="13" s="1"/>
  <c r="BC123" i="13"/>
  <c r="BH123" i="13" s="1"/>
  <c r="U204" i="13" l="1"/>
  <c r="T64" i="13"/>
  <c r="V64" i="13" s="1"/>
  <c r="W64" i="13" s="1"/>
  <c r="Z144" i="13"/>
  <c r="AB144" i="13" s="1"/>
  <c r="Z190" i="13"/>
  <c r="AB190" i="13" s="1"/>
  <c r="AE190" i="13" s="1"/>
  <c r="U117" i="13"/>
  <c r="Z120" i="13"/>
  <c r="AB120" i="13" s="1"/>
  <c r="AC120" i="13" s="1"/>
  <c r="AA156" i="13"/>
  <c r="AD156" i="13" s="1"/>
  <c r="AA193" i="13"/>
  <c r="T197" i="13"/>
  <c r="V197" i="13" s="1"/>
  <c r="W197" i="13" s="1"/>
  <c r="AA148" i="13"/>
  <c r="AD148" i="13" s="1"/>
  <c r="AA142" i="13"/>
  <c r="AA145" i="13"/>
  <c r="AD145" i="13" s="1"/>
  <c r="U43" i="13"/>
  <c r="AD43" i="13" s="1"/>
  <c r="Z53" i="13"/>
  <c r="AB53" i="13" s="1"/>
  <c r="AE53" i="13" s="1"/>
  <c r="Z71" i="13"/>
  <c r="AB71" i="13" s="1"/>
  <c r="AE71" i="13" s="1"/>
  <c r="AA132" i="13"/>
  <c r="AD132" i="13" s="1"/>
  <c r="U136" i="13"/>
  <c r="U167" i="13"/>
  <c r="Z174" i="13"/>
  <c r="AB174" i="13" s="1"/>
  <c r="AC174" i="13" s="1"/>
  <c r="T130" i="13"/>
  <c r="V130" i="13" s="1"/>
  <c r="W130" i="13" s="1"/>
  <c r="AA154" i="13"/>
  <c r="AD154" i="13" s="1"/>
  <c r="AA157" i="13"/>
  <c r="AD157" i="13" s="1"/>
  <c r="Z72" i="13"/>
  <c r="AB72" i="13" s="1"/>
  <c r="U123" i="13"/>
  <c r="U45" i="13"/>
  <c r="AD45" i="13" s="1"/>
  <c r="AA52" i="13"/>
  <c r="AA66" i="13"/>
  <c r="AA180" i="13"/>
  <c r="AD180" i="13" s="1"/>
  <c r="AA13" i="13"/>
  <c r="AD13" i="13" s="1"/>
  <c r="U57" i="13"/>
  <c r="AD57" i="13" s="1"/>
  <c r="AA77" i="13"/>
  <c r="Z108" i="13"/>
  <c r="AB108" i="13" s="1"/>
  <c r="AC108" i="13" s="1"/>
  <c r="AF108" i="13" s="1"/>
  <c r="AA118" i="13"/>
  <c r="AA121" i="13"/>
  <c r="AD121" i="13" s="1"/>
  <c r="AA124" i="13"/>
  <c r="AD124" i="13" s="1"/>
  <c r="Z127" i="13"/>
  <c r="AB127" i="13" s="1"/>
  <c r="AC127" i="13" s="1"/>
  <c r="AA130" i="13"/>
  <c r="AD130" i="13" s="1"/>
  <c r="Z160" i="13"/>
  <c r="AB160" i="13" s="1"/>
  <c r="Z163" i="13"/>
  <c r="AB163" i="13" s="1"/>
  <c r="AC163" i="13" s="1"/>
  <c r="Z22" i="13"/>
  <c r="AB22" i="13" s="1"/>
  <c r="AA37" i="13"/>
  <c r="AA65" i="13"/>
  <c r="Z78" i="13"/>
  <c r="AB78" i="13" s="1"/>
  <c r="AC78" i="13" s="1"/>
  <c r="AF78" i="13" s="1"/>
  <c r="T89" i="13"/>
  <c r="V89" i="13" s="1"/>
  <c r="W89" i="13" s="1"/>
  <c r="AA91" i="13"/>
  <c r="U107" i="13"/>
  <c r="T131" i="13"/>
  <c r="V131" i="13" s="1"/>
  <c r="W131" i="13" s="1"/>
  <c r="Z137" i="13"/>
  <c r="AB137" i="13" s="1"/>
  <c r="AC137" i="13" s="1"/>
  <c r="U141" i="13"/>
  <c r="U147" i="13"/>
  <c r="AA113" i="13"/>
  <c r="U83" i="13"/>
  <c r="AA89" i="13"/>
  <c r="AD89" i="13" s="1"/>
  <c r="T108" i="13"/>
  <c r="V108" i="13" s="1"/>
  <c r="W108" i="13" s="1"/>
  <c r="Z126" i="13"/>
  <c r="AB126" i="13" s="1"/>
  <c r="AC126" i="13" s="1"/>
  <c r="T155" i="13"/>
  <c r="V155" i="13" s="1"/>
  <c r="W155" i="13" s="1"/>
  <c r="Z162" i="13"/>
  <c r="AB162" i="13" s="1"/>
  <c r="AC162" i="13" s="1"/>
  <c r="AD162" i="13"/>
  <c r="T16" i="13"/>
  <c r="V16" i="13" s="1"/>
  <c r="W16" i="13" s="1"/>
  <c r="Z25" i="13"/>
  <c r="AB25" i="13" s="1"/>
  <c r="Z41" i="13"/>
  <c r="AB41" i="13" s="1"/>
  <c r="AC41" i="13" s="1"/>
  <c r="T50" i="13"/>
  <c r="V50" i="13" s="1"/>
  <c r="W50" i="13" s="1"/>
  <c r="T59" i="13"/>
  <c r="V59" i="13" s="1"/>
  <c r="W59" i="13" s="1"/>
  <c r="Z68" i="13"/>
  <c r="AB68" i="13" s="1"/>
  <c r="AC68" i="13" s="1"/>
  <c r="AA90" i="13"/>
  <c r="AD90" i="13" s="1"/>
  <c r="U135" i="13"/>
  <c r="AA143" i="13"/>
  <c r="Z184" i="13"/>
  <c r="AB184" i="13" s="1"/>
  <c r="T28" i="13"/>
  <c r="V28" i="13" s="1"/>
  <c r="W28" i="13" s="1"/>
  <c r="AA35" i="13"/>
  <c r="Z101" i="13"/>
  <c r="AB101" i="13" s="1"/>
  <c r="AA107" i="13"/>
  <c r="Z109" i="13"/>
  <c r="AB109" i="13" s="1"/>
  <c r="AC109" i="13" s="1"/>
  <c r="AA119" i="13"/>
  <c r="T138" i="13"/>
  <c r="V138" i="13" s="1"/>
  <c r="W138" i="13" s="1"/>
  <c r="Z149" i="13"/>
  <c r="AB149" i="13" s="1"/>
  <c r="AC149" i="13" s="1"/>
  <c r="AA155" i="13"/>
  <c r="AA165" i="13"/>
  <c r="AD165" i="13" s="1"/>
  <c r="T168" i="13"/>
  <c r="V168" i="13" s="1"/>
  <c r="W168" i="13" s="1"/>
  <c r="AA178" i="13"/>
  <c r="AA195" i="13"/>
  <c r="AD195" i="13" s="1"/>
  <c r="Z7" i="13"/>
  <c r="AB7" i="13" s="1"/>
  <c r="AC7" i="13" s="1"/>
  <c r="Z44" i="13"/>
  <c r="AB44" i="13" s="1"/>
  <c r="AC44" i="13" s="1"/>
  <c r="AA42" i="13"/>
  <c r="AD42" i="13" s="1"/>
  <c r="Z51" i="13"/>
  <c r="AB51" i="13" s="1"/>
  <c r="AC51" i="13" s="1"/>
  <c r="AF51" i="13" s="1"/>
  <c r="AA95" i="13"/>
  <c r="AA106" i="13"/>
  <c r="Z125" i="13"/>
  <c r="AB125" i="13" s="1"/>
  <c r="AC125" i="13" s="1"/>
  <c r="AA133" i="13"/>
  <c r="AD133" i="13" s="1"/>
  <c r="T156" i="13"/>
  <c r="V156" i="13" s="1"/>
  <c r="W156" i="13" s="1"/>
  <c r="AA172" i="13"/>
  <c r="T196" i="13"/>
  <c r="V196" i="13" s="1"/>
  <c r="W196" i="13" s="1"/>
  <c r="AF196" i="13" s="1"/>
  <c r="T15" i="13"/>
  <c r="V15" i="13" s="1"/>
  <c r="W15" i="13" s="1"/>
  <c r="T22" i="13"/>
  <c r="V22" i="13" s="1"/>
  <c r="W22" i="13" s="1"/>
  <c r="AA24" i="13"/>
  <c r="AD24" i="13" s="1"/>
  <c r="T27" i="13"/>
  <c r="V27" i="13" s="1"/>
  <c r="W27" i="13" s="1"/>
  <c r="AA12" i="13"/>
  <c r="AD12" i="13" s="1"/>
  <c r="U29" i="13"/>
  <c r="AD29" i="13" s="1"/>
  <c r="U34" i="13"/>
  <c r="Z48" i="13"/>
  <c r="AB48" i="13" s="1"/>
  <c r="AC48" i="13" s="1"/>
  <c r="Z104" i="13"/>
  <c r="AB104" i="13" s="1"/>
  <c r="AC104" i="13" s="1"/>
  <c r="U129" i="13"/>
  <c r="U142" i="13"/>
  <c r="U178" i="13"/>
  <c r="Z16" i="13"/>
  <c r="AB16" i="13" s="1"/>
  <c r="AC16" i="13" s="1"/>
  <c r="AA18" i="13"/>
  <c r="AD18" i="13" s="1"/>
  <c r="T21" i="13"/>
  <c r="V21" i="13" s="1"/>
  <c r="W21" i="13" s="1"/>
  <c r="AA31" i="13"/>
  <c r="AD31" i="13" s="1"/>
  <c r="AD44" i="13"/>
  <c r="U53" i="13"/>
  <c r="AD53" i="13" s="1"/>
  <c r="Z55" i="13"/>
  <c r="AB55" i="13" s="1"/>
  <c r="AC55" i="13" s="1"/>
  <c r="Z57" i="13"/>
  <c r="AB57" i="13" s="1"/>
  <c r="AE57" i="13" s="1"/>
  <c r="AA59" i="13"/>
  <c r="AD59" i="13" s="1"/>
  <c r="Z62" i="13"/>
  <c r="AB62" i="13" s="1"/>
  <c r="AC62" i="13" s="1"/>
  <c r="T67" i="13"/>
  <c r="V67" i="13" s="1"/>
  <c r="W67" i="13" s="1"/>
  <c r="T70" i="13"/>
  <c r="V70" i="13" s="1"/>
  <c r="W70" i="13" s="1"/>
  <c r="T72" i="13"/>
  <c r="V72" i="13" s="1"/>
  <c r="W72" i="13" s="1"/>
  <c r="Z84" i="13"/>
  <c r="AB84" i="13" s="1"/>
  <c r="AC84" i="13" s="1"/>
  <c r="T91" i="13"/>
  <c r="V91" i="13" s="1"/>
  <c r="W91" i="13" s="1"/>
  <c r="T96" i="13"/>
  <c r="V96" i="13" s="1"/>
  <c r="W96" i="13" s="1"/>
  <c r="AA97" i="13"/>
  <c r="AD97" i="13" s="1"/>
  <c r="T101" i="13"/>
  <c r="V101" i="13" s="1"/>
  <c r="W101" i="13" s="1"/>
  <c r="AA102" i="13"/>
  <c r="AA115" i="13"/>
  <c r="T125" i="13"/>
  <c r="V125" i="13" s="1"/>
  <c r="W125" i="13" s="1"/>
  <c r="Z131" i="13"/>
  <c r="AB131" i="13" s="1"/>
  <c r="AA139" i="13"/>
  <c r="AD139" i="13" s="1"/>
  <c r="T149" i="13"/>
  <c r="V149" i="13" s="1"/>
  <c r="W149" i="13" s="1"/>
  <c r="AA150" i="13"/>
  <c r="U153" i="13"/>
  <c r="T162" i="13"/>
  <c r="V162" i="13" s="1"/>
  <c r="W162" i="13" s="1"/>
  <c r="U164" i="13"/>
  <c r="AA166" i="13"/>
  <c r="Z168" i="13"/>
  <c r="AB168" i="13" s="1"/>
  <c r="AC168" i="13" s="1"/>
  <c r="Z185" i="13"/>
  <c r="AB185" i="13" s="1"/>
  <c r="AC185" i="13" s="1"/>
  <c r="Z187" i="13"/>
  <c r="AB187" i="13" s="1"/>
  <c r="AC187" i="13" s="1"/>
  <c r="Z192" i="13"/>
  <c r="AB192" i="13" s="1"/>
  <c r="AC192" i="13" s="1"/>
  <c r="AA196" i="13"/>
  <c r="AD196" i="13" s="1"/>
  <c r="Z199" i="13"/>
  <c r="AB199" i="13" s="1"/>
  <c r="AC199" i="13" s="1"/>
  <c r="U159" i="13"/>
  <c r="U23" i="13"/>
  <c r="AD23" i="13" s="1"/>
  <c r="Z29" i="13"/>
  <c r="AB29" i="13" s="1"/>
  <c r="AE29" i="13" s="1"/>
  <c r="AA34" i="13"/>
  <c r="Z36" i="13"/>
  <c r="AB36" i="13" s="1"/>
  <c r="AC36" i="13" s="1"/>
  <c r="Z74" i="13"/>
  <c r="AB74" i="13" s="1"/>
  <c r="AC74" i="13" s="1"/>
  <c r="U112" i="13"/>
  <c r="T114" i="13"/>
  <c r="V114" i="13" s="1"/>
  <c r="W114" i="13" s="1"/>
  <c r="AA171" i="13"/>
  <c r="AA173" i="13"/>
  <c r="AD173" i="13" s="1"/>
  <c r="U176" i="13"/>
  <c r="Z202" i="13"/>
  <c r="AB202" i="13" s="1"/>
  <c r="AC202" i="13" s="1"/>
  <c r="U9" i="13"/>
  <c r="AD9" i="13" s="1"/>
  <c r="Z43" i="13"/>
  <c r="AB43" i="13" s="1"/>
  <c r="AC43" i="13" s="1"/>
  <c r="AF43" i="13" s="1"/>
  <c r="Z50" i="13"/>
  <c r="AB50" i="13" s="1"/>
  <c r="T171" i="13"/>
  <c r="V171" i="13" s="1"/>
  <c r="W171" i="13" s="1"/>
  <c r="AA10" i="13"/>
  <c r="U17" i="13"/>
  <c r="AD17" i="13" s="1"/>
  <c r="Z19" i="13"/>
  <c r="AB19" i="13" s="1"/>
  <c r="AC19" i="13" s="1"/>
  <c r="Z23" i="13"/>
  <c r="AB23" i="13" s="1"/>
  <c r="AE23" i="13" s="1"/>
  <c r="U35" i="13"/>
  <c r="Z47" i="13"/>
  <c r="AB47" i="13" s="1"/>
  <c r="AC47" i="13" s="1"/>
  <c r="AA49" i="13"/>
  <c r="AD49" i="13" s="1"/>
  <c r="AA58" i="13"/>
  <c r="AD58" i="13" s="1"/>
  <c r="U71" i="13"/>
  <c r="AD71" i="13" s="1"/>
  <c r="U88" i="13"/>
  <c r="AD88" i="13" s="1"/>
  <c r="U95" i="13"/>
  <c r="Z96" i="13"/>
  <c r="AB96" i="13" s="1"/>
  <c r="AC96" i="13" s="1"/>
  <c r="Z103" i="13"/>
  <c r="AB103" i="13" s="1"/>
  <c r="AC103" i="13" s="1"/>
  <c r="AA112" i="13"/>
  <c r="AD112" i="13" s="1"/>
  <c r="Z114" i="13"/>
  <c r="AB114" i="13" s="1"/>
  <c r="U119" i="13"/>
  <c r="T132" i="13"/>
  <c r="V132" i="13" s="1"/>
  <c r="W132" i="13" s="1"/>
  <c r="AA136" i="13"/>
  <c r="Z138" i="13"/>
  <c r="AB138" i="13" s="1"/>
  <c r="U143" i="13"/>
  <c r="Z151" i="13"/>
  <c r="AB151" i="13" s="1"/>
  <c r="AC151" i="13" s="1"/>
  <c r="U172" i="13"/>
  <c r="T186" i="13"/>
  <c r="V186" i="13" s="1"/>
  <c r="W186" i="13" s="1"/>
  <c r="AA6" i="13"/>
  <c r="AD6" i="13" s="1"/>
  <c r="Z11" i="13"/>
  <c r="AB11" i="13" s="1"/>
  <c r="AE11" i="13" s="1"/>
  <c r="U118" i="13"/>
  <c r="Z28" i="13"/>
  <c r="AB28" i="13" s="1"/>
  <c r="AE28" i="13" s="1"/>
  <c r="AA30" i="13"/>
  <c r="AD30" i="13" s="1"/>
  <c r="U52" i="13"/>
  <c r="AA56" i="13"/>
  <c r="AD56" i="13" s="1"/>
  <c r="T61" i="13"/>
  <c r="V61" i="13" s="1"/>
  <c r="W61" i="13" s="1"/>
  <c r="U78" i="13"/>
  <c r="AD78" i="13" s="1"/>
  <c r="Z83" i="13"/>
  <c r="AB83" i="13" s="1"/>
  <c r="AC83" i="13" s="1"/>
  <c r="AF83" i="13" s="1"/>
  <c r="Z85" i="13"/>
  <c r="AB85" i="13" s="1"/>
  <c r="AC85" i="13" s="1"/>
  <c r="U82" i="13"/>
  <c r="AD82" i="13" s="1"/>
  <c r="T180" i="13"/>
  <c r="V180" i="13" s="1"/>
  <c r="W180" i="13" s="1"/>
  <c r="Z194" i="13"/>
  <c r="AB194" i="13" s="1"/>
  <c r="AC194" i="13" s="1"/>
  <c r="AF194" i="13" s="1"/>
  <c r="U11" i="13"/>
  <c r="AD11" i="13" s="1"/>
  <c r="Z17" i="13"/>
  <c r="AB17" i="13" s="1"/>
  <c r="AC17" i="13" s="1"/>
  <c r="AF17" i="13" s="1"/>
  <c r="Z33" i="13"/>
  <c r="AB33" i="13" s="1"/>
  <c r="AE33" i="13" s="1"/>
  <c r="T73" i="13"/>
  <c r="V73" i="13" s="1"/>
  <c r="W73" i="13" s="1"/>
  <c r="U76" i="13"/>
  <c r="AD76" i="13" s="1"/>
  <c r="Z92" i="13"/>
  <c r="AB92" i="13" s="1"/>
  <c r="AC92" i="13" s="1"/>
  <c r="U102" i="13"/>
  <c r="U150" i="13"/>
  <c r="T161" i="13"/>
  <c r="V161" i="13" s="1"/>
  <c r="W161" i="13" s="1"/>
  <c r="AD168" i="13"/>
  <c r="AA177" i="13"/>
  <c r="AD177" i="13" s="1"/>
  <c r="AA179" i="13"/>
  <c r="AA181" i="13"/>
  <c r="AA186" i="13"/>
  <c r="AD186" i="13" s="1"/>
  <c r="T189" i="13"/>
  <c r="V189" i="13" s="1"/>
  <c r="W189" i="13" s="1"/>
  <c r="Z191" i="13"/>
  <c r="AB191" i="13" s="1"/>
  <c r="AC191" i="13" s="1"/>
  <c r="AF191" i="13" s="1"/>
  <c r="U201" i="13"/>
  <c r="AA203" i="13"/>
  <c r="T10" i="13"/>
  <c r="V10" i="13" s="1"/>
  <c r="W10" i="13" s="1"/>
  <c r="T12" i="13"/>
  <c r="V12" i="13" s="1"/>
  <c r="W12" i="13" s="1"/>
  <c r="T18" i="13"/>
  <c r="V18" i="13" s="1"/>
  <c r="W18" i="13" s="1"/>
  <c r="T24" i="13"/>
  <c r="V24" i="13" s="1"/>
  <c r="W24" i="13" s="1"/>
  <c r="T30" i="13"/>
  <c r="V30" i="13" s="1"/>
  <c r="W30" i="13" s="1"/>
  <c r="T46" i="13"/>
  <c r="V46" i="13" s="1"/>
  <c r="W46" i="13" s="1"/>
  <c r="T58" i="13"/>
  <c r="V58" i="13" s="1"/>
  <c r="W58" i="13" s="1"/>
  <c r="U66" i="13"/>
  <c r="AD66" i="13" s="1"/>
  <c r="T77" i="13"/>
  <c r="V77" i="13" s="1"/>
  <c r="W77" i="13" s="1"/>
  <c r="T85" i="13"/>
  <c r="V85" i="13" s="1"/>
  <c r="W85" i="13" s="1"/>
  <c r="T94" i="13"/>
  <c r="V94" i="13" s="1"/>
  <c r="W94" i="13" s="1"/>
  <c r="T97" i="13"/>
  <c r="V97" i="13" s="1"/>
  <c r="W97" i="13" s="1"/>
  <c r="T124" i="13"/>
  <c r="V124" i="13" s="1"/>
  <c r="W124" i="13" s="1"/>
  <c r="AF124" i="13" s="1"/>
  <c r="T148" i="13"/>
  <c r="V148" i="13" s="1"/>
  <c r="W148" i="13" s="1"/>
  <c r="T165" i="13"/>
  <c r="V165" i="13" s="1"/>
  <c r="W165" i="13" s="1"/>
  <c r="AF165" i="13" s="1"/>
  <c r="T177" i="13"/>
  <c r="V177" i="13" s="1"/>
  <c r="W177" i="13" s="1"/>
  <c r="U182" i="13"/>
  <c r="U200" i="13"/>
  <c r="T36" i="13"/>
  <c r="V36" i="13" s="1"/>
  <c r="W36" i="13" s="1"/>
  <c r="T40" i="13"/>
  <c r="V40" i="13" s="1"/>
  <c r="W40" i="13" s="1"/>
  <c r="T54" i="13"/>
  <c r="V54" i="13" s="1"/>
  <c r="W54" i="13" s="1"/>
  <c r="T100" i="13"/>
  <c r="V100" i="13" s="1"/>
  <c r="W100" i="13" s="1"/>
  <c r="U111" i="13"/>
  <c r="T113" i="13"/>
  <c r="V113" i="13" s="1"/>
  <c r="W113" i="13" s="1"/>
  <c r="T120" i="13"/>
  <c r="V120" i="13" s="1"/>
  <c r="W120" i="13" s="1"/>
  <c r="T137" i="13"/>
  <c r="V137" i="13" s="1"/>
  <c r="W137" i="13" s="1"/>
  <c r="T144" i="13"/>
  <c r="V144" i="13" s="1"/>
  <c r="W144" i="13" s="1"/>
  <c r="T173" i="13"/>
  <c r="V173" i="13" s="1"/>
  <c r="W173" i="13" s="1"/>
  <c r="U198" i="13"/>
  <c r="AD198" i="13" s="1"/>
  <c r="T6" i="13"/>
  <c r="V6" i="13" s="1"/>
  <c r="W6" i="13" s="1"/>
  <c r="T60" i="13"/>
  <c r="V60" i="13" s="1"/>
  <c r="W60" i="13" s="1"/>
  <c r="T106" i="13"/>
  <c r="V106" i="13" s="1"/>
  <c r="W106" i="13" s="1"/>
  <c r="AF106" i="13" s="1"/>
  <c r="T154" i="13"/>
  <c r="V154" i="13" s="1"/>
  <c r="W154" i="13" s="1"/>
  <c r="AF154" i="13" s="1"/>
  <c r="T179" i="13"/>
  <c r="V179" i="13" s="1"/>
  <c r="W179" i="13" s="1"/>
  <c r="T195" i="13"/>
  <c r="V195" i="13" s="1"/>
  <c r="W195" i="13" s="1"/>
  <c r="AF195" i="13" s="1"/>
  <c r="T38" i="13"/>
  <c r="V38" i="13" s="1"/>
  <c r="W38" i="13" s="1"/>
  <c r="U65" i="13"/>
  <c r="T126" i="13"/>
  <c r="V126" i="13" s="1"/>
  <c r="W126" i="13" s="1"/>
  <c r="T183" i="13"/>
  <c r="V183" i="13" s="1"/>
  <c r="W183" i="13" s="1"/>
  <c r="T187" i="13"/>
  <c r="V187" i="13" s="1"/>
  <c r="W187" i="13" s="1"/>
  <c r="U191" i="13"/>
  <c r="AD191" i="13" s="1"/>
  <c r="U170" i="13"/>
  <c r="U37" i="13"/>
  <c r="U39" i="13"/>
  <c r="AD39" i="13" s="1"/>
  <c r="T174" i="13"/>
  <c r="V174" i="13" s="1"/>
  <c r="W174" i="13" s="1"/>
  <c r="U190" i="13"/>
  <c r="AD190" i="13" s="1"/>
  <c r="U194" i="13"/>
  <c r="AD194" i="13" s="1"/>
  <c r="AD41" i="13"/>
  <c r="AD7" i="13"/>
  <c r="AD171" i="13"/>
  <c r="AD187" i="13"/>
  <c r="AD54" i="13"/>
  <c r="AD61" i="13"/>
  <c r="AD70" i="13"/>
  <c r="AD100" i="13"/>
  <c r="AD38" i="13"/>
  <c r="AD50" i="13"/>
  <c r="AD91" i="13"/>
  <c r="AD108" i="13"/>
  <c r="AD94" i="13"/>
  <c r="AD138" i="13"/>
  <c r="AD73" i="13"/>
  <c r="AD101" i="13"/>
  <c r="AD106" i="13"/>
  <c r="AD10" i="13"/>
  <c r="AD19" i="13"/>
  <c r="AD25" i="13"/>
  <c r="AD67" i="13"/>
  <c r="AD55" i="13"/>
  <c r="AD62" i="13"/>
  <c r="AD126" i="13"/>
  <c r="AD144" i="13"/>
  <c r="AD15" i="13"/>
  <c r="AD174" i="13"/>
  <c r="AD179" i="13"/>
  <c r="AD60" i="13"/>
  <c r="AD85" i="13"/>
  <c r="AD16" i="13"/>
  <c r="AD21" i="13"/>
  <c r="AD27" i="13"/>
  <c r="AD36" i="13"/>
  <c r="AD47" i="13"/>
  <c r="AD79" i="13"/>
  <c r="AD114" i="13"/>
  <c r="AD120" i="13"/>
  <c r="BD140" i="13"/>
  <c r="AE136" i="13"/>
  <c r="AE95" i="13"/>
  <c r="AE143" i="13"/>
  <c r="AC143" i="13"/>
  <c r="AF143" i="13" s="1"/>
  <c r="AF172" i="13"/>
  <c r="AC113" i="13"/>
  <c r="AE119" i="13"/>
  <c r="AC119" i="13"/>
  <c r="AF119" i="13" s="1"/>
  <c r="AC155" i="13"/>
  <c r="AE118" i="13"/>
  <c r="AC130" i="13"/>
  <c r="AE142" i="13"/>
  <c r="AC148" i="13"/>
  <c r="AF52" i="13"/>
  <c r="AE107" i="13"/>
  <c r="AE112" i="13"/>
  <c r="AC107" i="13"/>
  <c r="AF107" i="13" s="1"/>
  <c r="AC118" i="13"/>
  <c r="AF118" i="13" s="1"/>
  <c r="AC142" i="13"/>
  <c r="AF142" i="13" s="1"/>
  <c r="AF112" i="13"/>
  <c r="AF178" i="13"/>
  <c r="AC24" i="13"/>
  <c r="AC6" i="13"/>
  <c r="AC12" i="13"/>
  <c r="AC30" i="13"/>
  <c r="AE34" i="13"/>
  <c r="W34" i="13"/>
  <c r="AF34" i="13" s="1"/>
  <c r="AD8" i="13"/>
  <c r="AD14" i="13"/>
  <c r="AD22" i="13"/>
  <c r="AD32" i="13"/>
  <c r="AC10" i="13"/>
  <c r="AC18" i="13"/>
  <c r="AC25" i="13"/>
  <c r="AD20" i="13"/>
  <c r="AD28" i="13"/>
  <c r="AC37" i="13"/>
  <c r="AF37" i="13" s="1"/>
  <c r="AE37" i="13"/>
  <c r="AC49" i="13"/>
  <c r="AC58" i="13"/>
  <c r="AC59" i="13"/>
  <c r="AE66" i="13"/>
  <c r="AC66" i="13"/>
  <c r="AF66" i="13" s="1"/>
  <c r="AC13" i="13"/>
  <c r="AC31" i="13"/>
  <c r="AC40" i="13"/>
  <c r="AC42" i="13"/>
  <c r="AC56" i="13"/>
  <c r="AD26" i="13"/>
  <c r="AC46" i="13"/>
  <c r="AC72" i="13"/>
  <c r="AC91" i="13"/>
  <c r="AE65" i="13"/>
  <c r="U74" i="13"/>
  <c r="AD74" i="13" s="1"/>
  <c r="T74" i="13"/>
  <c r="V74" i="13" s="1"/>
  <c r="W74" i="13" s="1"/>
  <c r="AD84" i="13"/>
  <c r="AC90" i="13"/>
  <c r="AA93" i="13"/>
  <c r="AD93" i="13" s="1"/>
  <c r="Z93" i="13"/>
  <c r="AB93" i="13" s="1"/>
  <c r="AC97" i="13"/>
  <c r="AE102" i="13"/>
  <c r="AC102" i="13"/>
  <c r="AF102" i="13" s="1"/>
  <c r="U110" i="13"/>
  <c r="AD110" i="13" s="1"/>
  <c r="T110" i="13"/>
  <c r="V110" i="13" s="1"/>
  <c r="W110" i="13" s="1"/>
  <c r="U116" i="13"/>
  <c r="AD116" i="13" s="1"/>
  <c r="T116" i="13"/>
  <c r="V116" i="13" s="1"/>
  <c r="W116" i="13" s="1"/>
  <c r="U122" i="13"/>
  <c r="AD122" i="13" s="1"/>
  <c r="T122" i="13"/>
  <c r="V122" i="13" s="1"/>
  <c r="W122" i="13" s="1"/>
  <c r="U128" i="13"/>
  <c r="AD128" i="13" s="1"/>
  <c r="T128" i="13"/>
  <c r="V128" i="13" s="1"/>
  <c r="W128" i="13" s="1"/>
  <c r="U134" i="13"/>
  <c r="AD134" i="13" s="1"/>
  <c r="T134" i="13"/>
  <c r="V134" i="13" s="1"/>
  <c r="W134" i="13" s="1"/>
  <c r="AF136" i="13"/>
  <c r="U140" i="13"/>
  <c r="AD140" i="13" s="1"/>
  <c r="T140" i="13"/>
  <c r="V140" i="13" s="1"/>
  <c r="W140" i="13" s="1"/>
  <c r="U146" i="13"/>
  <c r="AD146" i="13" s="1"/>
  <c r="T146" i="13"/>
  <c r="V146" i="13" s="1"/>
  <c r="W146" i="13" s="1"/>
  <c r="U152" i="13"/>
  <c r="AD152" i="13" s="1"/>
  <c r="T152" i="13"/>
  <c r="V152" i="13" s="1"/>
  <c r="W152" i="13" s="1"/>
  <c r="U158" i="13"/>
  <c r="AD158" i="13" s="1"/>
  <c r="T158" i="13"/>
  <c r="V158" i="13" s="1"/>
  <c r="W158" i="13" s="1"/>
  <c r="AF166" i="13"/>
  <c r="U169" i="13"/>
  <c r="AD169" i="13" s="1"/>
  <c r="T169" i="13"/>
  <c r="V169" i="13" s="1"/>
  <c r="W169" i="13" s="1"/>
  <c r="AC179" i="13"/>
  <c r="AC180" i="13"/>
  <c r="T7" i="13"/>
  <c r="V7" i="13" s="1"/>
  <c r="W7" i="13" s="1"/>
  <c r="Z8" i="13"/>
  <c r="AB8" i="13" s="1"/>
  <c r="T13" i="13"/>
  <c r="V13" i="13" s="1"/>
  <c r="W13" i="13" s="1"/>
  <c r="Z14" i="13"/>
  <c r="AB14" i="13" s="1"/>
  <c r="T19" i="13"/>
  <c r="V19" i="13" s="1"/>
  <c r="W19" i="13" s="1"/>
  <c r="Z20" i="13"/>
  <c r="AB20" i="13" s="1"/>
  <c r="T25" i="13"/>
  <c r="V25" i="13" s="1"/>
  <c r="W25" i="13" s="1"/>
  <c r="Z26" i="13"/>
  <c r="AB26" i="13" s="1"/>
  <c r="T31" i="13"/>
  <c r="V31" i="13" s="1"/>
  <c r="W31" i="13" s="1"/>
  <c r="Z32" i="13"/>
  <c r="AB32" i="13" s="1"/>
  <c r="AE35" i="13"/>
  <c r="Z39" i="13"/>
  <c r="AB39" i="13" s="1"/>
  <c r="AA40" i="13"/>
  <c r="AD40" i="13" s="1"/>
  <c r="T41" i="13"/>
  <c r="V41" i="13" s="1"/>
  <c r="W41" i="13" s="1"/>
  <c r="T42" i="13"/>
  <c r="V42" i="13" s="1"/>
  <c r="W42" i="13" s="1"/>
  <c r="AD48" i="13"/>
  <c r="T49" i="13"/>
  <c r="V49" i="13" s="1"/>
  <c r="W49" i="13" s="1"/>
  <c r="AE52" i="13"/>
  <c r="Z54" i="13"/>
  <c r="AB54" i="13" s="1"/>
  <c r="T56" i="13"/>
  <c r="V56" i="13" s="1"/>
  <c r="W56" i="13" s="1"/>
  <c r="Z61" i="13"/>
  <c r="AB61" i="13" s="1"/>
  <c r="U63" i="13"/>
  <c r="AD63" i="13" s="1"/>
  <c r="AC64" i="13"/>
  <c r="AC65" i="13"/>
  <c r="AF65" i="13" s="1"/>
  <c r="U68" i="13"/>
  <c r="AD68" i="13" s="1"/>
  <c r="T68" i="13"/>
  <c r="V68" i="13" s="1"/>
  <c r="AC77" i="13"/>
  <c r="Z79" i="13"/>
  <c r="AB79" i="13" s="1"/>
  <c r="Z86" i="13"/>
  <c r="AB86" i="13" s="1"/>
  <c r="T90" i="13"/>
  <c r="V90" i="13" s="1"/>
  <c r="W90" i="13" s="1"/>
  <c r="AC95" i="13"/>
  <c r="AF95" i="13" s="1"/>
  <c r="AD96" i="13"/>
  <c r="U104" i="13"/>
  <c r="AD104" i="13" s="1"/>
  <c r="T104" i="13"/>
  <c r="V104" i="13" s="1"/>
  <c r="T109" i="13"/>
  <c r="V109" i="13" s="1"/>
  <c r="W109" i="13" s="1"/>
  <c r="T115" i="13"/>
  <c r="V115" i="13" s="1"/>
  <c r="W115" i="13" s="1"/>
  <c r="T121" i="13"/>
  <c r="V121" i="13" s="1"/>
  <c r="W121" i="13" s="1"/>
  <c r="T127" i="13"/>
  <c r="V127" i="13" s="1"/>
  <c r="W127" i="13" s="1"/>
  <c r="T133" i="13"/>
  <c r="V133" i="13" s="1"/>
  <c r="W133" i="13" s="1"/>
  <c r="T139" i="13"/>
  <c r="V139" i="13" s="1"/>
  <c r="W139" i="13" s="1"/>
  <c r="T145" i="13"/>
  <c r="V145" i="13" s="1"/>
  <c r="W145" i="13" s="1"/>
  <c r="T151" i="13"/>
  <c r="V151" i="13" s="1"/>
  <c r="W151" i="13" s="1"/>
  <c r="T157" i="13"/>
  <c r="V157" i="13" s="1"/>
  <c r="W157" i="13" s="1"/>
  <c r="Z161" i="13"/>
  <c r="AB161" i="13" s="1"/>
  <c r="AA161" i="13"/>
  <c r="AD161" i="13" s="1"/>
  <c r="U166" i="13"/>
  <c r="AD166" i="13" s="1"/>
  <c r="AC173" i="13"/>
  <c r="AC189" i="13"/>
  <c r="T8" i="13"/>
  <c r="V8" i="13" s="1"/>
  <c r="W8" i="13" s="1"/>
  <c r="Z9" i="13"/>
  <c r="AB9" i="13" s="1"/>
  <c r="T14" i="13"/>
  <c r="V14" i="13" s="1"/>
  <c r="W14" i="13" s="1"/>
  <c r="Z15" i="13"/>
  <c r="AB15" i="13" s="1"/>
  <c r="T20" i="13"/>
  <c r="V20" i="13" s="1"/>
  <c r="W20" i="13" s="1"/>
  <c r="Z21" i="13"/>
  <c r="AB21" i="13" s="1"/>
  <c r="T26" i="13"/>
  <c r="V26" i="13" s="1"/>
  <c r="W26" i="13" s="1"/>
  <c r="Z27" i="13"/>
  <c r="AB27" i="13" s="1"/>
  <c r="T32" i="13"/>
  <c r="V32" i="13" s="1"/>
  <c r="W32" i="13" s="1"/>
  <c r="U33" i="13"/>
  <c r="AD33" i="13" s="1"/>
  <c r="AC35" i="13"/>
  <c r="AF35" i="13" s="1"/>
  <c r="Z38" i="13"/>
  <c r="AB38" i="13" s="1"/>
  <c r="Z45" i="13"/>
  <c r="AB45" i="13" s="1"/>
  <c r="AA46" i="13"/>
  <c r="AD46" i="13" s="1"/>
  <c r="T47" i="13"/>
  <c r="V47" i="13" s="1"/>
  <c r="W47" i="13" s="1"/>
  <c r="T48" i="13"/>
  <c r="V48" i="13" s="1"/>
  <c r="W48" i="13" s="1"/>
  <c r="T55" i="13"/>
  <c r="V55" i="13" s="1"/>
  <c r="W55" i="13" s="1"/>
  <c r="Z60" i="13"/>
  <c r="AB60" i="13" s="1"/>
  <c r="T62" i="13"/>
  <c r="V62" i="13" s="1"/>
  <c r="W62" i="13" s="1"/>
  <c r="Z67" i="13"/>
  <c r="AB67" i="13" s="1"/>
  <c r="AD72" i="13"/>
  <c r="Z73" i="13"/>
  <c r="AB73" i="13" s="1"/>
  <c r="Z80" i="13"/>
  <c r="AB80" i="13" s="1"/>
  <c r="T84" i="13"/>
  <c r="V84" i="13" s="1"/>
  <c r="W84" i="13" s="1"/>
  <c r="AA87" i="13"/>
  <c r="AD87" i="13" s="1"/>
  <c r="Z87" i="13"/>
  <c r="AB87" i="13" s="1"/>
  <c r="T103" i="13"/>
  <c r="V103" i="13" s="1"/>
  <c r="W103" i="13" s="1"/>
  <c r="AA105" i="13"/>
  <c r="AD105" i="13" s="1"/>
  <c r="Z105" i="13"/>
  <c r="AB105" i="13" s="1"/>
  <c r="Z110" i="13"/>
  <c r="AB110" i="13" s="1"/>
  <c r="AA111" i="13"/>
  <c r="Z111" i="13"/>
  <c r="AB111" i="13" s="1"/>
  <c r="AD113" i="13"/>
  <c r="Z116" i="13"/>
  <c r="AB116" i="13" s="1"/>
  <c r="AA117" i="13"/>
  <c r="Z117" i="13"/>
  <c r="AB117" i="13" s="1"/>
  <c r="Z122" i="13"/>
  <c r="AB122" i="13" s="1"/>
  <c r="AA123" i="13"/>
  <c r="Z123" i="13"/>
  <c r="AB123" i="13" s="1"/>
  <c r="AD125" i="13"/>
  <c r="Z128" i="13"/>
  <c r="AB128" i="13" s="1"/>
  <c r="AA129" i="13"/>
  <c r="Z129" i="13"/>
  <c r="AB129" i="13" s="1"/>
  <c r="AD131" i="13"/>
  <c r="Z134" i="13"/>
  <c r="AB134" i="13" s="1"/>
  <c r="AA135" i="13"/>
  <c r="Z135" i="13"/>
  <c r="AB135" i="13" s="1"/>
  <c r="AD137" i="13"/>
  <c r="Z140" i="13"/>
  <c r="AB140" i="13" s="1"/>
  <c r="AA141" i="13"/>
  <c r="Z141" i="13"/>
  <c r="AB141" i="13" s="1"/>
  <c r="Z146" i="13"/>
  <c r="AB146" i="13" s="1"/>
  <c r="AA147" i="13"/>
  <c r="Z147" i="13"/>
  <c r="AB147" i="13" s="1"/>
  <c r="AD149" i="13"/>
  <c r="Z152" i="13"/>
  <c r="AB152" i="13" s="1"/>
  <c r="AA153" i="13"/>
  <c r="AD153" i="13" s="1"/>
  <c r="Z153" i="13"/>
  <c r="AB153" i="13" s="1"/>
  <c r="AD155" i="13"/>
  <c r="Z158" i="13"/>
  <c r="AB158" i="13" s="1"/>
  <c r="AA159" i="13"/>
  <c r="Z159" i="13"/>
  <c r="AB159" i="13" s="1"/>
  <c r="AC171" i="13"/>
  <c r="AF171" i="13" s="1"/>
  <c r="AC177" i="13"/>
  <c r="Z201" i="13"/>
  <c r="AB201" i="13" s="1"/>
  <c r="AA201" i="13"/>
  <c r="BD148" i="13"/>
  <c r="AA81" i="13"/>
  <c r="AD81" i="13" s="1"/>
  <c r="Z81" i="13"/>
  <c r="AB81" i="13" s="1"/>
  <c r="U92" i="13"/>
  <c r="AD92" i="13" s="1"/>
  <c r="T92" i="13"/>
  <c r="V92" i="13" s="1"/>
  <c r="W92" i="13" s="1"/>
  <c r="U98" i="13"/>
  <c r="AD98" i="13" s="1"/>
  <c r="T98" i="13"/>
  <c r="V98" i="13" s="1"/>
  <c r="W98" i="13" s="1"/>
  <c r="AC115" i="13"/>
  <c r="AC121" i="13"/>
  <c r="AC133" i="13"/>
  <c r="AC139" i="13"/>
  <c r="AC145" i="13"/>
  <c r="AC157" i="13"/>
  <c r="AC160" i="13"/>
  <c r="U163" i="13"/>
  <c r="AD163" i="13" s="1"/>
  <c r="T163" i="13"/>
  <c r="V163" i="13" s="1"/>
  <c r="AC184" i="13"/>
  <c r="T188" i="13"/>
  <c r="V188" i="13" s="1"/>
  <c r="W188" i="13" s="1"/>
  <c r="U188" i="13"/>
  <c r="AD188" i="13" s="1"/>
  <c r="U193" i="13"/>
  <c r="T193" i="13"/>
  <c r="V193" i="13" s="1"/>
  <c r="W193" i="13" s="1"/>
  <c r="AF193" i="13" s="1"/>
  <c r="AA75" i="13"/>
  <c r="AD75" i="13" s="1"/>
  <c r="Z75" i="13"/>
  <c r="AB75" i="13" s="1"/>
  <c r="AD83" i="13"/>
  <c r="U86" i="13"/>
  <c r="AD86" i="13" s="1"/>
  <c r="T86" i="13"/>
  <c r="V86" i="13" s="1"/>
  <c r="W86" i="13" s="1"/>
  <c r="AA99" i="13"/>
  <c r="AD99" i="13" s="1"/>
  <c r="Z99" i="13"/>
  <c r="AB99" i="13" s="1"/>
  <c r="AD109" i="13"/>
  <c r="AD115" i="13"/>
  <c r="AD127" i="13"/>
  <c r="AD151" i="13"/>
  <c r="AC167" i="13"/>
  <c r="AF167" i="13" s="1"/>
  <c r="AE167" i="13"/>
  <c r="AA175" i="13"/>
  <c r="Z175" i="13"/>
  <c r="AB175" i="13" s="1"/>
  <c r="AC181" i="13"/>
  <c r="U192" i="13"/>
  <c r="AD192" i="13" s="1"/>
  <c r="T192" i="13"/>
  <c r="V192" i="13" s="1"/>
  <c r="AA200" i="13"/>
  <c r="Z200" i="13"/>
  <c r="AB200" i="13" s="1"/>
  <c r="BD144" i="13"/>
  <c r="T44" i="13"/>
  <c r="V44" i="13" s="1"/>
  <c r="U51" i="13"/>
  <c r="AD51" i="13" s="1"/>
  <c r="Z63" i="13"/>
  <c r="AB63" i="13" s="1"/>
  <c r="AA64" i="13"/>
  <c r="AD64" i="13" s="1"/>
  <c r="AA69" i="13"/>
  <c r="AD69" i="13" s="1"/>
  <c r="Z69" i="13"/>
  <c r="AB69" i="13" s="1"/>
  <c r="AD77" i="13"/>
  <c r="T79" i="13"/>
  <c r="V79" i="13" s="1"/>
  <c r="W79" i="13" s="1"/>
  <c r="U80" i="13"/>
  <c r="AD80" i="13" s="1"/>
  <c r="T80" i="13"/>
  <c r="V80" i="13" s="1"/>
  <c r="W80" i="13" s="1"/>
  <c r="AC89" i="13"/>
  <c r="Z98" i="13"/>
  <c r="AB98" i="13" s="1"/>
  <c r="AD102" i="13"/>
  <c r="AD103" i="13"/>
  <c r="AE132" i="13"/>
  <c r="AC132" i="13"/>
  <c r="AC144" i="13"/>
  <c r="AE150" i="13"/>
  <c r="AC150" i="13"/>
  <c r="AF150" i="13" s="1"/>
  <c r="AC156" i="13"/>
  <c r="T160" i="13"/>
  <c r="V160" i="13" s="1"/>
  <c r="W160" i="13" s="1"/>
  <c r="U160" i="13"/>
  <c r="AD160" i="13" s="1"/>
  <c r="AE166" i="13"/>
  <c r="AA167" i="13"/>
  <c r="Z183" i="13"/>
  <c r="AB183" i="13" s="1"/>
  <c r="AA183" i="13"/>
  <c r="AD183" i="13" s="1"/>
  <c r="AC186" i="13"/>
  <c r="AA197" i="13"/>
  <c r="AD197" i="13" s="1"/>
  <c r="Z197" i="13"/>
  <c r="AB197" i="13" s="1"/>
  <c r="T69" i="13"/>
  <c r="V69" i="13" s="1"/>
  <c r="W69" i="13" s="1"/>
  <c r="Z70" i="13"/>
  <c r="AB70" i="13" s="1"/>
  <c r="T75" i="13"/>
  <c r="V75" i="13" s="1"/>
  <c r="W75" i="13" s="1"/>
  <c r="Z76" i="13"/>
  <c r="AB76" i="13" s="1"/>
  <c r="T81" i="13"/>
  <c r="V81" i="13" s="1"/>
  <c r="W81" i="13" s="1"/>
  <c r="Z82" i="13"/>
  <c r="AB82" i="13" s="1"/>
  <c r="T87" i="13"/>
  <c r="V87" i="13" s="1"/>
  <c r="W87" i="13" s="1"/>
  <c r="Z88" i="13"/>
  <c r="AB88" i="13" s="1"/>
  <c r="T93" i="13"/>
  <c r="V93" i="13" s="1"/>
  <c r="W93" i="13" s="1"/>
  <c r="Z94" i="13"/>
  <c r="AB94" i="13" s="1"/>
  <c r="T99" i="13"/>
  <c r="V99" i="13" s="1"/>
  <c r="W99" i="13" s="1"/>
  <c r="Z100" i="13"/>
  <c r="AB100" i="13" s="1"/>
  <c r="T105" i="13"/>
  <c r="V105" i="13" s="1"/>
  <c r="W105" i="13" s="1"/>
  <c r="Z169" i="13"/>
  <c r="AB169" i="13" s="1"/>
  <c r="AA176" i="13"/>
  <c r="AD176" i="13" s="1"/>
  <c r="Z176" i="13"/>
  <c r="AB176" i="13" s="1"/>
  <c r="AA182" i="13"/>
  <c r="AD182" i="13" s="1"/>
  <c r="Z182" i="13"/>
  <c r="AB182" i="13" s="1"/>
  <c r="U184" i="13"/>
  <c r="AD184" i="13" s="1"/>
  <c r="T184" i="13"/>
  <c r="V184" i="13" s="1"/>
  <c r="W184" i="13" s="1"/>
  <c r="Z198" i="13"/>
  <c r="AB198" i="13" s="1"/>
  <c r="U202" i="13"/>
  <c r="AD202" i="13" s="1"/>
  <c r="T202" i="13"/>
  <c r="V202" i="13" s="1"/>
  <c r="W202" i="13" s="1"/>
  <c r="U203" i="13"/>
  <c r="T203" i="13"/>
  <c r="V203" i="13" s="1"/>
  <c r="AA170" i="13"/>
  <c r="Z170" i="13"/>
  <c r="AB170" i="13" s="1"/>
  <c r="AE178" i="13"/>
  <c r="U181" i="13"/>
  <c r="AD181" i="13" s="1"/>
  <c r="T181" i="13"/>
  <c r="V181" i="13" s="1"/>
  <c r="W181" i="13" s="1"/>
  <c r="U185" i="13"/>
  <c r="AD185" i="13" s="1"/>
  <c r="T185" i="13"/>
  <c r="V185" i="13" s="1"/>
  <c r="W185" i="13" s="1"/>
  <c r="AA164" i="13"/>
  <c r="Z164" i="13"/>
  <c r="AB164" i="13" s="1"/>
  <c r="AE172" i="13"/>
  <c r="U175" i="13"/>
  <c r="T175" i="13"/>
  <c r="V175" i="13" s="1"/>
  <c r="W175" i="13" s="1"/>
  <c r="U199" i="13"/>
  <c r="AD199" i="13" s="1"/>
  <c r="T199" i="13"/>
  <c r="V199" i="13" s="1"/>
  <c r="AA204" i="13"/>
  <c r="AD204" i="13" s="1"/>
  <c r="Z204" i="13"/>
  <c r="AB204" i="13" s="1"/>
  <c r="Z188" i="13"/>
  <c r="AB188" i="13" s="1"/>
  <c r="AA189" i="13"/>
  <c r="AD189" i="13" s="1"/>
  <c r="BD141" i="13"/>
  <c r="BD139" i="13"/>
  <c r="BD147" i="13"/>
  <c r="BE163" i="13"/>
  <c r="BD143" i="13"/>
  <c r="AS199" i="13"/>
  <c r="BD142" i="13"/>
  <c r="BD149" i="13"/>
  <c r="BO197" i="13"/>
  <c r="AW197" i="13"/>
  <c r="AI139" i="13"/>
  <c r="BS144" i="13"/>
  <c r="AT201" i="13"/>
  <c r="BO140" i="13"/>
  <c r="BL140" i="13"/>
  <c r="AX194" i="13"/>
  <c r="AM194" i="13"/>
  <c r="BR144" i="13"/>
  <c r="BS163" i="13"/>
  <c r="AQ195" i="13"/>
  <c r="BO144" i="13"/>
  <c r="AQ194" i="13"/>
  <c r="BV200" i="13"/>
  <c r="BQ200" i="13"/>
  <c r="BA197" i="13"/>
  <c r="BP202" i="13"/>
  <c r="BM202" i="13"/>
  <c r="AX199" i="13"/>
  <c r="BG142" i="13"/>
  <c r="AI140" i="13"/>
  <c r="AL163" i="13"/>
  <c r="AX165" i="13"/>
  <c r="AU165" i="13"/>
  <c r="AK202" i="13"/>
  <c r="AM202" i="13"/>
  <c r="AR163" i="13"/>
  <c r="BG201" i="13"/>
  <c r="BK201" i="13"/>
  <c r="AI195" i="13"/>
  <c r="AJ195" i="13"/>
  <c r="AN195" i="13"/>
  <c r="AS195" i="13"/>
  <c r="AN190" i="13"/>
  <c r="AZ190" i="13"/>
  <c r="BK144" i="13"/>
  <c r="BG144" i="13"/>
  <c r="BF140" i="13"/>
  <c r="BE140" i="13"/>
  <c r="AI200" i="13"/>
  <c r="AT200" i="13"/>
  <c r="AZ200" i="13"/>
  <c r="AQ200" i="13"/>
  <c r="AW200" i="13"/>
  <c r="AL200" i="13"/>
  <c r="AR200" i="13"/>
  <c r="BA200" i="13"/>
  <c r="AP196" i="13"/>
  <c r="AN196" i="13"/>
  <c r="AV196" i="13"/>
  <c r="BH200" i="13"/>
  <c r="BK200" i="13"/>
  <c r="BO200" i="13"/>
  <c r="BP200" i="13"/>
  <c r="BR200" i="13"/>
  <c r="BU200" i="13"/>
  <c r="BJ200" i="13"/>
  <c r="BE196" i="13"/>
  <c r="BR196" i="13"/>
  <c r="BU196" i="13"/>
  <c r="BJ196" i="13"/>
  <c r="BN196" i="13"/>
  <c r="BF196" i="13"/>
  <c r="BL196" i="13"/>
  <c r="BO196" i="13"/>
  <c r="BQ196" i="13"/>
  <c r="BV196" i="13"/>
  <c r="BT144" i="13"/>
  <c r="BQ144" i="13"/>
  <c r="BN144" i="13"/>
  <c r="BI144" i="13"/>
  <c r="BG140" i="13"/>
  <c r="BT200" i="13"/>
  <c r="BH196" i="13"/>
  <c r="AW196" i="13"/>
  <c r="BT140" i="13"/>
  <c r="BP144" i="13"/>
  <c r="BL144" i="13"/>
  <c r="BE144" i="13"/>
  <c r="AY200" i="13"/>
  <c r="BR163" i="13"/>
  <c r="AY161" i="13"/>
  <c r="AX190" i="13"/>
  <c r="BA195" i="13"/>
  <c r="AT195" i="13"/>
  <c r="AQ190" i="13"/>
  <c r="AL195" i="13"/>
  <c r="AY140" i="13"/>
  <c r="AM141" i="13"/>
  <c r="AK141" i="13"/>
  <c r="BE148" i="13"/>
  <c r="BM148" i="13"/>
  <c r="BE142" i="13"/>
  <c r="BV142" i="13"/>
  <c r="AY141" i="13"/>
  <c r="AP163" i="13"/>
  <c r="AX198" i="13"/>
  <c r="BS140" i="13"/>
  <c r="BP140" i="13"/>
  <c r="BM144" i="13"/>
  <c r="BJ144" i="13"/>
  <c r="BH140" i="13"/>
  <c r="BF144" i="13"/>
  <c r="AZ195" i="13"/>
  <c r="AV195" i="13"/>
  <c r="AZ198" i="13"/>
  <c r="AX197" i="13"/>
  <c r="AV200" i="13"/>
  <c r="AT196" i="13"/>
  <c r="AO200" i="13"/>
  <c r="AJ196" i="13"/>
  <c r="BR142" i="13"/>
  <c r="BP142" i="13"/>
  <c r="BL142" i="13"/>
  <c r="AS165" i="13"/>
  <c r="AN161" i="13"/>
  <c r="BD202" i="13"/>
  <c r="BS202" i="13"/>
  <c r="BL202" i="13"/>
  <c r="AY198" i="13"/>
  <c r="BI148" i="13"/>
  <c r="BT142" i="13"/>
  <c r="BS142" i="13"/>
  <c r="BJ142" i="13"/>
  <c r="AW141" i="13"/>
  <c r="AZ161" i="13"/>
  <c r="AS161" i="13"/>
  <c r="BT194" i="13"/>
  <c r="BK194" i="13"/>
  <c r="BF189" i="13"/>
  <c r="BG189" i="13"/>
  <c r="BE201" i="13"/>
  <c r="BO201" i="13"/>
  <c r="BI201" i="13"/>
  <c r="BM197" i="13"/>
  <c r="BE197" i="13"/>
  <c r="BK197" i="13"/>
  <c r="BE191" i="13"/>
  <c r="BG191" i="13"/>
  <c r="BP191" i="13"/>
  <c r="BH191" i="13"/>
  <c r="BS191" i="13"/>
  <c r="BK191" i="13"/>
  <c r="BU148" i="13"/>
  <c r="BQ142" i="13"/>
  <c r="BM142" i="13"/>
  <c r="BK142" i="13"/>
  <c r="BF142" i="13"/>
  <c r="AY188" i="13"/>
  <c r="AL188" i="13"/>
  <c r="AJ202" i="13"/>
  <c r="AN202" i="13"/>
  <c r="AP202" i="13"/>
  <c r="AT202" i="13"/>
  <c r="AX202" i="13"/>
  <c r="AY202" i="13"/>
  <c r="AZ202" i="13"/>
  <c r="BA202" i="13"/>
  <c r="AL202" i="13"/>
  <c r="AV202" i="13"/>
  <c r="AJ198" i="13"/>
  <c r="AI198" i="13"/>
  <c r="AL198" i="13"/>
  <c r="AR198" i="13"/>
  <c r="AV198" i="13"/>
  <c r="AT198" i="13"/>
  <c r="AK198" i="13"/>
  <c r="AS198" i="13"/>
  <c r="AI165" i="13"/>
  <c r="AJ165" i="13"/>
  <c r="AI193" i="13"/>
  <c r="AJ191" i="13"/>
  <c r="AI191" i="13"/>
  <c r="AU191" i="13"/>
  <c r="AO191" i="13"/>
  <c r="AY191" i="13"/>
  <c r="AP191" i="13"/>
  <c r="BA191" i="13"/>
  <c r="AT194" i="13"/>
  <c r="BA196" i="13"/>
  <c r="AZ196" i="13"/>
  <c r="AY196" i="13"/>
  <c r="AU199" i="13"/>
  <c r="AT199" i="13"/>
  <c r="AQ196" i="13"/>
  <c r="AO196" i="13"/>
  <c r="BH148" i="13"/>
  <c r="BG148" i="13"/>
  <c r="BO148" i="13"/>
  <c r="BK148" i="13"/>
  <c r="BS148" i="13"/>
  <c r="BV139" i="13"/>
  <c r="BE143" i="13"/>
  <c r="BT139" i="13"/>
  <c r="BS139" i="13"/>
  <c r="BF141" i="13"/>
  <c r="BR141" i="13"/>
  <c r="BE141" i="13"/>
  <c r="BJ141" i="13"/>
  <c r="BL141" i="13"/>
  <c r="BQ139" i="13"/>
  <c r="BN139" i="13"/>
  <c r="BK139" i="13"/>
  <c r="AL140" i="13"/>
  <c r="AM140" i="13"/>
  <c r="AN164" i="13"/>
  <c r="AU164" i="13"/>
  <c r="BG143" i="13"/>
  <c r="BI143" i="13"/>
  <c r="BE139" i="13"/>
  <c r="BL139" i="13"/>
  <c r="BI139" i="13"/>
  <c r="BS194" i="13"/>
  <c r="BL189" i="13"/>
  <c r="BA190" i="13"/>
  <c r="AY193" i="13"/>
  <c r="AW195" i="13"/>
  <c r="AO190" i="13"/>
  <c r="AM188" i="13"/>
  <c r="AK188" i="13"/>
  <c r="AI190" i="13"/>
  <c r="BU201" i="13"/>
  <c r="BI197" i="13"/>
  <c r="BG197" i="13"/>
  <c r="BA201" i="13"/>
  <c r="AZ199" i="13"/>
  <c r="AW199" i="13"/>
  <c r="AV201" i="13"/>
  <c r="AV197" i="13"/>
  <c r="AO199" i="13"/>
  <c r="AL201" i="13"/>
  <c r="AL197" i="13"/>
  <c r="AJ199" i="13"/>
  <c r="AQ199" i="13"/>
  <c r="AP199" i="13"/>
  <c r="BU142" i="13"/>
  <c r="BO142" i="13"/>
  <c r="BN142" i="13"/>
  <c r="BH142" i="13"/>
  <c r="BV163" i="13"/>
  <c r="BN163" i="13"/>
  <c r="AQ163" i="13"/>
  <c r="BP189" i="13"/>
  <c r="BH189" i="13"/>
  <c r="AX195" i="13"/>
  <c r="AV190" i="13"/>
  <c r="AR190" i="13"/>
  <c r="AP195" i="13"/>
  <c r="AM195" i="13"/>
  <c r="AL193" i="13"/>
  <c r="AJ190" i="13"/>
  <c r="BU197" i="13"/>
  <c r="BS201" i="13"/>
  <c r="BQ201" i="13"/>
  <c r="BA199" i="13"/>
  <c r="AZ201" i="13"/>
  <c r="AZ197" i="13"/>
  <c r="AY199" i="13"/>
  <c r="AX201" i="13"/>
  <c r="AW201" i="13"/>
  <c r="AV199" i="13"/>
  <c r="AU202" i="13"/>
  <c r="AS202" i="13"/>
  <c r="AR199" i="13"/>
  <c r="AQ198" i="13"/>
  <c r="AP198" i="13"/>
  <c r="AM199" i="13"/>
  <c r="AL199" i="13"/>
  <c r="AK199" i="13"/>
  <c r="AI199" i="13"/>
  <c r="AR144" i="13"/>
  <c r="AK144" i="13"/>
  <c r="AN144" i="13"/>
  <c r="AZ144" i="13"/>
  <c r="AV144" i="13"/>
  <c r="AM144" i="13"/>
  <c r="AW161" i="13"/>
  <c r="AU161" i="13"/>
  <c r="AM161" i="13"/>
  <c r="AV163" i="13"/>
  <c r="AS163" i="13"/>
  <c r="BA165" i="13"/>
  <c r="AY165" i="13"/>
  <c r="AQ188" i="13"/>
  <c r="AV170" i="13"/>
  <c r="AZ170" i="13"/>
  <c r="AQ140" i="13"/>
  <c r="BO202" i="13"/>
  <c r="AW202" i="13"/>
  <c r="AR202" i="13"/>
  <c r="AQ202" i="13"/>
  <c r="AO202" i="13"/>
  <c r="AI202" i="13"/>
  <c r="AY195" i="13"/>
  <c r="AU195" i="13"/>
  <c r="AR195" i="13"/>
  <c r="AK195" i="13"/>
  <c r="AS193" i="13"/>
  <c r="BA193" i="13"/>
  <c r="AX193" i="13"/>
  <c r="AT193" i="13"/>
  <c r="BT191" i="13"/>
  <c r="BL191" i="13"/>
  <c r="BD191" i="13"/>
  <c r="AX191" i="13"/>
  <c r="AS191" i="13"/>
  <c r="AM191" i="13"/>
  <c r="AW191" i="13"/>
  <c r="AQ191" i="13"/>
  <c r="AL191" i="13"/>
  <c r="BK189" i="13"/>
  <c r="BO189" i="13"/>
  <c r="AZ173" i="13"/>
  <c r="BV148" i="13"/>
  <c r="BR148" i="13"/>
  <c r="BN148" i="13"/>
  <c r="BJ148" i="13"/>
  <c r="BF148" i="13"/>
  <c r="BT148" i="13"/>
  <c r="BP148" i="13"/>
  <c r="BL148" i="13"/>
  <c r="BV146" i="13"/>
  <c r="BR146" i="13"/>
  <c r="BQ146" i="13"/>
  <c r="BP146" i="13"/>
  <c r="BO146" i="13"/>
  <c r="BN146" i="13"/>
  <c r="BL146" i="13"/>
  <c r="BD146" i="13"/>
  <c r="BU146" i="13"/>
  <c r="BS146" i="13"/>
  <c r="BH146" i="13"/>
  <c r="BG146" i="13"/>
  <c r="BF146" i="13"/>
  <c r="BE146" i="13"/>
  <c r="BT146" i="13"/>
  <c r="BM146" i="13"/>
  <c r="BK146" i="13"/>
  <c r="BJ146" i="13"/>
  <c r="AP144" i="13"/>
  <c r="AJ144" i="13"/>
  <c r="BV144" i="13"/>
  <c r="BU144" i="13"/>
  <c r="AX144" i="13"/>
  <c r="AT144" i="13"/>
  <c r="AO144" i="13"/>
  <c r="AL144" i="13"/>
  <c r="AI144" i="13"/>
  <c r="BU143" i="13"/>
  <c r="BT143" i="13"/>
  <c r="BR143" i="13"/>
  <c r="BJ143" i="13"/>
  <c r="BP143" i="13"/>
  <c r="BK143" i="13"/>
  <c r="BH143" i="13"/>
  <c r="BV143" i="13"/>
  <c r="BS143" i="13"/>
  <c r="BO143" i="13"/>
  <c r="BF143" i="13"/>
  <c r="BQ143" i="13"/>
  <c r="BM143" i="13"/>
  <c r="BL143" i="13"/>
  <c r="BU141" i="13"/>
  <c r="BS141" i="13"/>
  <c r="BQ141" i="13"/>
  <c r="BO141" i="13"/>
  <c r="BM141" i="13"/>
  <c r="BK141" i="13"/>
  <c r="BI141" i="13"/>
  <c r="BG141" i="13"/>
  <c r="BA141" i="13"/>
  <c r="AR141" i="13"/>
  <c r="AP141" i="13"/>
  <c r="AN141" i="13"/>
  <c r="AV141" i="13"/>
  <c r="AT141" i="13"/>
  <c r="AQ141" i="13"/>
  <c r="AL141" i="13"/>
  <c r="AJ141" i="13"/>
  <c r="BV141" i="13"/>
  <c r="BP141" i="13"/>
  <c r="BN141" i="13"/>
  <c r="BH141" i="13"/>
  <c r="AZ141" i="13"/>
  <c r="AX141" i="13"/>
  <c r="AU141" i="13"/>
  <c r="AS141" i="13"/>
  <c r="AO141" i="13"/>
  <c r="BP139" i="13"/>
  <c r="BH139" i="13"/>
  <c r="AT139" i="13"/>
  <c r="AR139" i="13"/>
  <c r="AZ139" i="13"/>
  <c r="BU139" i="13"/>
  <c r="BR139" i="13"/>
  <c r="BO139" i="13"/>
  <c r="BM139" i="13"/>
  <c r="BJ139" i="13"/>
  <c r="BG139" i="13"/>
  <c r="AX139" i="13"/>
  <c r="BU140" i="13"/>
  <c r="BQ140" i="13"/>
  <c r="BM140" i="13"/>
  <c r="BI140" i="13"/>
  <c r="AZ140" i="13"/>
  <c r="AV140" i="13"/>
  <c r="AR140" i="13"/>
  <c r="AN140" i="13"/>
  <c r="AJ140" i="13"/>
  <c r="BV140" i="13"/>
  <c r="BR140" i="13"/>
  <c r="BN140" i="13"/>
  <c r="BJ140" i="13"/>
  <c r="BA140" i="13"/>
  <c r="AW140" i="13"/>
  <c r="AS140" i="13"/>
  <c r="AO140" i="13"/>
  <c r="AK140" i="13"/>
  <c r="AX140" i="13"/>
  <c r="AT140" i="13"/>
  <c r="AP140" i="13"/>
  <c r="BD145" i="13"/>
  <c r="BV145" i="13"/>
  <c r="BU145" i="13"/>
  <c r="BT145" i="13"/>
  <c r="BS145" i="13"/>
  <c r="BR145" i="13"/>
  <c r="BQ145" i="13"/>
  <c r="BP145" i="13"/>
  <c r="BO145" i="13"/>
  <c r="BN145" i="13"/>
  <c r="BM145" i="13"/>
  <c r="BL145" i="13"/>
  <c r="BK145" i="13"/>
  <c r="BJ145" i="13"/>
  <c r="BI145" i="13"/>
  <c r="BH145" i="13"/>
  <c r="BG145" i="13"/>
  <c r="BF145" i="13"/>
  <c r="AZ145" i="13"/>
  <c r="AX145" i="13"/>
  <c r="AV145" i="13"/>
  <c r="AT145" i="13"/>
  <c r="AR145" i="13"/>
  <c r="AP145" i="13"/>
  <c r="AO145" i="13"/>
  <c r="AN145" i="13"/>
  <c r="AM145" i="13"/>
  <c r="AL145" i="13"/>
  <c r="AK145" i="13"/>
  <c r="AJ145" i="13"/>
  <c r="AI145" i="13"/>
  <c r="BA145" i="13"/>
  <c r="AY145" i="13"/>
  <c r="AW145" i="13"/>
  <c r="AU145" i="13"/>
  <c r="AS145" i="13"/>
  <c r="BK172" i="13"/>
  <c r="AJ172" i="13"/>
  <c r="AK169" i="13"/>
  <c r="BA198" i="13"/>
  <c r="AW198" i="13"/>
  <c r="AU198" i="13"/>
  <c r="AN198" i="13"/>
  <c r="AM198" i="13"/>
  <c r="AT197" i="13"/>
  <c r="BT196" i="13"/>
  <c r="BS196" i="13"/>
  <c r="BP196" i="13"/>
  <c r="BG196" i="13"/>
  <c r="BD196" i="13"/>
  <c r="AL196" i="13"/>
  <c r="BH194" i="13"/>
  <c r="AR194" i="13"/>
  <c r="AY194" i="13"/>
  <c r="BP192" i="13"/>
  <c r="BL192" i="13"/>
  <c r="BK192" i="13"/>
  <c r="BD192" i="13"/>
  <c r="BT192" i="13"/>
  <c r="AW190" i="13"/>
  <c r="AU190" i="13"/>
  <c r="AS190" i="13"/>
  <c r="AM190" i="13"/>
  <c r="AL190" i="13"/>
  <c r="AK190" i="13"/>
  <c r="AT190" i="13"/>
  <c r="AP190" i="13"/>
  <c r="BA188" i="13"/>
  <c r="AX188" i="13"/>
  <c r="AU188" i="13"/>
  <c r="AO188" i="13"/>
  <c r="AP188" i="13"/>
  <c r="BO163" i="13"/>
  <c r="AX163" i="13"/>
  <c r="BA161" i="13"/>
  <c r="AN160" i="13"/>
  <c r="AX153" i="13"/>
  <c r="BG198" i="13"/>
  <c r="BO198" i="13"/>
  <c r="BT198" i="13"/>
  <c r="BV147" i="13"/>
  <c r="BU147" i="13"/>
  <c r="BT147" i="13"/>
  <c r="BS147" i="13"/>
  <c r="BR147" i="13"/>
  <c r="BQ147" i="13"/>
  <c r="BP147" i="13"/>
  <c r="BO147" i="13"/>
  <c r="BN147" i="13"/>
  <c r="BM147" i="13"/>
  <c r="BL147" i="13"/>
  <c r="BK147" i="13"/>
  <c r="BJ147" i="13"/>
  <c r="BI147" i="13"/>
  <c r="BH147" i="13"/>
  <c r="BG147" i="13"/>
  <c r="BF147" i="13"/>
  <c r="BN169" i="13"/>
  <c r="BG169" i="13"/>
  <c r="BT166" i="13"/>
  <c r="BG165" i="13"/>
  <c r="BI165" i="13"/>
  <c r="BK161" i="13"/>
  <c r="BM161" i="13"/>
  <c r="BR161" i="13"/>
  <c r="BU161" i="13"/>
  <c r="BE194" i="13"/>
  <c r="BF194" i="13"/>
  <c r="BO194" i="13"/>
  <c r="BP194" i="13"/>
  <c r="BE189" i="13"/>
  <c r="BD189" i="13"/>
  <c r="BJ189" i="13"/>
  <c r="BN189" i="13"/>
  <c r="AI194" i="13"/>
  <c r="AN194" i="13"/>
  <c r="AV194" i="13"/>
  <c r="AP189" i="13"/>
  <c r="AT189" i="13"/>
  <c r="BT202" i="13"/>
  <c r="BN202" i="13"/>
  <c r="BL198" i="13"/>
  <c r="BJ202" i="13"/>
  <c r="BI202" i="13"/>
  <c r="BH202" i="13"/>
  <c r="BG202" i="13"/>
  <c r="BE202" i="13"/>
  <c r="BK190" i="13"/>
  <c r="BS190" i="13"/>
  <c r="BQ202" i="13"/>
  <c r="BR202" i="13"/>
  <c r="BU202" i="13"/>
  <c r="BV202" i="13"/>
  <c r="BV150" i="13"/>
  <c r="BU150" i="13"/>
  <c r="BT150" i="13"/>
  <c r="BS150" i="13"/>
  <c r="BR150" i="13"/>
  <c r="BQ150" i="13"/>
  <c r="BP150" i="13"/>
  <c r="BO150" i="13"/>
  <c r="BN150" i="13"/>
  <c r="BM150" i="13"/>
  <c r="BL150" i="13"/>
  <c r="BK150" i="13"/>
  <c r="BJ150" i="13"/>
  <c r="BI150" i="13"/>
  <c r="BH150" i="13"/>
  <c r="BG150" i="13"/>
  <c r="BF150" i="13"/>
  <c r="BE150" i="13"/>
  <c r="BQ170" i="13"/>
  <c r="AN170" i="13"/>
  <c r="AR170" i="13"/>
  <c r="BT165" i="13"/>
  <c r="BQ165" i="13"/>
  <c r="BE164" i="13"/>
  <c r="BQ164" i="13"/>
  <c r="BE160" i="13"/>
  <c r="BO160" i="13"/>
  <c r="AQ166" i="13"/>
  <c r="BV194" i="13"/>
  <c r="BT189" i="13"/>
  <c r="BR194" i="13"/>
  <c r="BL194" i="13"/>
  <c r="BJ194" i="13"/>
  <c r="BG194" i="13"/>
  <c r="BD194" i="13"/>
  <c r="AZ189" i="13"/>
  <c r="AV189" i="13"/>
  <c r="AP194" i="13"/>
  <c r="AM193" i="13"/>
  <c r="AQ193" i="13"/>
  <c r="AU193" i="13"/>
  <c r="AW193" i="13"/>
  <c r="BV198" i="13"/>
  <c r="BU198" i="13"/>
  <c r="BS198" i="13"/>
  <c r="BR198" i="13"/>
  <c r="BQ198" i="13"/>
  <c r="BP198" i="13"/>
  <c r="BN198" i="13"/>
  <c r="BM198" i="13"/>
  <c r="BK198" i="13"/>
  <c r="BF202" i="13"/>
  <c r="BD198" i="13"/>
  <c r="BE200" i="13"/>
  <c r="BD200" i="13"/>
  <c r="BF200" i="13"/>
  <c r="BL200" i="13"/>
  <c r="BN200" i="13"/>
  <c r="BS200" i="13"/>
  <c r="AJ151" i="13"/>
  <c r="AU151" i="13"/>
  <c r="BG195" i="13"/>
  <c r="BK195" i="13"/>
  <c r="BV149" i="13"/>
  <c r="BU149" i="13"/>
  <c r="BT149" i="13"/>
  <c r="BS149" i="13"/>
  <c r="BR149" i="13"/>
  <c r="BQ149" i="13"/>
  <c r="BP149" i="13"/>
  <c r="BO149" i="13"/>
  <c r="BN149" i="13"/>
  <c r="BM149" i="13"/>
  <c r="BL149" i="13"/>
  <c r="BK149" i="13"/>
  <c r="BJ149" i="13"/>
  <c r="BI149" i="13"/>
  <c r="BH149" i="13"/>
  <c r="BG149" i="13"/>
  <c r="BF149" i="13"/>
  <c r="AK170" i="13"/>
  <c r="BS165" i="13"/>
  <c r="AU160" i="13"/>
  <c r="AR164" i="13"/>
  <c r="AI163" i="13"/>
  <c r="AO163" i="13"/>
  <c r="AT163" i="13"/>
  <c r="AW163" i="13"/>
  <c r="AY163" i="13"/>
  <c r="AZ163" i="13"/>
  <c r="BA163" i="13"/>
  <c r="BV189" i="13"/>
  <c r="BS195" i="13"/>
  <c r="BR189" i="13"/>
  <c r="BO190" i="13"/>
  <c r="BG190" i="13"/>
  <c r="AX189" i="13"/>
  <c r="AW188" i="13"/>
  <c r="AT188" i="13"/>
  <c r="AS188" i="13"/>
  <c r="AR189" i="13"/>
  <c r="AQ189" i="13"/>
  <c r="AP193" i="13"/>
  <c r="AO193" i="13"/>
  <c r="AM189" i="13"/>
  <c r="AJ189" i="13"/>
  <c r="AI188" i="13"/>
  <c r="AJ192" i="13"/>
  <c r="AO192" i="13"/>
  <c r="BK202" i="13"/>
  <c r="BJ198" i="13"/>
  <c r="BI198" i="13"/>
  <c r="BH198" i="13"/>
  <c r="BG200" i="13"/>
  <c r="BF198" i="13"/>
  <c r="BE198" i="13"/>
  <c r="AU196" i="13"/>
  <c r="AS196" i="13"/>
  <c r="AP201" i="13"/>
  <c r="AP197" i="13"/>
  <c r="AN200" i="13"/>
  <c r="AM196" i="13"/>
  <c r="AK196" i="13"/>
  <c r="AI196" i="13"/>
  <c r="BV191" i="13"/>
  <c r="BR191" i="13"/>
  <c r="BN191" i="13"/>
  <c r="BJ191" i="13"/>
  <c r="BF191" i="13"/>
  <c r="AK191" i="13"/>
  <c r="AY201" i="13"/>
  <c r="AY197" i="13"/>
  <c r="AX200" i="13"/>
  <c r="AX196" i="13"/>
  <c r="AU200" i="13"/>
  <c r="AS200" i="13"/>
  <c r="AR196" i="13"/>
  <c r="AP200" i="13"/>
  <c r="AM200" i="13"/>
  <c r="AK200" i="13"/>
  <c r="AJ200" i="13"/>
  <c r="BU191" i="13"/>
  <c r="BQ191" i="13"/>
  <c r="BM191" i="13"/>
  <c r="BI191" i="13"/>
  <c r="AZ191" i="13"/>
  <c r="AV191" i="13"/>
  <c r="AR191" i="13"/>
  <c r="AN191" i="13"/>
  <c r="AI148" i="13"/>
  <c r="AQ148" i="13"/>
  <c r="AI143" i="13"/>
  <c r="AJ143" i="13"/>
  <c r="AK143" i="13"/>
  <c r="AL143" i="13"/>
  <c r="AM143" i="13"/>
  <c r="AN143" i="13"/>
  <c r="AO143" i="13"/>
  <c r="AN162" i="13"/>
  <c r="AP162" i="13"/>
  <c r="AS162" i="13"/>
  <c r="AU162" i="13"/>
  <c r="AJ162" i="13"/>
  <c r="AQ162" i="13"/>
  <c r="AR162" i="13"/>
  <c r="AL162" i="13"/>
  <c r="AV162" i="13"/>
  <c r="AU148" i="13"/>
  <c r="AZ143" i="13"/>
  <c r="AX143" i="13"/>
  <c r="AV143" i="13"/>
  <c r="AT143" i="13"/>
  <c r="AR143" i="13"/>
  <c r="AP143" i="13"/>
  <c r="BE152" i="13"/>
  <c r="BS152" i="13"/>
  <c r="BD171" i="13"/>
  <c r="BS171" i="13"/>
  <c r="BI171" i="13"/>
  <c r="AJ171" i="13"/>
  <c r="AX171" i="13"/>
  <c r="AZ171" i="13"/>
  <c r="AI167" i="13"/>
  <c r="AS167" i="13"/>
  <c r="AO167" i="13"/>
  <c r="AU167" i="13"/>
  <c r="AQ167" i="13"/>
  <c r="AW148" i="13"/>
  <c r="AJ139" i="13"/>
  <c r="AK139" i="13"/>
  <c r="AL139" i="13"/>
  <c r="AM139" i="13"/>
  <c r="AN139" i="13"/>
  <c r="AO139" i="13"/>
  <c r="AP139" i="13"/>
  <c r="AU166" i="13"/>
  <c r="AI166" i="13"/>
  <c r="AK166" i="13"/>
  <c r="AL166" i="13"/>
  <c r="AR166" i="13"/>
  <c r="AN166" i="13"/>
  <c r="AO166" i="13"/>
  <c r="AT166" i="13"/>
  <c r="AI192" i="13"/>
  <c r="AM192" i="13"/>
  <c r="AQ192" i="13"/>
  <c r="AU192" i="13"/>
  <c r="AY192" i="13"/>
  <c r="AK192" i="13"/>
  <c r="AT192" i="13"/>
  <c r="AV192" i="13"/>
  <c r="BA192" i="13"/>
  <c r="AP192" i="13"/>
  <c r="AR192" i="13"/>
  <c r="AW192" i="13"/>
  <c r="AL192" i="13"/>
  <c r="AN192" i="13"/>
  <c r="AS192" i="13"/>
  <c r="BD199" i="13"/>
  <c r="BH199" i="13"/>
  <c r="BL199" i="13"/>
  <c r="BP199" i="13"/>
  <c r="BT199" i="13"/>
  <c r="BF199" i="13"/>
  <c r="BJ199" i="13"/>
  <c r="BN199" i="13"/>
  <c r="BR199" i="13"/>
  <c r="BV199" i="13"/>
  <c r="BU199" i="13"/>
  <c r="BE199" i="13"/>
  <c r="BI199" i="13"/>
  <c r="BM199" i="13"/>
  <c r="BS199" i="13"/>
  <c r="BQ199" i="13"/>
  <c r="BA144" i="13"/>
  <c r="BA139" i="13"/>
  <c r="AY144" i="13"/>
  <c r="AY139" i="13"/>
  <c r="AW144" i="13"/>
  <c r="AW139" i="13"/>
  <c r="AU144" i="13"/>
  <c r="AU139" i="13"/>
  <c r="AS144" i="13"/>
  <c r="AS139" i="13"/>
  <c r="AQ139" i="13"/>
  <c r="BE166" i="13"/>
  <c r="BI166" i="13"/>
  <c r="BS166" i="13"/>
  <c r="BD166" i="13"/>
  <c r="BG166" i="13"/>
  <c r="BL166" i="13"/>
  <c r="BO166" i="13"/>
  <c r="BK166" i="13"/>
  <c r="BF162" i="13"/>
  <c r="BL162" i="13"/>
  <c r="BK162" i="13"/>
  <c r="BO162" i="13"/>
  <c r="BS162" i="13"/>
  <c r="BT162" i="13"/>
  <c r="BE162" i="13"/>
  <c r="BH162" i="13"/>
  <c r="BI162" i="13"/>
  <c r="BJ162" i="13"/>
  <c r="BP162" i="13"/>
  <c r="AM166" i="13"/>
  <c r="BD193" i="13"/>
  <c r="BI193" i="13"/>
  <c r="BG193" i="13"/>
  <c r="BE193" i="13"/>
  <c r="BM193" i="13"/>
  <c r="BO193" i="13"/>
  <c r="BQ193" i="13"/>
  <c r="BS193" i="13"/>
  <c r="BU193" i="13"/>
  <c r="BD188" i="13"/>
  <c r="BE188" i="13"/>
  <c r="BI188" i="13"/>
  <c r="BM188" i="13"/>
  <c r="BQ188" i="13"/>
  <c r="BU188" i="13"/>
  <c r="BG188" i="13"/>
  <c r="BO188" i="13"/>
  <c r="BS188" i="13"/>
  <c r="BK199" i="13"/>
  <c r="BA143" i="13"/>
  <c r="AY143" i="13"/>
  <c r="AW143" i="13"/>
  <c r="AU143" i="13"/>
  <c r="AS143" i="13"/>
  <c r="AQ143" i="13"/>
  <c r="BD173" i="13"/>
  <c r="BG173" i="13"/>
  <c r="BO173" i="13"/>
  <c r="AW167" i="13"/>
  <c r="AX192" i="13"/>
  <c r="BO199" i="13"/>
  <c r="BU164" i="13"/>
  <c r="BM160" i="13"/>
  <c r="BF192" i="13"/>
  <c r="BJ192" i="13"/>
  <c r="AW165" i="13"/>
  <c r="AO165" i="13"/>
  <c r="AN165" i="13"/>
  <c r="AL161" i="13"/>
  <c r="BU192" i="13"/>
  <c r="BS192" i="13"/>
  <c r="BQ192" i="13"/>
  <c r="BO192" i="13"/>
  <c r="BM192" i="13"/>
  <c r="BH192" i="13"/>
  <c r="BE192" i="13"/>
  <c r="AK194" i="13"/>
  <c r="AO194" i="13"/>
  <c r="AS194" i="13"/>
  <c r="AW194" i="13"/>
  <c r="BA194" i="13"/>
  <c r="AK189" i="13"/>
  <c r="AO189" i="13"/>
  <c r="AS189" i="13"/>
  <c r="AW189" i="13"/>
  <c r="BA189" i="13"/>
  <c r="BF201" i="13"/>
  <c r="BJ201" i="13"/>
  <c r="BN201" i="13"/>
  <c r="BR201" i="13"/>
  <c r="BV201" i="13"/>
  <c r="BD201" i="13"/>
  <c r="BH201" i="13"/>
  <c r="BL201" i="13"/>
  <c r="BP201" i="13"/>
  <c r="BT201" i="13"/>
  <c r="BF197" i="13"/>
  <c r="BJ197" i="13"/>
  <c r="BN197" i="13"/>
  <c r="BR197" i="13"/>
  <c r="BV197" i="13"/>
  <c r="BD197" i="13"/>
  <c r="BH197" i="13"/>
  <c r="BL197" i="13"/>
  <c r="BP197" i="13"/>
  <c r="BT197" i="13"/>
  <c r="BA146" i="13"/>
  <c r="BA142" i="13"/>
  <c r="AZ146" i="13"/>
  <c r="AZ142" i="13"/>
  <c r="AY146" i="13"/>
  <c r="AY142" i="13"/>
  <c r="AX146" i="13"/>
  <c r="AX142" i="13"/>
  <c r="AW146" i="13"/>
  <c r="AW142" i="13"/>
  <c r="AV146" i="13"/>
  <c r="AV142" i="13"/>
  <c r="AU146" i="13"/>
  <c r="AU142" i="13"/>
  <c r="AT146" i="13"/>
  <c r="AT142" i="13"/>
  <c r="AS146" i="13"/>
  <c r="AS142" i="13"/>
  <c r="AR146" i="13"/>
  <c r="AR142" i="13"/>
  <c r="AQ146" i="13"/>
  <c r="AQ142" i="13"/>
  <c r="AP146" i="13"/>
  <c r="AP142" i="13"/>
  <c r="AO146" i="13"/>
  <c r="AO142" i="13"/>
  <c r="AN146" i="13"/>
  <c r="AN142" i="13"/>
  <c r="AM146" i="13"/>
  <c r="AM142" i="13"/>
  <c r="AL146" i="13"/>
  <c r="AL142" i="13"/>
  <c r="AK146" i="13"/>
  <c r="AK142" i="13"/>
  <c r="AJ146" i="13"/>
  <c r="AJ142" i="13"/>
  <c r="AM172" i="13"/>
  <c r="BS170" i="13"/>
  <c r="BE170" i="13"/>
  <c r="BU160" i="13"/>
  <c r="BQ160" i="13"/>
  <c r="BO165" i="13"/>
  <c r="BO161" i="13"/>
  <c r="BM164" i="13"/>
  <c r="AZ165" i="13"/>
  <c r="AX161" i="13"/>
  <c r="AV164" i="13"/>
  <c r="AR165" i="13"/>
  <c r="AR161" i="13"/>
  <c r="AQ161" i="13"/>
  <c r="AL165" i="13"/>
  <c r="AK161" i="13"/>
  <c r="AJ161" i="13"/>
  <c r="AI161" i="13"/>
  <c r="BV192" i="13"/>
  <c r="BR192" i="13"/>
  <c r="BN192" i="13"/>
  <c r="BG192" i="13"/>
  <c r="AZ194" i="13"/>
  <c r="AY189" i="13"/>
  <c r="AU194" i="13"/>
  <c r="AN189" i="13"/>
  <c r="AL194" i="13"/>
  <c r="AL189" i="13"/>
  <c r="AJ194" i="13"/>
  <c r="AI189" i="13"/>
  <c r="AJ193" i="13"/>
  <c r="AN193" i="13"/>
  <c r="AR193" i="13"/>
  <c r="AV193" i="13"/>
  <c r="AZ193" i="13"/>
  <c r="AJ188" i="13"/>
  <c r="AN188" i="13"/>
  <c r="AR188" i="13"/>
  <c r="AV188" i="13"/>
  <c r="AZ188" i="13"/>
  <c r="BQ197" i="13"/>
  <c r="AU201" i="13"/>
  <c r="AU197" i="13"/>
  <c r="AQ201" i="13"/>
  <c r="AQ197" i="13"/>
  <c r="AM201" i="13"/>
  <c r="AM197" i="13"/>
  <c r="AI201" i="13"/>
  <c r="AI197" i="13"/>
  <c r="AR201" i="13"/>
  <c r="AR197" i="13"/>
  <c r="AN201" i="13"/>
  <c r="AN197" i="13"/>
  <c r="AJ201" i="13"/>
  <c r="AJ197" i="13"/>
  <c r="BM200" i="13"/>
  <c r="BM196" i="13"/>
  <c r="BI200" i="13"/>
  <c r="BI196" i="13"/>
  <c r="AS201" i="13"/>
  <c r="AS197" i="13"/>
  <c r="AO201" i="13"/>
  <c r="AO197" i="13"/>
  <c r="AI147" i="13"/>
  <c r="BS172" i="13"/>
  <c r="BE165" i="13"/>
  <c r="BJ165" i="13"/>
  <c r="BM165" i="13"/>
  <c r="BP165" i="13"/>
  <c r="BR165" i="13"/>
  <c r="BU165" i="13"/>
  <c r="BD165" i="13"/>
  <c r="BE161" i="13"/>
  <c r="BN161" i="13"/>
  <c r="BQ161" i="13"/>
  <c r="BT161" i="13"/>
  <c r="BV161" i="13"/>
  <c r="AI164" i="13"/>
  <c r="AW164" i="13"/>
  <c r="AY164" i="13"/>
  <c r="BA164" i="13"/>
  <c r="AT164" i="13"/>
  <c r="AX164" i="13"/>
  <c r="AZ164" i="13"/>
  <c r="AI160" i="13"/>
  <c r="AP160" i="13"/>
  <c r="AV160" i="13"/>
  <c r="AW160" i="13"/>
  <c r="AY160" i="13"/>
  <c r="BA160" i="13"/>
  <c r="AX160" i="13"/>
  <c r="AZ160" i="13"/>
  <c r="BD168" i="13"/>
  <c r="BK168" i="13"/>
  <c r="BA148" i="13"/>
  <c r="AP148" i="13"/>
  <c r="AY156" i="13"/>
  <c r="BT151" i="13"/>
  <c r="BG152" i="13"/>
  <c r="BQ172" i="13"/>
  <c r="BE172" i="13"/>
  <c r="AX173" i="13"/>
  <c r="BS168" i="13"/>
  <c r="BG168" i="13"/>
  <c r="AI170" i="13"/>
  <c r="AP170" i="13"/>
  <c r="AT170" i="13"/>
  <c r="AX170" i="13"/>
  <c r="BP161" i="13"/>
  <c r="BN165" i="13"/>
  <c r="BI161" i="13"/>
  <c r="AJ160" i="13"/>
  <c r="AT168" i="13"/>
  <c r="BA168" i="13"/>
  <c r="AK150" i="13"/>
  <c r="BU172" i="13"/>
  <c r="BU171" i="13"/>
  <c r="BS167" i="13"/>
  <c r="BN167" i="13"/>
  <c r="BF167" i="13"/>
  <c r="BK169" i="13"/>
  <c r="BF169" i="13"/>
  <c r="BO169" i="13"/>
  <c r="BS169" i="13"/>
  <c r="BV169" i="13"/>
  <c r="AO169" i="13"/>
  <c r="AL169" i="13"/>
  <c r="BV165" i="13"/>
  <c r="BS161" i="13"/>
  <c r="BL165" i="13"/>
  <c r="BK165" i="13"/>
  <c r="BG161" i="13"/>
  <c r="AT160" i="13"/>
  <c r="AP164" i="13"/>
  <c r="AL164" i="13"/>
  <c r="AL160" i="13"/>
  <c r="AJ164" i="13"/>
  <c r="AP166" i="13"/>
  <c r="AS166" i="13"/>
  <c r="AV166" i="13"/>
  <c r="AX166" i="13"/>
  <c r="AZ166" i="13"/>
  <c r="AW166" i="13"/>
  <c r="AY166" i="13"/>
  <c r="BA166" i="13"/>
  <c r="AI162" i="13"/>
  <c r="AM162" i="13"/>
  <c r="AT162" i="13"/>
  <c r="AX162" i="13"/>
  <c r="AZ162" i="13"/>
  <c r="AK162" i="13"/>
  <c r="AO162" i="13"/>
  <c r="AW162" i="13"/>
  <c r="AY162" i="13"/>
  <c r="BA162" i="13"/>
  <c r="BF195" i="13"/>
  <c r="BJ195" i="13"/>
  <c r="BN195" i="13"/>
  <c r="BR195" i="13"/>
  <c r="BV195" i="13"/>
  <c r="BE195" i="13"/>
  <c r="BI195" i="13"/>
  <c r="BM195" i="13"/>
  <c r="BQ195" i="13"/>
  <c r="BU195" i="13"/>
  <c r="BD195" i="13"/>
  <c r="BH195" i="13"/>
  <c r="BL195" i="13"/>
  <c r="BP195" i="13"/>
  <c r="BT195" i="13"/>
  <c r="BF190" i="13"/>
  <c r="BJ190" i="13"/>
  <c r="BN190" i="13"/>
  <c r="BR190" i="13"/>
  <c r="BV190" i="13"/>
  <c r="BE190" i="13"/>
  <c r="BI190" i="13"/>
  <c r="BM190" i="13"/>
  <c r="BQ190" i="13"/>
  <c r="BU190" i="13"/>
  <c r="BD190" i="13"/>
  <c r="BH190" i="13"/>
  <c r="BL190" i="13"/>
  <c r="BP190" i="13"/>
  <c r="BT190" i="13"/>
  <c r="BV193" i="13"/>
  <c r="BV188" i="13"/>
  <c r="BR193" i="13"/>
  <c r="BR188" i="13"/>
  <c r="BN193" i="13"/>
  <c r="BN188" i="13"/>
  <c r="BJ193" i="13"/>
  <c r="BJ188" i="13"/>
  <c r="BF193" i="13"/>
  <c r="BF188" i="13"/>
  <c r="BS164" i="13"/>
  <c r="BS160" i="13"/>
  <c r="AN163" i="13"/>
  <c r="AJ163" i="13"/>
  <c r="BU194" i="13"/>
  <c r="BU189" i="13"/>
  <c r="BT193" i="13"/>
  <c r="BT188" i="13"/>
  <c r="BQ194" i="13"/>
  <c r="BQ189" i="13"/>
  <c r="BP193" i="13"/>
  <c r="BP188" i="13"/>
  <c r="BM194" i="13"/>
  <c r="BM189" i="13"/>
  <c r="BL193" i="13"/>
  <c r="BL188" i="13"/>
  <c r="BI194" i="13"/>
  <c r="BI189" i="13"/>
  <c r="BH193" i="13"/>
  <c r="BH188" i="13"/>
  <c r="AR153" i="13"/>
  <c r="BV171" i="13"/>
  <c r="BU167" i="13"/>
  <c r="BR171" i="13"/>
  <c r="BP171" i="13"/>
  <c r="BM167" i="13"/>
  <c r="BK167" i="13"/>
  <c r="BH171" i="13"/>
  <c r="BA171" i="13"/>
  <c r="AY148" i="13"/>
  <c r="AT148" i="13"/>
  <c r="AO148" i="13"/>
  <c r="BN158" i="13"/>
  <c r="BT153" i="13"/>
  <c r="AP153" i="13"/>
  <c r="BL151" i="13"/>
  <c r="BO152" i="13"/>
  <c r="BM172" i="13"/>
  <c r="AP173" i="13"/>
  <c r="BT171" i="13"/>
  <c r="BR167" i="13"/>
  <c r="BP167" i="13"/>
  <c r="BO167" i="13"/>
  <c r="BL171" i="13"/>
  <c r="BJ171" i="13"/>
  <c r="BH167" i="13"/>
  <c r="BG167" i="13"/>
  <c r="BE167" i="13"/>
  <c r="BA170" i="13"/>
  <c r="AZ167" i="13"/>
  <c r="AW171" i="13"/>
  <c r="AU171" i="13"/>
  <c r="AT167" i="13"/>
  <c r="AR167" i="13"/>
  <c r="AP168" i="13"/>
  <c r="AM170" i="13"/>
  <c r="AL168" i="13"/>
  <c r="AJ170" i="13"/>
  <c r="BV162" i="13"/>
  <c r="BU163" i="13"/>
  <c r="BR162" i="13"/>
  <c r="BQ163" i="13"/>
  <c r="BN162" i="13"/>
  <c r="BM163" i="13"/>
  <c r="BK164" i="13"/>
  <c r="BK160" i="13"/>
  <c r="BJ166" i="13"/>
  <c r="BI164" i="13"/>
  <c r="BI160" i="13"/>
  <c r="BH166" i="13"/>
  <c r="BG164" i="13"/>
  <c r="BG160" i="13"/>
  <c r="BF166" i="13"/>
  <c r="BD162" i="13"/>
  <c r="AV165" i="13"/>
  <c r="AV161" i="13"/>
  <c r="AT165" i="13"/>
  <c r="AT161" i="13"/>
  <c r="AQ165" i="13"/>
  <c r="AP165" i="13"/>
  <c r="AP161" i="13"/>
  <c r="AM165" i="13"/>
  <c r="AK165" i="13"/>
  <c r="AX148" i="13"/>
  <c r="AS148" i="13"/>
  <c r="AM148" i="13"/>
  <c r="AI159" i="13"/>
  <c r="AI153" i="13"/>
  <c r="BK152" i="13"/>
  <c r="BV167" i="13"/>
  <c r="BT167" i="13"/>
  <c r="BQ171" i="13"/>
  <c r="BO171" i="13"/>
  <c r="BK171" i="13"/>
  <c r="BG171" i="13"/>
  <c r="AY170" i="13"/>
  <c r="AW170" i="13"/>
  <c r="AU170" i="13"/>
  <c r="AS170" i="13"/>
  <c r="AQ170" i="13"/>
  <c r="AO170" i="13"/>
  <c r="AM167" i="13"/>
  <c r="AK171" i="13"/>
  <c r="BV166" i="13"/>
  <c r="BU166" i="13"/>
  <c r="BU162" i="13"/>
  <c r="BT163" i="13"/>
  <c r="BR166" i="13"/>
  <c r="BQ166" i="13"/>
  <c r="BQ162" i="13"/>
  <c r="BP163" i="13"/>
  <c r="BN166" i="13"/>
  <c r="BM166" i="13"/>
  <c r="BM162" i="13"/>
  <c r="BL163" i="13"/>
  <c r="BK163" i="13"/>
  <c r="BI163" i="13"/>
  <c r="BG163" i="13"/>
  <c r="AZ148" i="13"/>
  <c r="AV148" i="13"/>
  <c r="AR148" i="13"/>
  <c r="AN148" i="13"/>
  <c r="BO158" i="13"/>
  <c r="AM156" i="13"/>
  <c r="AY153" i="13"/>
  <c r="AN153" i="13"/>
  <c r="BS151" i="13"/>
  <c r="AY151" i="13"/>
  <c r="AI151" i="13"/>
  <c r="BP152" i="13"/>
  <c r="BH152" i="13"/>
  <c r="BO172" i="13"/>
  <c r="BK173" i="13"/>
  <c r="AZ172" i="13"/>
  <c r="AP172" i="13"/>
  <c r="AL172" i="13"/>
  <c r="AI172" i="13"/>
  <c r="BV170" i="13"/>
  <c r="BU170" i="13"/>
  <c r="BN170" i="13"/>
  <c r="BE171" i="13"/>
  <c r="BF171" i="13"/>
  <c r="BM171" i="13"/>
  <c r="BN171" i="13"/>
  <c r="BD167" i="13"/>
  <c r="BI167" i="13"/>
  <c r="BL167" i="13"/>
  <c r="BQ167" i="13"/>
  <c r="BA167" i="13"/>
  <c r="AZ168" i="13"/>
  <c r="AY168" i="13"/>
  <c r="AX167" i="13"/>
  <c r="AV171" i="13"/>
  <c r="AS169" i="13"/>
  <c r="AR169" i="13"/>
  <c r="AQ169" i="13"/>
  <c r="AP169" i="13"/>
  <c r="AN167" i="13"/>
  <c r="AJ167" i="13"/>
  <c r="BL161" i="13"/>
  <c r="BJ163" i="13"/>
  <c r="BH161" i="13"/>
  <c r="BF163" i="13"/>
  <c r="BD161" i="13"/>
  <c r="BD170" i="13"/>
  <c r="BG170" i="13"/>
  <c r="BO170" i="13"/>
  <c r="AJ169" i="13"/>
  <c r="AT169" i="13"/>
  <c r="AU169" i="13"/>
  <c r="AV169" i="13"/>
  <c r="AW169" i="13"/>
  <c r="BA169" i="13"/>
  <c r="BH158" i="13"/>
  <c r="AT156" i="13"/>
  <c r="BK153" i="13"/>
  <c r="BD151" i="13"/>
  <c r="AQ151" i="13"/>
  <c r="BT152" i="13"/>
  <c r="BL152" i="13"/>
  <c r="BD152" i="13"/>
  <c r="AN172" i="13"/>
  <c r="BR170" i="13"/>
  <c r="BF170" i="13"/>
  <c r="BD169" i="13"/>
  <c r="BJ169" i="13"/>
  <c r="BR169" i="13"/>
  <c r="AV167" i="13"/>
  <c r="AT171" i="13"/>
  <c r="AS171" i="13"/>
  <c r="AR171" i="13"/>
  <c r="AQ171" i="13"/>
  <c r="AP171" i="13"/>
  <c r="AP167" i="13"/>
  <c r="AM169" i="13"/>
  <c r="AI168" i="13"/>
  <c r="AX168" i="13"/>
  <c r="BJ161" i="13"/>
  <c r="BH163" i="13"/>
  <c r="BF161" i="13"/>
  <c r="BD164" i="13"/>
  <c r="BF164" i="13"/>
  <c r="BH164" i="13"/>
  <c r="BJ164" i="13"/>
  <c r="BL164" i="13"/>
  <c r="BN164" i="13"/>
  <c r="BP164" i="13"/>
  <c r="BR164" i="13"/>
  <c r="BT164" i="13"/>
  <c r="BV164" i="13"/>
  <c r="BD160" i="13"/>
  <c r="BF160" i="13"/>
  <c r="BH160" i="13"/>
  <c r="BJ160" i="13"/>
  <c r="BL160" i="13"/>
  <c r="BN160" i="13"/>
  <c r="BP160" i="13"/>
  <c r="BR160" i="13"/>
  <c r="BT160" i="13"/>
  <c r="BV160" i="13"/>
  <c r="AP151" i="13"/>
  <c r="BA172" i="13"/>
  <c r="AY172" i="13"/>
  <c r="AT172" i="13"/>
  <c r="AS172" i="13"/>
  <c r="AR172" i="13"/>
  <c r="AQ172" i="13"/>
  <c r="AO172" i="13"/>
  <c r="AK172" i="13"/>
  <c r="BM170" i="13"/>
  <c r="BK170" i="13"/>
  <c r="BI170" i="13"/>
  <c r="AZ169" i="13"/>
  <c r="AY169" i="13"/>
  <c r="AX169" i="13"/>
  <c r="AN169" i="13"/>
  <c r="AI171" i="13"/>
  <c r="AL171" i="13"/>
  <c r="AM171" i="13"/>
  <c r="AN171" i="13"/>
  <c r="AO171" i="13"/>
  <c r="AY171" i="13"/>
  <c r="AK167" i="13"/>
  <c r="AL167" i="13"/>
  <c r="AY167" i="13"/>
  <c r="BF165" i="13"/>
  <c r="AS164" i="13"/>
  <c r="AS160" i="13"/>
  <c r="AQ164" i="13"/>
  <c r="AQ160" i="13"/>
  <c r="AO164" i="13"/>
  <c r="AO160" i="13"/>
  <c r="AM164" i="13"/>
  <c r="AM160" i="13"/>
  <c r="AK164" i="13"/>
  <c r="AK160" i="13"/>
  <c r="AM163" i="13"/>
  <c r="AK163" i="13"/>
  <c r="BI172" i="13"/>
  <c r="BG172" i="13"/>
  <c r="AI158" i="13"/>
  <c r="BA150" i="13"/>
  <c r="AY150" i="13"/>
  <c r="AW150" i="13"/>
  <c r="AU150" i="13"/>
  <c r="AS150" i="13"/>
  <c r="AQ150" i="13"/>
  <c r="AO150" i="13"/>
  <c r="AM150" i="13"/>
  <c r="AQ156" i="13"/>
  <c r="AL156" i="13"/>
  <c r="AI156" i="13"/>
  <c r="BE153" i="13"/>
  <c r="BK151" i="13"/>
  <c r="AX151" i="13"/>
  <c r="AM151" i="13"/>
  <c r="BT172" i="13"/>
  <c r="BR172" i="13"/>
  <c r="BL172" i="13"/>
  <c r="BJ172" i="13"/>
  <c r="BD172" i="13"/>
  <c r="AX172" i="13"/>
  <c r="AW172" i="13"/>
  <c r="AV172" i="13"/>
  <c r="AT173" i="13"/>
  <c r="BV168" i="13"/>
  <c r="BU169" i="13"/>
  <c r="BT170" i="13"/>
  <c r="BR168" i="13"/>
  <c r="BQ169" i="13"/>
  <c r="BP170" i="13"/>
  <c r="BN168" i="13"/>
  <c r="BM169" i="13"/>
  <c r="BL170" i="13"/>
  <c r="BJ168" i="13"/>
  <c r="BI169" i="13"/>
  <c r="BH170" i="13"/>
  <c r="BF168" i="13"/>
  <c r="BE169" i="13"/>
  <c r="AW168" i="13"/>
  <c r="AS168" i="13"/>
  <c r="AO168" i="13"/>
  <c r="AK168" i="13"/>
  <c r="AX152" i="13"/>
  <c r="BU168" i="13"/>
  <c r="BT169" i="13"/>
  <c r="BQ168" i="13"/>
  <c r="BP169" i="13"/>
  <c r="BM168" i="13"/>
  <c r="BL169" i="13"/>
  <c r="BI168" i="13"/>
  <c r="BH169" i="13"/>
  <c r="BE168" i="13"/>
  <c r="AV168" i="13"/>
  <c r="AR168" i="13"/>
  <c r="AN168" i="13"/>
  <c r="AJ168" i="13"/>
  <c r="AZ150" i="13"/>
  <c r="AX150" i="13"/>
  <c r="AV150" i="13"/>
  <c r="AT150" i="13"/>
  <c r="AR150" i="13"/>
  <c r="AP150" i="13"/>
  <c r="AN150" i="13"/>
  <c r="AL150" i="13"/>
  <c r="BS155" i="13"/>
  <c r="AQ155" i="13"/>
  <c r="BP153" i="13"/>
  <c r="AP152" i="13"/>
  <c r="BV172" i="13"/>
  <c r="BP172" i="13"/>
  <c r="BN172" i="13"/>
  <c r="BH172" i="13"/>
  <c r="AY173" i="13"/>
  <c r="AL173" i="13"/>
  <c r="BT168" i="13"/>
  <c r="BP168" i="13"/>
  <c r="BL168" i="13"/>
  <c r="BH168" i="13"/>
  <c r="AU168" i="13"/>
  <c r="AQ168" i="13"/>
  <c r="AM168" i="13"/>
  <c r="BA147" i="13"/>
  <c r="AZ147" i="13"/>
  <c r="AY147" i="13"/>
  <c r="AX147" i="13"/>
  <c r="AW147" i="13"/>
  <c r="AV147" i="13"/>
  <c r="AU147" i="13"/>
  <c r="AT147" i="13"/>
  <c r="AS147" i="13"/>
  <c r="AR147" i="13"/>
  <c r="AQ147" i="13"/>
  <c r="AP147" i="13"/>
  <c r="AO147" i="13"/>
  <c r="AN147" i="13"/>
  <c r="AM147" i="13"/>
  <c r="AI150" i="13"/>
  <c r="BP158" i="13"/>
  <c r="BM153" i="13"/>
  <c r="BD153" i="13"/>
  <c r="AU153" i="13"/>
  <c r="AJ153" i="13"/>
  <c r="AT151" i="13"/>
  <c r="AL151" i="13"/>
  <c r="AU152" i="13"/>
  <c r="AM152" i="13"/>
  <c r="BV173" i="13"/>
  <c r="BR173" i="13"/>
  <c r="BN173" i="13"/>
  <c r="BJ173" i="13"/>
  <c r="BF173" i="13"/>
  <c r="BA173" i="13"/>
  <c r="AW173" i="13"/>
  <c r="AS173" i="13"/>
  <c r="AO173" i="13"/>
  <c r="AK173" i="13"/>
  <c r="BA152" i="13"/>
  <c r="AT152" i="13"/>
  <c r="AL152" i="13"/>
  <c r="BU173" i="13"/>
  <c r="BQ173" i="13"/>
  <c r="BM173" i="13"/>
  <c r="BI173" i="13"/>
  <c r="BE173" i="13"/>
  <c r="AV173" i="13"/>
  <c r="AR173" i="13"/>
  <c r="AN173" i="13"/>
  <c r="AJ173" i="13"/>
  <c r="BA149" i="13"/>
  <c r="AZ149" i="13"/>
  <c r="AY149" i="13"/>
  <c r="AX149" i="13"/>
  <c r="AW149" i="13"/>
  <c r="AV149" i="13"/>
  <c r="AU149" i="13"/>
  <c r="AT149" i="13"/>
  <c r="AS149" i="13"/>
  <c r="AR149" i="13"/>
  <c r="AQ149" i="13"/>
  <c r="AP149" i="13"/>
  <c r="AO149" i="13"/>
  <c r="AN149" i="13"/>
  <c r="AM149" i="13"/>
  <c r="AL149" i="13"/>
  <c r="AS159" i="13"/>
  <c r="BS153" i="13"/>
  <c r="BI153" i="13"/>
  <c r="AY152" i="13"/>
  <c r="AQ152" i="13"/>
  <c r="AI152" i="13"/>
  <c r="BT173" i="13"/>
  <c r="BP173" i="13"/>
  <c r="BL173" i="13"/>
  <c r="BH173" i="13"/>
  <c r="AU173" i="13"/>
  <c r="AQ173" i="13"/>
  <c r="AM173" i="13"/>
  <c r="AK147" i="13"/>
  <c r="BN155" i="13"/>
  <c r="AW159" i="13"/>
  <c r="AR159" i="13"/>
  <c r="BP151" i="13"/>
  <c r="BH151" i="13"/>
  <c r="BV152" i="13"/>
  <c r="BR152" i="13"/>
  <c r="BN152" i="13"/>
  <c r="BJ152" i="13"/>
  <c r="BF152" i="13"/>
  <c r="AW152" i="13"/>
  <c r="AS152" i="13"/>
  <c r="AO152" i="13"/>
  <c r="AK152" i="13"/>
  <c r="AL147" i="13"/>
  <c r="AL155" i="13"/>
  <c r="BH159" i="13"/>
  <c r="BU153" i="13"/>
  <c r="BO153" i="13"/>
  <c r="BH153" i="13"/>
  <c r="AZ153" i="13"/>
  <c r="AT153" i="13"/>
  <c r="AM153" i="13"/>
  <c r="BO151" i="13"/>
  <c r="BG151" i="13"/>
  <c r="BU152" i="13"/>
  <c r="BQ152" i="13"/>
  <c r="BM152" i="13"/>
  <c r="BI152" i="13"/>
  <c r="AZ152" i="13"/>
  <c r="AV152" i="13"/>
  <c r="AR152" i="13"/>
  <c r="AN152" i="13"/>
  <c r="AI149" i="13"/>
  <c r="BT156" i="13"/>
  <c r="BP156" i="13"/>
  <c r="AJ149" i="13"/>
  <c r="BS156" i="13"/>
  <c r="BK159" i="13"/>
  <c r="BG156" i="13"/>
  <c r="BA156" i="13"/>
  <c r="AU156" i="13"/>
  <c r="AP156" i="13"/>
  <c r="BV151" i="13"/>
  <c r="BR151" i="13"/>
  <c r="BN151" i="13"/>
  <c r="BJ151" i="13"/>
  <c r="BF151" i="13"/>
  <c r="BA151" i="13"/>
  <c r="AW151" i="13"/>
  <c r="AS151" i="13"/>
  <c r="AO151" i="13"/>
  <c r="AK151" i="13"/>
  <c r="BF155" i="13"/>
  <c r="AU155" i="13"/>
  <c r="AK155" i="13"/>
  <c r="BR158" i="13"/>
  <c r="BO156" i="13"/>
  <c r="AZ159" i="13"/>
  <c r="AX156" i="13"/>
  <c r="AN159" i="13"/>
  <c r="AL157" i="13"/>
  <c r="BQ153" i="13"/>
  <c r="BL153" i="13"/>
  <c r="BG153" i="13"/>
  <c r="BA153" i="13"/>
  <c r="AV153" i="13"/>
  <c r="AQ153" i="13"/>
  <c r="AL153" i="13"/>
  <c r="BU151" i="13"/>
  <c r="BQ151" i="13"/>
  <c r="BM151" i="13"/>
  <c r="BI151" i="13"/>
  <c r="AZ151" i="13"/>
  <c r="AV151" i="13"/>
  <c r="AR151" i="13"/>
  <c r="AN151" i="13"/>
  <c r="BQ155" i="13"/>
  <c r="BE155" i="13"/>
  <c r="BA155" i="13"/>
  <c r="AP155" i="13"/>
  <c r="BK156" i="13"/>
  <c r="BD159" i="13"/>
  <c r="BA159" i="13"/>
  <c r="AX159" i="13"/>
  <c r="AV159" i="13"/>
  <c r="AT159" i="13"/>
  <c r="AP159" i="13"/>
  <c r="AL148" i="13"/>
  <c r="AK148" i="13"/>
  <c r="AJ148" i="13"/>
  <c r="BU155" i="13"/>
  <c r="BK155" i="13"/>
  <c r="AW155" i="13"/>
  <c r="BS159" i="13"/>
  <c r="BP159" i="13"/>
  <c r="BO159" i="13"/>
  <c r="BJ158" i="13"/>
  <c r="BD158" i="13"/>
  <c r="BA157" i="13"/>
  <c r="AY159" i="13"/>
  <c r="AX157" i="13"/>
  <c r="AQ159" i="13"/>
  <c r="AP157" i="13"/>
  <c r="BV153" i="13"/>
  <c r="BR153" i="13"/>
  <c r="BN153" i="13"/>
  <c r="BJ153" i="13"/>
  <c r="AW153" i="13"/>
  <c r="AS153" i="13"/>
  <c r="AO153" i="13"/>
  <c r="BO155" i="13"/>
  <c r="BJ155" i="13"/>
  <c r="BT159" i="13"/>
  <c r="BG157" i="13"/>
  <c r="AM159" i="13"/>
  <c r="AL159" i="13"/>
  <c r="AJ159" i="13"/>
  <c r="BT155" i="13"/>
  <c r="BP155" i="13"/>
  <c r="BI155" i="13"/>
  <c r="AZ155" i="13"/>
  <c r="AS155" i="13"/>
  <c r="AN155" i="13"/>
  <c r="BV158" i="13"/>
  <c r="BT158" i="13"/>
  <c r="BS158" i="13"/>
  <c r="BQ158" i="13"/>
  <c r="BO157" i="13"/>
  <c r="BL159" i="13"/>
  <c r="BK158" i="13"/>
  <c r="BG159" i="13"/>
  <c r="BF158" i="13"/>
  <c r="AU159" i="13"/>
  <c r="AT157" i="13"/>
  <c r="AR158" i="13"/>
  <c r="AO159" i="13"/>
  <c r="AM158" i="13"/>
  <c r="AL158" i="13"/>
  <c r="BL155" i="13"/>
  <c r="BH155" i="13"/>
  <c r="AY155" i="13"/>
  <c r="AR155" i="13"/>
  <c r="BU158" i="13"/>
  <c r="BS157" i="13"/>
  <c r="BL158" i="13"/>
  <c r="BK157" i="13"/>
  <c r="BG158" i="13"/>
  <c r="BU159" i="13"/>
  <c r="BQ159" i="13"/>
  <c r="BM159" i="13"/>
  <c r="BI159" i="13"/>
  <c r="BE159" i="13"/>
  <c r="AY158" i="13"/>
  <c r="AX158" i="13"/>
  <c r="AW158" i="13"/>
  <c r="AN158" i="13"/>
  <c r="AJ158" i="13"/>
  <c r="AX125" i="13"/>
  <c r="BS154" i="13"/>
  <c r="BM158" i="13"/>
  <c r="BL156" i="13"/>
  <c r="BI158" i="13"/>
  <c r="BH156" i="13"/>
  <c r="BD156" i="13"/>
  <c r="BA158" i="13"/>
  <c r="AZ158" i="13"/>
  <c r="AU158" i="13"/>
  <c r="AT158" i="13"/>
  <c r="AS158" i="13"/>
  <c r="AS127" i="13"/>
  <c r="AW125" i="13"/>
  <c r="AT155" i="13"/>
  <c r="AJ155" i="13"/>
  <c r="AV158" i="13"/>
  <c r="AQ158" i="13"/>
  <c r="AP158" i="13"/>
  <c r="AO158" i="13"/>
  <c r="BV157" i="13"/>
  <c r="BR157" i="13"/>
  <c r="BN157" i="13"/>
  <c r="BJ157" i="13"/>
  <c r="BF157" i="13"/>
  <c r="AW157" i="13"/>
  <c r="AS157" i="13"/>
  <c r="AO157" i="13"/>
  <c r="AK157" i="13"/>
  <c r="BV156" i="13"/>
  <c r="BU157" i="13"/>
  <c r="BR156" i="13"/>
  <c r="BQ157" i="13"/>
  <c r="BN156" i="13"/>
  <c r="BM157" i="13"/>
  <c r="BJ156" i="13"/>
  <c r="BI157" i="13"/>
  <c r="BF156" i="13"/>
  <c r="BE157" i="13"/>
  <c r="AZ157" i="13"/>
  <c r="AW156" i="13"/>
  <c r="AV157" i="13"/>
  <c r="AS156" i="13"/>
  <c r="AR157" i="13"/>
  <c r="AO156" i="13"/>
  <c r="AN157" i="13"/>
  <c r="AK156" i="13"/>
  <c r="AJ157" i="13"/>
  <c r="AX154" i="13"/>
  <c r="BV155" i="13"/>
  <c r="BR155" i="13"/>
  <c r="BM155" i="13"/>
  <c r="BG155" i="13"/>
  <c r="AX155" i="13"/>
  <c r="AV155" i="13"/>
  <c r="AO155" i="13"/>
  <c r="AM155" i="13"/>
  <c r="BV159" i="13"/>
  <c r="BU156" i="13"/>
  <c r="BT157" i="13"/>
  <c r="BR159" i="13"/>
  <c r="BQ156" i="13"/>
  <c r="BP157" i="13"/>
  <c r="BN159" i="13"/>
  <c r="BM156" i="13"/>
  <c r="BL157" i="13"/>
  <c r="BJ159" i="13"/>
  <c r="BI156" i="13"/>
  <c r="BH157" i="13"/>
  <c r="AZ156" i="13"/>
  <c r="AY157" i="13"/>
  <c r="AV156" i="13"/>
  <c r="AU157" i="13"/>
  <c r="AR156" i="13"/>
  <c r="AQ157" i="13"/>
  <c r="AN156" i="13"/>
  <c r="AM157" i="13"/>
  <c r="AI125" i="13"/>
  <c r="BU154" i="13"/>
  <c r="BO154" i="13"/>
  <c r="BI154" i="13"/>
  <c r="BE154" i="13"/>
  <c r="AP154" i="13"/>
  <c r="BK154" i="13"/>
  <c r="BQ154" i="13"/>
  <c r="BM154" i="13"/>
  <c r="BG154" i="13"/>
  <c r="AZ154" i="13"/>
  <c r="AR154" i="13"/>
  <c r="AJ154" i="13"/>
  <c r="AT154" i="13"/>
  <c r="AL154" i="13"/>
  <c r="AV154" i="13"/>
  <c r="AN154" i="13"/>
  <c r="BO120" i="13"/>
  <c r="BD120" i="13"/>
  <c r="AL126" i="13"/>
  <c r="AQ125" i="13"/>
  <c r="BV154" i="13"/>
  <c r="BT154" i="13"/>
  <c r="BR154" i="13"/>
  <c r="BP154" i="13"/>
  <c r="BN154" i="13"/>
  <c r="BL154" i="13"/>
  <c r="BJ154" i="13"/>
  <c r="BH154" i="13"/>
  <c r="BF154" i="13"/>
  <c r="BA154" i="13"/>
  <c r="AY154" i="13"/>
  <c r="AW154" i="13"/>
  <c r="AU154" i="13"/>
  <c r="AS154" i="13"/>
  <c r="AQ154" i="13"/>
  <c r="AO154" i="13"/>
  <c r="AM154" i="13"/>
  <c r="AK154" i="13"/>
  <c r="AO125" i="13"/>
  <c r="BQ120" i="13"/>
  <c r="AI127" i="13"/>
  <c r="BI120" i="13"/>
  <c r="BK124" i="13"/>
  <c r="AU127" i="13"/>
  <c r="AT126" i="13"/>
  <c r="AT125" i="13"/>
  <c r="AM125" i="13"/>
  <c r="AY125" i="13"/>
  <c r="AS125" i="13"/>
  <c r="AL125" i="13"/>
  <c r="BT120" i="13"/>
  <c r="BK120" i="13"/>
  <c r="AX126" i="13"/>
  <c r="AI126" i="13"/>
  <c r="BP120" i="13"/>
  <c r="BH120" i="13"/>
  <c r="BT124" i="13"/>
  <c r="BS126" i="13"/>
  <c r="AQ126" i="13"/>
  <c r="BA125" i="13"/>
  <c r="AU125" i="13"/>
  <c r="AP125" i="13"/>
  <c r="AK125" i="13"/>
  <c r="BS124" i="13"/>
  <c r="BJ124" i="13"/>
  <c r="AX124" i="13"/>
  <c r="BS121" i="13"/>
  <c r="BP124" i="13"/>
  <c r="BF124" i="13"/>
  <c r="AT124" i="13"/>
  <c r="BA127" i="13"/>
  <c r="AQ127" i="13"/>
  <c r="BS125" i="13"/>
  <c r="AZ123" i="13"/>
  <c r="BS120" i="13"/>
  <c r="BL120" i="13"/>
  <c r="BG120" i="13"/>
  <c r="AT120" i="13"/>
  <c r="BN124" i="13"/>
  <c r="BD124" i="13"/>
  <c r="AI124" i="13"/>
  <c r="AX127" i="13"/>
  <c r="AL127" i="13"/>
  <c r="AY126" i="13"/>
  <c r="AP126" i="13"/>
  <c r="BK125" i="13"/>
  <c r="AR120" i="13"/>
  <c r="BL126" i="13"/>
  <c r="BP125" i="13"/>
  <c r="BH125" i="13"/>
  <c r="AM120" i="13"/>
  <c r="AS124" i="13"/>
  <c r="BK126" i="13"/>
  <c r="BO125" i="13"/>
  <c r="BG125" i="13"/>
  <c r="BK121" i="13"/>
  <c r="AX120" i="13"/>
  <c r="AM124" i="13"/>
  <c r="BM127" i="13"/>
  <c r="AW127" i="13"/>
  <c r="AP127" i="13"/>
  <c r="BT126" i="13"/>
  <c r="BD126" i="13"/>
  <c r="AU126" i="13"/>
  <c r="AM126" i="13"/>
  <c r="BT125" i="13"/>
  <c r="BL125" i="13"/>
  <c r="BD125" i="13"/>
  <c r="BU123" i="13"/>
  <c r="BO127" i="13"/>
  <c r="BD127" i="13"/>
  <c r="BT127" i="13"/>
  <c r="BI127" i="13"/>
  <c r="BP126" i="13"/>
  <c r="BH126" i="13"/>
  <c r="BV125" i="13"/>
  <c r="BR125" i="13"/>
  <c r="BN125" i="13"/>
  <c r="BJ125" i="13"/>
  <c r="BF125" i="13"/>
  <c r="BV120" i="13"/>
  <c r="BQ121" i="13"/>
  <c r="BN120" i="13"/>
  <c r="BF120" i="13"/>
  <c r="AY120" i="13"/>
  <c r="BV124" i="13"/>
  <c r="BO124" i="13"/>
  <c r="AY124" i="13"/>
  <c r="BS127" i="13"/>
  <c r="BH127" i="13"/>
  <c r="AY127" i="13"/>
  <c r="AT127" i="13"/>
  <c r="AN127" i="13"/>
  <c r="BO126" i="13"/>
  <c r="BG126" i="13"/>
  <c r="BU125" i="13"/>
  <c r="BQ125" i="13"/>
  <c r="BM125" i="13"/>
  <c r="BI125" i="13"/>
  <c r="AZ125" i="13"/>
  <c r="AV125" i="13"/>
  <c r="AR125" i="13"/>
  <c r="AN125" i="13"/>
  <c r="BM123" i="13"/>
  <c r="AV123" i="13"/>
  <c r="BQ127" i="13"/>
  <c r="BL127" i="13"/>
  <c r="BG127" i="13"/>
  <c r="BV126" i="13"/>
  <c r="BR126" i="13"/>
  <c r="BN126" i="13"/>
  <c r="BJ126" i="13"/>
  <c r="BF126" i="13"/>
  <c r="BA126" i="13"/>
  <c r="AW126" i="13"/>
  <c r="AS126" i="13"/>
  <c r="AO126" i="13"/>
  <c r="AK126" i="13"/>
  <c r="BU127" i="13"/>
  <c r="BP127" i="13"/>
  <c r="BK127" i="13"/>
  <c r="BE127" i="13"/>
  <c r="AZ127" i="13"/>
  <c r="AV127" i="13"/>
  <c r="AR127" i="13"/>
  <c r="AM127" i="13"/>
  <c r="BU126" i="13"/>
  <c r="BQ126" i="13"/>
  <c r="BM126" i="13"/>
  <c r="BI126" i="13"/>
  <c r="AZ126" i="13"/>
  <c r="AV126" i="13"/>
  <c r="AR126" i="13"/>
  <c r="AN126" i="13"/>
  <c r="AK122" i="13"/>
  <c r="AX122" i="13"/>
  <c r="AM122" i="13"/>
  <c r="AR122" i="13"/>
  <c r="AK123" i="13"/>
  <c r="AM123" i="13"/>
  <c r="AW123" i="13"/>
  <c r="BF122" i="13"/>
  <c r="BQ122" i="13"/>
  <c r="BD121" i="13"/>
  <c r="BF121" i="13"/>
  <c r="BH121" i="13"/>
  <c r="BJ121" i="13"/>
  <c r="BL121" i="13"/>
  <c r="BN121" i="13"/>
  <c r="BP121" i="13"/>
  <c r="BR121" i="13"/>
  <c r="BT121" i="13"/>
  <c r="BV121" i="13"/>
  <c r="AI120" i="13"/>
  <c r="AK120" i="13"/>
  <c r="AO120" i="13"/>
  <c r="AS120" i="13"/>
  <c r="AW120" i="13"/>
  <c r="BA120" i="13"/>
  <c r="AJ124" i="13"/>
  <c r="AN124" i="13"/>
  <c r="AR124" i="13"/>
  <c r="AV124" i="13"/>
  <c r="AZ124" i="13"/>
  <c r="BF123" i="13"/>
  <c r="BE123" i="13"/>
  <c r="BP123" i="13"/>
  <c r="AR123" i="13"/>
  <c r="BS122" i="13"/>
  <c r="BU121" i="13"/>
  <c r="BM121" i="13"/>
  <c r="BE121" i="13"/>
  <c r="AV120" i="13"/>
  <c r="AQ120" i="13"/>
  <c r="AL120" i="13"/>
  <c r="BE124" i="13"/>
  <c r="BI124" i="13"/>
  <c r="BM124" i="13"/>
  <c r="BQ124" i="13"/>
  <c r="BU124" i="13"/>
  <c r="AW124" i="13"/>
  <c r="AQ124" i="13"/>
  <c r="AL124" i="13"/>
  <c r="BO123" i="13"/>
  <c r="BA123" i="13"/>
  <c r="AQ123" i="13"/>
  <c r="BM122" i="13"/>
  <c r="BU120" i="13"/>
  <c r="BR120" i="13"/>
  <c r="BO121" i="13"/>
  <c r="BM120" i="13"/>
  <c r="BJ120" i="13"/>
  <c r="BG121" i="13"/>
  <c r="AZ120" i="13"/>
  <c r="AU120" i="13"/>
  <c r="AP120" i="13"/>
  <c r="AJ120" i="13"/>
  <c r="BR124" i="13"/>
  <c r="BL124" i="13"/>
  <c r="BG124" i="13"/>
  <c r="BA124" i="13"/>
  <c r="AU124" i="13"/>
  <c r="AP124" i="13"/>
  <c r="AK124" i="13"/>
  <c r="BV127" i="13"/>
  <c r="BR127" i="13"/>
  <c r="BN127" i="13"/>
  <c r="BJ127" i="13"/>
  <c r="AO127" i="13"/>
  <c r="AK127" i="13"/>
  <c r="BG122" i="13"/>
  <c r="AV122" i="13"/>
  <c r="AL122" i="13"/>
  <c r="AZ121" i="13"/>
  <c r="AX121" i="13"/>
  <c r="AV121" i="13"/>
  <c r="AT121" i="13"/>
  <c r="AR121" i="13"/>
  <c r="AP121" i="13"/>
  <c r="AN121" i="13"/>
  <c r="AL121" i="13"/>
  <c r="AJ121" i="13"/>
  <c r="BT123" i="13"/>
  <c r="BI123" i="13"/>
  <c r="BL122" i="13"/>
  <c r="BA122" i="13"/>
  <c r="AQ122" i="13"/>
  <c r="BA121" i="13"/>
  <c r="AY121" i="13"/>
  <c r="AW121" i="13"/>
  <c r="AU121" i="13"/>
  <c r="AS121" i="13"/>
  <c r="AQ121" i="13"/>
  <c r="AO121" i="13"/>
  <c r="AM121" i="13"/>
  <c r="AK121" i="13"/>
  <c r="BS123" i="13"/>
  <c r="BK123" i="13"/>
  <c r="BD123" i="13"/>
  <c r="AY123" i="13"/>
  <c r="AU123" i="13"/>
  <c r="AP123" i="13"/>
  <c r="AJ123" i="13"/>
  <c r="BU122" i="13"/>
  <c r="BP122" i="13"/>
  <c r="BK122" i="13"/>
  <c r="BE122" i="13"/>
  <c r="AZ122" i="13"/>
  <c r="AU122" i="13"/>
  <c r="AP122" i="13"/>
  <c r="AJ122" i="13"/>
  <c r="AX123" i="13"/>
  <c r="AT123" i="13"/>
  <c r="AN123" i="13"/>
  <c r="AI123" i="13"/>
  <c r="BT122" i="13"/>
  <c r="BO122" i="13"/>
  <c r="BI122" i="13"/>
  <c r="BD122" i="13"/>
  <c r="AY122" i="13"/>
  <c r="AT122" i="13"/>
  <c r="AN122" i="13"/>
  <c r="AI122" i="13"/>
  <c r="BQ123" i="13"/>
  <c r="BL123" i="13"/>
  <c r="BG123" i="13"/>
  <c r="BV122" i="13"/>
  <c r="BR122" i="13"/>
  <c r="BN122" i="13"/>
  <c r="BJ122" i="13"/>
  <c r="AW122" i="13"/>
  <c r="AS122" i="13"/>
  <c r="AO122" i="13"/>
  <c r="BV123" i="13"/>
  <c r="BR123" i="13"/>
  <c r="BN123" i="13"/>
  <c r="BJ123" i="13"/>
  <c r="AS123" i="13"/>
  <c r="AO123" i="13"/>
  <c r="B1107"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1101" i="39"/>
  <c r="B1102" i="39"/>
  <c r="B1103" i="39"/>
  <c r="B1104" i="39"/>
  <c r="B1105" i="39"/>
  <c r="B1106" i="39"/>
  <c r="B63" i="39"/>
  <c r="B64" i="39"/>
  <c r="B65" i="39"/>
  <c r="B66" i="39"/>
  <c r="B67" i="39"/>
  <c r="B68" i="39"/>
  <c r="B69" i="39"/>
  <c r="B57" i="39"/>
  <c r="B51" i="39"/>
  <c r="B45" i="39"/>
  <c r="B39" i="39"/>
  <c r="B33" i="39"/>
  <c r="B27" i="39"/>
  <c r="B21" i="39"/>
  <c r="B15" i="39"/>
  <c r="B9" i="39"/>
  <c r="AE78" i="13" l="1"/>
  <c r="AD167" i="13"/>
  <c r="AD111" i="13"/>
  <c r="AD135" i="13"/>
  <c r="AD35" i="13"/>
  <c r="AD129" i="13"/>
  <c r="AD172" i="13"/>
  <c r="AE114" i="13"/>
  <c r="AD119" i="13"/>
  <c r="AD159" i="13"/>
  <c r="AD164" i="13"/>
  <c r="AD193" i="13"/>
  <c r="AD123" i="13"/>
  <c r="AD136" i="13"/>
  <c r="AD147" i="13"/>
  <c r="AF156" i="13"/>
  <c r="AD65" i="13"/>
  <c r="AD52" i="13"/>
  <c r="AE108" i="13"/>
  <c r="AE156" i="13"/>
  <c r="AD107" i="13"/>
  <c r="AE51" i="13"/>
  <c r="AC114" i="13"/>
  <c r="AF114" i="13" s="1"/>
  <c r="AD117" i="13"/>
  <c r="AE50" i="13"/>
  <c r="AF155" i="13"/>
  <c r="AD118" i="13"/>
  <c r="AE64" i="13"/>
  <c r="AE155" i="13"/>
  <c r="AC190" i="13"/>
  <c r="AF190" i="13" s="1"/>
  <c r="AC53" i="13"/>
  <c r="AF53" i="13" s="1"/>
  <c r="AF64" i="13"/>
  <c r="AD34" i="13"/>
  <c r="AE131" i="13"/>
  <c r="AE22" i="13"/>
  <c r="AF59" i="13"/>
  <c r="AF130" i="13"/>
  <c r="AC22" i="13"/>
  <c r="AF22" i="13" s="1"/>
  <c r="AE130" i="13"/>
  <c r="AF168" i="13"/>
  <c r="AC71" i="13"/>
  <c r="AF71" i="13" s="1"/>
  <c r="AE89" i="13"/>
  <c r="AE186" i="13"/>
  <c r="AF186" i="13"/>
  <c r="AF89" i="13"/>
  <c r="AC29" i="13"/>
  <c r="AF29" i="13" s="1"/>
  <c r="AF125" i="13"/>
  <c r="AD37" i="13"/>
  <c r="AD178" i="13"/>
  <c r="AD142" i="13"/>
  <c r="AD201" i="13"/>
  <c r="AE196" i="13"/>
  <c r="AD141" i="13"/>
  <c r="AD150" i="13"/>
  <c r="AD95" i="13"/>
  <c r="AE168" i="13"/>
  <c r="AE59" i="13"/>
  <c r="AF149" i="13"/>
  <c r="AD143" i="13"/>
  <c r="AE165" i="13"/>
  <c r="AE101" i="13"/>
  <c r="AE6" i="13"/>
  <c r="AE138" i="13"/>
  <c r="AE16" i="13"/>
  <c r="AF16" i="13"/>
  <c r="AC101" i="13"/>
  <c r="AF101" i="13" s="1"/>
  <c r="AF18" i="13"/>
  <c r="AE174" i="13"/>
  <c r="AF96" i="13"/>
  <c r="AC50" i="13"/>
  <c r="AF50" i="13" s="1"/>
  <c r="AE171" i="13"/>
  <c r="AE77" i="13"/>
  <c r="AF10" i="13"/>
  <c r="AF132" i="13"/>
  <c r="AF77" i="13"/>
  <c r="AF113" i="13"/>
  <c r="AF12" i="13"/>
  <c r="AE113" i="13"/>
  <c r="AF177" i="13"/>
  <c r="AE180" i="13"/>
  <c r="AE12" i="13"/>
  <c r="AF92" i="13"/>
  <c r="AE177" i="13"/>
  <c r="AF180" i="13"/>
  <c r="AC23" i="13"/>
  <c r="AF23" i="13" s="1"/>
  <c r="AE83" i="13"/>
  <c r="AE125" i="13"/>
  <c r="AF126" i="13"/>
  <c r="AF85" i="13"/>
  <c r="AF120" i="13"/>
  <c r="AE194" i="13"/>
  <c r="AC138" i="13"/>
  <c r="AF138" i="13" s="1"/>
  <c r="AE18" i="13"/>
  <c r="AF97" i="13"/>
  <c r="AE24" i="13"/>
  <c r="AF137" i="13"/>
  <c r="AC33" i="13"/>
  <c r="AF33" i="13" s="1"/>
  <c r="AE72" i="13"/>
  <c r="AE148" i="13"/>
  <c r="AE189" i="13"/>
  <c r="AE17" i="13"/>
  <c r="AC28" i="13"/>
  <c r="AF28" i="13" s="1"/>
  <c r="AF36" i="13"/>
  <c r="AF187" i="13"/>
  <c r="AE43" i="13"/>
  <c r="AE91" i="13"/>
  <c r="AF91" i="13"/>
  <c r="AE36" i="13"/>
  <c r="AE30" i="13"/>
  <c r="AE187" i="13"/>
  <c r="AC11" i="13"/>
  <c r="AF11" i="13" s="1"/>
  <c r="AF74" i="13"/>
  <c r="AF24" i="13"/>
  <c r="AE137" i="13"/>
  <c r="AE96" i="13"/>
  <c r="AE97" i="13"/>
  <c r="AE154" i="13"/>
  <c r="AE124" i="13"/>
  <c r="AF189" i="13"/>
  <c r="AC57" i="13"/>
  <c r="AF57" i="13" s="1"/>
  <c r="AD200" i="13"/>
  <c r="AF162" i="13"/>
  <c r="AE126" i="13"/>
  <c r="AF174" i="13"/>
  <c r="AE10" i="13"/>
  <c r="AE149" i="13"/>
  <c r="AE191" i="13"/>
  <c r="AE162" i="13"/>
  <c r="AF144" i="13"/>
  <c r="AE85" i="13"/>
  <c r="AC131" i="13"/>
  <c r="AF131" i="13" s="1"/>
  <c r="AD203" i="13"/>
  <c r="AE144" i="13"/>
  <c r="AE120" i="13"/>
  <c r="AF72" i="13"/>
  <c r="AF30" i="13"/>
  <c r="AF6" i="13"/>
  <c r="AE106" i="13"/>
  <c r="AF58" i="13"/>
  <c r="AE157" i="13"/>
  <c r="AE58" i="13"/>
  <c r="AF148" i="13"/>
  <c r="AD170" i="13"/>
  <c r="AE195" i="13"/>
  <c r="AF179" i="13"/>
  <c r="AE46" i="13"/>
  <c r="AF40" i="13"/>
  <c r="AE173" i="13"/>
  <c r="AE179" i="13"/>
  <c r="AF46" i="13"/>
  <c r="AE40" i="13"/>
  <c r="AE103" i="13"/>
  <c r="AF173" i="13"/>
  <c r="AE133" i="13"/>
  <c r="AF121" i="13"/>
  <c r="AE121" i="13"/>
  <c r="AF133" i="13"/>
  <c r="AE193" i="13"/>
  <c r="AF103" i="13"/>
  <c r="AE74" i="13"/>
  <c r="AD175" i="13"/>
  <c r="AF139" i="13"/>
  <c r="AE115" i="13"/>
  <c r="AE139" i="13"/>
  <c r="AE19" i="13"/>
  <c r="AF7" i="13"/>
  <c r="AF181" i="13"/>
  <c r="AF184" i="13"/>
  <c r="AF84" i="13"/>
  <c r="AE202" i="13"/>
  <c r="AF151" i="13"/>
  <c r="AF47" i="13"/>
  <c r="AF25" i="13"/>
  <c r="AE31" i="13"/>
  <c r="AE151" i="13"/>
  <c r="AE25" i="13"/>
  <c r="AF202" i="13"/>
  <c r="AF157" i="13"/>
  <c r="AF115" i="13"/>
  <c r="AE84" i="13"/>
  <c r="AF31" i="13"/>
  <c r="AE7" i="13"/>
  <c r="AF55" i="13"/>
  <c r="AE92" i="13"/>
  <c r="AE90" i="13"/>
  <c r="AE47" i="13"/>
  <c r="AE181" i="13"/>
  <c r="AC176" i="13"/>
  <c r="AF176" i="13" s="1"/>
  <c r="AE176" i="13"/>
  <c r="AE94" i="13"/>
  <c r="AC94" i="13"/>
  <c r="AF94" i="13" s="1"/>
  <c r="AE76" i="13"/>
  <c r="AC76" i="13"/>
  <c r="AF76" i="13" s="1"/>
  <c r="AC98" i="13"/>
  <c r="AF98" i="13" s="1"/>
  <c r="AE98" i="13"/>
  <c r="W192" i="13"/>
  <c r="AF192" i="13" s="1"/>
  <c r="AE192" i="13"/>
  <c r="AE184" i="13"/>
  <c r="AF145" i="13"/>
  <c r="AF127" i="13"/>
  <c r="AF109" i="13"/>
  <c r="AC81" i="13"/>
  <c r="AF81" i="13" s="1"/>
  <c r="AE81" i="13"/>
  <c r="AE201" i="13"/>
  <c r="AC201" i="13"/>
  <c r="AF201" i="13" s="1"/>
  <c r="AC67" i="13"/>
  <c r="AF67" i="13" s="1"/>
  <c r="AE67" i="13"/>
  <c r="AC15" i="13"/>
  <c r="AF15" i="13" s="1"/>
  <c r="AE15" i="13"/>
  <c r="AE39" i="13"/>
  <c r="AC39" i="13"/>
  <c r="AF39" i="13" s="1"/>
  <c r="AC26" i="13"/>
  <c r="AF26" i="13" s="1"/>
  <c r="AE26" i="13"/>
  <c r="AC14" i="13"/>
  <c r="AF14" i="13" s="1"/>
  <c r="AE14" i="13"/>
  <c r="AF13" i="13"/>
  <c r="AE49" i="13"/>
  <c r="AF41" i="13"/>
  <c r="AE63" i="13"/>
  <c r="AC63" i="13"/>
  <c r="AF63" i="13" s="1"/>
  <c r="AC99" i="13"/>
  <c r="AF99" i="13" s="1"/>
  <c r="AE99" i="13"/>
  <c r="W163" i="13"/>
  <c r="AF163" i="13" s="1"/>
  <c r="AE163" i="13"/>
  <c r="AE145" i="13"/>
  <c r="AE127" i="13"/>
  <c r="AE109" i="13"/>
  <c r="AC153" i="13"/>
  <c r="AF153" i="13" s="1"/>
  <c r="AE153" i="13"/>
  <c r="AC146" i="13"/>
  <c r="AF146" i="13" s="1"/>
  <c r="AE146" i="13"/>
  <c r="AC135" i="13"/>
  <c r="AF135" i="13" s="1"/>
  <c r="AE135" i="13"/>
  <c r="AC128" i="13"/>
  <c r="AF128" i="13" s="1"/>
  <c r="AE128" i="13"/>
  <c r="AC117" i="13"/>
  <c r="AF117" i="13" s="1"/>
  <c r="AE117" i="13"/>
  <c r="AC110" i="13"/>
  <c r="AF110" i="13" s="1"/>
  <c r="AE110" i="13"/>
  <c r="AF62" i="13"/>
  <c r="AF90" i="13"/>
  <c r="AF42" i="13"/>
  <c r="AE13" i="13"/>
  <c r="AE62" i="13"/>
  <c r="AF49" i="13"/>
  <c r="AE41" i="13"/>
  <c r="AF48" i="13"/>
  <c r="AE199" i="13"/>
  <c r="W199" i="13"/>
  <c r="AF199" i="13" s="1"/>
  <c r="AE169" i="13"/>
  <c r="AC169" i="13"/>
  <c r="AF169" i="13" s="1"/>
  <c r="AE88" i="13"/>
  <c r="AC88" i="13"/>
  <c r="AF88" i="13" s="1"/>
  <c r="AE70" i="13"/>
  <c r="AC70" i="13"/>
  <c r="AF70" i="13" s="1"/>
  <c r="AC75" i="13"/>
  <c r="AF75" i="13" s="1"/>
  <c r="AE75" i="13"/>
  <c r="AC80" i="13"/>
  <c r="AF80" i="13" s="1"/>
  <c r="AE80" i="13"/>
  <c r="AC45" i="13"/>
  <c r="AF45" i="13" s="1"/>
  <c r="AE45" i="13"/>
  <c r="AC27" i="13"/>
  <c r="AF27" i="13" s="1"/>
  <c r="AE27" i="13"/>
  <c r="AC9" i="13"/>
  <c r="AF9" i="13" s="1"/>
  <c r="AE9" i="13"/>
  <c r="AE185" i="13"/>
  <c r="AC161" i="13"/>
  <c r="AF161" i="13" s="1"/>
  <c r="AE161" i="13"/>
  <c r="AC86" i="13"/>
  <c r="AF86" i="13" s="1"/>
  <c r="AE86" i="13"/>
  <c r="AC61" i="13"/>
  <c r="AF61" i="13" s="1"/>
  <c r="AE61" i="13"/>
  <c r="AE42" i="13"/>
  <c r="AE48" i="13"/>
  <c r="AC164" i="13"/>
  <c r="AF164" i="13" s="1"/>
  <c r="AE164" i="13"/>
  <c r="AC198" i="13"/>
  <c r="AF198" i="13" s="1"/>
  <c r="AE198" i="13"/>
  <c r="AE182" i="13"/>
  <c r="AC182" i="13"/>
  <c r="AF182" i="13" s="1"/>
  <c r="AE183" i="13"/>
  <c r="AC183" i="13"/>
  <c r="AF183" i="13" s="1"/>
  <c r="AF160" i="13"/>
  <c r="AC159" i="13"/>
  <c r="AF159" i="13" s="1"/>
  <c r="AE159" i="13"/>
  <c r="AC152" i="13"/>
  <c r="AF152" i="13" s="1"/>
  <c r="AE152" i="13"/>
  <c r="AC141" i="13"/>
  <c r="AF141" i="13" s="1"/>
  <c r="AE141" i="13"/>
  <c r="AC134" i="13"/>
  <c r="AF134" i="13" s="1"/>
  <c r="AE134" i="13"/>
  <c r="AC123" i="13"/>
  <c r="AF123" i="13" s="1"/>
  <c r="AE123" i="13"/>
  <c r="AC116" i="13"/>
  <c r="AF116" i="13" s="1"/>
  <c r="AE116" i="13"/>
  <c r="AC105" i="13"/>
  <c r="AF105" i="13" s="1"/>
  <c r="AE105" i="13"/>
  <c r="AC73" i="13"/>
  <c r="AF73" i="13" s="1"/>
  <c r="AE73" i="13"/>
  <c r="AC60" i="13"/>
  <c r="AF60" i="13" s="1"/>
  <c r="AE60" i="13"/>
  <c r="AF185" i="13"/>
  <c r="W104" i="13"/>
  <c r="AF104" i="13" s="1"/>
  <c r="AE104" i="13"/>
  <c r="W68" i="13"/>
  <c r="AF68" i="13" s="1"/>
  <c r="AE68" i="13"/>
  <c r="AE32" i="13"/>
  <c r="AC32" i="13"/>
  <c r="AF32" i="13" s="1"/>
  <c r="AC20" i="13"/>
  <c r="AF20" i="13" s="1"/>
  <c r="AE20" i="13"/>
  <c r="AC8" i="13"/>
  <c r="AF8" i="13" s="1"/>
  <c r="AE8" i="13"/>
  <c r="AC188" i="13"/>
  <c r="AF188" i="13" s="1"/>
  <c r="AE188" i="13"/>
  <c r="AC170" i="13"/>
  <c r="AF170" i="13" s="1"/>
  <c r="AE170" i="13"/>
  <c r="W203" i="13"/>
  <c r="AF203" i="13" s="1"/>
  <c r="AE203" i="13"/>
  <c r="AE100" i="13"/>
  <c r="AC100" i="13"/>
  <c r="AF100" i="13" s="1"/>
  <c r="AE82" i="13"/>
  <c r="AC82" i="13"/>
  <c r="AF82" i="13" s="1"/>
  <c r="AC197" i="13"/>
  <c r="AF197" i="13" s="1"/>
  <c r="AE197" i="13"/>
  <c r="AE69" i="13"/>
  <c r="AC69" i="13"/>
  <c r="AF69" i="13" s="1"/>
  <c r="AE44" i="13"/>
  <c r="W44" i="13"/>
  <c r="AF44" i="13" s="1"/>
  <c r="AE200" i="13"/>
  <c r="AC200" i="13"/>
  <c r="AF200" i="13" s="1"/>
  <c r="AE175" i="13"/>
  <c r="AC175" i="13"/>
  <c r="AF175" i="13" s="1"/>
  <c r="AE160" i="13"/>
  <c r="AE87" i="13"/>
  <c r="AC87" i="13"/>
  <c r="AF87" i="13" s="1"/>
  <c r="AC38" i="13"/>
  <c r="AF38" i="13" s="1"/>
  <c r="AE38" i="13"/>
  <c r="AC21" i="13"/>
  <c r="AF21" i="13" s="1"/>
  <c r="AE21" i="13"/>
  <c r="AE54" i="13"/>
  <c r="AC54" i="13"/>
  <c r="AF54" i="13" s="1"/>
  <c r="AF56" i="13"/>
  <c r="AE55" i="13"/>
  <c r="AF19" i="13"/>
  <c r="AC204" i="13"/>
  <c r="AF204" i="13" s="1"/>
  <c r="AE204" i="13"/>
  <c r="AC158" i="13"/>
  <c r="AF158" i="13" s="1"/>
  <c r="AE158" i="13"/>
  <c r="AC147" i="13"/>
  <c r="AF147" i="13" s="1"/>
  <c r="AE147" i="13"/>
  <c r="AC140" i="13"/>
  <c r="AF140" i="13" s="1"/>
  <c r="AE140" i="13"/>
  <c r="AC129" i="13"/>
  <c r="AF129" i="13" s="1"/>
  <c r="AE129" i="13"/>
  <c r="AC122" i="13"/>
  <c r="AF122" i="13" s="1"/>
  <c r="AE122" i="13"/>
  <c r="AC111" i="13"/>
  <c r="AF111" i="13" s="1"/>
  <c r="AE111" i="13"/>
  <c r="AC79" i="13"/>
  <c r="AF79" i="13" s="1"/>
  <c r="AE79" i="13"/>
  <c r="AC93" i="13"/>
  <c r="AF93" i="13" s="1"/>
  <c r="AE93" i="13"/>
  <c r="AE56" i="13"/>
  <c r="B28" i="22"/>
  <c r="B27" i="22"/>
  <c r="B24" i="22"/>
  <c r="B25" i="22"/>
  <c r="B26" i="22"/>
  <c r="B29" i="22"/>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M21" i="31" l="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I35" i="31" s="1"/>
  <c r="M18" i="31"/>
  <c r="O13" i="31"/>
  <c r="D32" i="31" l="1"/>
  <c r="D31" i="31"/>
  <c r="D30" i="31"/>
  <c r="D25" i="31"/>
  <c r="D23" i="31"/>
  <c r="D22" i="31"/>
  <c r="D21" i="31"/>
  <c r="D38" i="31"/>
  <c r="K33" i="31"/>
  <c r="K35" i="31" s="1"/>
  <c r="M29" i="31"/>
  <c r="Q24" i="31"/>
  <c r="Q26" i="31" s="1"/>
  <c r="O26" i="31"/>
  <c r="E40" i="31"/>
  <c r="E39" i="31"/>
  <c r="Q13" i="31"/>
  <c r="Q18" i="31" s="1"/>
  <c r="O18" i="31"/>
  <c r="E41" i="31"/>
  <c r="O29" i="31" l="1"/>
  <c r="M33" i="31"/>
  <c r="M35" i="31" s="1"/>
  <c r="E38" i="31"/>
  <c r="Q29" i="31" l="1"/>
  <c r="Q33" i="31" s="1"/>
  <c r="Q35" i="31" s="1"/>
  <c r="O33" i="31"/>
  <c r="O35" i="31" s="1"/>
  <c r="G28" i="22" l="1"/>
  <c r="D28" i="22"/>
  <c r="E204" i="13"/>
  <c r="D204" i="13"/>
  <c r="C204" i="13"/>
  <c r="D27" i="22"/>
  <c r="D29" i="22"/>
  <c r="D26" i="22"/>
  <c r="D25" i="22"/>
  <c r="D24" i="22"/>
  <c r="H28" i="22" l="1"/>
  <c r="E17" i="22"/>
  <c r="F17" i="22" s="1"/>
  <c r="G17" i="22" s="1"/>
  <c r="H17" i="22" s="1"/>
  <c r="I17" i="22" s="1"/>
  <c r="E16" i="22"/>
  <c r="F16" i="22" s="1"/>
  <c r="G16" i="22" s="1"/>
  <c r="H16" i="22" s="1"/>
  <c r="I16" i="22" s="1"/>
  <c r="E18" i="22"/>
  <c r="F18" i="22" s="1"/>
  <c r="G18" i="22" s="1"/>
  <c r="G27" i="22"/>
  <c r="H27" i="22" s="1"/>
  <c r="H18" i="22" l="1"/>
  <c r="I18" i="22" s="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C204" i="13" l="1"/>
  <c r="BC203" i="13"/>
  <c r="BC187" i="13"/>
  <c r="BC186" i="13"/>
  <c r="BC185" i="13"/>
  <c r="BC184" i="13"/>
  <c r="BC183" i="13"/>
  <c r="BC182" i="13"/>
  <c r="BC181" i="13"/>
  <c r="BC180" i="13"/>
  <c r="BC179" i="13"/>
  <c r="BC178" i="13"/>
  <c r="BC177" i="13"/>
  <c r="BC176" i="13"/>
  <c r="BC175" i="13"/>
  <c r="BC174" i="13"/>
  <c r="BC138" i="13"/>
  <c r="BC137" i="13"/>
  <c r="BC136" i="13"/>
  <c r="BC135" i="13"/>
  <c r="BC134" i="13"/>
  <c r="BC133" i="13"/>
  <c r="BC132" i="13"/>
  <c r="BC131" i="13"/>
  <c r="BC130" i="13"/>
  <c r="BC129" i="13"/>
  <c r="BC128" i="13"/>
  <c r="BC119" i="13"/>
  <c r="BC118" i="13"/>
  <c r="BC117" i="13"/>
  <c r="BC116" i="13"/>
  <c r="BC115" i="13"/>
  <c r="BC114" i="13"/>
  <c r="BC113" i="13"/>
  <c r="BC112" i="13"/>
  <c r="BC111" i="13"/>
  <c r="BC110" i="13"/>
  <c r="BC109" i="13"/>
  <c r="BC108" i="13"/>
  <c r="BC107" i="13"/>
  <c r="BC106" i="13"/>
  <c r="BC105" i="13"/>
  <c r="BC104" i="13"/>
  <c r="BC103" i="13"/>
  <c r="BC102" i="13"/>
  <c r="BC101" i="13"/>
  <c r="BC100" i="13"/>
  <c r="BC99" i="13"/>
  <c r="BC98" i="13"/>
  <c r="BC97" i="13"/>
  <c r="BC96" i="13"/>
  <c r="BC95" i="13"/>
  <c r="BC94" i="13"/>
  <c r="BC93" i="13"/>
  <c r="BC92" i="13"/>
  <c r="BC91" i="13"/>
  <c r="BC90" i="13"/>
  <c r="BC89" i="13"/>
  <c r="BC88" i="13"/>
  <c r="BC87" i="13"/>
  <c r="BC86" i="13"/>
  <c r="BC85" i="13"/>
  <c r="BC84" i="13"/>
  <c r="BC83" i="13"/>
  <c r="BC82" i="13"/>
  <c r="BC81" i="13"/>
  <c r="BC80" i="13"/>
  <c r="BC79" i="13"/>
  <c r="BC78" i="13"/>
  <c r="BC77" i="13"/>
  <c r="BC76" i="13"/>
  <c r="BC75" i="13"/>
  <c r="BC74" i="13"/>
  <c r="BC73" i="13"/>
  <c r="BC72" i="13"/>
  <c r="BC71" i="13"/>
  <c r="BC70" i="13"/>
  <c r="BC69" i="13"/>
  <c r="BC68" i="13"/>
  <c r="BC67" i="13"/>
  <c r="BC66" i="13"/>
  <c r="BC65" i="13"/>
  <c r="BC64" i="13"/>
  <c r="BC63" i="13"/>
  <c r="BC62" i="13"/>
  <c r="BC61" i="13"/>
  <c r="BC60" i="13"/>
  <c r="BC59" i="13"/>
  <c r="BC58" i="13"/>
  <c r="BC57" i="13"/>
  <c r="BC56" i="13"/>
  <c r="BC55" i="13"/>
  <c r="BC54" i="13"/>
  <c r="BC53" i="13"/>
  <c r="BC52" i="13"/>
  <c r="BC51" i="13"/>
  <c r="BC50" i="13"/>
  <c r="BC49" i="13"/>
  <c r="BC48" i="13"/>
  <c r="BC47" i="13"/>
  <c r="BC46" i="13"/>
  <c r="BC45" i="13"/>
  <c r="BC44" i="13"/>
  <c r="BC43" i="13"/>
  <c r="BC42" i="13"/>
  <c r="BC41" i="13"/>
  <c r="BC40" i="13"/>
  <c r="BC39" i="13"/>
  <c r="BC38" i="13"/>
  <c r="BC37" i="13"/>
  <c r="BC36" i="13"/>
  <c r="BC35" i="13"/>
  <c r="BC34" i="13"/>
  <c r="BC33" i="13"/>
  <c r="BC32" i="13"/>
  <c r="BC31" i="13"/>
  <c r="BC30" i="13"/>
  <c r="BC29" i="13"/>
  <c r="BC28" i="13"/>
  <c r="BC27" i="13"/>
  <c r="BC26" i="13"/>
  <c r="BC25" i="13"/>
  <c r="BC24" i="13"/>
  <c r="BC23" i="13"/>
  <c r="BC22" i="13"/>
  <c r="BC21" i="13"/>
  <c r="BC20" i="13"/>
  <c r="BC19" i="13"/>
  <c r="BC18" i="13"/>
  <c r="BC17" i="13"/>
  <c r="BC16" i="13"/>
  <c r="BC15" i="13"/>
  <c r="BC14" i="13"/>
  <c r="BC13" i="13"/>
  <c r="BC12" i="13"/>
  <c r="BC11" i="13"/>
  <c r="BC10" i="13"/>
  <c r="BC9" i="13"/>
  <c r="BC8" i="13"/>
  <c r="BC7" i="13"/>
  <c r="BC6" i="13"/>
  <c r="BC5" i="13"/>
  <c r="AH204" i="13"/>
  <c r="AH203" i="13"/>
  <c r="AH187" i="13"/>
  <c r="AH186" i="13"/>
  <c r="AH185" i="13"/>
  <c r="AH184" i="13"/>
  <c r="AH183" i="13"/>
  <c r="AH182" i="13"/>
  <c r="AH181" i="13"/>
  <c r="AH180" i="13"/>
  <c r="AH179" i="13"/>
  <c r="AH178" i="13"/>
  <c r="AH177" i="13"/>
  <c r="AH176" i="13"/>
  <c r="AH175" i="13"/>
  <c r="AH174" i="13"/>
  <c r="AH138" i="13"/>
  <c r="AH137" i="13"/>
  <c r="AH136" i="13"/>
  <c r="AH135" i="13"/>
  <c r="AH134" i="13"/>
  <c r="AH133" i="13"/>
  <c r="AH132" i="13"/>
  <c r="AH131" i="13"/>
  <c r="AH130" i="13"/>
  <c r="AH129" i="13"/>
  <c r="AH128" i="13"/>
  <c r="AH119" i="13"/>
  <c r="AH118" i="13"/>
  <c r="AH117" i="13"/>
  <c r="AH116" i="13"/>
  <c r="AH115" i="13"/>
  <c r="AH114" i="13"/>
  <c r="AH113" i="13"/>
  <c r="AH112" i="13"/>
  <c r="AH111" i="13"/>
  <c r="AH110" i="13"/>
  <c r="AH109" i="13"/>
  <c r="AH108" i="13"/>
  <c r="AH107" i="13"/>
  <c r="AH106" i="13"/>
  <c r="AH105" i="13"/>
  <c r="AH104" i="13"/>
  <c r="AH103" i="13"/>
  <c r="AH102" i="13"/>
  <c r="AH101" i="13"/>
  <c r="AH100" i="13"/>
  <c r="AH99" i="13"/>
  <c r="AH98" i="13"/>
  <c r="AH97" i="13"/>
  <c r="AH96" i="13"/>
  <c r="AH95" i="13"/>
  <c r="AH94" i="13"/>
  <c r="AH93" i="13"/>
  <c r="AH92" i="13"/>
  <c r="AH91" i="13"/>
  <c r="AH90" i="13"/>
  <c r="AH89" i="13"/>
  <c r="AH88" i="13"/>
  <c r="AH87" i="13"/>
  <c r="AH86" i="13"/>
  <c r="AH85" i="13"/>
  <c r="AH84" i="13"/>
  <c r="AH83" i="13"/>
  <c r="AH82" i="13"/>
  <c r="AH81" i="13"/>
  <c r="AH80" i="13"/>
  <c r="AH79" i="13"/>
  <c r="AH78" i="13"/>
  <c r="AH77" i="13"/>
  <c r="AH76" i="13"/>
  <c r="AH75" i="13"/>
  <c r="AH74" i="13"/>
  <c r="AH73" i="13"/>
  <c r="AH72" i="13"/>
  <c r="AH71" i="13"/>
  <c r="AH70" i="13"/>
  <c r="AH69" i="13"/>
  <c r="AH68" i="13"/>
  <c r="AH67" i="13"/>
  <c r="AH66" i="13"/>
  <c r="AH65" i="13"/>
  <c r="AH64" i="13"/>
  <c r="AH63" i="13"/>
  <c r="AH62" i="13"/>
  <c r="AH61" i="13"/>
  <c r="AH60" i="13"/>
  <c r="AH59" i="13"/>
  <c r="AH58" i="13"/>
  <c r="AH57" i="13"/>
  <c r="AH56" i="13"/>
  <c r="AH55" i="13"/>
  <c r="AH54" i="13"/>
  <c r="AH53" i="13"/>
  <c r="AH52" i="13"/>
  <c r="AH51" i="13"/>
  <c r="AH50" i="13"/>
  <c r="AH49" i="13"/>
  <c r="AH48" i="13"/>
  <c r="AH47" i="13"/>
  <c r="AH46" i="13"/>
  <c r="AH45" i="13"/>
  <c r="AH44" i="13"/>
  <c r="AH43" i="13"/>
  <c r="AH42" i="13"/>
  <c r="AH41" i="13"/>
  <c r="AH40" i="13"/>
  <c r="AH39" i="13"/>
  <c r="AH38" i="13"/>
  <c r="AH37" i="13"/>
  <c r="AH36" i="13"/>
  <c r="AH35" i="13"/>
  <c r="AH34" i="13"/>
  <c r="AH33" i="13"/>
  <c r="AH32" i="13"/>
  <c r="AH31" i="13"/>
  <c r="AH30" i="13"/>
  <c r="AH29" i="13"/>
  <c r="AH28" i="13"/>
  <c r="AH27" i="13"/>
  <c r="AH26" i="13"/>
  <c r="AH25" i="13"/>
  <c r="AH24" i="13"/>
  <c r="AH23" i="13"/>
  <c r="AH22" i="13"/>
  <c r="AH21" i="13"/>
  <c r="AH20" i="13"/>
  <c r="AH19" i="13"/>
  <c r="AH18" i="13"/>
  <c r="AH17" i="13"/>
  <c r="AH16" i="13"/>
  <c r="AH15" i="13"/>
  <c r="AH14" i="13"/>
  <c r="AH13" i="13"/>
  <c r="AH12" i="13"/>
  <c r="AH11" i="13"/>
  <c r="AH10" i="13"/>
  <c r="AH9" i="13"/>
  <c r="AH8" i="13"/>
  <c r="AH7" i="13"/>
  <c r="AH6" i="13"/>
  <c r="AH5" i="13"/>
  <c r="AI5" i="13" l="1"/>
  <c r="AP5" i="13"/>
  <c r="AX5" i="13"/>
  <c r="AQ5" i="13"/>
  <c r="BA5" i="13"/>
  <c r="AZ5" i="13"/>
  <c r="AY5" i="13"/>
  <c r="AR5" i="13"/>
  <c r="AK5" i="13"/>
  <c r="AU5" i="13"/>
  <c r="AT5" i="13"/>
  <c r="AS5" i="13"/>
  <c r="AL5" i="13"/>
  <c r="AV5" i="13"/>
  <c r="AW5" i="13"/>
  <c r="AO5" i="13"/>
  <c r="AJ5" i="13"/>
  <c r="AN5" i="13"/>
  <c r="AM5" i="13"/>
  <c r="AL21" i="13"/>
  <c r="BA21" i="13"/>
  <c r="AX21" i="13"/>
  <c r="AR21" i="13"/>
  <c r="AK21" i="13"/>
  <c r="AU21" i="13"/>
  <c r="AT21" i="13"/>
  <c r="AM21" i="13"/>
  <c r="AV21" i="13"/>
  <c r="AO21" i="13"/>
  <c r="AN21" i="13"/>
  <c r="AW21" i="13"/>
  <c r="AI21" i="13"/>
  <c r="AQ21" i="13"/>
  <c r="AY21" i="13"/>
  <c r="AP21" i="13"/>
  <c r="AS21" i="13"/>
  <c r="AJ21" i="13"/>
  <c r="AZ21" i="13"/>
  <c r="AS25" i="13"/>
  <c r="AL25" i="13"/>
  <c r="AZ25" i="13"/>
  <c r="AN25" i="13"/>
  <c r="AI25" i="13"/>
  <c r="AM25" i="13"/>
  <c r="AW25" i="13"/>
  <c r="AV25" i="13"/>
  <c r="BA25" i="13"/>
  <c r="AT25" i="13"/>
  <c r="AR25" i="13"/>
  <c r="AJ25" i="13"/>
  <c r="AQ25" i="13"/>
  <c r="AU25" i="13"/>
  <c r="AX25" i="13"/>
  <c r="AK25" i="13"/>
  <c r="AY25" i="13"/>
  <c r="AP25" i="13"/>
  <c r="AO25" i="13"/>
  <c r="AI29" i="13"/>
  <c r="AN29" i="13"/>
  <c r="AV29" i="13"/>
  <c r="AW29" i="13"/>
  <c r="BA29" i="13"/>
  <c r="AP29" i="13"/>
  <c r="AY29" i="13"/>
  <c r="AX29" i="13"/>
  <c r="AQ29" i="13"/>
  <c r="AU29" i="13"/>
  <c r="AS29" i="13"/>
  <c r="AK29" i="13"/>
  <c r="AO29" i="13"/>
  <c r="AM29" i="13"/>
  <c r="AJ29" i="13"/>
  <c r="AT29" i="13"/>
  <c r="AR29" i="13"/>
  <c r="AZ29" i="13"/>
  <c r="AL29" i="13"/>
  <c r="AQ33" i="13"/>
  <c r="AP33" i="13"/>
  <c r="AU33" i="13"/>
  <c r="AZ33" i="13"/>
  <c r="AS33" i="13"/>
  <c r="AK33" i="13"/>
  <c r="AL33" i="13"/>
  <c r="AX33" i="13"/>
  <c r="AM33" i="13"/>
  <c r="AR33" i="13"/>
  <c r="BA33" i="13"/>
  <c r="AT33" i="13"/>
  <c r="AV33" i="13"/>
  <c r="AN33" i="13"/>
  <c r="AJ33" i="13"/>
  <c r="AO33" i="13"/>
  <c r="AI33" i="13"/>
  <c r="AW33" i="13"/>
  <c r="AY33" i="13"/>
  <c r="AN37" i="13"/>
  <c r="AW37" i="13"/>
  <c r="AV37" i="13"/>
  <c r="AU37" i="13"/>
  <c r="AY37" i="13"/>
  <c r="AX37" i="13"/>
  <c r="AQ37" i="13"/>
  <c r="AL37" i="13"/>
  <c r="AJ37" i="13"/>
  <c r="AT37" i="13"/>
  <c r="AS37" i="13"/>
  <c r="AK37" i="13"/>
  <c r="BA37" i="13"/>
  <c r="AP37" i="13"/>
  <c r="AO37" i="13"/>
  <c r="AM37" i="13"/>
  <c r="AR37" i="13"/>
  <c r="AZ37" i="13"/>
  <c r="AI37" i="13"/>
  <c r="AU41" i="13"/>
  <c r="AZ41" i="13"/>
  <c r="AS41" i="13"/>
  <c r="AR41" i="13"/>
  <c r="AQ41" i="13"/>
  <c r="AO41" i="13"/>
  <c r="AT41" i="13"/>
  <c r="AM41" i="13"/>
  <c r="AL41" i="13"/>
  <c r="AK41" i="13"/>
  <c r="AI41" i="13"/>
  <c r="AJ41" i="13"/>
  <c r="AV41" i="13"/>
  <c r="AX41" i="13"/>
  <c r="BA41" i="13"/>
  <c r="AW41" i="13"/>
  <c r="AN41" i="13"/>
  <c r="AY41" i="13"/>
  <c r="AP41" i="13"/>
  <c r="AV45" i="13"/>
  <c r="BA45" i="13"/>
  <c r="AQ45" i="13"/>
  <c r="AL45" i="13"/>
  <c r="AX45" i="13"/>
  <c r="AR45" i="13"/>
  <c r="AK45" i="13"/>
  <c r="AU45" i="13"/>
  <c r="AZ45" i="13"/>
  <c r="AY45" i="13"/>
  <c r="AO45" i="13"/>
  <c r="AS45" i="13"/>
  <c r="AI45" i="13"/>
  <c r="AW45" i="13"/>
  <c r="AT45" i="13"/>
  <c r="AP45" i="13"/>
  <c r="AN45" i="13"/>
  <c r="AJ45" i="13"/>
  <c r="AM45" i="13"/>
  <c r="AS49" i="13"/>
  <c r="AR49" i="13"/>
  <c r="AK49" i="13"/>
  <c r="AJ49" i="13"/>
  <c r="AI49" i="13"/>
  <c r="AM49" i="13"/>
  <c r="AW49" i="13"/>
  <c r="AP49" i="13"/>
  <c r="AT49" i="13"/>
  <c r="AZ49" i="13"/>
  <c r="AQ49" i="13"/>
  <c r="BA49" i="13"/>
  <c r="AL49" i="13"/>
  <c r="AO49" i="13"/>
  <c r="AN49" i="13"/>
  <c r="AX49" i="13"/>
  <c r="AV49" i="13"/>
  <c r="AU49" i="13"/>
  <c r="AY49" i="13"/>
  <c r="AI53" i="13"/>
  <c r="AN53" i="13"/>
  <c r="AM53" i="13"/>
  <c r="AW53" i="13"/>
  <c r="BA53" i="13"/>
  <c r="AP53" i="13"/>
  <c r="AV53" i="13"/>
  <c r="AX53" i="13"/>
  <c r="AQ53" i="13"/>
  <c r="AZ53" i="13"/>
  <c r="AR53" i="13"/>
  <c r="AT53" i="13"/>
  <c r="AL53" i="13"/>
  <c r="AS53" i="13"/>
  <c r="AU53" i="13"/>
  <c r="AK53" i="13"/>
  <c r="AO53" i="13"/>
  <c r="AY53" i="13"/>
  <c r="AJ53" i="13"/>
  <c r="AQ57" i="13"/>
  <c r="AP57" i="13"/>
  <c r="AU57" i="13"/>
  <c r="AZ57" i="13"/>
  <c r="AS57" i="13"/>
  <c r="AK57" i="13"/>
  <c r="AJ57" i="13"/>
  <c r="AO57" i="13"/>
  <c r="AT57" i="13"/>
  <c r="AM57" i="13"/>
  <c r="AX57" i="13"/>
  <c r="AI57" i="13"/>
  <c r="AV57" i="13"/>
  <c r="AN57" i="13"/>
  <c r="AL57" i="13"/>
  <c r="AY57" i="13"/>
  <c r="BA57" i="13"/>
  <c r="AR57" i="13"/>
  <c r="AW57" i="13"/>
  <c r="AX61" i="13"/>
  <c r="AW61" i="13"/>
  <c r="AP61" i="13"/>
  <c r="AU61" i="13"/>
  <c r="AS61" i="13"/>
  <c r="AZ61" i="13"/>
  <c r="AJ61" i="13"/>
  <c r="AI61" i="13"/>
  <c r="AM61" i="13"/>
  <c r="AQ61" i="13"/>
  <c r="AT61" i="13"/>
  <c r="AN61" i="13"/>
  <c r="AY61" i="13"/>
  <c r="AV61" i="13"/>
  <c r="AR61" i="13"/>
  <c r="BA61" i="13"/>
  <c r="AK61" i="13"/>
  <c r="AO61" i="13"/>
  <c r="AL61" i="13"/>
  <c r="AU65" i="13"/>
  <c r="AZ65" i="13"/>
  <c r="AY65" i="13"/>
  <c r="AX65" i="13"/>
  <c r="AQ65" i="13"/>
  <c r="AO65" i="13"/>
  <c r="AT65" i="13"/>
  <c r="AS65" i="13"/>
  <c r="AR65" i="13"/>
  <c r="AK65" i="13"/>
  <c r="AN65" i="13"/>
  <c r="AL65" i="13"/>
  <c r="BA65" i="13"/>
  <c r="AV65" i="13"/>
  <c r="AW65" i="13"/>
  <c r="AJ65" i="13"/>
  <c r="AM65" i="13"/>
  <c r="AP65" i="13"/>
  <c r="AI65" i="13"/>
  <c r="AR69" i="13"/>
  <c r="BA69" i="13"/>
  <c r="AX69" i="13"/>
  <c r="AY69" i="13"/>
  <c r="AW69" i="13"/>
  <c r="AV69" i="13"/>
  <c r="AU69" i="13"/>
  <c r="AZ69" i="13"/>
  <c r="AS69" i="13"/>
  <c r="AP69" i="13"/>
  <c r="AT69" i="13"/>
  <c r="AO69" i="13"/>
  <c r="AL69" i="13"/>
  <c r="AQ69" i="13"/>
  <c r="AI69" i="13"/>
  <c r="AK69" i="13"/>
  <c r="AN69" i="13"/>
  <c r="AM69" i="13"/>
  <c r="AJ69" i="13"/>
  <c r="AS73" i="13"/>
  <c r="AL73" i="13"/>
  <c r="AN73" i="13"/>
  <c r="AZ73" i="13"/>
  <c r="AI73" i="13"/>
  <c r="AY73" i="13"/>
  <c r="AW73" i="13"/>
  <c r="AP73" i="13"/>
  <c r="AO73" i="13"/>
  <c r="AM73" i="13"/>
  <c r="AQ73" i="13"/>
  <c r="AJ73" i="13"/>
  <c r="AT73" i="13"/>
  <c r="AR73" i="13"/>
  <c r="AU73" i="13"/>
  <c r="AK73" i="13"/>
  <c r="BA73" i="13"/>
  <c r="AX73" i="13"/>
  <c r="AV73" i="13"/>
  <c r="AI77" i="13"/>
  <c r="AY77" i="13"/>
  <c r="AX77" i="13"/>
  <c r="AW77" i="13"/>
  <c r="BA77" i="13"/>
  <c r="AZ77" i="13"/>
  <c r="AS77" i="13"/>
  <c r="AR77" i="13"/>
  <c r="AQ77" i="13"/>
  <c r="AU77" i="13"/>
  <c r="AM77" i="13"/>
  <c r="AK77" i="13"/>
  <c r="AO77" i="13"/>
  <c r="AP77" i="13"/>
  <c r="AJ77" i="13"/>
  <c r="AV77" i="13"/>
  <c r="AT77" i="13"/>
  <c r="AL77" i="13"/>
  <c r="AN77" i="13"/>
  <c r="AQ81" i="13"/>
  <c r="AJ81" i="13"/>
  <c r="AI81" i="13"/>
  <c r="AN81" i="13"/>
  <c r="AM81" i="13"/>
  <c r="AK81" i="13"/>
  <c r="BA81" i="13"/>
  <c r="AR81" i="13"/>
  <c r="AL81" i="13"/>
  <c r="AX81" i="13"/>
  <c r="AU81" i="13"/>
  <c r="AY81" i="13"/>
  <c r="AV81" i="13"/>
  <c r="AT81" i="13"/>
  <c r="AP81" i="13"/>
  <c r="AS81" i="13"/>
  <c r="AO81" i="13"/>
  <c r="AW81" i="13"/>
  <c r="AZ81" i="13"/>
  <c r="AY85" i="13"/>
  <c r="AX85" i="13"/>
  <c r="AW85" i="13"/>
  <c r="AV85" i="13"/>
  <c r="AU85" i="13"/>
  <c r="AS85" i="13"/>
  <c r="AR85" i="13"/>
  <c r="AQ85" i="13"/>
  <c r="AP85" i="13"/>
  <c r="AO85" i="13"/>
  <c r="AN85" i="13"/>
  <c r="AZ85" i="13"/>
  <c r="AL85" i="13"/>
  <c r="AJ85" i="13"/>
  <c r="AK85" i="13"/>
  <c r="BA85" i="13"/>
  <c r="AM85" i="13"/>
  <c r="AI85" i="13"/>
  <c r="AT85" i="13"/>
  <c r="AU89" i="13"/>
  <c r="AZ89" i="13"/>
  <c r="AS89" i="13"/>
  <c r="AR89" i="13"/>
  <c r="AK89" i="13"/>
  <c r="AO89" i="13"/>
  <c r="AT89" i="13"/>
  <c r="AM89" i="13"/>
  <c r="AL89" i="13"/>
  <c r="AV89" i="13"/>
  <c r="AI89" i="13"/>
  <c r="AJ89" i="13"/>
  <c r="AP89" i="13"/>
  <c r="AX89" i="13"/>
  <c r="AY89" i="13"/>
  <c r="AW89" i="13"/>
  <c r="AN89" i="13"/>
  <c r="AQ89" i="13"/>
  <c r="BA89" i="13"/>
  <c r="AV93" i="13"/>
  <c r="BA93" i="13"/>
  <c r="AX93" i="13"/>
  <c r="AY93" i="13"/>
  <c r="AW93" i="13"/>
  <c r="AP93" i="13"/>
  <c r="AU93" i="13"/>
  <c r="AZ93" i="13"/>
  <c r="AS93" i="13"/>
  <c r="AQ93" i="13"/>
  <c r="AO93" i="13"/>
  <c r="AM93" i="13"/>
  <c r="AL93" i="13"/>
  <c r="AR93" i="13"/>
  <c r="AI93" i="13"/>
  <c r="AK93" i="13"/>
  <c r="AT93" i="13"/>
  <c r="AN93" i="13"/>
  <c r="AJ93" i="13"/>
  <c r="AM97" i="13"/>
  <c r="AL97" i="13"/>
  <c r="AK97" i="13"/>
  <c r="BA97" i="13"/>
  <c r="AT97" i="13"/>
  <c r="AZ97" i="13"/>
  <c r="AN97" i="13"/>
  <c r="AV97" i="13"/>
  <c r="AU97" i="13"/>
  <c r="AR97" i="13"/>
  <c r="AJ97" i="13"/>
  <c r="AY97" i="13"/>
  <c r="AW97" i="13"/>
  <c r="AO97" i="13"/>
  <c r="AX97" i="13"/>
  <c r="AQ97" i="13"/>
  <c r="AP97" i="13"/>
  <c r="AI97" i="13"/>
  <c r="AS97" i="13"/>
  <c r="AI101" i="13"/>
  <c r="AN101" i="13"/>
  <c r="AX101" i="13"/>
  <c r="AW101" i="13"/>
  <c r="BA101" i="13"/>
  <c r="AJ101" i="13"/>
  <c r="AY101" i="13"/>
  <c r="AR101" i="13"/>
  <c r="AQ101" i="13"/>
  <c r="AZ101" i="13"/>
  <c r="AL101" i="13"/>
  <c r="AT101" i="13"/>
  <c r="AV101" i="13"/>
  <c r="AO101" i="13"/>
  <c r="AP101" i="13"/>
  <c r="AS101" i="13"/>
  <c r="AU101" i="13"/>
  <c r="AM101" i="13"/>
  <c r="AK101" i="13"/>
  <c r="AQ105" i="13"/>
  <c r="AJ105" i="13"/>
  <c r="AI105" i="13"/>
  <c r="AN105" i="13"/>
  <c r="AM105" i="13"/>
  <c r="AK105" i="13"/>
  <c r="BA105" i="13"/>
  <c r="AX105" i="13"/>
  <c r="AR105" i="13"/>
  <c r="AL105" i="13"/>
  <c r="AV105" i="13"/>
  <c r="AZ105" i="13"/>
  <c r="AW105" i="13"/>
  <c r="AT105" i="13"/>
  <c r="AP105" i="13"/>
  <c r="AY105" i="13"/>
  <c r="AU105" i="13"/>
  <c r="AS105" i="13"/>
  <c r="AO105" i="13"/>
  <c r="AY109" i="13"/>
  <c r="AX109" i="13"/>
  <c r="AQ109" i="13"/>
  <c r="AP109" i="13"/>
  <c r="AU109" i="13"/>
  <c r="AS109" i="13"/>
  <c r="AR109" i="13"/>
  <c r="AK109" i="13"/>
  <c r="AJ109" i="13"/>
  <c r="AO109" i="13"/>
  <c r="AW109" i="13"/>
  <c r="BA109" i="13"/>
  <c r="AM109" i="13"/>
  <c r="AN109" i="13"/>
  <c r="AI109" i="13"/>
  <c r="AT109" i="13"/>
  <c r="AZ109" i="13"/>
  <c r="AL109" i="13"/>
  <c r="AV109" i="13"/>
  <c r="AO113" i="13"/>
  <c r="AT113" i="13"/>
  <c r="AM113" i="13"/>
  <c r="AV113" i="13"/>
  <c r="AJ113" i="13"/>
  <c r="AI113" i="13"/>
  <c r="AN113" i="13"/>
  <c r="AX113" i="13"/>
  <c r="AW113" i="13"/>
  <c r="AZ113" i="13"/>
  <c r="AL113" i="13"/>
  <c r="BA113" i="13"/>
  <c r="AY113" i="13"/>
  <c r="AQ113" i="13"/>
  <c r="AR113" i="13"/>
  <c r="AU113" i="13"/>
  <c r="AK113" i="13"/>
  <c r="AP113" i="13"/>
  <c r="AS113" i="13"/>
  <c r="AX117" i="13"/>
  <c r="AL117" i="13"/>
  <c r="AI117" i="13"/>
  <c r="AR117" i="13"/>
  <c r="AW117" i="13"/>
  <c r="AV117" i="13"/>
  <c r="BA117" i="13"/>
  <c r="AZ117" i="13"/>
  <c r="AY117" i="13"/>
  <c r="AP117" i="13"/>
  <c r="AT117" i="13"/>
  <c r="AJ117" i="13"/>
  <c r="AS117" i="13"/>
  <c r="AU117" i="13"/>
  <c r="AM117" i="13"/>
  <c r="AQ117" i="13"/>
  <c r="AO117" i="13"/>
  <c r="AK117" i="13"/>
  <c r="AN117" i="13"/>
  <c r="AM129" i="13"/>
  <c r="AL129" i="13"/>
  <c r="AK129" i="13"/>
  <c r="BA129" i="13"/>
  <c r="AN129" i="13"/>
  <c r="AT129" i="13"/>
  <c r="AZ129" i="13"/>
  <c r="AV129" i="13"/>
  <c r="AU129" i="13"/>
  <c r="AS129" i="13"/>
  <c r="AQ129" i="13"/>
  <c r="AI129" i="13"/>
  <c r="AX129" i="13"/>
  <c r="AP129" i="13"/>
  <c r="AW129" i="13"/>
  <c r="AJ129" i="13"/>
  <c r="AY129" i="13"/>
  <c r="AO129" i="13"/>
  <c r="AR129" i="13"/>
  <c r="BA133" i="13"/>
  <c r="AV133" i="13"/>
  <c r="AY133" i="13"/>
  <c r="AX133" i="13"/>
  <c r="AQ133" i="13"/>
  <c r="AU133" i="13"/>
  <c r="AZ133" i="13"/>
  <c r="AS133" i="13"/>
  <c r="AR133" i="13"/>
  <c r="AK133" i="13"/>
  <c r="AN133" i="13"/>
  <c r="AW133" i="13"/>
  <c r="AO133" i="13"/>
  <c r="AM133" i="13"/>
  <c r="AJ133" i="13"/>
  <c r="AT133" i="13"/>
  <c r="AP133" i="13"/>
  <c r="AI133" i="13"/>
  <c r="AL133" i="13"/>
  <c r="AQ137" i="13"/>
  <c r="AJ137" i="13"/>
  <c r="AI137" i="13"/>
  <c r="AR137" i="13"/>
  <c r="AX137" i="13"/>
  <c r="AK137" i="13"/>
  <c r="BA137" i="13"/>
  <c r="AZ137" i="13"/>
  <c r="AY137" i="13"/>
  <c r="AL137" i="13"/>
  <c r="AU137" i="13"/>
  <c r="AS137" i="13"/>
  <c r="AW137" i="13"/>
  <c r="AT137" i="13"/>
  <c r="AV137" i="13"/>
  <c r="AN137" i="13"/>
  <c r="AP137" i="13"/>
  <c r="AM137" i="13"/>
  <c r="AO137" i="13"/>
  <c r="AM177" i="13"/>
  <c r="AN177" i="13"/>
  <c r="AZ177" i="13"/>
  <c r="BA177" i="13"/>
  <c r="AT177" i="13"/>
  <c r="AX177" i="13"/>
  <c r="AW177" i="13"/>
  <c r="AV177" i="13"/>
  <c r="AU177" i="13"/>
  <c r="AL177" i="13"/>
  <c r="AJ177" i="13"/>
  <c r="AO177" i="13"/>
  <c r="AY177" i="13"/>
  <c r="AQ177" i="13"/>
  <c r="AP177" i="13"/>
  <c r="AS177" i="13"/>
  <c r="AI177" i="13"/>
  <c r="AR177" i="13"/>
  <c r="AK177" i="13"/>
  <c r="BA181" i="13"/>
  <c r="AP181" i="13"/>
  <c r="AY181" i="13"/>
  <c r="AX181" i="13"/>
  <c r="AW181" i="13"/>
  <c r="AU181" i="13"/>
  <c r="AZ181" i="13"/>
  <c r="AS181" i="13"/>
  <c r="AR181" i="13"/>
  <c r="AQ181" i="13"/>
  <c r="AI181" i="13"/>
  <c r="AV181" i="13"/>
  <c r="AT181" i="13"/>
  <c r="AL181" i="13"/>
  <c r="AM181" i="13"/>
  <c r="AJ181" i="13"/>
  <c r="AN181" i="13"/>
  <c r="AK181" i="13"/>
  <c r="AO181" i="13"/>
  <c r="AQ185" i="13"/>
  <c r="AJ185" i="13"/>
  <c r="AO185" i="13"/>
  <c r="AT185" i="13"/>
  <c r="AM185" i="13"/>
  <c r="AK185" i="13"/>
  <c r="AL185" i="13"/>
  <c r="AI185" i="13"/>
  <c r="AN185" i="13"/>
  <c r="AR185" i="13"/>
  <c r="AW185" i="13"/>
  <c r="AU185" i="13"/>
  <c r="AS185" i="13"/>
  <c r="BA185" i="13"/>
  <c r="AX185" i="13"/>
  <c r="AV185" i="13"/>
  <c r="AZ185" i="13"/>
  <c r="AP185" i="13"/>
  <c r="AY185" i="13"/>
  <c r="AY204" i="13"/>
  <c r="AX204" i="13"/>
  <c r="AW204" i="13"/>
  <c r="AP204" i="13"/>
  <c r="AU204" i="13"/>
  <c r="AS204" i="13"/>
  <c r="AR204" i="13"/>
  <c r="AQ204" i="13"/>
  <c r="AJ204" i="13"/>
  <c r="AO204" i="13"/>
  <c r="AN204" i="13"/>
  <c r="BA204" i="13"/>
  <c r="AK204" i="13"/>
  <c r="AM204" i="13"/>
  <c r="AI204" i="13"/>
  <c r="AL204" i="13"/>
  <c r="AV204" i="13"/>
  <c r="AT204" i="13"/>
  <c r="AZ204" i="13"/>
  <c r="AU17" i="13"/>
  <c r="AT17" i="13"/>
  <c r="AM17" i="13"/>
  <c r="AL17" i="13"/>
  <c r="AK17" i="13"/>
  <c r="AO17" i="13"/>
  <c r="AN17" i="13"/>
  <c r="AP17" i="13"/>
  <c r="AJ17" i="13"/>
  <c r="AV17" i="13"/>
  <c r="AI17" i="13"/>
  <c r="AY17" i="13"/>
  <c r="AW17" i="13"/>
  <c r="AS17" i="13"/>
  <c r="AQ17" i="13"/>
  <c r="AR17" i="13"/>
  <c r="BA17" i="13"/>
  <c r="AX17" i="13"/>
  <c r="AZ17" i="13"/>
  <c r="AR14" i="13"/>
  <c r="AK14" i="13"/>
  <c r="AJ14" i="13"/>
  <c r="AI14" i="13"/>
  <c r="AS14" i="13"/>
  <c r="AL14" i="13"/>
  <c r="AM14" i="13"/>
  <c r="BA14" i="13"/>
  <c r="AZ14" i="13"/>
  <c r="AY14" i="13"/>
  <c r="AX14" i="13"/>
  <c r="AP14" i="13"/>
  <c r="AN14" i="13"/>
  <c r="AW14" i="13"/>
  <c r="AU14" i="13"/>
  <c r="AV14" i="13"/>
  <c r="AO14" i="13"/>
  <c r="AT14" i="13"/>
  <c r="AQ14" i="13"/>
  <c r="AN18" i="13"/>
  <c r="AM18" i="13"/>
  <c r="AL18" i="13"/>
  <c r="AV18" i="13"/>
  <c r="BA18" i="13"/>
  <c r="AO18" i="13"/>
  <c r="AU18" i="13"/>
  <c r="AW18" i="13"/>
  <c r="AP18" i="13"/>
  <c r="AS18" i="13"/>
  <c r="AK18" i="13"/>
  <c r="AZ18" i="13"/>
  <c r="AX18" i="13"/>
  <c r="AJ18" i="13"/>
  <c r="AQ18" i="13"/>
  <c r="AT18" i="13"/>
  <c r="AI18" i="13"/>
  <c r="AY18" i="13"/>
  <c r="AR18" i="13"/>
  <c r="AV22" i="13"/>
  <c r="AU22" i="13"/>
  <c r="AZ22" i="13"/>
  <c r="AS22" i="13"/>
  <c r="AL22" i="13"/>
  <c r="AO22" i="13"/>
  <c r="AN22" i="13"/>
  <c r="AR22" i="13"/>
  <c r="AP22" i="13"/>
  <c r="AI22" i="13"/>
  <c r="AY22" i="13"/>
  <c r="AQ22" i="13"/>
  <c r="AJ22" i="13"/>
  <c r="AW22" i="13"/>
  <c r="AM22" i="13"/>
  <c r="AK22" i="13"/>
  <c r="BA22" i="13"/>
  <c r="AT22" i="13"/>
  <c r="AX22" i="13"/>
  <c r="AW26" i="13"/>
  <c r="AV26" i="13"/>
  <c r="AS26" i="13"/>
  <c r="AI26" i="13"/>
  <c r="AX26" i="13"/>
  <c r="AQ26" i="13"/>
  <c r="AP26" i="13"/>
  <c r="BA26" i="13"/>
  <c r="AL26" i="13"/>
  <c r="AY26" i="13"/>
  <c r="AT26" i="13"/>
  <c r="AU26" i="13"/>
  <c r="AN26" i="13"/>
  <c r="AK26" i="13"/>
  <c r="AR26" i="13"/>
  <c r="AZ26" i="13"/>
  <c r="AM26" i="13"/>
  <c r="AJ26" i="13"/>
  <c r="AO26" i="13"/>
  <c r="AZ30" i="13"/>
  <c r="AS30" i="13"/>
  <c r="AR30" i="13"/>
  <c r="AQ30" i="13"/>
  <c r="AP30" i="13"/>
  <c r="AT30" i="13"/>
  <c r="AM30" i="13"/>
  <c r="AL30" i="13"/>
  <c r="AK30" i="13"/>
  <c r="AJ30" i="13"/>
  <c r="AX30" i="13"/>
  <c r="AV30" i="13"/>
  <c r="AN30" i="13"/>
  <c r="BA30" i="13"/>
  <c r="AU30" i="13"/>
  <c r="AO30" i="13"/>
  <c r="AW30" i="13"/>
  <c r="AI30" i="13"/>
  <c r="AY30" i="13"/>
  <c r="AJ34" i="13"/>
  <c r="AI34" i="13"/>
  <c r="AQ34" i="13"/>
  <c r="AK34" i="13"/>
  <c r="AW34" i="13"/>
  <c r="AU34" i="13"/>
  <c r="AN34" i="13"/>
  <c r="AX34" i="13"/>
  <c r="AV34" i="13"/>
  <c r="AO34" i="13"/>
  <c r="AY34" i="13"/>
  <c r="AR34" i="13"/>
  <c r="AP34" i="13"/>
  <c r="AZ34" i="13"/>
  <c r="AS34" i="13"/>
  <c r="AL34" i="13"/>
  <c r="AT34" i="13"/>
  <c r="BA34" i="13"/>
  <c r="AM34" i="13"/>
  <c r="AR38" i="13"/>
  <c r="AK38" i="13"/>
  <c r="AJ38" i="13"/>
  <c r="AO38" i="13"/>
  <c r="AN38" i="13"/>
  <c r="AX38" i="13"/>
  <c r="AM38" i="13"/>
  <c r="BA38" i="13"/>
  <c r="AT38" i="13"/>
  <c r="AV38" i="13"/>
  <c r="AU38" i="13"/>
  <c r="AL38" i="13"/>
  <c r="AY38" i="13"/>
  <c r="AS38" i="13"/>
  <c r="AW38" i="13"/>
  <c r="AI38" i="13"/>
  <c r="AQ38" i="13"/>
  <c r="AZ38" i="13"/>
  <c r="AP38" i="13"/>
  <c r="AN42" i="13"/>
  <c r="AI42" i="13"/>
  <c r="AO42" i="13"/>
  <c r="BA42" i="13"/>
  <c r="AU42" i="13"/>
  <c r="AY42" i="13"/>
  <c r="AX42" i="13"/>
  <c r="AW42" i="13"/>
  <c r="AV42" i="13"/>
  <c r="AT42" i="13"/>
  <c r="AL42" i="13"/>
  <c r="AJ42" i="13"/>
  <c r="AS42" i="13"/>
  <c r="AQ42" i="13"/>
  <c r="AZ42" i="13"/>
  <c r="AP42" i="13"/>
  <c r="AM42" i="13"/>
  <c r="AK42" i="13"/>
  <c r="AR42" i="13"/>
  <c r="AV46" i="13"/>
  <c r="BA46" i="13"/>
  <c r="AW46" i="13"/>
  <c r="AY46" i="13"/>
  <c r="AR46" i="13"/>
  <c r="AQ46" i="13"/>
  <c r="AZ46" i="13"/>
  <c r="AM46" i="13"/>
  <c r="AU46" i="13"/>
  <c r="AT46" i="13"/>
  <c r="AX46" i="13"/>
  <c r="AP46" i="13"/>
  <c r="AO46" i="13"/>
  <c r="AN46" i="13"/>
  <c r="AL46" i="13"/>
  <c r="AS46" i="13"/>
  <c r="AK46" i="13"/>
  <c r="AJ46" i="13"/>
  <c r="AI46" i="13"/>
  <c r="AW50" i="13"/>
  <c r="AV50" i="13"/>
  <c r="AU50" i="13"/>
  <c r="AZ50" i="13"/>
  <c r="AX50" i="13"/>
  <c r="AK50" i="13"/>
  <c r="BA50" i="13"/>
  <c r="AT50" i="13"/>
  <c r="AR50" i="13"/>
  <c r="AO50" i="13"/>
  <c r="AN50" i="13"/>
  <c r="AM50" i="13"/>
  <c r="AQ50" i="13"/>
  <c r="AS50" i="13"/>
  <c r="AP50" i="13"/>
  <c r="AY50" i="13"/>
  <c r="AJ50" i="13"/>
  <c r="AL50" i="13"/>
  <c r="AI50" i="13"/>
  <c r="AZ54" i="13"/>
  <c r="AS54" i="13"/>
  <c r="AL54" i="13"/>
  <c r="AK54" i="13"/>
  <c r="AJ54" i="13"/>
  <c r="AT54" i="13"/>
  <c r="AM54" i="13"/>
  <c r="AO54" i="13"/>
  <c r="BA54" i="13"/>
  <c r="AU54" i="13"/>
  <c r="AY54" i="13"/>
  <c r="AQ54" i="13"/>
  <c r="AX54" i="13"/>
  <c r="AV54" i="13"/>
  <c r="AW54" i="13"/>
  <c r="AP54" i="13"/>
  <c r="AR54" i="13"/>
  <c r="AI54" i="13"/>
  <c r="AN54" i="13"/>
  <c r="AJ58" i="13"/>
  <c r="AI58" i="13"/>
  <c r="AN58" i="13"/>
  <c r="AQ58" i="13"/>
  <c r="AK58" i="13"/>
  <c r="BA58" i="13"/>
  <c r="AZ58" i="13"/>
  <c r="AM58" i="13"/>
  <c r="AU58" i="13"/>
  <c r="AT58" i="13"/>
  <c r="AX58" i="13"/>
  <c r="AV58" i="13"/>
  <c r="AO58" i="13"/>
  <c r="AY58" i="13"/>
  <c r="AR58" i="13"/>
  <c r="AL58" i="13"/>
  <c r="AP58" i="13"/>
  <c r="AW58" i="13"/>
  <c r="AS58" i="13"/>
  <c r="AR62" i="13"/>
  <c r="AQ62" i="13"/>
  <c r="AJ62" i="13"/>
  <c r="AO62" i="13"/>
  <c r="AN62" i="13"/>
  <c r="AW62" i="13"/>
  <c r="AS62" i="13"/>
  <c r="AZ62" i="13"/>
  <c r="AX62" i="13"/>
  <c r="BA62" i="13"/>
  <c r="AT62" i="13"/>
  <c r="AK62" i="13"/>
  <c r="AP62" i="13"/>
  <c r="AL62" i="13"/>
  <c r="AU62" i="13"/>
  <c r="AY62" i="13"/>
  <c r="AI62" i="13"/>
  <c r="AV62" i="13"/>
  <c r="AM62" i="13"/>
  <c r="AN66" i="13"/>
  <c r="AM66" i="13"/>
  <c r="AO66" i="13"/>
  <c r="AU66" i="13"/>
  <c r="AI66" i="13"/>
  <c r="BA66" i="13"/>
  <c r="AX66" i="13"/>
  <c r="AW66" i="13"/>
  <c r="AV66" i="13"/>
  <c r="AS66" i="13"/>
  <c r="AK66" i="13"/>
  <c r="AZ66" i="13"/>
  <c r="AR66" i="13"/>
  <c r="AP66" i="13"/>
  <c r="AY66" i="13"/>
  <c r="AL66" i="13"/>
  <c r="AT66" i="13"/>
  <c r="AQ66" i="13"/>
  <c r="AJ66" i="13"/>
  <c r="AV70" i="13"/>
  <c r="AU70" i="13"/>
  <c r="AZ70" i="13"/>
  <c r="AS70" i="13"/>
  <c r="AL70" i="13"/>
  <c r="AJ70" i="13"/>
  <c r="AK70" i="13"/>
  <c r="AM70" i="13"/>
  <c r="AQ70" i="13"/>
  <c r="BA70" i="13"/>
  <c r="AT70" i="13"/>
  <c r="AX70" i="13"/>
  <c r="AO70" i="13"/>
  <c r="AN70" i="13"/>
  <c r="AR70" i="13"/>
  <c r="AP70" i="13"/>
  <c r="AI70" i="13"/>
  <c r="AY70" i="13"/>
  <c r="AW70" i="13"/>
  <c r="AM74" i="13"/>
  <c r="AS74" i="13"/>
  <c r="BA74" i="13"/>
  <c r="AZ74" i="13"/>
  <c r="AW74" i="13"/>
  <c r="AP74" i="13"/>
  <c r="AI74" i="13"/>
  <c r="AX74" i="13"/>
  <c r="AJ74" i="13"/>
  <c r="AT74" i="13"/>
  <c r="AQ74" i="13"/>
  <c r="AL74" i="13"/>
  <c r="AO74" i="13"/>
  <c r="AK74" i="13"/>
  <c r="AN74" i="13"/>
  <c r="AV74" i="13"/>
  <c r="AY74" i="13"/>
  <c r="AR74" i="13"/>
  <c r="AU74" i="13"/>
  <c r="AZ78" i="13"/>
  <c r="AY78" i="13"/>
  <c r="AX78" i="13"/>
  <c r="AW78" i="13"/>
  <c r="AP78" i="13"/>
  <c r="AT78" i="13"/>
  <c r="AS78" i="13"/>
  <c r="AR78" i="13"/>
  <c r="AQ78" i="13"/>
  <c r="AJ78" i="13"/>
  <c r="AI78" i="13"/>
  <c r="AV78" i="13"/>
  <c r="AN78" i="13"/>
  <c r="AL78" i="13"/>
  <c r="AU78" i="13"/>
  <c r="AK78" i="13"/>
  <c r="AO78" i="13"/>
  <c r="AM78" i="13"/>
  <c r="BA78" i="13"/>
  <c r="AJ82" i="13"/>
  <c r="AI82" i="13"/>
  <c r="AN82" i="13"/>
  <c r="AM82" i="13"/>
  <c r="AL82" i="13"/>
  <c r="AP82" i="13"/>
  <c r="AQ82" i="13"/>
  <c r="AY82" i="13"/>
  <c r="AR82" i="13"/>
  <c r="BA82" i="13"/>
  <c r="AZ82" i="13"/>
  <c r="AS82" i="13"/>
  <c r="AU82" i="13"/>
  <c r="AT82" i="13"/>
  <c r="AW82" i="13"/>
  <c r="AO82" i="13"/>
  <c r="AV82" i="13"/>
  <c r="AK82" i="13"/>
  <c r="AX82" i="13"/>
  <c r="AR86" i="13"/>
  <c r="AK86" i="13"/>
  <c r="AY86" i="13"/>
  <c r="AO86" i="13"/>
  <c r="AN86" i="13"/>
  <c r="AW86" i="13"/>
  <c r="AJ86" i="13"/>
  <c r="AI86" i="13"/>
  <c r="AQ86" i="13"/>
  <c r="AM86" i="13"/>
  <c r="AZ86" i="13"/>
  <c r="AP86" i="13"/>
  <c r="AS86" i="13"/>
  <c r="AX86" i="13"/>
  <c r="BA86" i="13"/>
  <c r="AL86" i="13"/>
  <c r="AU86" i="13"/>
  <c r="AV86" i="13"/>
  <c r="AT86" i="13"/>
  <c r="AN90" i="13"/>
  <c r="AM90" i="13"/>
  <c r="AL90" i="13"/>
  <c r="AK90" i="13"/>
  <c r="AJ90" i="13"/>
  <c r="BA90" i="13"/>
  <c r="AO90" i="13"/>
  <c r="AU90" i="13"/>
  <c r="AI90" i="13"/>
  <c r="AT90" i="13"/>
  <c r="AR90" i="13"/>
  <c r="AP90" i="13"/>
  <c r="AY90" i="13"/>
  <c r="AW90" i="13"/>
  <c r="AX90" i="13"/>
  <c r="AQ90" i="13"/>
  <c r="AZ90" i="13"/>
  <c r="AV90" i="13"/>
  <c r="AS90" i="13"/>
  <c r="AV94" i="13"/>
  <c r="BA94" i="13"/>
  <c r="AW94" i="13"/>
  <c r="AY94" i="13"/>
  <c r="AX94" i="13"/>
  <c r="AP94" i="13"/>
  <c r="AO94" i="13"/>
  <c r="AN94" i="13"/>
  <c r="AR94" i="13"/>
  <c r="AK94" i="13"/>
  <c r="AZ94" i="13"/>
  <c r="AM94" i="13"/>
  <c r="AI94" i="13"/>
  <c r="AL94" i="13"/>
  <c r="AQ94" i="13"/>
  <c r="AT94" i="13"/>
  <c r="AJ94" i="13"/>
  <c r="AS94" i="13"/>
  <c r="AU94" i="13"/>
  <c r="AW98" i="13"/>
  <c r="AP98" i="13"/>
  <c r="AU98" i="13"/>
  <c r="AZ98" i="13"/>
  <c r="AL98" i="13"/>
  <c r="AJ98" i="13"/>
  <c r="AI98" i="13"/>
  <c r="AY98" i="13"/>
  <c r="AQ98" i="13"/>
  <c r="AS98" i="13"/>
  <c r="AM98" i="13"/>
  <c r="AR98" i="13"/>
  <c r="AK98" i="13"/>
  <c r="AT98" i="13"/>
  <c r="AV98" i="13"/>
  <c r="AN98" i="13"/>
  <c r="AX98" i="13"/>
  <c r="BA98" i="13"/>
  <c r="AO98" i="13"/>
  <c r="AZ102" i="13"/>
  <c r="AY102" i="13"/>
  <c r="AR102" i="13"/>
  <c r="AQ102" i="13"/>
  <c r="AJ102" i="13"/>
  <c r="AT102" i="13"/>
  <c r="AS102" i="13"/>
  <c r="AL102" i="13"/>
  <c r="AK102" i="13"/>
  <c r="AU102" i="13"/>
  <c r="BA102" i="13"/>
  <c r="AW102" i="13"/>
  <c r="AM102" i="13"/>
  <c r="AV102" i="13"/>
  <c r="AN102" i="13"/>
  <c r="AO102" i="13"/>
  <c r="AX102" i="13"/>
  <c r="AP102" i="13"/>
  <c r="AI102" i="13"/>
  <c r="AJ106" i="13"/>
  <c r="AO106" i="13"/>
  <c r="AT106" i="13"/>
  <c r="AM106" i="13"/>
  <c r="AK106" i="13"/>
  <c r="AV106" i="13"/>
  <c r="AU106" i="13"/>
  <c r="AN106" i="13"/>
  <c r="AR106" i="13"/>
  <c r="AQ106" i="13"/>
  <c r="AW106" i="13"/>
  <c r="AS106" i="13"/>
  <c r="AP106" i="13"/>
  <c r="AY106" i="13"/>
  <c r="AZ106" i="13"/>
  <c r="BA106" i="13"/>
  <c r="AX106" i="13"/>
  <c r="AI106" i="13"/>
  <c r="AL106" i="13"/>
  <c r="AR110" i="13"/>
  <c r="AQ110" i="13"/>
  <c r="AJ110" i="13"/>
  <c r="AI110" i="13"/>
  <c r="AS110" i="13"/>
  <c r="AL110" i="13"/>
  <c r="AV110" i="13"/>
  <c r="AO110" i="13"/>
  <c r="AM110" i="13"/>
  <c r="AY110" i="13"/>
  <c r="AP110" i="13"/>
  <c r="AZ110" i="13"/>
  <c r="BA110" i="13"/>
  <c r="AX110" i="13"/>
  <c r="AU110" i="13"/>
  <c r="AK110" i="13"/>
  <c r="AT110" i="13"/>
  <c r="AN110" i="13"/>
  <c r="AW110" i="13"/>
  <c r="AN114" i="13"/>
  <c r="AM114" i="13"/>
  <c r="AL114" i="13"/>
  <c r="AK114" i="13"/>
  <c r="AO114" i="13"/>
  <c r="BA114" i="13"/>
  <c r="AU114" i="13"/>
  <c r="AI114" i="13"/>
  <c r="AV114" i="13"/>
  <c r="AS114" i="13"/>
  <c r="AQ114" i="13"/>
  <c r="AZ114" i="13"/>
  <c r="AX114" i="13"/>
  <c r="AP114" i="13"/>
  <c r="AW114" i="13"/>
  <c r="AT114" i="13"/>
  <c r="AJ114" i="13"/>
  <c r="AR114" i="13"/>
  <c r="AY114" i="13"/>
  <c r="AV118" i="13"/>
  <c r="BA118" i="13"/>
  <c r="AZ118" i="13"/>
  <c r="AY118" i="13"/>
  <c r="AR118" i="13"/>
  <c r="AU118" i="13"/>
  <c r="AN118" i="13"/>
  <c r="AX118" i="13"/>
  <c r="AJ118" i="13"/>
  <c r="AI118" i="13"/>
  <c r="AS118" i="13"/>
  <c r="AK118" i="13"/>
  <c r="AO118" i="13"/>
  <c r="AL118" i="13"/>
  <c r="AM118" i="13"/>
  <c r="AT118" i="13"/>
  <c r="AP118" i="13"/>
  <c r="AQ118" i="13"/>
  <c r="AW118" i="13"/>
  <c r="AY130" i="13"/>
  <c r="AV130" i="13"/>
  <c r="BA130" i="13"/>
  <c r="AS130" i="13"/>
  <c r="AR130" i="13"/>
  <c r="AK130" i="13"/>
  <c r="AU130" i="13"/>
  <c r="AT130" i="13"/>
  <c r="AL130" i="13"/>
  <c r="AP130" i="13"/>
  <c r="AO130" i="13"/>
  <c r="AN130" i="13"/>
  <c r="AW130" i="13"/>
  <c r="AI130" i="13"/>
  <c r="AQ130" i="13"/>
  <c r="AZ130" i="13"/>
  <c r="AM130" i="13"/>
  <c r="AX130" i="13"/>
  <c r="AJ130" i="13"/>
  <c r="AZ134" i="13"/>
  <c r="AS134" i="13"/>
  <c r="AR134" i="13"/>
  <c r="AQ134" i="13"/>
  <c r="AP134" i="13"/>
  <c r="AT134" i="13"/>
  <c r="AM134" i="13"/>
  <c r="AL134" i="13"/>
  <c r="AK134" i="13"/>
  <c r="AJ134" i="13"/>
  <c r="AX134" i="13"/>
  <c r="AV134" i="13"/>
  <c r="AN134" i="13"/>
  <c r="BA134" i="13"/>
  <c r="AO134" i="13"/>
  <c r="AU134" i="13"/>
  <c r="AW134" i="13"/>
  <c r="AY134" i="13"/>
  <c r="AI134" i="13"/>
  <c r="AJ138" i="13"/>
  <c r="AO138" i="13"/>
  <c r="AT138" i="13"/>
  <c r="AS138" i="13"/>
  <c r="AL138" i="13"/>
  <c r="BA138" i="13"/>
  <c r="AZ138" i="13"/>
  <c r="AM138" i="13"/>
  <c r="AP138" i="13"/>
  <c r="AI138" i="13"/>
  <c r="AK138" i="13"/>
  <c r="AR138" i="13"/>
  <c r="AV138" i="13"/>
  <c r="AN138" i="13"/>
  <c r="AW138" i="13"/>
  <c r="AY138" i="13"/>
  <c r="AU138" i="13"/>
  <c r="AX138" i="13"/>
  <c r="AQ138" i="13"/>
  <c r="AV174" i="13"/>
  <c r="AU174" i="13"/>
  <c r="AT174" i="13"/>
  <c r="AS174" i="13"/>
  <c r="AL174" i="13"/>
  <c r="BA174" i="13"/>
  <c r="AN174" i="13"/>
  <c r="AX174" i="13"/>
  <c r="AP174" i="13"/>
  <c r="AI174" i="13"/>
  <c r="AY174" i="13"/>
  <c r="AW174" i="13"/>
  <c r="AO174" i="13"/>
  <c r="AR174" i="13"/>
  <c r="AJ174" i="13"/>
  <c r="AZ174" i="13"/>
  <c r="AK174" i="13"/>
  <c r="AQ174" i="13"/>
  <c r="AM174" i="13"/>
  <c r="AS178" i="13"/>
  <c r="AY178" i="13"/>
  <c r="BA178" i="13"/>
  <c r="AM178" i="13"/>
  <c r="AX178" i="13"/>
  <c r="AQ178" i="13"/>
  <c r="AJ178" i="13"/>
  <c r="AZ178" i="13"/>
  <c r="AR178" i="13"/>
  <c r="AK178" i="13"/>
  <c r="AU178" i="13"/>
  <c r="AT178" i="13"/>
  <c r="AL178" i="13"/>
  <c r="AO178" i="13"/>
  <c r="AW178" i="13"/>
  <c r="AI178" i="13"/>
  <c r="AV178" i="13"/>
  <c r="AP178" i="13"/>
  <c r="AN178" i="13"/>
  <c r="AZ182" i="13"/>
  <c r="AY182" i="13"/>
  <c r="AT182" i="13"/>
  <c r="BA182" i="13"/>
  <c r="AX182" i="13"/>
  <c r="AQ182" i="13"/>
  <c r="AP182" i="13"/>
  <c r="AS182" i="13"/>
  <c r="AR182" i="13"/>
  <c r="AK182" i="13"/>
  <c r="AJ182" i="13"/>
  <c r="AI182" i="13"/>
  <c r="AV182" i="13"/>
  <c r="AL182" i="13"/>
  <c r="AO182" i="13"/>
  <c r="AU182" i="13"/>
  <c r="AN182" i="13"/>
  <c r="AW182" i="13"/>
  <c r="AM182" i="13"/>
  <c r="AJ186" i="13"/>
  <c r="AO186" i="13"/>
  <c r="AT186" i="13"/>
  <c r="AM186" i="13"/>
  <c r="AL186" i="13"/>
  <c r="AK186" i="13"/>
  <c r="AW186" i="13"/>
  <c r="AS186" i="13"/>
  <c r="AV186" i="13"/>
  <c r="AU186" i="13"/>
  <c r="AN186" i="13"/>
  <c r="AX186" i="13"/>
  <c r="AZ186" i="13"/>
  <c r="AI186" i="13"/>
  <c r="AP186" i="13"/>
  <c r="AY186" i="13"/>
  <c r="BA186" i="13"/>
  <c r="AQ186" i="13"/>
  <c r="AR186" i="13"/>
  <c r="AZ13" i="13"/>
  <c r="AW13" i="13"/>
  <c r="AP13" i="13"/>
  <c r="AU13" i="13"/>
  <c r="AY13" i="13"/>
  <c r="AX13" i="13"/>
  <c r="AQ13" i="13"/>
  <c r="AJ13" i="13"/>
  <c r="AO13" i="13"/>
  <c r="AM13" i="13"/>
  <c r="AV13" i="13"/>
  <c r="AT13" i="13"/>
  <c r="AR13" i="13"/>
  <c r="AN13" i="13"/>
  <c r="AK13" i="13"/>
  <c r="BA13" i="13"/>
  <c r="AL13" i="13"/>
  <c r="AI13" i="13"/>
  <c r="AS13" i="13"/>
  <c r="AZ6" i="13"/>
  <c r="AY6" i="13"/>
  <c r="AX6" i="13"/>
  <c r="AQ6" i="13"/>
  <c r="AJ6" i="13"/>
  <c r="AT6" i="13"/>
  <c r="AS6" i="13"/>
  <c r="AR6" i="13"/>
  <c r="AK6" i="13"/>
  <c r="AO6" i="13"/>
  <c r="BA6" i="13"/>
  <c r="AW6" i="13"/>
  <c r="AM6" i="13"/>
  <c r="AV6" i="13"/>
  <c r="AN6" i="13"/>
  <c r="AI6" i="13"/>
  <c r="AU6" i="13"/>
  <c r="AL6" i="13"/>
  <c r="AP6" i="13"/>
  <c r="AM7" i="13"/>
  <c r="AW7" i="13"/>
  <c r="AV7" i="13"/>
  <c r="BA7" i="13"/>
  <c r="AT7" i="13"/>
  <c r="AX7" i="13"/>
  <c r="AQ7" i="13"/>
  <c r="AP7" i="13"/>
  <c r="AU7" i="13"/>
  <c r="AL7" i="13"/>
  <c r="AZ7" i="13"/>
  <c r="AY7" i="13"/>
  <c r="AK7" i="13"/>
  <c r="AO7" i="13"/>
  <c r="AJ7" i="13"/>
  <c r="AS7" i="13"/>
  <c r="AI7" i="13"/>
  <c r="AR7" i="13"/>
  <c r="AN7" i="13"/>
  <c r="BA11" i="13"/>
  <c r="AZ11" i="13"/>
  <c r="AY11" i="13"/>
  <c r="AR11" i="13"/>
  <c r="AQ11" i="13"/>
  <c r="AU11" i="13"/>
  <c r="AT11" i="13"/>
  <c r="AS11" i="13"/>
  <c r="AL11" i="13"/>
  <c r="AK11" i="13"/>
  <c r="AO11" i="13"/>
  <c r="AN11" i="13"/>
  <c r="AM11" i="13"/>
  <c r="AJ11" i="13"/>
  <c r="AV11" i="13"/>
  <c r="AX11" i="13"/>
  <c r="AW11" i="13"/>
  <c r="AP11" i="13"/>
  <c r="AI11" i="13"/>
  <c r="AK15" i="13"/>
  <c r="BA15" i="13"/>
  <c r="AL15" i="13"/>
  <c r="AR15" i="13"/>
  <c r="AX15" i="13"/>
  <c r="AW15" i="13"/>
  <c r="AJ15" i="13"/>
  <c r="AZ15" i="13"/>
  <c r="AS15" i="13"/>
  <c r="AQ15" i="13"/>
  <c r="AU15" i="13"/>
  <c r="AT15" i="13"/>
  <c r="AM15" i="13"/>
  <c r="AO15" i="13"/>
  <c r="AP15" i="13"/>
  <c r="AI15" i="13"/>
  <c r="AN15" i="13"/>
  <c r="AV15" i="13"/>
  <c r="AY15" i="13"/>
  <c r="AY19" i="13"/>
  <c r="AR19" i="13"/>
  <c r="AK19" i="13"/>
  <c r="AJ19" i="13"/>
  <c r="AO19" i="13"/>
  <c r="AS19" i="13"/>
  <c r="AL19" i="13"/>
  <c r="AT19" i="13"/>
  <c r="AN19" i="13"/>
  <c r="AI19" i="13"/>
  <c r="AQ19" i="13"/>
  <c r="AU19" i="13"/>
  <c r="AM19" i="13"/>
  <c r="AV19" i="13"/>
  <c r="AZ19" i="13"/>
  <c r="AW19" i="13"/>
  <c r="AP19" i="13"/>
  <c r="AX19" i="13"/>
  <c r="BA19" i="13"/>
  <c r="AO23" i="13"/>
  <c r="AT23" i="13"/>
  <c r="AM23" i="13"/>
  <c r="AJ23" i="13"/>
  <c r="AV23" i="13"/>
  <c r="AI23" i="13"/>
  <c r="AN23" i="13"/>
  <c r="AX23" i="13"/>
  <c r="AW23" i="13"/>
  <c r="AP23" i="13"/>
  <c r="AR23" i="13"/>
  <c r="AZ23" i="13"/>
  <c r="AL23" i="13"/>
  <c r="AS23" i="13"/>
  <c r="BA23" i="13"/>
  <c r="AQ23" i="13"/>
  <c r="AU23" i="13"/>
  <c r="AK23" i="13"/>
  <c r="AY23" i="13"/>
  <c r="AW27" i="13"/>
  <c r="AV27" i="13"/>
  <c r="AU27" i="13"/>
  <c r="AT27" i="13"/>
  <c r="AS27" i="13"/>
  <c r="AP27" i="13"/>
  <c r="AI27" i="13"/>
  <c r="AY27" i="13"/>
  <c r="AQ27" i="13"/>
  <c r="AJ27" i="13"/>
  <c r="AZ27" i="13"/>
  <c r="AM27" i="13"/>
  <c r="AK27" i="13"/>
  <c r="AN27" i="13"/>
  <c r="AO27" i="13"/>
  <c r="AX27" i="13"/>
  <c r="AL27" i="13"/>
  <c r="AR27" i="13"/>
  <c r="BA27" i="13"/>
  <c r="AM31" i="13"/>
  <c r="AL31" i="13"/>
  <c r="AT31" i="13"/>
  <c r="AZ31" i="13"/>
  <c r="AI31" i="13"/>
  <c r="AN31" i="13"/>
  <c r="AW31" i="13"/>
  <c r="AV31" i="13"/>
  <c r="BA31" i="13"/>
  <c r="AS31" i="13"/>
  <c r="AK31" i="13"/>
  <c r="AO31" i="13"/>
  <c r="AX31" i="13"/>
  <c r="AP31" i="13"/>
  <c r="AY31" i="13"/>
  <c r="AU31" i="13"/>
  <c r="AR31" i="13"/>
  <c r="AJ31" i="13"/>
  <c r="AQ31" i="13"/>
  <c r="BA35" i="13"/>
  <c r="AP35" i="13"/>
  <c r="AY35" i="13"/>
  <c r="AX35" i="13"/>
  <c r="AQ35" i="13"/>
  <c r="AU35" i="13"/>
  <c r="AZ35" i="13"/>
  <c r="AS35" i="13"/>
  <c r="AR35" i="13"/>
  <c r="AK35" i="13"/>
  <c r="AT35" i="13"/>
  <c r="AL35" i="13"/>
  <c r="AN35" i="13"/>
  <c r="AW35" i="13"/>
  <c r="AI35" i="13"/>
  <c r="AM35" i="13"/>
  <c r="AJ35" i="13"/>
  <c r="AO35" i="13"/>
  <c r="AV35" i="13"/>
  <c r="AK39" i="13"/>
  <c r="AJ39" i="13"/>
  <c r="AI39" i="13"/>
  <c r="AN39" i="13"/>
  <c r="AM39" i="13"/>
  <c r="AV39" i="13"/>
  <c r="AO39" i="13"/>
  <c r="AL39" i="13"/>
  <c r="AW39" i="13"/>
  <c r="AP39" i="13"/>
  <c r="AX39" i="13"/>
  <c r="AY39" i="13"/>
  <c r="BA39" i="13"/>
  <c r="AS39" i="13"/>
  <c r="AQ39" i="13"/>
  <c r="AT39" i="13"/>
  <c r="AR39" i="13"/>
  <c r="AU39" i="13"/>
  <c r="AZ39" i="13"/>
  <c r="AY43" i="13"/>
  <c r="AX43" i="13"/>
  <c r="AW43" i="13"/>
  <c r="AP43" i="13"/>
  <c r="AO43" i="13"/>
  <c r="AR43" i="13"/>
  <c r="AK43" i="13"/>
  <c r="AU43" i="13"/>
  <c r="AS43" i="13"/>
  <c r="AL43" i="13"/>
  <c r="AV43" i="13"/>
  <c r="AI43" i="13"/>
  <c r="AZ43" i="13"/>
  <c r="BA43" i="13"/>
  <c r="AN43" i="13"/>
  <c r="AT43" i="13"/>
  <c r="AM43" i="13"/>
  <c r="AQ43" i="13"/>
  <c r="AJ43" i="13"/>
  <c r="AO47" i="13"/>
  <c r="AN47" i="13"/>
  <c r="AV47" i="13"/>
  <c r="AJ47" i="13"/>
  <c r="AP47" i="13"/>
  <c r="AI47" i="13"/>
  <c r="AY47" i="13"/>
  <c r="AX47" i="13"/>
  <c r="AW47" i="13"/>
  <c r="BA47" i="13"/>
  <c r="AS47" i="13"/>
  <c r="AQ47" i="13"/>
  <c r="AU47" i="13"/>
  <c r="AM47" i="13"/>
  <c r="AK47" i="13"/>
  <c r="AL47" i="13"/>
  <c r="AZ47" i="13"/>
  <c r="AR47" i="13"/>
  <c r="AT47" i="13"/>
  <c r="AW51" i="13"/>
  <c r="AV51" i="13"/>
  <c r="AU51" i="13"/>
  <c r="AZ51" i="13"/>
  <c r="AS51" i="13"/>
  <c r="AQ51" i="13"/>
  <c r="AP51" i="13"/>
  <c r="AO51" i="13"/>
  <c r="AT51" i="13"/>
  <c r="AM51" i="13"/>
  <c r="AJ51" i="13"/>
  <c r="AN51" i="13"/>
  <c r="AK51" i="13"/>
  <c r="AL51" i="13"/>
  <c r="AX51" i="13"/>
  <c r="AY51" i="13"/>
  <c r="BA51" i="13"/>
  <c r="AR51" i="13"/>
  <c r="AI51" i="13"/>
  <c r="AM55" i="13"/>
  <c r="AL55" i="13"/>
  <c r="AK55" i="13"/>
  <c r="AJ55" i="13"/>
  <c r="AI55" i="13"/>
  <c r="AX55" i="13"/>
  <c r="AQ55" i="13"/>
  <c r="BA55" i="13"/>
  <c r="AY55" i="13"/>
  <c r="AR55" i="13"/>
  <c r="AZ55" i="13"/>
  <c r="AU55" i="13"/>
  <c r="AW55" i="13"/>
  <c r="AS55" i="13"/>
  <c r="AV55" i="13"/>
  <c r="AT55" i="13"/>
  <c r="AP55" i="13"/>
  <c r="AO55" i="13"/>
  <c r="AN55" i="13"/>
  <c r="BA59" i="13"/>
  <c r="AZ59" i="13"/>
  <c r="AY59" i="13"/>
  <c r="AX59" i="13"/>
  <c r="AQ59" i="13"/>
  <c r="AU59" i="13"/>
  <c r="AT59" i="13"/>
  <c r="AS59" i="13"/>
  <c r="AR59" i="13"/>
  <c r="AK59" i="13"/>
  <c r="AO59" i="13"/>
  <c r="AM59" i="13"/>
  <c r="AP59" i="13"/>
  <c r="AI59" i="13"/>
  <c r="AJ59" i="13"/>
  <c r="AV59" i="13"/>
  <c r="AL59" i="13"/>
  <c r="AN59" i="13"/>
  <c r="AW59" i="13"/>
  <c r="AK63" i="13"/>
  <c r="AR63" i="13"/>
  <c r="AI63" i="13"/>
  <c r="AN63" i="13"/>
  <c r="AL63" i="13"/>
  <c r="AV63" i="13"/>
  <c r="BA63" i="13"/>
  <c r="AX63" i="13"/>
  <c r="AY63" i="13"/>
  <c r="AW63" i="13"/>
  <c r="AU63" i="13"/>
  <c r="AS63" i="13"/>
  <c r="AJ63" i="13"/>
  <c r="AM63" i="13"/>
  <c r="AO63" i="13"/>
  <c r="AQ63" i="13"/>
  <c r="AZ63" i="13"/>
  <c r="AP63" i="13"/>
  <c r="AT63" i="13"/>
  <c r="AY67" i="13"/>
  <c r="AR67" i="13"/>
  <c r="AQ67" i="13"/>
  <c r="AP67" i="13"/>
  <c r="AO67" i="13"/>
  <c r="AX67" i="13"/>
  <c r="AK67" i="13"/>
  <c r="BA67" i="13"/>
  <c r="AL67" i="13"/>
  <c r="AZ67" i="13"/>
  <c r="AU67" i="13"/>
  <c r="AM67" i="13"/>
  <c r="AJ67" i="13"/>
  <c r="AT67" i="13"/>
  <c r="AI67" i="13"/>
  <c r="AV67" i="13"/>
  <c r="AN67" i="13"/>
  <c r="AS67" i="13"/>
  <c r="AW67" i="13"/>
  <c r="AO71" i="13"/>
  <c r="AT71" i="13"/>
  <c r="AM71" i="13"/>
  <c r="AL71" i="13"/>
  <c r="AK71" i="13"/>
  <c r="AI71" i="13"/>
  <c r="AN71" i="13"/>
  <c r="AJ71" i="13"/>
  <c r="AP71" i="13"/>
  <c r="AV71" i="13"/>
  <c r="AX71" i="13"/>
  <c r="AZ71" i="13"/>
  <c r="AR71" i="13"/>
  <c r="AU71" i="13"/>
  <c r="AQ71" i="13"/>
  <c r="AY71" i="13"/>
  <c r="BA71" i="13"/>
  <c r="AS71" i="13"/>
  <c r="AW71" i="13"/>
  <c r="AW75" i="13"/>
  <c r="AP75" i="13"/>
  <c r="AO75" i="13"/>
  <c r="AT75" i="13"/>
  <c r="AS75" i="13"/>
  <c r="AQ75" i="13"/>
  <c r="AJ75" i="13"/>
  <c r="AI75" i="13"/>
  <c r="AN75" i="13"/>
  <c r="AM75" i="13"/>
  <c r="AK75" i="13"/>
  <c r="AR75" i="13"/>
  <c r="AL75" i="13"/>
  <c r="AZ75" i="13"/>
  <c r="AV75" i="13"/>
  <c r="AX75" i="13"/>
  <c r="BA75" i="13"/>
  <c r="AY75" i="13"/>
  <c r="AU75" i="13"/>
  <c r="AM79" i="13"/>
  <c r="AX79" i="13"/>
  <c r="AW79" i="13"/>
  <c r="AP79" i="13"/>
  <c r="AU79" i="13"/>
  <c r="AR79" i="13"/>
  <c r="AQ79" i="13"/>
  <c r="AJ79" i="13"/>
  <c r="AO79" i="13"/>
  <c r="AT79" i="13"/>
  <c r="BA79" i="13"/>
  <c r="AY79" i="13"/>
  <c r="AK79" i="13"/>
  <c r="AI79" i="13"/>
  <c r="AN79" i="13"/>
  <c r="AS79" i="13"/>
  <c r="AZ79" i="13"/>
  <c r="AL79" i="13"/>
  <c r="AV79" i="13"/>
  <c r="BA83" i="13"/>
  <c r="AJ83" i="13"/>
  <c r="AY83" i="13"/>
  <c r="AX83" i="13"/>
  <c r="AQ83" i="13"/>
  <c r="AU83" i="13"/>
  <c r="AZ83" i="13"/>
  <c r="AS83" i="13"/>
  <c r="AR83" i="13"/>
  <c r="AK83" i="13"/>
  <c r="AT83" i="13"/>
  <c r="AL83" i="13"/>
  <c r="AN83" i="13"/>
  <c r="AW83" i="13"/>
  <c r="AV83" i="13"/>
  <c r="AO83" i="13"/>
  <c r="AP83" i="13"/>
  <c r="AI83" i="13"/>
  <c r="AM83" i="13"/>
  <c r="AK87" i="13"/>
  <c r="AJ87" i="13"/>
  <c r="AO87" i="13"/>
  <c r="AN87" i="13"/>
  <c r="AM87" i="13"/>
  <c r="AR87" i="13"/>
  <c r="AX87" i="13"/>
  <c r="AI87" i="13"/>
  <c r="AL87" i="13"/>
  <c r="AV87" i="13"/>
  <c r="AZ87" i="13"/>
  <c r="AP87" i="13"/>
  <c r="AY87" i="13"/>
  <c r="BA87" i="13"/>
  <c r="AS87" i="13"/>
  <c r="AW87" i="13"/>
  <c r="AU87" i="13"/>
  <c r="AQ87" i="13"/>
  <c r="AT87" i="13"/>
  <c r="AS91" i="13"/>
  <c r="AL91" i="13"/>
  <c r="AT91" i="13"/>
  <c r="AZ91" i="13"/>
  <c r="AI91" i="13"/>
  <c r="AM91" i="13"/>
  <c r="AW91" i="13"/>
  <c r="AV91" i="13"/>
  <c r="BA91" i="13"/>
  <c r="AN91" i="13"/>
  <c r="AY91" i="13"/>
  <c r="AK91" i="13"/>
  <c r="AO91" i="13"/>
  <c r="AX91" i="13"/>
  <c r="AP91" i="13"/>
  <c r="AQ91" i="13"/>
  <c r="AJ91" i="13"/>
  <c r="AU91" i="13"/>
  <c r="AR91" i="13"/>
  <c r="AO95" i="13"/>
  <c r="AT95" i="13"/>
  <c r="AM95" i="13"/>
  <c r="AL95" i="13"/>
  <c r="AV95" i="13"/>
  <c r="AI95" i="13"/>
  <c r="AN95" i="13"/>
  <c r="AP95" i="13"/>
  <c r="AW95" i="13"/>
  <c r="BA95" i="13"/>
  <c r="AY95" i="13"/>
  <c r="AQ95" i="13"/>
  <c r="AU95" i="13"/>
  <c r="AS95" i="13"/>
  <c r="AK95" i="13"/>
  <c r="AZ95" i="13"/>
  <c r="AX95" i="13"/>
  <c r="AJ95" i="13"/>
  <c r="AR95" i="13"/>
  <c r="AW99" i="13"/>
  <c r="AV99" i="13"/>
  <c r="AU99" i="13"/>
  <c r="AT99" i="13"/>
  <c r="AS99" i="13"/>
  <c r="AQ99" i="13"/>
  <c r="AP99" i="13"/>
  <c r="AO99" i="13"/>
  <c r="AN99" i="13"/>
  <c r="AM99" i="13"/>
  <c r="AJ99" i="13"/>
  <c r="AX99" i="13"/>
  <c r="AI99" i="13"/>
  <c r="AK99" i="13"/>
  <c r="AZ99" i="13"/>
  <c r="AR99" i="13"/>
  <c r="AY99" i="13"/>
  <c r="BA99" i="13"/>
  <c r="AL99" i="13"/>
  <c r="AX103" i="13"/>
  <c r="AW103" i="13"/>
  <c r="AV103" i="13"/>
  <c r="BA103" i="13"/>
  <c r="AY103" i="13"/>
  <c r="AR103" i="13"/>
  <c r="AQ103" i="13"/>
  <c r="AP103" i="13"/>
  <c r="AU103" i="13"/>
  <c r="AM103" i="13"/>
  <c r="AZ103" i="13"/>
  <c r="AI103" i="13"/>
  <c r="AL103" i="13"/>
  <c r="AJ103" i="13"/>
  <c r="AS103" i="13"/>
  <c r="AO103" i="13"/>
  <c r="AN103" i="13"/>
  <c r="AK103" i="13"/>
  <c r="AT103" i="13"/>
  <c r="BA107" i="13"/>
  <c r="AZ107" i="13"/>
  <c r="AS107" i="13"/>
  <c r="AR107" i="13"/>
  <c r="AQ107" i="13"/>
  <c r="AU107" i="13"/>
  <c r="AT107" i="13"/>
  <c r="AM107" i="13"/>
  <c r="AL107" i="13"/>
  <c r="AO107" i="13"/>
  <c r="AV107" i="13"/>
  <c r="AK107" i="13"/>
  <c r="AI107" i="13"/>
  <c r="AX107" i="13"/>
  <c r="AJ107" i="13"/>
  <c r="AW107" i="13"/>
  <c r="AN107" i="13"/>
  <c r="AP107" i="13"/>
  <c r="AY107" i="13"/>
  <c r="AK111" i="13"/>
  <c r="AX111" i="13"/>
  <c r="AI111" i="13"/>
  <c r="AN111" i="13"/>
  <c r="AM111" i="13"/>
  <c r="AV111" i="13"/>
  <c r="BA111" i="13"/>
  <c r="AL111" i="13"/>
  <c r="AR111" i="13"/>
  <c r="AW111" i="13"/>
  <c r="AU111" i="13"/>
  <c r="AY111" i="13"/>
  <c r="AP111" i="13"/>
  <c r="AT111" i="13"/>
  <c r="AJ111" i="13"/>
  <c r="AS111" i="13"/>
  <c r="AO111" i="13"/>
  <c r="AZ111" i="13"/>
  <c r="AQ111" i="13"/>
  <c r="AS115" i="13"/>
  <c r="AR115" i="13"/>
  <c r="AK115" i="13"/>
  <c r="AT115" i="13"/>
  <c r="AI115" i="13"/>
  <c r="AM115" i="13"/>
  <c r="AL115" i="13"/>
  <c r="AV115" i="13"/>
  <c r="BA115" i="13"/>
  <c r="AZ115" i="13"/>
  <c r="AX115" i="13"/>
  <c r="AJ115" i="13"/>
  <c r="AW115" i="13"/>
  <c r="AU115" i="13"/>
  <c r="AP115" i="13"/>
  <c r="AY115" i="13"/>
  <c r="AO115" i="13"/>
  <c r="AN115" i="13"/>
  <c r="AQ115" i="13"/>
  <c r="AI119" i="13"/>
  <c r="AV119" i="13"/>
  <c r="AX119" i="13"/>
  <c r="AW119" i="13"/>
  <c r="BA119" i="13"/>
  <c r="AZ119" i="13"/>
  <c r="AY119" i="13"/>
  <c r="AR119" i="13"/>
  <c r="AQ119" i="13"/>
  <c r="AO119" i="13"/>
  <c r="AM119" i="13"/>
  <c r="AJ119" i="13"/>
  <c r="AT119" i="13"/>
  <c r="AL119" i="13"/>
  <c r="AS119" i="13"/>
  <c r="AP119" i="13"/>
  <c r="AN119" i="13"/>
  <c r="AK119" i="13"/>
  <c r="AU119" i="13"/>
  <c r="AW131" i="13"/>
  <c r="AP131" i="13"/>
  <c r="AO131" i="13"/>
  <c r="AT131" i="13"/>
  <c r="AS131" i="13"/>
  <c r="AQ131" i="13"/>
  <c r="AJ131" i="13"/>
  <c r="AI131" i="13"/>
  <c r="AN131" i="13"/>
  <c r="AM131" i="13"/>
  <c r="AK131" i="13"/>
  <c r="AR131" i="13"/>
  <c r="AL131" i="13"/>
  <c r="AU131" i="13"/>
  <c r="AZ131" i="13"/>
  <c r="AV131" i="13"/>
  <c r="AX131" i="13"/>
  <c r="AY131" i="13"/>
  <c r="BA131" i="13"/>
  <c r="AN135" i="13"/>
  <c r="AW135" i="13"/>
  <c r="AP135" i="13"/>
  <c r="AU135" i="13"/>
  <c r="AY135" i="13"/>
  <c r="AX135" i="13"/>
  <c r="AQ135" i="13"/>
  <c r="AJ135" i="13"/>
  <c r="AO135" i="13"/>
  <c r="AL135" i="13"/>
  <c r="BA135" i="13"/>
  <c r="AS135" i="13"/>
  <c r="AK135" i="13"/>
  <c r="AI135" i="13"/>
  <c r="AR135" i="13"/>
  <c r="AV135" i="13"/>
  <c r="AZ135" i="13"/>
  <c r="AM135" i="13"/>
  <c r="AT135" i="13"/>
  <c r="AI175" i="13"/>
  <c r="AN175" i="13"/>
  <c r="AM175" i="13"/>
  <c r="AJ175" i="13"/>
  <c r="BA175" i="13"/>
  <c r="AP175" i="13"/>
  <c r="AV175" i="13"/>
  <c r="AX175" i="13"/>
  <c r="AW175" i="13"/>
  <c r="AT175" i="13"/>
  <c r="AL175" i="13"/>
  <c r="AU175" i="13"/>
  <c r="AY175" i="13"/>
  <c r="AQ175" i="13"/>
  <c r="AR175" i="13"/>
  <c r="AO175" i="13"/>
  <c r="AK175" i="13"/>
  <c r="AZ175" i="13"/>
  <c r="AS175" i="13"/>
  <c r="AW179" i="13"/>
  <c r="AV179" i="13"/>
  <c r="AU179" i="13"/>
  <c r="AT179" i="13"/>
  <c r="AS179" i="13"/>
  <c r="AQ179" i="13"/>
  <c r="AP179" i="13"/>
  <c r="AO179" i="13"/>
  <c r="AN179" i="13"/>
  <c r="AM179" i="13"/>
  <c r="AX179" i="13"/>
  <c r="AZ179" i="13"/>
  <c r="AJ179" i="13"/>
  <c r="AY179" i="13"/>
  <c r="BA179" i="13"/>
  <c r="AR179" i="13"/>
  <c r="AI179" i="13"/>
  <c r="AL179" i="13"/>
  <c r="AK179" i="13"/>
  <c r="AX183" i="13"/>
  <c r="AW183" i="13"/>
  <c r="AV183" i="13"/>
  <c r="AU183" i="13"/>
  <c r="AY183" i="13"/>
  <c r="AR183" i="13"/>
  <c r="AQ183" i="13"/>
  <c r="AP183" i="13"/>
  <c r="AO183" i="13"/>
  <c r="AM183" i="13"/>
  <c r="AN183" i="13"/>
  <c r="AZ183" i="13"/>
  <c r="AL183" i="13"/>
  <c r="AJ183" i="13"/>
  <c r="AK183" i="13"/>
  <c r="BA183" i="13"/>
  <c r="AS183" i="13"/>
  <c r="AI183" i="13"/>
  <c r="AT183" i="13"/>
  <c r="AU187" i="13"/>
  <c r="AZ187" i="13"/>
  <c r="AS187" i="13"/>
  <c r="AR187" i="13"/>
  <c r="AK187" i="13"/>
  <c r="AO187" i="13"/>
  <c r="AT187" i="13"/>
  <c r="AM187" i="13"/>
  <c r="AL187" i="13"/>
  <c r="AJ187" i="13"/>
  <c r="BA187" i="13"/>
  <c r="AY187" i="13"/>
  <c r="AQ187" i="13"/>
  <c r="AI187" i="13"/>
  <c r="AV187" i="13"/>
  <c r="AN187" i="13"/>
  <c r="AX187" i="13"/>
  <c r="AW187" i="13"/>
  <c r="AP187" i="13"/>
  <c r="AQ9" i="13"/>
  <c r="AJ9" i="13"/>
  <c r="AO9" i="13"/>
  <c r="AN9" i="13"/>
  <c r="AM9" i="13"/>
  <c r="AV9" i="13"/>
  <c r="AU9" i="13"/>
  <c r="AR9" i="13"/>
  <c r="AP9" i="13"/>
  <c r="AI9" i="13"/>
  <c r="AY9" i="13"/>
  <c r="AX9" i="13"/>
  <c r="AS9" i="13"/>
  <c r="AZ9" i="13"/>
  <c r="AW9" i="13"/>
  <c r="AT9" i="13"/>
  <c r="AK9" i="13"/>
  <c r="AL9" i="13"/>
  <c r="BA9" i="13"/>
  <c r="AJ10" i="13"/>
  <c r="AO10" i="13"/>
  <c r="AN10" i="13"/>
  <c r="AM10" i="13"/>
  <c r="AK10" i="13"/>
  <c r="AQ10" i="13"/>
  <c r="AI10" i="13"/>
  <c r="AW10" i="13"/>
  <c r="AX10" i="13"/>
  <c r="AV10" i="13"/>
  <c r="AZ10" i="13"/>
  <c r="AR10" i="13"/>
  <c r="AP10" i="13"/>
  <c r="AT10" i="13"/>
  <c r="AL10" i="13"/>
  <c r="BA10" i="13"/>
  <c r="AY10" i="13"/>
  <c r="AS10" i="13"/>
  <c r="AU10" i="13"/>
  <c r="AX8" i="13"/>
  <c r="AW8" i="13"/>
  <c r="AP8" i="13"/>
  <c r="AU8" i="13"/>
  <c r="AT8" i="13"/>
  <c r="AR8" i="13"/>
  <c r="AQ8" i="13"/>
  <c r="AJ8" i="13"/>
  <c r="AO8" i="13"/>
  <c r="AN8" i="13"/>
  <c r="AS8" i="13"/>
  <c r="BA8" i="13"/>
  <c r="AK8" i="13"/>
  <c r="AI8" i="13"/>
  <c r="AY8" i="13"/>
  <c r="AZ8" i="13"/>
  <c r="AL8" i="13"/>
  <c r="AM8" i="13"/>
  <c r="AV8" i="13"/>
  <c r="AT12" i="13"/>
  <c r="AS12" i="13"/>
  <c r="AR12" i="13"/>
  <c r="AQ12" i="13"/>
  <c r="AJ12" i="13"/>
  <c r="AN12" i="13"/>
  <c r="AM12" i="13"/>
  <c r="AL12" i="13"/>
  <c r="AK12" i="13"/>
  <c r="AI12" i="13"/>
  <c r="AZ12" i="13"/>
  <c r="AX12" i="13"/>
  <c r="AP12" i="13"/>
  <c r="AO12" i="13"/>
  <c r="AU12" i="13"/>
  <c r="AV12" i="13"/>
  <c r="AY12" i="13"/>
  <c r="AW12" i="13"/>
  <c r="BA12" i="13"/>
  <c r="AQ16" i="13"/>
  <c r="AI16" i="13"/>
  <c r="AN16" i="13"/>
  <c r="AX16" i="13"/>
  <c r="AV16" i="13"/>
  <c r="BA16" i="13"/>
  <c r="AK16" i="13"/>
  <c r="AY16" i="13"/>
  <c r="AU16" i="13"/>
  <c r="AS16" i="13"/>
  <c r="AW16" i="13"/>
  <c r="AO16" i="13"/>
  <c r="AM16" i="13"/>
  <c r="AP16" i="13"/>
  <c r="AZ16" i="13"/>
  <c r="AR16" i="13"/>
  <c r="AL16" i="13"/>
  <c r="AJ16" i="13"/>
  <c r="AT16" i="13"/>
  <c r="AL20" i="13"/>
  <c r="AK20" i="13"/>
  <c r="AJ20" i="13"/>
  <c r="AI20" i="13"/>
  <c r="AY20" i="13"/>
  <c r="AM20" i="13"/>
  <c r="AS20" i="13"/>
  <c r="BA20" i="13"/>
  <c r="AZ20" i="13"/>
  <c r="AQ20" i="13"/>
  <c r="AO20" i="13"/>
  <c r="AX20" i="13"/>
  <c r="AV20" i="13"/>
  <c r="AT20" i="13"/>
  <c r="AW20" i="13"/>
  <c r="AP20" i="13"/>
  <c r="AU20" i="13"/>
  <c r="AR20" i="13"/>
  <c r="AN20" i="13"/>
  <c r="BA24" i="13"/>
  <c r="AO24" i="13"/>
  <c r="AI24" i="13"/>
  <c r="AV24" i="13"/>
  <c r="AZ24" i="13"/>
  <c r="AY24" i="13"/>
  <c r="AX24" i="13"/>
  <c r="AW24" i="13"/>
  <c r="AP24" i="13"/>
  <c r="AN24" i="13"/>
  <c r="AL24" i="13"/>
  <c r="AU24" i="13"/>
  <c r="AS24" i="13"/>
  <c r="AQ24" i="13"/>
  <c r="AR24" i="13"/>
  <c r="AK24" i="13"/>
  <c r="AM24" i="13"/>
  <c r="AJ24" i="13"/>
  <c r="AT24" i="13"/>
  <c r="AP28" i="13"/>
  <c r="AO28" i="13"/>
  <c r="AT28" i="13"/>
  <c r="AS28" i="13"/>
  <c r="AL28" i="13"/>
  <c r="AJ28" i="13"/>
  <c r="AQ28" i="13"/>
  <c r="AY28" i="13"/>
  <c r="AW28" i="13"/>
  <c r="BA28" i="13"/>
  <c r="AZ28" i="13"/>
  <c r="AM28" i="13"/>
  <c r="AU28" i="13"/>
  <c r="AN28" i="13"/>
  <c r="AX28" i="13"/>
  <c r="AI28" i="13"/>
  <c r="AK28" i="13"/>
  <c r="AR28" i="13"/>
  <c r="AV28" i="13"/>
  <c r="AX32" i="13"/>
  <c r="AQ32" i="13"/>
  <c r="AJ32" i="13"/>
  <c r="AO32" i="13"/>
  <c r="AN32" i="13"/>
  <c r="AW32" i="13"/>
  <c r="AS32" i="13"/>
  <c r="AZ32" i="13"/>
  <c r="BA32" i="13"/>
  <c r="AT32" i="13"/>
  <c r="AK32" i="13"/>
  <c r="AP32" i="13"/>
  <c r="AM32" i="13"/>
  <c r="AR32" i="13"/>
  <c r="AU32" i="13"/>
  <c r="AL32" i="13"/>
  <c r="AI32" i="13"/>
  <c r="AV32" i="13"/>
  <c r="AY32" i="13"/>
  <c r="AT36" i="13"/>
  <c r="AM36" i="13"/>
  <c r="AL36" i="13"/>
  <c r="AK36" i="13"/>
  <c r="AJ36" i="13"/>
  <c r="AN36" i="13"/>
  <c r="AI36" i="13"/>
  <c r="AU36" i="13"/>
  <c r="AO36" i="13"/>
  <c r="BA36" i="13"/>
  <c r="AS36" i="13"/>
  <c r="AQ36" i="13"/>
  <c r="AX36" i="13"/>
  <c r="AV36" i="13"/>
  <c r="AY36" i="13"/>
  <c r="AR36" i="13"/>
  <c r="AZ36" i="13"/>
  <c r="AW36" i="13"/>
  <c r="AP36" i="13"/>
  <c r="BA40" i="13"/>
  <c r="AK40" i="13"/>
  <c r="AY40" i="13"/>
  <c r="AR40" i="13"/>
  <c r="AP40" i="13"/>
  <c r="AI40" i="13"/>
  <c r="AS40" i="13"/>
  <c r="AW40" i="13"/>
  <c r="AJ40" i="13"/>
  <c r="AZ40" i="13"/>
  <c r="AM40" i="13"/>
  <c r="AQ40" i="13"/>
  <c r="AU40" i="13"/>
  <c r="AT40" i="13"/>
  <c r="AX40" i="13"/>
  <c r="AN40" i="13"/>
  <c r="AL40" i="13"/>
  <c r="AV40" i="13"/>
  <c r="AO40" i="13"/>
  <c r="AL44" i="13"/>
  <c r="AV44" i="13"/>
  <c r="BA44" i="13"/>
  <c r="AS44" i="13"/>
  <c r="AY44" i="13"/>
  <c r="AW44" i="13"/>
  <c r="AJ44" i="13"/>
  <c r="AI44" i="13"/>
  <c r="AQ44" i="13"/>
  <c r="AZ44" i="13"/>
  <c r="AM44" i="13"/>
  <c r="AR44" i="13"/>
  <c r="AO44" i="13"/>
  <c r="AK44" i="13"/>
  <c r="AT44" i="13"/>
  <c r="AP44" i="13"/>
  <c r="AN44" i="13"/>
  <c r="AX44" i="13"/>
  <c r="AU44" i="13"/>
  <c r="AO48" i="13"/>
  <c r="AU48" i="13"/>
  <c r="AW48" i="13"/>
  <c r="AV48" i="13"/>
  <c r="AZ48" i="13"/>
  <c r="AY48" i="13"/>
  <c r="AX48" i="13"/>
  <c r="AQ48" i="13"/>
  <c r="AP48" i="13"/>
  <c r="AM48" i="13"/>
  <c r="BA48" i="13"/>
  <c r="AT48" i="13"/>
  <c r="AR48" i="13"/>
  <c r="AJ48" i="13"/>
  <c r="AK48" i="13"/>
  <c r="AN48" i="13"/>
  <c r="AI48" i="13"/>
  <c r="AS48" i="13"/>
  <c r="AL48" i="13"/>
  <c r="AP52" i="13"/>
  <c r="AO52" i="13"/>
  <c r="AT52" i="13"/>
  <c r="AS52" i="13"/>
  <c r="AR52" i="13"/>
  <c r="AV52" i="13"/>
  <c r="AI52" i="13"/>
  <c r="AW52" i="13"/>
  <c r="AX52" i="13"/>
  <c r="AJ52" i="13"/>
  <c r="AK52" i="13"/>
  <c r="AY52" i="13"/>
  <c r="AL52" i="13"/>
  <c r="BA52" i="13"/>
  <c r="AZ52" i="13"/>
  <c r="AM52" i="13"/>
  <c r="AQ52" i="13"/>
  <c r="AN52" i="13"/>
  <c r="AU52" i="13"/>
  <c r="AX56" i="13"/>
  <c r="AQ56" i="13"/>
  <c r="AJ56" i="13"/>
  <c r="AI56" i="13"/>
  <c r="AS56" i="13"/>
  <c r="AL56" i="13"/>
  <c r="AP56" i="13"/>
  <c r="AZ56" i="13"/>
  <c r="AY56" i="13"/>
  <c r="BA56" i="13"/>
  <c r="AT56" i="13"/>
  <c r="AW56" i="13"/>
  <c r="AV56" i="13"/>
  <c r="AM56" i="13"/>
  <c r="AU56" i="13"/>
  <c r="AR56" i="13"/>
  <c r="AO56" i="13"/>
  <c r="AK56" i="13"/>
  <c r="AN56" i="13"/>
  <c r="AT60" i="13"/>
  <c r="AS60" i="13"/>
  <c r="AL60" i="13"/>
  <c r="AK60" i="13"/>
  <c r="AI60" i="13"/>
  <c r="AN60" i="13"/>
  <c r="AM60" i="13"/>
  <c r="BA60" i="13"/>
  <c r="AV60" i="13"/>
  <c r="AU60" i="13"/>
  <c r="AZ60" i="13"/>
  <c r="AR60" i="13"/>
  <c r="AJ60" i="13"/>
  <c r="AO60" i="13"/>
  <c r="AW60" i="13"/>
  <c r="AX60" i="13"/>
  <c r="AQ60" i="13"/>
  <c r="AY60" i="13"/>
  <c r="AP60" i="13"/>
  <c r="BA64" i="13"/>
  <c r="AZ64" i="13"/>
  <c r="AS64" i="13"/>
  <c r="AR64" i="13"/>
  <c r="AV64" i="13"/>
  <c r="AO64" i="13"/>
  <c r="AY64" i="13"/>
  <c r="AL64" i="13"/>
  <c r="AP64" i="13"/>
  <c r="AI64" i="13"/>
  <c r="AM64" i="13"/>
  <c r="AW64" i="13"/>
  <c r="AJ64" i="13"/>
  <c r="AT64" i="13"/>
  <c r="AQ64" i="13"/>
  <c r="AK64" i="13"/>
  <c r="AX64" i="13"/>
  <c r="AU64" i="13"/>
  <c r="AN64" i="13"/>
  <c r="AL68" i="13"/>
  <c r="AV68" i="13"/>
  <c r="AU68" i="13"/>
  <c r="AZ68" i="13"/>
  <c r="AS68" i="13"/>
  <c r="AR68" i="13"/>
  <c r="AP68" i="13"/>
  <c r="AI68" i="13"/>
  <c r="AM68" i="13"/>
  <c r="AJ68" i="13"/>
  <c r="AY68" i="13"/>
  <c r="AW68" i="13"/>
  <c r="AX68" i="13"/>
  <c r="AO68" i="13"/>
  <c r="AQ68" i="13"/>
  <c r="AT68" i="13"/>
  <c r="AK68" i="13"/>
  <c r="AN68" i="13"/>
  <c r="BA68" i="13"/>
  <c r="AY72" i="13"/>
  <c r="AX72" i="13"/>
  <c r="AQ72" i="13"/>
  <c r="AJ72" i="13"/>
  <c r="AZ72" i="13"/>
  <c r="AS72" i="13"/>
  <c r="AR72" i="13"/>
  <c r="AK72" i="13"/>
  <c r="BA72" i="13"/>
  <c r="AN72" i="13"/>
  <c r="AW72" i="13"/>
  <c r="AO72" i="13"/>
  <c r="AM72" i="13"/>
  <c r="AV72" i="13"/>
  <c r="AT72" i="13"/>
  <c r="AI72" i="13"/>
  <c r="AU72" i="13"/>
  <c r="AP72" i="13"/>
  <c r="AL72" i="13"/>
  <c r="AP76" i="13"/>
  <c r="AU76" i="13"/>
  <c r="AZ76" i="13"/>
  <c r="AS76" i="13"/>
  <c r="AL76" i="13"/>
  <c r="BA76" i="13"/>
  <c r="AT76" i="13"/>
  <c r="AX76" i="13"/>
  <c r="AV76" i="13"/>
  <c r="AO76" i="13"/>
  <c r="AN76" i="13"/>
  <c r="AR76" i="13"/>
  <c r="AJ76" i="13"/>
  <c r="AI76" i="13"/>
  <c r="AY76" i="13"/>
  <c r="AW76" i="13"/>
  <c r="AQ76" i="13"/>
  <c r="AK76" i="13"/>
  <c r="AM76" i="13"/>
  <c r="AX80" i="13"/>
  <c r="AW80" i="13"/>
  <c r="AP80" i="13"/>
  <c r="AU80" i="13"/>
  <c r="AT80" i="13"/>
  <c r="AR80" i="13"/>
  <c r="AK80" i="13"/>
  <c r="BA80" i="13"/>
  <c r="AN80" i="13"/>
  <c r="AL80" i="13"/>
  <c r="AV80" i="13"/>
  <c r="AO80" i="13"/>
  <c r="AY80" i="13"/>
  <c r="AQ80" i="13"/>
  <c r="AZ80" i="13"/>
  <c r="AJ80" i="13"/>
  <c r="AS80" i="13"/>
  <c r="AI80" i="13"/>
  <c r="AM80" i="13"/>
  <c r="AT84" i="13"/>
  <c r="AM84" i="13"/>
  <c r="AI84" i="13"/>
  <c r="BA84" i="13"/>
  <c r="AU84" i="13"/>
  <c r="AN84" i="13"/>
  <c r="AX84" i="13"/>
  <c r="AW84" i="13"/>
  <c r="AV84" i="13"/>
  <c r="AO84" i="13"/>
  <c r="AS84" i="13"/>
  <c r="AK84" i="13"/>
  <c r="AR84" i="13"/>
  <c r="AP84" i="13"/>
  <c r="AQ84" i="13"/>
  <c r="AZ84" i="13"/>
  <c r="AJ84" i="13"/>
  <c r="AL84" i="13"/>
  <c r="AY84" i="13"/>
  <c r="BA88" i="13"/>
  <c r="AZ88" i="13"/>
  <c r="AY88" i="13"/>
  <c r="AR88" i="13"/>
  <c r="AU88" i="13"/>
  <c r="AN88" i="13"/>
  <c r="AX88" i="13"/>
  <c r="AV88" i="13"/>
  <c r="AP88" i="13"/>
  <c r="AI88" i="13"/>
  <c r="AS88" i="13"/>
  <c r="AK88" i="13"/>
  <c r="AO88" i="13"/>
  <c r="AL88" i="13"/>
  <c r="AM88" i="13"/>
  <c r="AT88" i="13"/>
  <c r="AW88" i="13"/>
  <c r="AQ88" i="13"/>
  <c r="AJ88" i="13"/>
  <c r="AL92" i="13"/>
  <c r="AK92" i="13"/>
  <c r="AS92" i="13"/>
  <c r="AI92" i="13"/>
  <c r="AY92" i="13"/>
  <c r="AX92" i="13"/>
  <c r="AQ92" i="13"/>
  <c r="BA92" i="13"/>
  <c r="AT92" i="13"/>
  <c r="AR92" i="13"/>
  <c r="AV92" i="13"/>
  <c r="AU92" i="13"/>
  <c r="AN92" i="13"/>
  <c r="AJ92" i="13"/>
  <c r="AM92" i="13"/>
  <c r="AO92" i="13"/>
  <c r="AW92" i="13"/>
  <c r="AZ92" i="13"/>
  <c r="AP92" i="13"/>
  <c r="AO96" i="13"/>
  <c r="AX96" i="13"/>
  <c r="AW96" i="13"/>
  <c r="AV96" i="13"/>
  <c r="AZ96" i="13"/>
  <c r="AY96" i="13"/>
  <c r="AR96" i="13"/>
  <c r="AQ96" i="13"/>
  <c r="AP96" i="13"/>
  <c r="AM96" i="13"/>
  <c r="AU96" i="13"/>
  <c r="AT96" i="13"/>
  <c r="AL96" i="13"/>
  <c r="AJ96" i="13"/>
  <c r="AS96" i="13"/>
  <c r="BA96" i="13"/>
  <c r="AN96" i="13"/>
  <c r="AK96" i="13"/>
  <c r="AI96" i="13"/>
  <c r="AP100" i="13"/>
  <c r="AO100" i="13"/>
  <c r="AT100" i="13"/>
  <c r="AS100" i="13"/>
  <c r="AL100" i="13"/>
  <c r="BA100" i="13"/>
  <c r="AZ100" i="13"/>
  <c r="AM100" i="13"/>
  <c r="AV100" i="13"/>
  <c r="AI100" i="13"/>
  <c r="AW100" i="13"/>
  <c r="AR100" i="13"/>
  <c r="AN100" i="13"/>
  <c r="AJ100" i="13"/>
  <c r="AY100" i="13"/>
  <c r="AK100" i="13"/>
  <c r="AU100" i="13"/>
  <c r="AX100" i="13"/>
  <c r="AQ100" i="13"/>
  <c r="AX104" i="13"/>
  <c r="AS104" i="13"/>
  <c r="AV104" i="13"/>
  <c r="AU104" i="13"/>
  <c r="AT104" i="13"/>
  <c r="AW104" i="13"/>
  <c r="AJ104" i="13"/>
  <c r="AZ104" i="13"/>
  <c r="AR104" i="13"/>
  <c r="AQ104" i="13"/>
  <c r="BA104" i="13"/>
  <c r="AN104" i="13"/>
  <c r="AK104" i="13"/>
  <c r="AM104" i="13"/>
  <c r="AP104" i="13"/>
  <c r="AY104" i="13"/>
  <c r="AO104" i="13"/>
  <c r="AI104" i="13"/>
  <c r="AL104" i="13"/>
  <c r="AT108" i="13"/>
  <c r="AY108" i="13"/>
  <c r="AX108" i="13"/>
  <c r="AQ108" i="13"/>
  <c r="AJ108" i="13"/>
  <c r="AN108" i="13"/>
  <c r="AS108" i="13"/>
  <c r="AR108" i="13"/>
  <c r="AK108" i="13"/>
  <c r="AO108" i="13"/>
  <c r="AZ108" i="13"/>
  <c r="BA108" i="13"/>
  <c r="AP108" i="13"/>
  <c r="AU108" i="13"/>
  <c r="AL108" i="13"/>
  <c r="AV108" i="13"/>
  <c r="AI108" i="13"/>
  <c r="AM108" i="13"/>
  <c r="AW108" i="13"/>
  <c r="AK112" i="13"/>
  <c r="AI112" i="13"/>
  <c r="AW112" i="13"/>
  <c r="AX112" i="13"/>
  <c r="AJ112" i="13"/>
  <c r="AZ112" i="13"/>
  <c r="AS112" i="13"/>
  <c r="AQ112" i="13"/>
  <c r="AV112" i="13"/>
  <c r="AU112" i="13"/>
  <c r="AN112" i="13"/>
  <c r="AR112" i="13"/>
  <c r="BA112" i="13"/>
  <c r="AM112" i="13"/>
  <c r="AY112" i="13"/>
  <c r="AO112" i="13"/>
  <c r="AL112" i="13"/>
  <c r="AT112" i="13"/>
  <c r="AP112" i="13"/>
  <c r="AL116" i="13"/>
  <c r="AK116" i="13"/>
  <c r="AS116" i="13"/>
  <c r="AI116" i="13"/>
  <c r="AY116" i="13"/>
  <c r="AW116" i="13"/>
  <c r="AJ116" i="13"/>
  <c r="AZ116" i="13"/>
  <c r="AX116" i="13"/>
  <c r="AQ116" i="13"/>
  <c r="BA116" i="13"/>
  <c r="AT116" i="13"/>
  <c r="AR116" i="13"/>
  <c r="AU116" i="13"/>
  <c r="AM116" i="13"/>
  <c r="AO116" i="13"/>
  <c r="AP116" i="13"/>
  <c r="AN116" i="13"/>
  <c r="AV116" i="13"/>
  <c r="AI128" i="13"/>
  <c r="AX128" i="13"/>
  <c r="AW128" i="13"/>
  <c r="AV128" i="13"/>
  <c r="AZ128" i="13"/>
  <c r="AY128" i="13"/>
  <c r="AR128" i="13"/>
  <c r="AQ128" i="13"/>
  <c r="AP128" i="13"/>
  <c r="AN128" i="13"/>
  <c r="AU128" i="13"/>
  <c r="AO128" i="13"/>
  <c r="AS128" i="13"/>
  <c r="AK128" i="13"/>
  <c r="AL128" i="13"/>
  <c r="BA128" i="13"/>
  <c r="AT128" i="13"/>
  <c r="AM128" i="13"/>
  <c r="AJ128" i="13"/>
  <c r="AP132" i="13"/>
  <c r="AU132" i="13"/>
  <c r="AZ132" i="13"/>
  <c r="AS132" i="13"/>
  <c r="AL132" i="13"/>
  <c r="AJ132" i="13"/>
  <c r="AI132" i="13"/>
  <c r="AY132" i="13"/>
  <c r="AW132" i="13"/>
  <c r="BA132" i="13"/>
  <c r="AT132" i="13"/>
  <c r="AX132" i="13"/>
  <c r="AK132" i="13"/>
  <c r="AR132" i="13"/>
  <c r="AV132" i="13"/>
  <c r="AN132" i="13"/>
  <c r="AQ132" i="13"/>
  <c r="AM132" i="13"/>
  <c r="AO132" i="13"/>
  <c r="AX136" i="13"/>
  <c r="AW136" i="13"/>
  <c r="AV136" i="13"/>
  <c r="BA136" i="13"/>
  <c r="AZ136" i="13"/>
  <c r="AY136" i="13"/>
  <c r="AP136" i="13"/>
  <c r="AO136" i="13"/>
  <c r="AQ136" i="13"/>
  <c r="AJ136" i="13"/>
  <c r="AI136" i="13"/>
  <c r="AK136" i="13"/>
  <c r="AT136" i="13"/>
  <c r="AS136" i="13"/>
  <c r="AN136" i="13"/>
  <c r="AU136" i="13"/>
  <c r="AR136" i="13"/>
  <c r="AL136" i="13"/>
  <c r="AM136" i="13"/>
  <c r="BA176" i="13"/>
  <c r="AX176" i="13"/>
  <c r="AW176" i="13"/>
  <c r="AV176" i="13"/>
  <c r="AZ176" i="13"/>
  <c r="AY176" i="13"/>
  <c r="AR176" i="13"/>
  <c r="AQ176" i="13"/>
  <c r="AP176" i="13"/>
  <c r="AM176" i="13"/>
  <c r="AU176" i="13"/>
  <c r="AT176" i="13"/>
  <c r="AL176" i="13"/>
  <c r="AJ176" i="13"/>
  <c r="AK176" i="13"/>
  <c r="AN176" i="13"/>
  <c r="AO176" i="13"/>
  <c r="AI176" i="13"/>
  <c r="AS176" i="13"/>
  <c r="AP180" i="13"/>
  <c r="AO180" i="13"/>
  <c r="AT180" i="13"/>
  <c r="AS180" i="13"/>
  <c r="AL180" i="13"/>
  <c r="AV180" i="13"/>
  <c r="AI180" i="13"/>
  <c r="AK180" i="13"/>
  <c r="AR180" i="13"/>
  <c r="BA180" i="13"/>
  <c r="AZ180" i="13"/>
  <c r="AM180" i="13"/>
  <c r="AQ180" i="13"/>
  <c r="AW180" i="13"/>
  <c r="AN180" i="13"/>
  <c r="AJ180" i="13"/>
  <c r="AY180" i="13"/>
  <c r="AU180" i="13"/>
  <c r="AX180" i="13"/>
  <c r="AX184" i="13"/>
  <c r="AW184" i="13"/>
  <c r="AP184" i="13"/>
  <c r="AO184" i="13"/>
  <c r="AT184" i="13"/>
  <c r="AL184" i="13"/>
  <c r="AV184" i="13"/>
  <c r="AI184" i="13"/>
  <c r="AM184" i="13"/>
  <c r="AS184" i="13"/>
  <c r="AJ184" i="13"/>
  <c r="AY184" i="13"/>
  <c r="AQ184" i="13"/>
  <c r="AZ184" i="13"/>
  <c r="AK184" i="13"/>
  <c r="AR184" i="13"/>
  <c r="BA184" i="13"/>
  <c r="AU184" i="13"/>
  <c r="AN184" i="13"/>
  <c r="AT203" i="13"/>
  <c r="AS203" i="13"/>
  <c r="AR203" i="13"/>
  <c r="AK203" i="13"/>
  <c r="AJ203" i="13"/>
  <c r="AN203" i="13"/>
  <c r="AM203" i="13"/>
  <c r="AL203" i="13"/>
  <c r="AI203" i="13"/>
  <c r="BA203" i="13"/>
  <c r="AY203" i="13"/>
  <c r="AQ203" i="13"/>
  <c r="AO203" i="13"/>
  <c r="AV203" i="13"/>
  <c r="AW203" i="13"/>
  <c r="AZ203" i="13"/>
  <c r="AP203" i="13"/>
  <c r="AU203" i="13"/>
  <c r="AX203" i="13"/>
  <c r="BP5" i="13"/>
  <c r="BO5" i="13"/>
  <c r="BN5" i="13"/>
  <c r="BM5" i="13"/>
  <c r="BL5" i="13"/>
  <c r="BJ5" i="13"/>
  <c r="BI5" i="13"/>
  <c r="BH5" i="13"/>
  <c r="BG5" i="13"/>
  <c r="BF5" i="13"/>
  <c r="BV5" i="13"/>
  <c r="BT5" i="13"/>
  <c r="BR5" i="13"/>
  <c r="BE5" i="13"/>
  <c r="BK5" i="13"/>
  <c r="BU5" i="13"/>
  <c r="BS5" i="13"/>
  <c r="BD5" i="13"/>
  <c r="BQ5" i="13"/>
  <c r="BT9" i="13"/>
  <c r="BM9" i="13"/>
  <c r="BF9" i="13"/>
  <c r="BV9" i="13"/>
  <c r="BU9" i="13"/>
  <c r="BN9" i="13"/>
  <c r="BG9" i="13"/>
  <c r="BQ9" i="13"/>
  <c r="BP9" i="13"/>
  <c r="BS9" i="13"/>
  <c r="BE9" i="13"/>
  <c r="BO9" i="13"/>
  <c r="BR9" i="13"/>
  <c r="BJ9" i="13"/>
  <c r="BK9" i="13"/>
  <c r="BI9" i="13"/>
  <c r="BD9" i="13"/>
  <c r="BH9" i="13"/>
  <c r="BL9" i="13"/>
  <c r="BV13" i="13"/>
  <c r="BU13" i="13"/>
  <c r="BN13" i="13"/>
  <c r="BG13" i="13"/>
  <c r="BE13" i="13"/>
  <c r="BO13" i="13"/>
  <c r="BS13" i="13"/>
  <c r="BF13" i="13"/>
  <c r="BQ13" i="13"/>
  <c r="BJ13" i="13"/>
  <c r="BT13" i="13"/>
  <c r="BR13" i="13"/>
  <c r="BK13" i="13"/>
  <c r="BD13" i="13"/>
  <c r="BH13" i="13"/>
  <c r="BL13" i="13"/>
  <c r="BP13" i="13"/>
  <c r="BI13" i="13"/>
  <c r="BM13" i="13"/>
  <c r="BR17" i="13"/>
  <c r="BK17" i="13"/>
  <c r="BJ17" i="13"/>
  <c r="BI17" i="13"/>
  <c r="BS17" i="13"/>
  <c r="BL17" i="13"/>
  <c r="BE17" i="13"/>
  <c r="BD17" i="13"/>
  <c r="BT17" i="13"/>
  <c r="BG17" i="13"/>
  <c r="BP17" i="13"/>
  <c r="BH17" i="13"/>
  <c r="BF17" i="13"/>
  <c r="BU17" i="13"/>
  <c r="BQ17" i="13"/>
  <c r="BO17" i="13"/>
  <c r="BN17" i="13"/>
  <c r="BM17" i="13"/>
  <c r="BV17" i="13"/>
  <c r="BO21" i="13"/>
  <c r="BH21" i="13"/>
  <c r="BR21" i="13"/>
  <c r="BK21" i="13"/>
  <c r="BJ21" i="13"/>
  <c r="BI21" i="13"/>
  <c r="BS21" i="13"/>
  <c r="BL21" i="13"/>
  <c r="BE21" i="13"/>
  <c r="BD21" i="13"/>
  <c r="BU21" i="13"/>
  <c r="BG21" i="13"/>
  <c r="BP21" i="13"/>
  <c r="BT21" i="13"/>
  <c r="BF21" i="13"/>
  <c r="BM21" i="13"/>
  <c r="BQ21" i="13"/>
  <c r="BV21" i="13"/>
  <c r="BN21" i="13"/>
  <c r="BK25" i="13"/>
  <c r="BJ25" i="13"/>
  <c r="BI25" i="13"/>
  <c r="BS25" i="13"/>
  <c r="BL25" i="13"/>
  <c r="BE25" i="13"/>
  <c r="BU25" i="13"/>
  <c r="BH25" i="13"/>
  <c r="BF25" i="13"/>
  <c r="BP25" i="13"/>
  <c r="BT25" i="13"/>
  <c r="BG25" i="13"/>
  <c r="BN25" i="13"/>
  <c r="BQ25" i="13"/>
  <c r="BD25" i="13"/>
  <c r="BR25" i="13"/>
  <c r="BV25" i="13"/>
  <c r="BO25" i="13"/>
  <c r="BM25" i="13"/>
  <c r="BM29" i="13"/>
  <c r="BF29" i="13"/>
  <c r="BV29" i="13"/>
  <c r="BU29" i="13"/>
  <c r="BN29" i="13"/>
  <c r="BG29" i="13"/>
  <c r="BQ29" i="13"/>
  <c r="BP29" i="13"/>
  <c r="BO29" i="13"/>
  <c r="BH29" i="13"/>
  <c r="BL29" i="13"/>
  <c r="BD29" i="13"/>
  <c r="BK29" i="13"/>
  <c r="BI29" i="13"/>
  <c r="BS29" i="13"/>
  <c r="BE29" i="13"/>
  <c r="BT29" i="13"/>
  <c r="BJ29" i="13"/>
  <c r="BR29" i="13"/>
  <c r="BT33" i="13"/>
  <c r="BM33" i="13"/>
  <c r="BF33" i="13"/>
  <c r="BV33" i="13"/>
  <c r="BU33" i="13"/>
  <c r="BN33" i="13"/>
  <c r="BG33" i="13"/>
  <c r="BQ33" i="13"/>
  <c r="BP33" i="13"/>
  <c r="BI33" i="13"/>
  <c r="BL33" i="13"/>
  <c r="BD33" i="13"/>
  <c r="BH33" i="13"/>
  <c r="BK33" i="13"/>
  <c r="BO33" i="13"/>
  <c r="BJ33" i="13"/>
  <c r="BS33" i="13"/>
  <c r="BR33" i="13"/>
  <c r="BE33" i="13"/>
  <c r="BV37" i="13"/>
  <c r="BU37" i="13"/>
  <c r="BN37" i="13"/>
  <c r="BG37" i="13"/>
  <c r="BK37" i="13"/>
  <c r="BD37" i="13"/>
  <c r="BH37" i="13"/>
  <c r="BL37" i="13"/>
  <c r="BP37" i="13"/>
  <c r="BI37" i="13"/>
  <c r="BM37" i="13"/>
  <c r="BJ37" i="13"/>
  <c r="BQ37" i="13"/>
  <c r="BT37" i="13"/>
  <c r="BR37" i="13"/>
  <c r="BO37" i="13"/>
  <c r="BS37" i="13"/>
  <c r="BF37" i="13"/>
  <c r="BE37" i="13"/>
  <c r="BR41" i="13"/>
  <c r="BK41" i="13"/>
  <c r="BJ41" i="13"/>
  <c r="BI41" i="13"/>
  <c r="BS41" i="13"/>
  <c r="BL41" i="13"/>
  <c r="BE41" i="13"/>
  <c r="BD41" i="13"/>
  <c r="BT41" i="13"/>
  <c r="BQ41" i="13"/>
  <c r="BO41" i="13"/>
  <c r="BM41" i="13"/>
  <c r="BV41" i="13"/>
  <c r="BN41" i="13"/>
  <c r="BG41" i="13"/>
  <c r="BP41" i="13"/>
  <c r="BH41" i="13"/>
  <c r="BF41" i="13"/>
  <c r="BU41" i="13"/>
  <c r="BO45" i="13"/>
  <c r="BH45" i="13"/>
  <c r="BR45" i="13"/>
  <c r="BK45" i="13"/>
  <c r="BJ45" i="13"/>
  <c r="BI45" i="13"/>
  <c r="BS45" i="13"/>
  <c r="BL45" i="13"/>
  <c r="BE45" i="13"/>
  <c r="BD45" i="13"/>
  <c r="BN45" i="13"/>
  <c r="BQ45" i="13"/>
  <c r="BM45" i="13"/>
  <c r="BV45" i="13"/>
  <c r="BF45" i="13"/>
  <c r="BU45" i="13"/>
  <c r="BP45" i="13"/>
  <c r="BT45" i="13"/>
  <c r="BG45" i="13"/>
  <c r="BK49" i="13"/>
  <c r="BJ49" i="13"/>
  <c r="BI49" i="13"/>
  <c r="BS49" i="13"/>
  <c r="BL49" i="13"/>
  <c r="BQ49" i="13"/>
  <c r="BD49" i="13"/>
  <c r="BN49" i="13"/>
  <c r="BR49" i="13"/>
  <c r="BV49" i="13"/>
  <c r="BO49" i="13"/>
  <c r="BM49" i="13"/>
  <c r="BT49" i="13"/>
  <c r="BP49" i="13"/>
  <c r="BG49" i="13"/>
  <c r="BH49" i="13"/>
  <c r="BF49" i="13"/>
  <c r="BE49" i="13"/>
  <c r="BU49" i="13"/>
  <c r="BM53" i="13"/>
  <c r="BF53" i="13"/>
  <c r="BV53" i="13"/>
  <c r="BU53" i="13"/>
  <c r="BN53" i="13"/>
  <c r="BG53" i="13"/>
  <c r="BQ53" i="13"/>
  <c r="BP53" i="13"/>
  <c r="BO53" i="13"/>
  <c r="BH53" i="13"/>
  <c r="BS53" i="13"/>
  <c r="BE53" i="13"/>
  <c r="BT53" i="13"/>
  <c r="BR53" i="13"/>
  <c r="BJ53" i="13"/>
  <c r="BL53" i="13"/>
  <c r="BD53" i="13"/>
  <c r="BK53" i="13"/>
  <c r="BI53" i="13"/>
  <c r="BT57" i="13"/>
  <c r="BM57" i="13"/>
  <c r="BF57" i="13"/>
  <c r="BV57" i="13"/>
  <c r="BU57" i="13"/>
  <c r="BN57" i="13"/>
  <c r="BG57" i="13"/>
  <c r="BQ57" i="13"/>
  <c r="BP57" i="13"/>
  <c r="BS57" i="13"/>
  <c r="BE57" i="13"/>
  <c r="BO57" i="13"/>
  <c r="BR57" i="13"/>
  <c r="BJ57" i="13"/>
  <c r="BH57" i="13"/>
  <c r="BL57" i="13"/>
  <c r="BK57" i="13"/>
  <c r="BI57" i="13"/>
  <c r="BD57" i="13"/>
  <c r="BV61" i="13"/>
  <c r="BU61" i="13"/>
  <c r="BN61" i="13"/>
  <c r="BG61" i="13"/>
  <c r="BQ61" i="13"/>
  <c r="BJ61" i="13"/>
  <c r="BT61" i="13"/>
  <c r="BR61" i="13"/>
  <c r="BE61" i="13"/>
  <c r="BO61" i="13"/>
  <c r="BS61" i="13"/>
  <c r="BF61" i="13"/>
  <c r="BP61" i="13"/>
  <c r="BM61" i="13"/>
  <c r="BI61" i="13"/>
  <c r="BL61" i="13"/>
  <c r="BD61" i="13"/>
  <c r="BK61" i="13"/>
  <c r="BH61" i="13"/>
  <c r="BR65" i="13"/>
  <c r="BK65" i="13"/>
  <c r="BJ65" i="13"/>
  <c r="BI65" i="13"/>
  <c r="BS65" i="13"/>
  <c r="BL65" i="13"/>
  <c r="BE65" i="13"/>
  <c r="BD65" i="13"/>
  <c r="BT65" i="13"/>
  <c r="BG65" i="13"/>
  <c r="BP65" i="13"/>
  <c r="BH65" i="13"/>
  <c r="BF65" i="13"/>
  <c r="BU65" i="13"/>
  <c r="BQ65" i="13"/>
  <c r="BO65" i="13"/>
  <c r="BM65" i="13"/>
  <c r="BV65" i="13"/>
  <c r="BN65" i="13"/>
  <c r="BO69" i="13"/>
  <c r="BH69" i="13"/>
  <c r="BR69" i="13"/>
  <c r="BK69" i="13"/>
  <c r="BJ69" i="13"/>
  <c r="BI69" i="13"/>
  <c r="BS69" i="13"/>
  <c r="BL69" i="13"/>
  <c r="BE69" i="13"/>
  <c r="BD69" i="13"/>
  <c r="BU69" i="13"/>
  <c r="BG69" i="13"/>
  <c r="BP69" i="13"/>
  <c r="BT69" i="13"/>
  <c r="BF69" i="13"/>
  <c r="BV69" i="13"/>
  <c r="BN69" i="13"/>
  <c r="BM69" i="13"/>
  <c r="BQ69" i="13"/>
  <c r="BK73" i="13"/>
  <c r="BJ73" i="13"/>
  <c r="BI73" i="13"/>
  <c r="BS73" i="13"/>
  <c r="BL73" i="13"/>
  <c r="BP73" i="13"/>
  <c r="BT73" i="13"/>
  <c r="BG73" i="13"/>
  <c r="BE73" i="13"/>
  <c r="BU73" i="13"/>
  <c r="BH73" i="13"/>
  <c r="BF73" i="13"/>
  <c r="BO73" i="13"/>
  <c r="BV73" i="13"/>
  <c r="BM73" i="13"/>
  <c r="BQ73" i="13"/>
  <c r="BD73" i="13"/>
  <c r="BN73" i="13"/>
  <c r="BR73" i="13"/>
  <c r="BM77" i="13"/>
  <c r="BF77" i="13"/>
  <c r="BV77" i="13"/>
  <c r="BU77" i="13"/>
  <c r="BN77" i="13"/>
  <c r="BG77" i="13"/>
  <c r="BQ77" i="13"/>
  <c r="BP77" i="13"/>
  <c r="BO77" i="13"/>
  <c r="BH77" i="13"/>
  <c r="BL77" i="13"/>
  <c r="BD77" i="13"/>
  <c r="BK77" i="13"/>
  <c r="BI77" i="13"/>
  <c r="BS77" i="13"/>
  <c r="BE77" i="13"/>
  <c r="BT77" i="13"/>
  <c r="BR77" i="13"/>
  <c r="BJ77" i="13"/>
  <c r="BT81" i="13"/>
  <c r="BM81" i="13"/>
  <c r="BF81" i="13"/>
  <c r="BV81" i="13"/>
  <c r="BU81" i="13"/>
  <c r="BN81" i="13"/>
  <c r="BG81" i="13"/>
  <c r="BQ81" i="13"/>
  <c r="BP81" i="13"/>
  <c r="BI81" i="13"/>
  <c r="BL81" i="13"/>
  <c r="BD81" i="13"/>
  <c r="BH81" i="13"/>
  <c r="BK81" i="13"/>
  <c r="BR81" i="13"/>
  <c r="BE81" i="13"/>
  <c r="BO81" i="13"/>
  <c r="BJ81" i="13"/>
  <c r="BS81" i="13"/>
  <c r="BV85" i="13"/>
  <c r="BU85" i="13"/>
  <c r="BN85" i="13"/>
  <c r="BG85" i="13"/>
  <c r="BP85" i="13"/>
  <c r="BI85" i="13"/>
  <c r="BM85" i="13"/>
  <c r="BK85" i="13"/>
  <c r="BD85" i="13"/>
  <c r="BH85" i="13"/>
  <c r="BL85" i="13"/>
  <c r="BO85" i="13"/>
  <c r="BS85" i="13"/>
  <c r="BE85" i="13"/>
  <c r="BF85" i="13"/>
  <c r="BJ85" i="13"/>
  <c r="BT85" i="13"/>
  <c r="BR85" i="13"/>
  <c r="BQ85" i="13"/>
  <c r="BR89" i="13"/>
  <c r="BK89" i="13"/>
  <c r="BJ89" i="13"/>
  <c r="BI89" i="13"/>
  <c r="BS89" i="13"/>
  <c r="BL89" i="13"/>
  <c r="BE89" i="13"/>
  <c r="BD89" i="13"/>
  <c r="BT89" i="13"/>
  <c r="BQ89" i="13"/>
  <c r="BO89" i="13"/>
  <c r="BM89" i="13"/>
  <c r="BV89" i="13"/>
  <c r="BN89" i="13"/>
  <c r="BG89" i="13"/>
  <c r="BP89" i="13"/>
  <c r="BH89" i="13"/>
  <c r="BU89" i="13"/>
  <c r="BF89" i="13"/>
  <c r="BO93" i="13"/>
  <c r="BH93" i="13"/>
  <c r="BR93" i="13"/>
  <c r="BK93" i="13"/>
  <c r="BJ93" i="13"/>
  <c r="BI93" i="13"/>
  <c r="BS93" i="13"/>
  <c r="BL93" i="13"/>
  <c r="BE93" i="13"/>
  <c r="BD93" i="13"/>
  <c r="BN93" i="13"/>
  <c r="BQ93" i="13"/>
  <c r="BM93" i="13"/>
  <c r="BV93" i="13"/>
  <c r="BT93" i="13"/>
  <c r="BG93" i="13"/>
  <c r="BF93" i="13"/>
  <c r="BU93" i="13"/>
  <c r="BP93" i="13"/>
  <c r="BK97" i="13"/>
  <c r="BJ97" i="13"/>
  <c r="BI97" i="13"/>
  <c r="BS97" i="13"/>
  <c r="BL97" i="13"/>
  <c r="BV97" i="13"/>
  <c r="BO97" i="13"/>
  <c r="BM97" i="13"/>
  <c r="BQ97" i="13"/>
  <c r="BD97" i="13"/>
  <c r="BN97" i="13"/>
  <c r="BR97" i="13"/>
  <c r="BU97" i="13"/>
  <c r="BF97" i="13"/>
  <c r="BE97" i="13"/>
  <c r="BH97" i="13"/>
  <c r="BT97" i="13"/>
  <c r="BG97" i="13"/>
  <c r="BP97" i="13"/>
  <c r="BM101" i="13"/>
  <c r="BF101" i="13"/>
  <c r="BV101" i="13"/>
  <c r="BU101" i="13"/>
  <c r="BN101" i="13"/>
  <c r="BG101" i="13"/>
  <c r="BQ101" i="13"/>
  <c r="BP101" i="13"/>
  <c r="BO101" i="13"/>
  <c r="BH101" i="13"/>
  <c r="BS101" i="13"/>
  <c r="BE101" i="13"/>
  <c r="BT101" i="13"/>
  <c r="BR101" i="13"/>
  <c r="BJ101" i="13"/>
  <c r="BL101" i="13"/>
  <c r="BD101" i="13"/>
  <c r="BK101" i="13"/>
  <c r="BI101" i="13"/>
  <c r="BT105" i="13"/>
  <c r="BM105" i="13"/>
  <c r="BF105" i="13"/>
  <c r="BV105" i="13"/>
  <c r="BU105" i="13"/>
  <c r="BN105" i="13"/>
  <c r="BG105" i="13"/>
  <c r="BQ105" i="13"/>
  <c r="BP105" i="13"/>
  <c r="BS105" i="13"/>
  <c r="BE105" i="13"/>
  <c r="BO105" i="13"/>
  <c r="BR105" i="13"/>
  <c r="BJ105" i="13"/>
  <c r="BK105" i="13"/>
  <c r="BI105" i="13"/>
  <c r="BD105" i="13"/>
  <c r="BH105" i="13"/>
  <c r="BL105" i="13"/>
  <c r="BV109" i="13"/>
  <c r="BU109" i="13"/>
  <c r="BN109" i="13"/>
  <c r="BG109" i="13"/>
  <c r="BE109" i="13"/>
  <c r="BO109" i="13"/>
  <c r="BS109" i="13"/>
  <c r="BF109" i="13"/>
  <c r="BQ109" i="13"/>
  <c r="BJ109" i="13"/>
  <c r="BT109" i="13"/>
  <c r="BR109" i="13"/>
  <c r="BD109" i="13"/>
  <c r="BL109" i="13"/>
  <c r="BK109" i="13"/>
  <c r="BH109" i="13"/>
  <c r="BM109" i="13"/>
  <c r="BP109" i="13"/>
  <c r="BI109" i="13"/>
  <c r="BR113" i="13"/>
  <c r="BK113" i="13"/>
  <c r="BJ113" i="13"/>
  <c r="BI113" i="13"/>
  <c r="BS113" i="13"/>
  <c r="BL113" i="13"/>
  <c r="BE113" i="13"/>
  <c r="BD113" i="13"/>
  <c r="BT113" i="13"/>
  <c r="BG113" i="13"/>
  <c r="BP113" i="13"/>
  <c r="BH113" i="13"/>
  <c r="BF113" i="13"/>
  <c r="BU113" i="13"/>
  <c r="BQ113" i="13"/>
  <c r="BO113" i="13"/>
  <c r="BM113" i="13"/>
  <c r="BV113" i="13"/>
  <c r="BN113" i="13"/>
  <c r="BO117" i="13"/>
  <c r="BH117" i="13"/>
  <c r="BR117" i="13"/>
  <c r="BK117" i="13"/>
  <c r="BJ117" i="13"/>
  <c r="BI117" i="13"/>
  <c r="BS117" i="13"/>
  <c r="BL117" i="13"/>
  <c r="BE117" i="13"/>
  <c r="BD117" i="13"/>
  <c r="BU117" i="13"/>
  <c r="BG117" i="13"/>
  <c r="BP117" i="13"/>
  <c r="BT117" i="13"/>
  <c r="BF117" i="13"/>
  <c r="BM117" i="13"/>
  <c r="BQ117" i="13"/>
  <c r="BV117" i="13"/>
  <c r="BN117" i="13"/>
  <c r="BK129" i="13"/>
  <c r="BJ129" i="13"/>
  <c r="BI129" i="13"/>
  <c r="BS129" i="13"/>
  <c r="BL129" i="13"/>
  <c r="BE129" i="13"/>
  <c r="BU129" i="13"/>
  <c r="BH129" i="13"/>
  <c r="BF129" i="13"/>
  <c r="BP129" i="13"/>
  <c r="BT129" i="13"/>
  <c r="BG129" i="13"/>
  <c r="BD129" i="13"/>
  <c r="BQ129" i="13"/>
  <c r="BN129" i="13"/>
  <c r="BR129" i="13"/>
  <c r="BO129" i="13"/>
  <c r="BV129" i="13"/>
  <c r="BM129" i="13"/>
  <c r="BM133" i="13"/>
  <c r="BF133" i="13"/>
  <c r="BV133" i="13"/>
  <c r="BU133" i="13"/>
  <c r="BN133" i="13"/>
  <c r="BG133" i="13"/>
  <c r="BQ133" i="13"/>
  <c r="BP133" i="13"/>
  <c r="BO133" i="13"/>
  <c r="BH133" i="13"/>
  <c r="BL133" i="13"/>
  <c r="BD133" i="13"/>
  <c r="BK133" i="13"/>
  <c r="BI133" i="13"/>
  <c r="BS133" i="13"/>
  <c r="BE133" i="13"/>
  <c r="BT133" i="13"/>
  <c r="BR133" i="13"/>
  <c r="BJ133" i="13"/>
  <c r="BT137" i="13"/>
  <c r="BM137" i="13"/>
  <c r="BF137" i="13"/>
  <c r="BV137" i="13"/>
  <c r="BU137" i="13"/>
  <c r="BN137" i="13"/>
  <c r="BG137" i="13"/>
  <c r="BQ137" i="13"/>
  <c r="BP137" i="13"/>
  <c r="BI137" i="13"/>
  <c r="BL137" i="13"/>
  <c r="BD137" i="13"/>
  <c r="BH137" i="13"/>
  <c r="BK137" i="13"/>
  <c r="BO137" i="13"/>
  <c r="BJ137" i="13"/>
  <c r="BS137" i="13"/>
  <c r="BR137" i="13"/>
  <c r="BE137" i="13"/>
  <c r="BV177" i="13"/>
  <c r="BU177" i="13"/>
  <c r="BN177" i="13"/>
  <c r="BG177" i="13"/>
  <c r="BK177" i="13"/>
  <c r="BJ177" i="13"/>
  <c r="BI177" i="13"/>
  <c r="BS177" i="13"/>
  <c r="BL177" i="13"/>
  <c r="BE177" i="13"/>
  <c r="BT177" i="13"/>
  <c r="BF177" i="13"/>
  <c r="BD177" i="13"/>
  <c r="BM177" i="13"/>
  <c r="BQ177" i="13"/>
  <c r="BR177" i="13"/>
  <c r="BP177" i="13"/>
  <c r="BO177" i="13"/>
  <c r="BH177" i="13"/>
  <c r="BG181" i="13"/>
  <c r="BQ181" i="13"/>
  <c r="BP181" i="13"/>
  <c r="BO181" i="13"/>
  <c r="BH181" i="13"/>
  <c r="BL181" i="13"/>
  <c r="BV181" i="13"/>
  <c r="BI181" i="13"/>
  <c r="BS181" i="13"/>
  <c r="BF181" i="13"/>
  <c r="BJ181" i="13"/>
  <c r="BT181" i="13"/>
  <c r="BM181" i="13"/>
  <c r="BK181" i="13"/>
  <c r="BD181" i="13"/>
  <c r="BN181" i="13"/>
  <c r="BR181" i="13"/>
  <c r="BE181" i="13"/>
  <c r="BU181" i="13"/>
  <c r="BT185" i="13"/>
  <c r="BM185" i="13"/>
  <c r="BF185" i="13"/>
  <c r="BV185" i="13"/>
  <c r="BU185" i="13"/>
  <c r="BN185" i="13"/>
  <c r="BG185" i="13"/>
  <c r="BQ185" i="13"/>
  <c r="BP185" i="13"/>
  <c r="BS185" i="13"/>
  <c r="BE185" i="13"/>
  <c r="BO185" i="13"/>
  <c r="BR185" i="13"/>
  <c r="BJ185" i="13"/>
  <c r="BI185" i="13"/>
  <c r="BL185" i="13"/>
  <c r="BD185" i="13"/>
  <c r="BH185" i="13"/>
  <c r="BK185" i="13"/>
  <c r="BK204" i="13"/>
  <c r="BJ204" i="13"/>
  <c r="BI204" i="13"/>
  <c r="BS204" i="13"/>
  <c r="BL204" i="13"/>
  <c r="BV204" i="13"/>
  <c r="BU204" i="13"/>
  <c r="BN204" i="13"/>
  <c r="BG204" i="13"/>
  <c r="BP204" i="13"/>
  <c r="BR204" i="13"/>
  <c r="BQ204" i="13"/>
  <c r="BO204" i="13"/>
  <c r="BH204" i="13"/>
  <c r="BT204" i="13"/>
  <c r="BE204" i="13"/>
  <c r="BM204" i="13"/>
  <c r="BF204" i="13"/>
  <c r="BD204" i="13"/>
  <c r="BQ6" i="13"/>
  <c r="BP6" i="13"/>
  <c r="BO6" i="13"/>
  <c r="BH6" i="13"/>
  <c r="BR6" i="13"/>
  <c r="BK6" i="13"/>
  <c r="BJ6" i="13"/>
  <c r="BI6" i="13"/>
  <c r="BS6" i="13"/>
  <c r="BL6" i="13"/>
  <c r="BD6" i="13"/>
  <c r="BM6" i="13"/>
  <c r="BE6" i="13"/>
  <c r="BT6" i="13"/>
  <c r="BV6" i="13"/>
  <c r="BN6" i="13"/>
  <c r="BF6" i="13"/>
  <c r="BU6" i="13"/>
  <c r="BG6" i="13"/>
  <c r="BN10" i="13"/>
  <c r="BG10" i="13"/>
  <c r="BQ10" i="13"/>
  <c r="BP10" i="13"/>
  <c r="BO10" i="13"/>
  <c r="BH10" i="13"/>
  <c r="BL10" i="13"/>
  <c r="BV10" i="13"/>
  <c r="BI10" i="13"/>
  <c r="BT10" i="13"/>
  <c r="BR10" i="13"/>
  <c r="BE10" i="13"/>
  <c r="BU10" i="13"/>
  <c r="BS10" i="13"/>
  <c r="BJ10" i="13"/>
  <c r="BM10" i="13"/>
  <c r="BD10" i="13"/>
  <c r="BK10" i="13"/>
  <c r="BF10" i="13"/>
  <c r="BV14" i="13"/>
  <c r="BU14" i="13"/>
  <c r="BN14" i="13"/>
  <c r="BG14" i="13"/>
  <c r="BQ14" i="13"/>
  <c r="BO14" i="13"/>
  <c r="BS14" i="13"/>
  <c r="BF14" i="13"/>
  <c r="BP14" i="13"/>
  <c r="BI14" i="13"/>
  <c r="BM14" i="13"/>
  <c r="BK14" i="13"/>
  <c r="BD14" i="13"/>
  <c r="BL14" i="13"/>
  <c r="BT14" i="13"/>
  <c r="BE14" i="13"/>
  <c r="BH14" i="13"/>
  <c r="BJ14" i="13"/>
  <c r="BR14" i="13"/>
  <c r="BL18" i="13"/>
  <c r="BE18" i="13"/>
  <c r="BD18" i="13"/>
  <c r="BT18" i="13"/>
  <c r="BM18" i="13"/>
  <c r="BF18" i="13"/>
  <c r="BV18" i="13"/>
  <c r="BU18" i="13"/>
  <c r="BN18" i="13"/>
  <c r="BG18" i="13"/>
  <c r="BQ18" i="13"/>
  <c r="BO18" i="13"/>
  <c r="BI18" i="13"/>
  <c r="BP18" i="13"/>
  <c r="BH18" i="13"/>
  <c r="BR18" i="13"/>
  <c r="BJ18" i="13"/>
  <c r="BS18" i="13"/>
  <c r="BK18" i="13"/>
  <c r="BS22" i="13"/>
  <c r="BL22" i="13"/>
  <c r="BE22" i="13"/>
  <c r="BD22" i="13"/>
  <c r="BN22" i="13"/>
  <c r="BR22" i="13"/>
  <c r="BV22" i="13"/>
  <c r="BO22" i="13"/>
  <c r="BT22" i="13"/>
  <c r="BG22" i="13"/>
  <c r="BK22" i="13"/>
  <c r="BU22" i="13"/>
  <c r="BF22" i="13"/>
  <c r="BI22" i="13"/>
  <c r="BQ22" i="13"/>
  <c r="BM22" i="13"/>
  <c r="BJ22" i="13"/>
  <c r="BP22" i="13"/>
  <c r="BH22" i="13"/>
  <c r="BJ26" i="13"/>
  <c r="BI26" i="13"/>
  <c r="BS26" i="13"/>
  <c r="BL26" i="13"/>
  <c r="BE26" i="13"/>
  <c r="BU26" i="13"/>
  <c r="BH26" i="13"/>
  <c r="BF26" i="13"/>
  <c r="BV26" i="13"/>
  <c r="BO26" i="13"/>
  <c r="BM26" i="13"/>
  <c r="BQ26" i="13"/>
  <c r="BN26" i="13"/>
  <c r="BP26" i="13"/>
  <c r="BG26" i="13"/>
  <c r="BD26" i="13"/>
  <c r="BR26" i="13"/>
  <c r="BT26" i="13"/>
  <c r="BK26" i="13"/>
  <c r="BQ30" i="13"/>
  <c r="BP30" i="13"/>
  <c r="BO30" i="13"/>
  <c r="BH30" i="13"/>
  <c r="BR30" i="13"/>
  <c r="BK30" i="13"/>
  <c r="BJ30" i="13"/>
  <c r="BI30" i="13"/>
  <c r="BS30" i="13"/>
  <c r="BE30" i="13"/>
  <c r="BT30" i="13"/>
  <c r="BN30" i="13"/>
  <c r="BL30" i="13"/>
  <c r="BD30" i="13"/>
  <c r="BM30" i="13"/>
  <c r="BV30" i="13"/>
  <c r="BF30" i="13"/>
  <c r="BU30" i="13"/>
  <c r="BG30" i="13"/>
  <c r="BN34" i="13"/>
  <c r="BG34" i="13"/>
  <c r="BQ34" i="13"/>
  <c r="BP34" i="13"/>
  <c r="BO34" i="13"/>
  <c r="BT34" i="13"/>
  <c r="BR34" i="13"/>
  <c r="BE34" i="13"/>
  <c r="BU34" i="13"/>
  <c r="BM34" i="13"/>
  <c r="BK34" i="13"/>
  <c r="BD34" i="13"/>
  <c r="BH34" i="13"/>
  <c r="BV34" i="13"/>
  <c r="BS34" i="13"/>
  <c r="BJ34" i="13"/>
  <c r="BF34" i="13"/>
  <c r="BI34" i="13"/>
  <c r="BL34" i="13"/>
  <c r="BV38" i="13"/>
  <c r="BU38" i="13"/>
  <c r="BN38" i="13"/>
  <c r="BG38" i="13"/>
  <c r="BQ38" i="13"/>
  <c r="BD38" i="13"/>
  <c r="BH38" i="13"/>
  <c r="BL38" i="13"/>
  <c r="BO38" i="13"/>
  <c r="BS38" i="13"/>
  <c r="BF38" i="13"/>
  <c r="BJ38" i="13"/>
  <c r="BR38" i="13"/>
  <c r="BI38" i="13"/>
  <c r="BK38" i="13"/>
  <c r="BT38" i="13"/>
  <c r="BE38" i="13"/>
  <c r="BP38" i="13"/>
  <c r="BM38" i="13"/>
  <c r="BL42" i="13"/>
  <c r="BE42" i="13"/>
  <c r="BD42" i="13"/>
  <c r="BT42" i="13"/>
  <c r="BM42" i="13"/>
  <c r="BF42" i="13"/>
  <c r="BV42" i="13"/>
  <c r="BU42" i="13"/>
  <c r="BN42" i="13"/>
  <c r="BG42" i="13"/>
  <c r="BP42" i="13"/>
  <c r="BH42" i="13"/>
  <c r="BS42" i="13"/>
  <c r="BQ42" i="13"/>
  <c r="BO42" i="13"/>
  <c r="BR42" i="13"/>
  <c r="BK42" i="13"/>
  <c r="BI42" i="13"/>
  <c r="BJ42" i="13"/>
  <c r="BS46" i="13"/>
  <c r="BL46" i="13"/>
  <c r="BE46" i="13"/>
  <c r="BD46" i="13"/>
  <c r="BT46" i="13"/>
  <c r="BG46" i="13"/>
  <c r="BK46" i="13"/>
  <c r="BU46" i="13"/>
  <c r="BM46" i="13"/>
  <c r="BQ46" i="13"/>
  <c r="BJ46" i="13"/>
  <c r="BR46" i="13"/>
  <c r="BO46" i="13"/>
  <c r="BF46" i="13"/>
  <c r="BI46" i="13"/>
  <c r="BH46" i="13"/>
  <c r="BP46" i="13"/>
  <c r="BN46" i="13"/>
  <c r="BV46" i="13"/>
  <c r="BJ50" i="13"/>
  <c r="BI50" i="13"/>
  <c r="BS50" i="13"/>
  <c r="BL50" i="13"/>
  <c r="BE50" i="13"/>
  <c r="BD50" i="13"/>
  <c r="BN50" i="13"/>
  <c r="BR50" i="13"/>
  <c r="BU50" i="13"/>
  <c r="BH50" i="13"/>
  <c r="BF50" i="13"/>
  <c r="BT50" i="13"/>
  <c r="BK50" i="13"/>
  <c r="BV50" i="13"/>
  <c r="BM50" i="13"/>
  <c r="BP50" i="13"/>
  <c r="BG50" i="13"/>
  <c r="BO50" i="13"/>
  <c r="BQ50" i="13"/>
  <c r="BQ54" i="13"/>
  <c r="BP54" i="13"/>
  <c r="BO54" i="13"/>
  <c r="BH54" i="13"/>
  <c r="BR54" i="13"/>
  <c r="BK54" i="13"/>
  <c r="BJ54" i="13"/>
  <c r="BI54" i="13"/>
  <c r="BS54" i="13"/>
  <c r="BL54" i="13"/>
  <c r="BD54" i="13"/>
  <c r="BM54" i="13"/>
  <c r="BF54" i="13"/>
  <c r="BE54" i="13"/>
  <c r="BT54" i="13"/>
  <c r="BU54" i="13"/>
  <c r="BV54" i="13"/>
  <c r="BN54" i="13"/>
  <c r="BG54" i="13"/>
  <c r="BN58" i="13"/>
  <c r="BG58" i="13"/>
  <c r="BQ58" i="13"/>
  <c r="BP58" i="13"/>
  <c r="BO58" i="13"/>
  <c r="BM58" i="13"/>
  <c r="BK58" i="13"/>
  <c r="BD58" i="13"/>
  <c r="BS58" i="13"/>
  <c r="BF58" i="13"/>
  <c r="BJ58" i="13"/>
  <c r="BT58" i="13"/>
  <c r="BE58" i="13"/>
  <c r="BH58" i="13"/>
  <c r="BV58" i="13"/>
  <c r="BL58" i="13"/>
  <c r="BI58" i="13"/>
  <c r="BR58" i="13"/>
  <c r="BU58" i="13"/>
  <c r="BV62" i="13"/>
  <c r="BU62" i="13"/>
  <c r="BN62" i="13"/>
  <c r="BG62" i="13"/>
  <c r="BQ62" i="13"/>
  <c r="BJ62" i="13"/>
  <c r="BT62" i="13"/>
  <c r="BR62" i="13"/>
  <c r="BE62" i="13"/>
  <c r="BD62" i="13"/>
  <c r="BH62" i="13"/>
  <c r="BL62" i="13"/>
  <c r="BP62" i="13"/>
  <c r="BM62" i="13"/>
  <c r="BO62" i="13"/>
  <c r="BF62" i="13"/>
  <c r="BI62" i="13"/>
  <c r="BK62" i="13"/>
  <c r="BS62" i="13"/>
  <c r="BL66" i="13"/>
  <c r="BE66" i="13"/>
  <c r="BD66" i="13"/>
  <c r="BT66" i="13"/>
  <c r="BM66" i="13"/>
  <c r="BF66" i="13"/>
  <c r="BV66" i="13"/>
  <c r="BU66" i="13"/>
  <c r="BN66" i="13"/>
  <c r="BG66" i="13"/>
  <c r="BQ66" i="13"/>
  <c r="BO66" i="13"/>
  <c r="BP66" i="13"/>
  <c r="BH66" i="13"/>
  <c r="BK66" i="13"/>
  <c r="BR66" i="13"/>
  <c r="BJ66" i="13"/>
  <c r="BS66" i="13"/>
  <c r="BI66" i="13"/>
  <c r="BS70" i="13"/>
  <c r="BL70" i="13"/>
  <c r="BE70" i="13"/>
  <c r="BD70" i="13"/>
  <c r="BM70" i="13"/>
  <c r="BQ70" i="13"/>
  <c r="BJ70" i="13"/>
  <c r="BH70" i="13"/>
  <c r="BF70" i="13"/>
  <c r="BP70" i="13"/>
  <c r="BI70" i="13"/>
  <c r="BG70" i="13"/>
  <c r="BU70" i="13"/>
  <c r="BR70" i="13"/>
  <c r="BO70" i="13"/>
  <c r="BN70" i="13"/>
  <c r="BV70" i="13"/>
  <c r="BT70" i="13"/>
  <c r="BK70" i="13"/>
  <c r="BJ74" i="13"/>
  <c r="BI74" i="13"/>
  <c r="BS74" i="13"/>
  <c r="BL74" i="13"/>
  <c r="BE74" i="13"/>
  <c r="BP74" i="13"/>
  <c r="BT74" i="13"/>
  <c r="BG74" i="13"/>
  <c r="BK74" i="13"/>
  <c r="BD74" i="13"/>
  <c r="BN74" i="13"/>
  <c r="BR74" i="13"/>
  <c r="BO74" i="13"/>
  <c r="BQ74" i="13"/>
  <c r="BH74" i="13"/>
  <c r="BV74" i="13"/>
  <c r="BM74" i="13"/>
  <c r="BU74" i="13"/>
  <c r="BF74" i="13"/>
  <c r="BQ78" i="13"/>
  <c r="BP78" i="13"/>
  <c r="BO78" i="13"/>
  <c r="BH78" i="13"/>
  <c r="BR78" i="13"/>
  <c r="BK78" i="13"/>
  <c r="BJ78" i="13"/>
  <c r="BI78" i="13"/>
  <c r="BS78" i="13"/>
  <c r="BE78" i="13"/>
  <c r="BT78" i="13"/>
  <c r="BN78" i="13"/>
  <c r="BL78" i="13"/>
  <c r="BD78" i="13"/>
  <c r="BM78" i="13"/>
  <c r="BV78" i="13"/>
  <c r="BF78" i="13"/>
  <c r="BU78" i="13"/>
  <c r="BG78" i="13"/>
  <c r="BN82" i="13"/>
  <c r="BG82" i="13"/>
  <c r="BQ82" i="13"/>
  <c r="BP82" i="13"/>
  <c r="BO82" i="13"/>
  <c r="BS82" i="13"/>
  <c r="BF82" i="13"/>
  <c r="BJ82" i="13"/>
  <c r="BH82" i="13"/>
  <c r="BL82" i="13"/>
  <c r="BV82" i="13"/>
  <c r="BI82" i="13"/>
  <c r="BK82" i="13"/>
  <c r="BT82" i="13"/>
  <c r="BE82" i="13"/>
  <c r="BR82" i="13"/>
  <c r="BU82" i="13"/>
  <c r="BM82" i="13"/>
  <c r="BD82" i="13"/>
  <c r="BV86" i="13"/>
  <c r="BU86" i="13"/>
  <c r="BN86" i="13"/>
  <c r="BG86" i="13"/>
  <c r="BQ86" i="13"/>
  <c r="BP86" i="13"/>
  <c r="BI86" i="13"/>
  <c r="BM86" i="13"/>
  <c r="BK86" i="13"/>
  <c r="BJ86" i="13"/>
  <c r="BT86" i="13"/>
  <c r="BR86" i="13"/>
  <c r="BE86" i="13"/>
  <c r="BS86" i="13"/>
  <c r="BD86" i="13"/>
  <c r="BL86" i="13"/>
  <c r="BO86" i="13"/>
  <c r="BF86" i="13"/>
  <c r="BH86" i="13"/>
  <c r="BL90" i="13"/>
  <c r="BE90" i="13"/>
  <c r="BD90" i="13"/>
  <c r="BT90" i="13"/>
  <c r="BM90" i="13"/>
  <c r="BF90" i="13"/>
  <c r="BV90" i="13"/>
  <c r="BU90" i="13"/>
  <c r="BN90" i="13"/>
  <c r="BG90" i="13"/>
  <c r="BP90" i="13"/>
  <c r="BH90" i="13"/>
  <c r="BJ90" i="13"/>
  <c r="BQ90" i="13"/>
  <c r="BO90" i="13"/>
  <c r="BR90" i="13"/>
  <c r="BK90" i="13"/>
  <c r="BI90" i="13"/>
  <c r="BS90" i="13"/>
  <c r="BS94" i="13"/>
  <c r="BL94" i="13"/>
  <c r="BE94" i="13"/>
  <c r="BD94" i="13"/>
  <c r="BH94" i="13"/>
  <c r="BF94" i="13"/>
  <c r="BP94" i="13"/>
  <c r="BI94" i="13"/>
  <c r="BN94" i="13"/>
  <c r="BR94" i="13"/>
  <c r="BV94" i="13"/>
  <c r="BO94" i="13"/>
  <c r="BM94" i="13"/>
  <c r="BJ94" i="13"/>
  <c r="BG94" i="13"/>
  <c r="BU94" i="13"/>
  <c r="BT94" i="13"/>
  <c r="BK94" i="13"/>
  <c r="BQ94" i="13"/>
  <c r="BJ98" i="13"/>
  <c r="BI98" i="13"/>
  <c r="BS98" i="13"/>
  <c r="BL98" i="13"/>
  <c r="BE98" i="13"/>
  <c r="BV98" i="13"/>
  <c r="BO98" i="13"/>
  <c r="BM98" i="13"/>
  <c r="BQ98" i="13"/>
  <c r="BP98" i="13"/>
  <c r="BT98" i="13"/>
  <c r="BG98" i="13"/>
  <c r="BK98" i="13"/>
  <c r="BU98" i="13"/>
  <c r="BF98" i="13"/>
  <c r="BN98" i="13"/>
  <c r="BH98" i="13"/>
  <c r="BD98" i="13"/>
  <c r="BR98" i="13"/>
  <c r="BQ102" i="13"/>
  <c r="BP102" i="13"/>
  <c r="BO102" i="13"/>
  <c r="BH102" i="13"/>
  <c r="BR102" i="13"/>
  <c r="BK102" i="13"/>
  <c r="BJ102" i="13"/>
  <c r="BI102" i="13"/>
  <c r="BS102" i="13"/>
  <c r="BL102" i="13"/>
  <c r="BD102" i="13"/>
  <c r="BM102" i="13"/>
  <c r="BE102" i="13"/>
  <c r="BT102" i="13"/>
  <c r="BV102" i="13"/>
  <c r="BN102" i="13"/>
  <c r="BF102" i="13"/>
  <c r="BU102" i="13"/>
  <c r="BG102" i="13"/>
  <c r="BN106" i="13"/>
  <c r="BG106" i="13"/>
  <c r="BQ106" i="13"/>
  <c r="BP106" i="13"/>
  <c r="BO106" i="13"/>
  <c r="BH106" i="13"/>
  <c r="BL106" i="13"/>
  <c r="BV106" i="13"/>
  <c r="BI106" i="13"/>
  <c r="BT106" i="13"/>
  <c r="BR106" i="13"/>
  <c r="BE106" i="13"/>
  <c r="BU106" i="13"/>
  <c r="BF106" i="13"/>
  <c r="BK106" i="13"/>
  <c r="BM106" i="13"/>
  <c r="BD106" i="13"/>
  <c r="BS106" i="13"/>
  <c r="BJ106" i="13"/>
  <c r="BV110" i="13"/>
  <c r="BU110" i="13"/>
  <c r="BN110" i="13"/>
  <c r="BG110" i="13"/>
  <c r="BQ110" i="13"/>
  <c r="BO110" i="13"/>
  <c r="BS110" i="13"/>
  <c r="BF110" i="13"/>
  <c r="BP110" i="13"/>
  <c r="BI110" i="13"/>
  <c r="BM110" i="13"/>
  <c r="BK110" i="13"/>
  <c r="BH110" i="13"/>
  <c r="BJ110" i="13"/>
  <c r="BR110" i="13"/>
  <c r="BD110" i="13"/>
  <c r="BL110" i="13"/>
  <c r="BT110" i="13"/>
  <c r="BE110" i="13"/>
  <c r="BL114" i="13"/>
  <c r="BE114" i="13"/>
  <c r="BD114" i="13"/>
  <c r="BT114" i="13"/>
  <c r="BM114" i="13"/>
  <c r="BF114" i="13"/>
  <c r="BV114" i="13"/>
  <c r="BU114" i="13"/>
  <c r="BN114" i="13"/>
  <c r="BG114" i="13"/>
  <c r="BQ114" i="13"/>
  <c r="BO114" i="13"/>
  <c r="BP114" i="13"/>
  <c r="BH114" i="13"/>
  <c r="BR114" i="13"/>
  <c r="BJ114" i="13"/>
  <c r="BS114" i="13"/>
  <c r="BK114" i="13"/>
  <c r="BI114" i="13"/>
  <c r="BS118" i="13"/>
  <c r="BL118" i="13"/>
  <c r="BE118" i="13"/>
  <c r="BD118" i="13"/>
  <c r="BN118" i="13"/>
  <c r="BR118" i="13"/>
  <c r="BV118" i="13"/>
  <c r="BO118" i="13"/>
  <c r="BT118" i="13"/>
  <c r="BG118" i="13"/>
  <c r="BK118" i="13"/>
  <c r="BU118" i="13"/>
  <c r="BH118" i="13"/>
  <c r="BP118" i="13"/>
  <c r="BM118" i="13"/>
  <c r="BJ118" i="13"/>
  <c r="BQ118" i="13"/>
  <c r="BF118" i="13"/>
  <c r="BI118" i="13"/>
  <c r="BJ130" i="13"/>
  <c r="BI130" i="13"/>
  <c r="BS130" i="13"/>
  <c r="BL130" i="13"/>
  <c r="BE130" i="13"/>
  <c r="BD130" i="13"/>
  <c r="BT130" i="13"/>
  <c r="BM130" i="13"/>
  <c r="BF130" i="13"/>
  <c r="BO130" i="13"/>
  <c r="BR130" i="13"/>
  <c r="BV130" i="13"/>
  <c r="BN130" i="13"/>
  <c r="BQ130" i="13"/>
  <c r="BP130" i="13"/>
  <c r="BH130" i="13"/>
  <c r="BK130" i="13"/>
  <c r="BU130" i="13"/>
  <c r="BG130" i="13"/>
  <c r="BQ134" i="13"/>
  <c r="BP134" i="13"/>
  <c r="BO134" i="13"/>
  <c r="BH134" i="13"/>
  <c r="BR134" i="13"/>
  <c r="BK134" i="13"/>
  <c r="BJ134" i="13"/>
  <c r="BI134" i="13"/>
  <c r="BS134" i="13"/>
  <c r="BE134" i="13"/>
  <c r="BT134" i="13"/>
  <c r="BL134" i="13"/>
  <c r="BD134" i="13"/>
  <c r="BM134" i="13"/>
  <c r="BF134" i="13"/>
  <c r="BU134" i="13"/>
  <c r="BG134" i="13"/>
  <c r="BN134" i="13"/>
  <c r="BV134" i="13"/>
  <c r="BN138" i="13"/>
  <c r="BG138" i="13"/>
  <c r="BQ138" i="13"/>
  <c r="BP138" i="13"/>
  <c r="BO138" i="13"/>
  <c r="BT138" i="13"/>
  <c r="BR138" i="13"/>
  <c r="BE138" i="13"/>
  <c r="BU138" i="13"/>
  <c r="BM138" i="13"/>
  <c r="BK138" i="13"/>
  <c r="BL138" i="13"/>
  <c r="BD138" i="13"/>
  <c r="BF138" i="13"/>
  <c r="BI138" i="13"/>
  <c r="BS138" i="13"/>
  <c r="BJ138" i="13"/>
  <c r="BV138" i="13"/>
  <c r="BH138" i="13"/>
  <c r="BS174" i="13"/>
  <c r="BL174" i="13"/>
  <c r="BE174" i="13"/>
  <c r="BD174" i="13"/>
  <c r="BT174" i="13"/>
  <c r="BG174" i="13"/>
  <c r="BK174" i="13"/>
  <c r="BU174" i="13"/>
  <c r="BR174" i="13"/>
  <c r="BP174" i="13"/>
  <c r="BN174" i="13"/>
  <c r="BF174" i="13"/>
  <c r="BJ174" i="13"/>
  <c r="BM174" i="13"/>
  <c r="BV174" i="13"/>
  <c r="BI174" i="13"/>
  <c r="BH174" i="13"/>
  <c r="BQ174" i="13"/>
  <c r="BO174" i="13"/>
  <c r="BD178" i="13"/>
  <c r="BT178" i="13"/>
  <c r="BM178" i="13"/>
  <c r="BF178" i="13"/>
  <c r="BJ178" i="13"/>
  <c r="BN178" i="13"/>
  <c r="BR178" i="13"/>
  <c r="BE178" i="13"/>
  <c r="BU178" i="13"/>
  <c r="BH178" i="13"/>
  <c r="BL178" i="13"/>
  <c r="BV178" i="13"/>
  <c r="BO178" i="13"/>
  <c r="BS178" i="13"/>
  <c r="BQ178" i="13"/>
  <c r="BP178" i="13"/>
  <c r="BI178" i="13"/>
  <c r="BG178" i="13"/>
  <c r="BK178" i="13"/>
  <c r="BQ182" i="13"/>
  <c r="BP182" i="13"/>
  <c r="BO182" i="13"/>
  <c r="BH182" i="13"/>
  <c r="BR182" i="13"/>
  <c r="BK182" i="13"/>
  <c r="BJ182" i="13"/>
  <c r="BI182" i="13"/>
  <c r="BS182" i="13"/>
  <c r="BL182" i="13"/>
  <c r="BD182" i="13"/>
  <c r="BM182" i="13"/>
  <c r="BE182" i="13"/>
  <c r="BT182" i="13"/>
  <c r="BV182" i="13"/>
  <c r="BN182" i="13"/>
  <c r="BF182" i="13"/>
  <c r="BU182" i="13"/>
  <c r="BG182" i="13"/>
  <c r="BN186" i="13"/>
  <c r="BG186" i="13"/>
  <c r="BQ186" i="13"/>
  <c r="BP186" i="13"/>
  <c r="BO186" i="13"/>
  <c r="BM186" i="13"/>
  <c r="BK186" i="13"/>
  <c r="BD186" i="13"/>
  <c r="BS186" i="13"/>
  <c r="BE186" i="13"/>
  <c r="BI186" i="13"/>
  <c r="BR186" i="13"/>
  <c r="BV186" i="13"/>
  <c r="BH186" i="13"/>
  <c r="BF186" i="13"/>
  <c r="BU186" i="13"/>
  <c r="BT186" i="13"/>
  <c r="BL186" i="13"/>
  <c r="BJ186" i="13"/>
  <c r="BE7" i="13"/>
  <c r="BD7" i="13"/>
  <c r="BT7" i="13"/>
  <c r="BM7" i="13"/>
  <c r="BF7" i="13"/>
  <c r="BQ7" i="13"/>
  <c r="BJ7" i="13"/>
  <c r="BN7" i="13"/>
  <c r="BR7" i="13"/>
  <c r="BV7" i="13"/>
  <c r="BO7" i="13"/>
  <c r="BS7" i="13"/>
  <c r="BP7" i="13"/>
  <c r="BI7" i="13"/>
  <c r="BG7" i="13"/>
  <c r="BL7" i="13"/>
  <c r="BK7" i="13"/>
  <c r="BU7" i="13"/>
  <c r="BH7" i="13"/>
  <c r="BG11" i="13"/>
  <c r="BQ11" i="13"/>
  <c r="BP11" i="13"/>
  <c r="BO11" i="13"/>
  <c r="BH11" i="13"/>
  <c r="BR11" i="13"/>
  <c r="BK11" i="13"/>
  <c r="BJ11" i="13"/>
  <c r="BI11" i="13"/>
  <c r="BF11" i="13"/>
  <c r="BU11" i="13"/>
  <c r="BS11" i="13"/>
  <c r="BE11" i="13"/>
  <c r="BT11" i="13"/>
  <c r="BM11" i="13"/>
  <c r="BV11" i="13"/>
  <c r="BN11" i="13"/>
  <c r="BL11" i="13"/>
  <c r="BD11" i="13"/>
  <c r="BU15" i="13"/>
  <c r="BN15" i="13"/>
  <c r="BG15" i="13"/>
  <c r="BQ15" i="13"/>
  <c r="BP15" i="13"/>
  <c r="BO15" i="13"/>
  <c r="BH15" i="13"/>
  <c r="BR15" i="13"/>
  <c r="BK15" i="13"/>
  <c r="BJ15" i="13"/>
  <c r="BT15" i="13"/>
  <c r="BF15" i="13"/>
  <c r="BS15" i="13"/>
  <c r="BE15" i="13"/>
  <c r="BL15" i="13"/>
  <c r="BV15" i="13"/>
  <c r="BI15" i="13"/>
  <c r="BD15" i="13"/>
  <c r="BM15" i="13"/>
  <c r="BQ19" i="13"/>
  <c r="BP19" i="13"/>
  <c r="BO19" i="13"/>
  <c r="BH19" i="13"/>
  <c r="BR19" i="13"/>
  <c r="BJ19" i="13"/>
  <c r="BT19" i="13"/>
  <c r="BG19" i="13"/>
  <c r="BE19" i="13"/>
  <c r="BU19" i="13"/>
  <c r="BS19" i="13"/>
  <c r="BF19" i="13"/>
  <c r="BV19" i="13"/>
  <c r="BI19" i="13"/>
  <c r="BM19" i="13"/>
  <c r="BK19" i="13"/>
  <c r="BD19" i="13"/>
  <c r="BN19" i="13"/>
  <c r="BL19" i="13"/>
  <c r="BS23" i="13"/>
  <c r="BL23" i="13"/>
  <c r="BE23" i="13"/>
  <c r="BD23" i="13"/>
  <c r="BT23" i="13"/>
  <c r="BM23" i="13"/>
  <c r="BF23" i="13"/>
  <c r="BV23" i="13"/>
  <c r="BU23" i="13"/>
  <c r="BN23" i="13"/>
  <c r="BK23" i="13"/>
  <c r="BI23" i="13"/>
  <c r="BG23" i="13"/>
  <c r="BP23" i="13"/>
  <c r="BH23" i="13"/>
  <c r="BR23" i="13"/>
  <c r="BJ23" i="13"/>
  <c r="BQ23" i="13"/>
  <c r="BO23" i="13"/>
  <c r="BI27" i="13"/>
  <c r="BS27" i="13"/>
  <c r="BL27" i="13"/>
  <c r="BE27" i="13"/>
  <c r="BD27" i="13"/>
  <c r="BT27" i="13"/>
  <c r="BM27" i="13"/>
  <c r="BF27" i="13"/>
  <c r="BV27" i="13"/>
  <c r="BH27" i="13"/>
  <c r="BK27" i="13"/>
  <c r="BU27" i="13"/>
  <c r="BG27" i="13"/>
  <c r="BP27" i="13"/>
  <c r="BN27" i="13"/>
  <c r="BR27" i="13"/>
  <c r="BQ27" i="13"/>
  <c r="BO27" i="13"/>
  <c r="BJ27" i="13"/>
  <c r="BE31" i="13"/>
  <c r="BD31" i="13"/>
  <c r="BT31" i="13"/>
  <c r="BM31" i="13"/>
  <c r="BF31" i="13"/>
  <c r="BP31" i="13"/>
  <c r="BI31" i="13"/>
  <c r="BG31" i="13"/>
  <c r="BK31" i="13"/>
  <c r="BU31" i="13"/>
  <c r="BH31" i="13"/>
  <c r="BL31" i="13"/>
  <c r="BV31" i="13"/>
  <c r="BO31" i="13"/>
  <c r="BS31" i="13"/>
  <c r="BJ31" i="13"/>
  <c r="BR31" i="13"/>
  <c r="BN31" i="13"/>
  <c r="BQ31" i="13"/>
  <c r="BG35" i="13"/>
  <c r="BQ35" i="13"/>
  <c r="BP35" i="13"/>
  <c r="BO35" i="13"/>
  <c r="BH35" i="13"/>
  <c r="BR35" i="13"/>
  <c r="BK35" i="13"/>
  <c r="BJ35" i="13"/>
  <c r="BI35" i="13"/>
  <c r="BM35" i="13"/>
  <c r="BV35" i="13"/>
  <c r="BN35" i="13"/>
  <c r="BL35" i="13"/>
  <c r="BD35" i="13"/>
  <c r="BF35" i="13"/>
  <c r="BU35" i="13"/>
  <c r="BS35" i="13"/>
  <c r="BE35" i="13"/>
  <c r="BT35" i="13"/>
  <c r="BU39" i="13"/>
  <c r="BN39" i="13"/>
  <c r="BG39" i="13"/>
  <c r="BQ39" i="13"/>
  <c r="BP39" i="13"/>
  <c r="BO39" i="13"/>
  <c r="BH39" i="13"/>
  <c r="BR39" i="13"/>
  <c r="BK39" i="13"/>
  <c r="BJ39" i="13"/>
  <c r="BM39" i="13"/>
  <c r="BV39" i="13"/>
  <c r="BI39" i="13"/>
  <c r="BL39" i="13"/>
  <c r="BD39" i="13"/>
  <c r="BE39" i="13"/>
  <c r="BT39" i="13"/>
  <c r="BS39" i="13"/>
  <c r="BF39" i="13"/>
  <c r="BQ43" i="13"/>
  <c r="BP43" i="13"/>
  <c r="BO43" i="13"/>
  <c r="BH43" i="13"/>
  <c r="BR43" i="13"/>
  <c r="BV43" i="13"/>
  <c r="BI43" i="13"/>
  <c r="BM43" i="13"/>
  <c r="BK43" i="13"/>
  <c r="BD43" i="13"/>
  <c r="BN43" i="13"/>
  <c r="BL43" i="13"/>
  <c r="BE43" i="13"/>
  <c r="BS43" i="13"/>
  <c r="BU43" i="13"/>
  <c r="BF43" i="13"/>
  <c r="BT43" i="13"/>
  <c r="BG43" i="13"/>
  <c r="BJ43" i="13"/>
  <c r="BS47" i="13"/>
  <c r="BL47" i="13"/>
  <c r="BE47" i="13"/>
  <c r="BD47" i="13"/>
  <c r="BT47" i="13"/>
  <c r="BM47" i="13"/>
  <c r="BF47" i="13"/>
  <c r="BV47" i="13"/>
  <c r="BU47" i="13"/>
  <c r="BN47" i="13"/>
  <c r="BR47" i="13"/>
  <c r="BJ47" i="13"/>
  <c r="BQ47" i="13"/>
  <c r="BO47" i="13"/>
  <c r="BK47" i="13"/>
  <c r="BI47" i="13"/>
  <c r="BH47" i="13"/>
  <c r="BG47" i="13"/>
  <c r="BP47" i="13"/>
  <c r="BI51" i="13"/>
  <c r="BS51" i="13"/>
  <c r="BL51" i="13"/>
  <c r="BE51" i="13"/>
  <c r="BD51" i="13"/>
  <c r="BT51" i="13"/>
  <c r="BM51" i="13"/>
  <c r="BF51" i="13"/>
  <c r="BV51" i="13"/>
  <c r="BO51" i="13"/>
  <c r="BR51" i="13"/>
  <c r="BJ51" i="13"/>
  <c r="BN51" i="13"/>
  <c r="BQ51" i="13"/>
  <c r="BG51" i="13"/>
  <c r="BK51" i="13"/>
  <c r="BU51" i="13"/>
  <c r="BP51" i="13"/>
  <c r="BH51" i="13"/>
  <c r="BE55" i="13"/>
  <c r="BD55" i="13"/>
  <c r="BT55" i="13"/>
  <c r="BM55" i="13"/>
  <c r="BF55" i="13"/>
  <c r="BV55" i="13"/>
  <c r="BO55" i="13"/>
  <c r="BS55" i="13"/>
  <c r="BQ55" i="13"/>
  <c r="BJ55" i="13"/>
  <c r="BN55" i="13"/>
  <c r="BR55" i="13"/>
  <c r="BU55" i="13"/>
  <c r="BH55" i="13"/>
  <c r="BK55" i="13"/>
  <c r="BL55" i="13"/>
  <c r="BG55" i="13"/>
  <c r="BP55" i="13"/>
  <c r="BI55" i="13"/>
  <c r="BG59" i="13"/>
  <c r="BQ59" i="13"/>
  <c r="BP59" i="13"/>
  <c r="BO59" i="13"/>
  <c r="BH59" i="13"/>
  <c r="BR59" i="13"/>
  <c r="BK59" i="13"/>
  <c r="BJ59" i="13"/>
  <c r="BI59" i="13"/>
  <c r="BF59" i="13"/>
  <c r="BU59" i="13"/>
  <c r="BS59" i="13"/>
  <c r="BE59" i="13"/>
  <c r="BT59" i="13"/>
  <c r="BM59" i="13"/>
  <c r="BV59" i="13"/>
  <c r="BN59" i="13"/>
  <c r="BD59" i="13"/>
  <c r="BL59" i="13"/>
  <c r="BU63" i="13"/>
  <c r="BN63" i="13"/>
  <c r="BG63" i="13"/>
  <c r="BQ63" i="13"/>
  <c r="BP63" i="13"/>
  <c r="BO63" i="13"/>
  <c r="BH63" i="13"/>
  <c r="BR63" i="13"/>
  <c r="BK63" i="13"/>
  <c r="BJ63" i="13"/>
  <c r="BT63" i="13"/>
  <c r="BF63" i="13"/>
  <c r="BS63" i="13"/>
  <c r="BE63" i="13"/>
  <c r="BI63" i="13"/>
  <c r="BD63" i="13"/>
  <c r="BM63" i="13"/>
  <c r="BL63" i="13"/>
  <c r="BV63" i="13"/>
  <c r="BQ67" i="13"/>
  <c r="BP67" i="13"/>
  <c r="BO67" i="13"/>
  <c r="BH67" i="13"/>
  <c r="BR67" i="13"/>
  <c r="BE67" i="13"/>
  <c r="BU67" i="13"/>
  <c r="BS67" i="13"/>
  <c r="BF67" i="13"/>
  <c r="BJ67" i="13"/>
  <c r="BT67" i="13"/>
  <c r="BG67" i="13"/>
  <c r="BD67" i="13"/>
  <c r="BL67" i="13"/>
  <c r="BK67" i="13"/>
  <c r="BN67" i="13"/>
  <c r="BV67" i="13"/>
  <c r="BI67" i="13"/>
  <c r="BM67" i="13"/>
  <c r="BS71" i="13"/>
  <c r="BL71" i="13"/>
  <c r="BE71" i="13"/>
  <c r="BD71" i="13"/>
  <c r="BT71" i="13"/>
  <c r="BM71" i="13"/>
  <c r="BF71" i="13"/>
  <c r="BV71" i="13"/>
  <c r="BU71" i="13"/>
  <c r="BN71" i="13"/>
  <c r="BK71" i="13"/>
  <c r="BI71" i="13"/>
  <c r="BG71" i="13"/>
  <c r="BP71" i="13"/>
  <c r="BH71" i="13"/>
  <c r="BR71" i="13"/>
  <c r="BJ71" i="13"/>
  <c r="BQ71" i="13"/>
  <c r="BO71" i="13"/>
  <c r="BI75" i="13"/>
  <c r="BS75" i="13"/>
  <c r="BL75" i="13"/>
  <c r="BE75" i="13"/>
  <c r="BD75" i="13"/>
  <c r="BT75" i="13"/>
  <c r="BM75" i="13"/>
  <c r="BF75" i="13"/>
  <c r="BV75" i="13"/>
  <c r="BH75" i="13"/>
  <c r="BK75" i="13"/>
  <c r="BU75" i="13"/>
  <c r="BG75" i="13"/>
  <c r="BP75" i="13"/>
  <c r="BQ75" i="13"/>
  <c r="BO75" i="13"/>
  <c r="BJ75" i="13"/>
  <c r="BN75" i="13"/>
  <c r="BR75" i="13"/>
  <c r="BE79" i="13"/>
  <c r="BD79" i="13"/>
  <c r="BT79" i="13"/>
  <c r="BM79" i="13"/>
  <c r="BF79" i="13"/>
  <c r="BK79" i="13"/>
  <c r="BU79" i="13"/>
  <c r="BH79" i="13"/>
  <c r="BL79" i="13"/>
  <c r="BP79" i="13"/>
  <c r="BI79" i="13"/>
  <c r="BG79" i="13"/>
  <c r="BQ79" i="13"/>
  <c r="BJ79" i="13"/>
  <c r="BR79" i="13"/>
  <c r="BN79" i="13"/>
  <c r="BV79" i="13"/>
  <c r="BS79" i="13"/>
  <c r="BO79" i="13"/>
  <c r="BG83" i="13"/>
  <c r="BQ83" i="13"/>
  <c r="BP83" i="13"/>
  <c r="BO83" i="13"/>
  <c r="BH83" i="13"/>
  <c r="BR83" i="13"/>
  <c r="BK83" i="13"/>
  <c r="BJ83" i="13"/>
  <c r="BI83" i="13"/>
  <c r="BM83" i="13"/>
  <c r="BV83" i="13"/>
  <c r="BN83" i="13"/>
  <c r="BL83" i="13"/>
  <c r="BD83" i="13"/>
  <c r="BF83" i="13"/>
  <c r="BU83" i="13"/>
  <c r="BS83" i="13"/>
  <c r="BE83" i="13"/>
  <c r="BT83" i="13"/>
  <c r="BU87" i="13"/>
  <c r="BN87" i="13"/>
  <c r="BG87" i="13"/>
  <c r="BQ87" i="13"/>
  <c r="BP87" i="13"/>
  <c r="BO87" i="13"/>
  <c r="BH87" i="13"/>
  <c r="BR87" i="13"/>
  <c r="BK87" i="13"/>
  <c r="BJ87" i="13"/>
  <c r="BM87" i="13"/>
  <c r="BV87" i="13"/>
  <c r="BI87" i="13"/>
  <c r="BL87" i="13"/>
  <c r="BD87" i="13"/>
  <c r="BS87" i="13"/>
  <c r="BF87" i="13"/>
  <c r="BE87" i="13"/>
  <c r="BT87" i="13"/>
  <c r="BQ91" i="13"/>
  <c r="BP91" i="13"/>
  <c r="BO91" i="13"/>
  <c r="BH91" i="13"/>
  <c r="BR91" i="13"/>
  <c r="BK91" i="13"/>
  <c r="BD91" i="13"/>
  <c r="BN91" i="13"/>
  <c r="BL91" i="13"/>
  <c r="BV91" i="13"/>
  <c r="BI91" i="13"/>
  <c r="BM91" i="13"/>
  <c r="BJ91" i="13"/>
  <c r="BG91" i="13"/>
  <c r="BT91" i="13"/>
  <c r="BU91" i="13"/>
  <c r="BF91" i="13"/>
  <c r="BS91" i="13"/>
  <c r="BE91" i="13"/>
  <c r="BS95" i="13"/>
  <c r="BL95" i="13"/>
  <c r="BE95" i="13"/>
  <c r="BD95" i="13"/>
  <c r="BT95" i="13"/>
  <c r="BM95" i="13"/>
  <c r="BF95" i="13"/>
  <c r="BV95" i="13"/>
  <c r="BU95" i="13"/>
  <c r="BN95" i="13"/>
  <c r="BR95" i="13"/>
  <c r="BJ95" i="13"/>
  <c r="BQ95" i="13"/>
  <c r="BO95" i="13"/>
  <c r="BK95" i="13"/>
  <c r="BI95" i="13"/>
  <c r="BG95" i="13"/>
  <c r="BP95" i="13"/>
  <c r="BH95" i="13"/>
  <c r="BI99" i="13"/>
  <c r="BS99" i="13"/>
  <c r="BL99" i="13"/>
  <c r="BE99" i="13"/>
  <c r="BD99" i="13"/>
  <c r="BT99" i="13"/>
  <c r="BM99" i="13"/>
  <c r="BF99" i="13"/>
  <c r="BV99" i="13"/>
  <c r="BO99" i="13"/>
  <c r="BR99" i="13"/>
  <c r="BJ99" i="13"/>
  <c r="BN99" i="13"/>
  <c r="BQ99" i="13"/>
  <c r="BU99" i="13"/>
  <c r="BP99" i="13"/>
  <c r="BH99" i="13"/>
  <c r="BG99" i="13"/>
  <c r="BK99" i="13"/>
  <c r="BE103" i="13"/>
  <c r="BD103" i="13"/>
  <c r="BT103" i="13"/>
  <c r="BM103" i="13"/>
  <c r="BF103" i="13"/>
  <c r="BQ103" i="13"/>
  <c r="BJ103" i="13"/>
  <c r="BN103" i="13"/>
  <c r="BR103" i="13"/>
  <c r="BV103" i="13"/>
  <c r="BO103" i="13"/>
  <c r="BS103" i="13"/>
  <c r="BP103" i="13"/>
  <c r="BG103" i="13"/>
  <c r="BI103" i="13"/>
  <c r="BH103" i="13"/>
  <c r="BL103" i="13"/>
  <c r="BK103" i="13"/>
  <c r="BU103" i="13"/>
  <c r="BG107" i="13"/>
  <c r="BQ107" i="13"/>
  <c r="BP107" i="13"/>
  <c r="BO107" i="13"/>
  <c r="BH107" i="13"/>
  <c r="BR107" i="13"/>
  <c r="BK107" i="13"/>
  <c r="BJ107" i="13"/>
  <c r="BI107" i="13"/>
  <c r="BF107" i="13"/>
  <c r="BU107" i="13"/>
  <c r="BS107" i="13"/>
  <c r="BE107" i="13"/>
  <c r="BT107" i="13"/>
  <c r="BM107" i="13"/>
  <c r="BV107" i="13"/>
  <c r="BN107" i="13"/>
  <c r="BL107" i="13"/>
  <c r="BD107" i="13"/>
  <c r="BU111" i="13"/>
  <c r="BN111" i="13"/>
  <c r="BG111" i="13"/>
  <c r="BQ111" i="13"/>
  <c r="BP111" i="13"/>
  <c r="BO111" i="13"/>
  <c r="BH111" i="13"/>
  <c r="BR111" i="13"/>
  <c r="BK111" i="13"/>
  <c r="BJ111" i="13"/>
  <c r="BT111" i="13"/>
  <c r="BF111" i="13"/>
  <c r="BS111" i="13"/>
  <c r="BE111" i="13"/>
  <c r="BL111" i="13"/>
  <c r="BV111" i="13"/>
  <c r="BI111" i="13"/>
  <c r="BD111" i="13"/>
  <c r="BM111" i="13"/>
  <c r="BQ115" i="13"/>
  <c r="BP115" i="13"/>
  <c r="BO115" i="13"/>
  <c r="BH115" i="13"/>
  <c r="BR115" i="13"/>
  <c r="BJ115" i="13"/>
  <c r="BT115" i="13"/>
  <c r="BG115" i="13"/>
  <c r="BE115" i="13"/>
  <c r="BU115" i="13"/>
  <c r="BS115" i="13"/>
  <c r="BF115" i="13"/>
  <c r="BV115" i="13"/>
  <c r="BM115" i="13"/>
  <c r="BI115" i="13"/>
  <c r="BL115" i="13"/>
  <c r="BK115" i="13"/>
  <c r="BD115" i="13"/>
  <c r="BN115" i="13"/>
  <c r="BS119" i="13"/>
  <c r="BL119" i="13"/>
  <c r="BE119" i="13"/>
  <c r="BD119" i="13"/>
  <c r="BT119" i="13"/>
  <c r="BM119" i="13"/>
  <c r="BF119" i="13"/>
  <c r="BV119" i="13"/>
  <c r="BU119" i="13"/>
  <c r="BN119" i="13"/>
  <c r="BK119" i="13"/>
  <c r="BI119" i="13"/>
  <c r="BG119" i="13"/>
  <c r="BP119" i="13"/>
  <c r="BH119" i="13"/>
  <c r="BR119" i="13"/>
  <c r="BJ119" i="13"/>
  <c r="BO119" i="13"/>
  <c r="BQ119" i="13"/>
  <c r="BI131" i="13"/>
  <c r="BS131" i="13"/>
  <c r="BL131" i="13"/>
  <c r="BE131" i="13"/>
  <c r="BD131" i="13"/>
  <c r="BT131" i="13"/>
  <c r="BM131" i="13"/>
  <c r="BF131" i="13"/>
  <c r="BV131" i="13"/>
  <c r="BH131" i="13"/>
  <c r="BK131" i="13"/>
  <c r="BU131" i="13"/>
  <c r="BG131" i="13"/>
  <c r="BP131" i="13"/>
  <c r="BN131" i="13"/>
  <c r="BR131" i="13"/>
  <c r="BQ131" i="13"/>
  <c r="BJ131" i="13"/>
  <c r="BO131" i="13"/>
  <c r="BE135" i="13"/>
  <c r="BD135" i="13"/>
  <c r="BT135" i="13"/>
  <c r="BM135" i="13"/>
  <c r="BF135" i="13"/>
  <c r="BP135" i="13"/>
  <c r="BI135" i="13"/>
  <c r="BG135" i="13"/>
  <c r="BK135" i="13"/>
  <c r="BU135" i="13"/>
  <c r="BH135" i="13"/>
  <c r="BL135" i="13"/>
  <c r="BV135" i="13"/>
  <c r="BO135" i="13"/>
  <c r="BS135" i="13"/>
  <c r="BQ135" i="13"/>
  <c r="BJ135" i="13"/>
  <c r="BN135" i="13"/>
  <c r="BR135" i="13"/>
  <c r="BM175" i="13"/>
  <c r="BF175" i="13"/>
  <c r="BV175" i="13"/>
  <c r="BU175" i="13"/>
  <c r="BN175" i="13"/>
  <c r="BG175" i="13"/>
  <c r="BK175" i="13"/>
  <c r="BD175" i="13"/>
  <c r="BH175" i="13"/>
  <c r="BR175" i="13"/>
  <c r="BE175" i="13"/>
  <c r="BO175" i="13"/>
  <c r="BL175" i="13"/>
  <c r="BP175" i="13"/>
  <c r="BI175" i="13"/>
  <c r="BS175" i="13"/>
  <c r="BQ175" i="13"/>
  <c r="BJ175" i="13"/>
  <c r="BT175" i="13"/>
  <c r="BI179" i="13"/>
  <c r="BS179" i="13"/>
  <c r="BL179" i="13"/>
  <c r="BE179" i="13"/>
  <c r="BD179" i="13"/>
  <c r="BT179" i="13"/>
  <c r="BM179" i="13"/>
  <c r="BF179" i="13"/>
  <c r="BV179" i="13"/>
  <c r="BO179" i="13"/>
  <c r="BR179" i="13"/>
  <c r="BJ179" i="13"/>
  <c r="BN179" i="13"/>
  <c r="BQ179" i="13"/>
  <c r="BH179" i="13"/>
  <c r="BK179" i="13"/>
  <c r="BU179" i="13"/>
  <c r="BG179" i="13"/>
  <c r="BP179" i="13"/>
  <c r="BQ183" i="13"/>
  <c r="BP183" i="13"/>
  <c r="BO183" i="13"/>
  <c r="BH183" i="13"/>
  <c r="BR183" i="13"/>
  <c r="BE183" i="13"/>
  <c r="BD183" i="13"/>
  <c r="BT183" i="13"/>
  <c r="BM183" i="13"/>
  <c r="BF183" i="13"/>
  <c r="BU183" i="13"/>
  <c r="BG183" i="13"/>
  <c r="BV183" i="13"/>
  <c r="BN183" i="13"/>
  <c r="BS183" i="13"/>
  <c r="BK183" i="13"/>
  <c r="BL183" i="13"/>
  <c r="BJ183" i="13"/>
  <c r="BI183" i="13"/>
  <c r="BR187" i="13"/>
  <c r="BK187" i="13"/>
  <c r="BJ187" i="13"/>
  <c r="BI187" i="13"/>
  <c r="BM187" i="13"/>
  <c r="BQ187" i="13"/>
  <c r="BD187" i="13"/>
  <c r="BN187" i="13"/>
  <c r="BG187" i="13"/>
  <c r="BE187" i="13"/>
  <c r="BU187" i="13"/>
  <c r="BH187" i="13"/>
  <c r="BL187" i="13"/>
  <c r="BV187" i="13"/>
  <c r="BO187" i="13"/>
  <c r="BF187" i="13"/>
  <c r="BP187" i="13"/>
  <c r="BT187" i="13"/>
  <c r="BS187" i="13"/>
  <c r="BD8" i="13"/>
  <c r="BT8" i="13"/>
  <c r="BM8" i="13"/>
  <c r="BF8" i="13"/>
  <c r="BJ8" i="13"/>
  <c r="BN8" i="13"/>
  <c r="BR8" i="13"/>
  <c r="BE8" i="13"/>
  <c r="BU8" i="13"/>
  <c r="BH8" i="13"/>
  <c r="BL8" i="13"/>
  <c r="BP8" i="13"/>
  <c r="BG8" i="13"/>
  <c r="BO8" i="13"/>
  <c r="BQ8" i="13"/>
  <c r="BI8" i="13"/>
  <c r="BK8" i="13"/>
  <c r="BV8" i="13"/>
  <c r="BS8" i="13"/>
  <c r="BR12" i="13"/>
  <c r="BK12" i="13"/>
  <c r="BJ12" i="13"/>
  <c r="BI12" i="13"/>
  <c r="BS12" i="13"/>
  <c r="BL12" i="13"/>
  <c r="BE12" i="13"/>
  <c r="BD12" i="13"/>
  <c r="BT12" i="13"/>
  <c r="BM12" i="13"/>
  <c r="BV12" i="13"/>
  <c r="BN12" i="13"/>
  <c r="BF12" i="13"/>
  <c r="BU12" i="13"/>
  <c r="BG12" i="13"/>
  <c r="BQ12" i="13"/>
  <c r="BO12" i="13"/>
  <c r="BP12" i="13"/>
  <c r="BH12" i="13"/>
  <c r="BH16" i="13"/>
  <c r="BR16" i="13"/>
  <c r="BK16" i="13"/>
  <c r="BJ16" i="13"/>
  <c r="BI16" i="13"/>
  <c r="BM16" i="13"/>
  <c r="BQ16" i="13"/>
  <c r="BD16" i="13"/>
  <c r="BS16" i="13"/>
  <c r="BF16" i="13"/>
  <c r="BP16" i="13"/>
  <c r="BG16" i="13"/>
  <c r="BU16" i="13"/>
  <c r="BL16" i="13"/>
  <c r="BO16" i="13"/>
  <c r="BN16" i="13"/>
  <c r="BV16" i="13"/>
  <c r="BT16" i="13"/>
  <c r="BE16" i="13"/>
  <c r="BP20" i="13"/>
  <c r="BO20" i="13"/>
  <c r="BH20" i="13"/>
  <c r="BR20" i="13"/>
  <c r="BK20" i="13"/>
  <c r="BJ20" i="13"/>
  <c r="BT20" i="13"/>
  <c r="BG20" i="13"/>
  <c r="BE20" i="13"/>
  <c r="BD20" i="13"/>
  <c r="BN20" i="13"/>
  <c r="BL20" i="13"/>
  <c r="BI20" i="13"/>
  <c r="BQ20" i="13"/>
  <c r="BS20" i="13"/>
  <c r="BV20" i="13"/>
  <c r="BM20" i="13"/>
  <c r="BU20" i="13"/>
  <c r="BF20" i="13"/>
  <c r="BF24" i="13"/>
  <c r="BV24" i="13"/>
  <c r="BU24" i="13"/>
  <c r="BN24" i="13"/>
  <c r="BG24" i="13"/>
  <c r="BQ24" i="13"/>
  <c r="BP24" i="13"/>
  <c r="BO24" i="13"/>
  <c r="BH24" i="13"/>
  <c r="BR24" i="13"/>
  <c r="BJ24" i="13"/>
  <c r="BS24" i="13"/>
  <c r="BK24" i="13"/>
  <c r="BI24" i="13"/>
  <c r="BL24" i="13"/>
  <c r="BE24" i="13"/>
  <c r="BT24" i="13"/>
  <c r="BD24" i="13"/>
  <c r="BM24" i="13"/>
  <c r="BT28" i="13"/>
  <c r="BM28" i="13"/>
  <c r="BF28" i="13"/>
  <c r="BV28" i="13"/>
  <c r="BU28" i="13"/>
  <c r="BS28" i="13"/>
  <c r="BQ28" i="13"/>
  <c r="BJ28" i="13"/>
  <c r="BH28" i="13"/>
  <c r="BL28" i="13"/>
  <c r="BP28" i="13"/>
  <c r="BI28" i="13"/>
  <c r="BK28" i="13"/>
  <c r="BN28" i="13"/>
  <c r="BE28" i="13"/>
  <c r="BR28" i="13"/>
  <c r="BO28" i="13"/>
  <c r="BG28" i="13"/>
  <c r="BD28" i="13"/>
  <c r="BD32" i="13"/>
  <c r="BT32" i="13"/>
  <c r="BM32" i="13"/>
  <c r="BF32" i="13"/>
  <c r="BP32" i="13"/>
  <c r="BI32" i="13"/>
  <c r="BG32" i="13"/>
  <c r="BK32" i="13"/>
  <c r="BJ32" i="13"/>
  <c r="BN32" i="13"/>
  <c r="BR32" i="13"/>
  <c r="BE32" i="13"/>
  <c r="BV32" i="13"/>
  <c r="BS32" i="13"/>
  <c r="BU32" i="13"/>
  <c r="BL32" i="13"/>
  <c r="BO32" i="13"/>
  <c r="BQ32" i="13"/>
  <c r="BH32" i="13"/>
  <c r="BR36" i="13"/>
  <c r="BK36" i="13"/>
  <c r="BJ36" i="13"/>
  <c r="BI36" i="13"/>
  <c r="BS36" i="13"/>
  <c r="BL36" i="13"/>
  <c r="BE36" i="13"/>
  <c r="BD36" i="13"/>
  <c r="BT36" i="13"/>
  <c r="BM36" i="13"/>
  <c r="BF36" i="13"/>
  <c r="BU36" i="13"/>
  <c r="BG36" i="13"/>
  <c r="BO36" i="13"/>
  <c r="BV36" i="13"/>
  <c r="BN36" i="13"/>
  <c r="BP36" i="13"/>
  <c r="BH36" i="13"/>
  <c r="BQ36" i="13"/>
  <c r="BH40" i="13"/>
  <c r="BR40" i="13"/>
  <c r="BK40" i="13"/>
  <c r="BJ40" i="13"/>
  <c r="BI40" i="13"/>
  <c r="BS40" i="13"/>
  <c r="BF40" i="13"/>
  <c r="BP40" i="13"/>
  <c r="BN40" i="13"/>
  <c r="BL40" i="13"/>
  <c r="BV40" i="13"/>
  <c r="BO40" i="13"/>
  <c r="BM40" i="13"/>
  <c r="BD40" i="13"/>
  <c r="BG40" i="13"/>
  <c r="BU40" i="13"/>
  <c r="BT40" i="13"/>
  <c r="BE40" i="13"/>
  <c r="BQ40" i="13"/>
  <c r="BP44" i="13"/>
  <c r="BO44" i="13"/>
  <c r="BH44" i="13"/>
  <c r="BR44" i="13"/>
  <c r="BK44" i="13"/>
  <c r="BV44" i="13"/>
  <c r="BI44" i="13"/>
  <c r="BM44" i="13"/>
  <c r="BQ44" i="13"/>
  <c r="BJ44" i="13"/>
  <c r="BT44" i="13"/>
  <c r="BG44" i="13"/>
  <c r="BE44" i="13"/>
  <c r="BU44" i="13"/>
  <c r="BF44" i="13"/>
  <c r="BN44" i="13"/>
  <c r="BS44" i="13"/>
  <c r="BD44" i="13"/>
  <c r="BL44" i="13"/>
  <c r="BF48" i="13"/>
  <c r="BV48" i="13"/>
  <c r="BU48" i="13"/>
  <c r="BN48" i="13"/>
  <c r="BG48" i="13"/>
  <c r="BQ48" i="13"/>
  <c r="BP48" i="13"/>
  <c r="BO48" i="13"/>
  <c r="BH48" i="13"/>
  <c r="BK48" i="13"/>
  <c r="BI48" i="13"/>
  <c r="BR48" i="13"/>
  <c r="BJ48" i="13"/>
  <c r="BS48" i="13"/>
  <c r="BE48" i="13"/>
  <c r="BL48" i="13"/>
  <c r="BD48" i="13"/>
  <c r="BM48" i="13"/>
  <c r="BT48" i="13"/>
  <c r="BT52" i="13"/>
  <c r="BM52" i="13"/>
  <c r="BF52" i="13"/>
  <c r="BV52" i="13"/>
  <c r="BU52" i="13"/>
  <c r="BH52" i="13"/>
  <c r="BL52" i="13"/>
  <c r="BP52" i="13"/>
  <c r="BI52" i="13"/>
  <c r="BN52" i="13"/>
  <c r="BR52" i="13"/>
  <c r="BE52" i="13"/>
  <c r="BO52" i="13"/>
  <c r="BQ52" i="13"/>
  <c r="BK52" i="13"/>
  <c r="BG52" i="13"/>
  <c r="BD52" i="13"/>
  <c r="BS52" i="13"/>
  <c r="BJ52" i="13"/>
  <c r="BD56" i="13"/>
  <c r="BT56" i="13"/>
  <c r="BM56" i="13"/>
  <c r="BF56" i="13"/>
  <c r="BV56" i="13"/>
  <c r="BO56" i="13"/>
  <c r="BS56" i="13"/>
  <c r="BQ56" i="13"/>
  <c r="BP56" i="13"/>
  <c r="BI56" i="13"/>
  <c r="BG56" i="13"/>
  <c r="BK56" i="13"/>
  <c r="BH56" i="13"/>
  <c r="BJ56" i="13"/>
  <c r="BR56" i="13"/>
  <c r="BU56" i="13"/>
  <c r="BL56" i="13"/>
  <c r="BN56" i="13"/>
  <c r="BE56" i="13"/>
  <c r="BR60" i="13"/>
  <c r="BK60" i="13"/>
  <c r="BJ60" i="13"/>
  <c r="BI60" i="13"/>
  <c r="BS60" i="13"/>
  <c r="BL60" i="13"/>
  <c r="BE60" i="13"/>
  <c r="BD60" i="13"/>
  <c r="BT60" i="13"/>
  <c r="BM60" i="13"/>
  <c r="BV60" i="13"/>
  <c r="BN60" i="13"/>
  <c r="BP60" i="13"/>
  <c r="BH60" i="13"/>
  <c r="BF60" i="13"/>
  <c r="BU60" i="13"/>
  <c r="BG60" i="13"/>
  <c r="BQ60" i="13"/>
  <c r="BO60" i="13"/>
  <c r="BH64" i="13"/>
  <c r="BR64" i="13"/>
  <c r="BK64" i="13"/>
  <c r="BJ64" i="13"/>
  <c r="BI64" i="13"/>
  <c r="BN64" i="13"/>
  <c r="BL64" i="13"/>
  <c r="BV64" i="13"/>
  <c r="BO64" i="13"/>
  <c r="BT64" i="13"/>
  <c r="BG64" i="13"/>
  <c r="BE64" i="13"/>
  <c r="BU64" i="13"/>
  <c r="BS64" i="13"/>
  <c r="BP64" i="13"/>
  <c r="BM64" i="13"/>
  <c r="BD64" i="13"/>
  <c r="BQ64" i="13"/>
  <c r="BF64" i="13"/>
  <c r="BP68" i="13"/>
  <c r="BO68" i="13"/>
  <c r="BH68" i="13"/>
  <c r="BR68" i="13"/>
  <c r="BK68" i="13"/>
  <c r="BU68" i="13"/>
  <c r="BS68" i="13"/>
  <c r="BF68" i="13"/>
  <c r="BV68" i="13"/>
  <c r="BI68" i="13"/>
  <c r="BM68" i="13"/>
  <c r="BQ68" i="13"/>
  <c r="BD68" i="13"/>
  <c r="BL68" i="13"/>
  <c r="BT68" i="13"/>
  <c r="BE68" i="13"/>
  <c r="BN68" i="13"/>
  <c r="BJ68" i="13"/>
  <c r="BG68" i="13"/>
  <c r="BF72" i="13"/>
  <c r="BV72" i="13"/>
  <c r="BU72" i="13"/>
  <c r="BN72" i="13"/>
  <c r="BG72" i="13"/>
  <c r="BQ72" i="13"/>
  <c r="BP72" i="13"/>
  <c r="BO72" i="13"/>
  <c r="BH72" i="13"/>
  <c r="BR72" i="13"/>
  <c r="BJ72" i="13"/>
  <c r="BS72" i="13"/>
  <c r="BM72" i="13"/>
  <c r="BD72" i="13"/>
  <c r="BK72" i="13"/>
  <c r="BI72" i="13"/>
  <c r="BL72" i="13"/>
  <c r="BE72" i="13"/>
  <c r="BT72" i="13"/>
  <c r="BT76" i="13"/>
  <c r="BM76" i="13"/>
  <c r="BF76" i="13"/>
  <c r="BV76" i="13"/>
  <c r="BU76" i="13"/>
  <c r="BN76" i="13"/>
  <c r="BR76" i="13"/>
  <c r="BE76" i="13"/>
  <c r="BO76" i="13"/>
  <c r="BG76" i="13"/>
  <c r="BK76" i="13"/>
  <c r="BD76" i="13"/>
  <c r="BL76" i="13"/>
  <c r="BI76" i="13"/>
  <c r="BQ76" i="13"/>
  <c r="BS76" i="13"/>
  <c r="BJ76" i="13"/>
  <c r="BP76" i="13"/>
  <c r="BH76" i="13"/>
  <c r="BD80" i="13"/>
  <c r="BT80" i="13"/>
  <c r="BM80" i="13"/>
  <c r="BF80" i="13"/>
  <c r="BU80" i="13"/>
  <c r="BH80" i="13"/>
  <c r="BL80" i="13"/>
  <c r="BV80" i="13"/>
  <c r="BO80" i="13"/>
  <c r="BS80" i="13"/>
  <c r="BQ80" i="13"/>
  <c r="BN80" i="13"/>
  <c r="BE80" i="13"/>
  <c r="BP80" i="13"/>
  <c r="BG80" i="13"/>
  <c r="BJ80" i="13"/>
  <c r="BR80" i="13"/>
  <c r="BI80" i="13"/>
  <c r="BK80" i="13"/>
  <c r="BR84" i="13"/>
  <c r="BK84" i="13"/>
  <c r="BJ84" i="13"/>
  <c r="BI84" i="13"/>
  <c r="BS84" i="13"/>
  <c r="BL84" i="13"/>
  <c r="BE84" i="13"/>
  <c r="BD84" i="13"/>
  <c r="BT84" i="13"/>
  <c r="BM84" i="13"/>
  <c r="BF84" i="13"/>
  <c r="BU84" i="13"/>
  <c r="BG84" i="13"/>
  <c r="BO84" i="13"/>
  <c r="BV84" i="13"/>
  <c r="BN84" i="13"/>
  <c r="BP84" i="13"/>
  <c r="BH84" i="13"/>
  <c r="BQ84" i="13"/>
  <c r="BH88" i="13"/>
  <c r="BR88" i="13"/>
  <c r="BK88" i="13"/>
  <c r="BJ88" i="13"/>
  <c r="BI88" i="13"/>
  <c r="BT88" i="13"/>
  <c r="BG88" i="13"/>
  <c r="BE88" i="13"/>
  <c r="BU88" i="13"/>
  <c r="BM88" i="13"/>
  <c r="BQ88" i="13"/>
  <c r="BD88" i="13"/>
  <c r="BN88" i="13"/>
  <c r="BV88" i="13"/>
  <c r="BS88" i="13"/>
  <c r="BP88" i="13"/>
  <c r="BF88" i="13"/>
  <c r="BO88" i="13"/>
  <c r="BL88" i="13"/>
  <c r="BP92" i="13"/>
  <c r="BO92" i="13"/>
  <c r="BH92" i="13"/>
  <c r="BR92" i="13"/>
  <c r="BK92" i="13"/>
  <c r="BD92" i="13"/>
  <c r="BN92" i="13"/>
  <c r="BL92" i="13"/>
  <c r="BU92" i="13"/>
  <c r="BS92" i="13"/>
  <c r="BF92" i="13"/>
  <c r="BJ92" i="13"/>
  <c r="BG92" i="13"/>
  <c r="BI92" i="13"/>
  <c r="BQ92" i="13"/>
  <c r="BT92" i="13"/>
  <c r="BE92" i="13"/>
  <c r="BV92" i="13"/>
  <c r="BM92" i="13"/>
  <c r="BF96" i="13"/>
  <c r="BV96" i="13"/>
  <c r="BU96" i="13"/>
  <c r="BN96" i="13"/>
  <c r="BG96" i="13"/>
  <c r="BQ96" i="13"/>
  <c r="BP96" i="13"/>
  <c r="BO96" i="13"/>
  <c r="BH96" i="13"/>
  <c r="BK96" i="13"/>
  <c r="BI96" i="13"/>
  <c r="BR96" i="13"/>
  <c r="BJ96" i="13"/>
  <c r="BS96" i="13"/>
  <c r="BL96" i="13"/>
  <c r="BD96" i="13"/>
  <c r="BM96" i="13"/>
  <c r="BT96" i="13"/>
  <c r="BE96" i="13"/>
  <c r="BT100" i="13"/>
  <c r="BM100" i="13"/>
  <c r="BF100" i="13"/>
  <c r="BV100" i="13"/>
  <c r="BU100" i="13"/>
  <c r="BG100" i="13"/>
  <c r="BK100" i="13"/>
  <c r="BD100" i="13"/>
  <c r="BS100" i="13"/>
  <c r="BQ100" i="13"/>
  <c r="BJ100" i="13"/>
  <c r="BR100" i="13"/>
  <c r="BO100" i="13"/>
  <c r="BL100" i="13"/>
  <c r="BI100" i="13"/>
  <c r="BH100" i="13"/>
  <c r="BP100" i="13"/>
  <c r="BN100" i="13"/>
  <c r="BE100" i="13"/>
  <c r="BD104" i="13"/>
  <c r="BT104" i="13"/>
  <c r="BM104" i="13"/>
  <c r="BF104" i="13"/>
  <c r="BJ104" i="13"/>
  <c r="BN104" i="13"/>
  <c r="BR104" i="13"/>
  <c r="BE104" i="13"/>
  <c r="BU104" i="13"/>
  <c r="BH104" i="13"/>
  <c r="BL104" i="13"/>
  <c r="BI104" i="13"/>
  <c r="BK104" i="13"/>
  <c r="BV104" i="13"/>
  <c r="BS104" i="13"/>
  <c r="BP104" i="13"/>
  <c r="BG104" i="13"/>
  <c r="BO104" i="13"/>
  <c r="BQ104" i="13"/>
  <c r="BR108" i="13"/>
  <c r="BK108" i="13"/>
  <c r="BJ108" i="13"/>
  <c r="BI108" i="13"/>
  <c r="BS108" i="13"/>
  <c r="BL108" i="13"/>
  <c r="BE108" i="13"/>
  <c r="BD108" i="13"/>
  <c r="BT108" i="13"/>
  <c r="BM108" i="13"/>
  <c r="BV108" i="13"/>
  <c r="BN108" i="13"/>
  <c r="BF108" i="13"/>
  <c r="BU108" i="13"/>
  <c r="BG108" i="13"/>
  <c r="BQ108" i="13"/>
  <c r="BO108" i="13"/>
  <c r="BP108" i="13"/>
  <c r="BH108" i="13"/>
  <c r="BH112" i="13"/>
  <c r="BR112" i="13"/>
  <c r="BK112" i="13"/>
  <c r="BJ112" i="13"/>
  <c r="BI112" i="13"/>
  <c r="BM112" i="13"/>
  <c r="BQ112" i="13"/>
  <c r="BD112" i="13"/>
  <c r="BS112" i="13"/>
  <c r="BF112" i="13"/>
  <c r="BP112" i="13"/>
  <c r="BT112" i="13"/>
  <c r="BE112" i="13"/>
  <c r="BN112" i="13"/>
  <c r="BV112" i="13"/>
  <c r="BL112" i="13"/>
  <c r="BO112" i="13"/>
  <c r="BG112" i="13"/>
  <c r="BU112" i="13"/>
  <c r="BP116" i="13"/>
  <c r="BO116" i="13"/>
  <c r="BH116" i="13"/>
  <c r="BR116" i="13"/>
  <c r="BK116" i="13"/>
  <c r="BJ116" i="13"/>
  <c r="BI116" i="13"/>
  <c r="BS116" i="13"/>
  <c r="BL116" i="13"/>
  <c r="BE116" i="13"/>
  <c r="BV116" i="13"/>
  <c r="BN116" i="13"/>
  <c r="BQ116" i="13"/>
  <c r="BD116" i="13"/>
  <c r="BM116" i="13"/>
  <c r="BU116" i="13"/>
  <c r="BG116" i="13"/>
  <c r="BT116" i="13"/>
  <c r="BF116" i="13"/>
  <c r="BF128" i="13"/>
  <c r="BV128" i="13"/>
  <c r="BU128" i="13"/>
  <c r="BN128" i="13"/>
  <c r="BG128" i="13"/>
  <c r="BQ128" i="13"/>
  <c r="BP128" i="13"/>
  <c r="BO128" i="13"/>
  <c r="BH128" i="13"/>
  <c r="BR128" i="13"/>
  <c r="BJ128" i="13"/>
  <c r="BS128" i="13"/>
  <c r="BK128" i="13"/>
  <c r="BI128" i="13"/>
  <c r="BE128" i="13"/>
  <c r="BT128" i="13"/>
  <c r="BL128" i="13"/>
  <c r="BD128" i="13"/>
  <c r="BM128" i="13"/>
  <c r="BT132" i="13"/>
  <c r="BM132" i="13"/>
  <c r="BF132" i="13"/>
  <c r="BV132" i="13"/>
  <c r="BU132" i="13"/>
  <c r="BS132" i="13"/>
  <c r="BQ132" i="13"/>
  <c r="BJ132" i="13"/>
  <c r="BH132" i="13"/>
  <c r="BL132" i="13"/>
  <c r="BP132" i="13"/>
  <c r="BI132" i="13"/>
  <c r="BG132" i="13"/>
  <c r="BD132" i="13"/>
  <c r="BR132" i="13"/>
  <c r="BO132" i="13"/>
  <c r="BN132" i="13"/>
  <c r="BE132" i="13"/>
  <c r="BK132" i="13"/>
  <c r="BD136" i="13"/>
  <c r="BT136" i="13"/>
  <c r="BM136" i="13"/>
  <c r="BF136" i="13"/>
  <c r="BV136" i="13"/>
  <c r="BU136" i="13"/>
  <c r="BN136" i="13"/>
  <c r="BG136" i="13"/>
  <c r="BQ136" i="13"/>
  <c r="BJ136" i="13"/>
  <c r="BS136" i="13"/>
  <c r="BE136" i="13"/>
  <c r="BO136" i="13"/>
  <c r="BR136" i="13"/>
  <c r="BI136" i="13"/>
  <c r="BL136" i="13"/>
  <c r="BP136" i="13"/>
  <c r="BH136" i="13"/>
  <c r="BK136" i="13"/>
  <c r="BF176" i="13"/>
  <c r="BV176" i="13"/>
  <c r="BU176" i="13"/>
  <c r="BN176" i="13"/>
  <c r="BG176" i="13"/>
  <c r="BQ176" i="13"/>
  <c r="BP176" i="13"/>
  <c r="BO176" i="13"/>
  <c r="BH176" i="13"/>
  <c r="BK176" i="13"/>
  <c r="BI176" i="13"/>
  <c r="BR176" i="13"/>
  <c r="BJ176" i="13"/>
  <c r="BS176" i="13"/>
  <c r="BL176" i="13"/>
  <c r="BD176" i="13"/>
  <c r="BM176" i="13"/>
  <c r="BE176" i="13"/>
  <c r="BT176" i="13"/>
  <c r="BT180" i="13"/>
  <c r="BM180" i="13"/>
  <c r="BF180" i="13"/>
  <c r="BV180" i="13"/>
  <c r="BU180" i="13"/>
  <c r="BH180" i="13"/>
  <c r="BL180" i="13"/>
  <c r="BP180" i="13"/>
  <c r="BI180" i="13"/>
  <c r="BN180" i="13"/>
  <c r="BQ180" i="13"/>
  <c r="BD180" i="13"/>
  <c r="BS180" i="13"/>
  <c r="BK180" i="13"/>
  <c r="BO180" i="13"/>
  <c r="BR180" i="13"/>
  <c r="BJ180" i="13"/>
  <c r="BE180" i="13"/>
  <c r="BG180" i="13"/>
  <c r="BV184" i="13"/>
  <c r="BU184" i="13"/>
  <c r="BN184" i="13"/>
  <c r="BG184" i="13"/>
  <c r="BQ184" i="13"/>
  <c r="BO184" i="13"/>
  <c r="BS184" i="13"/>
  <c r="BF184" i="13"/>
  <c r="BP184" i="13"/>
  <c r="BI184" i="13"/>
  <c r="BM184" i="13"/>
  <c r="BK184" i="13"/>
  <c r="BJ184" i="13"/>
  <c r="BT184" i="13"/>
  <c r="BR184" i="13"/>
  <c r="BE184" i="13"/>
  <c r="BD184" i="13"/>
  <c r="BH184" i="13"/>
  <c r="BL184" i="13"/>
  <c r="BR203" i="13"/>
  <c r="BK203" i="13"/>
  <c r="BJ203" i="13"/>
  <c r="BI203" i="13"/>
  <c r="BS203" i="13"/>
  <c r="BL203" i="13"/>
  <c r="BE203" i="13"/>
  <c r="BD203" i="13"/>
  <c r="BT203" i="13"/>
  <c r="BM203" i="13"/>
  <c r="BV203" i="13"/>
  <c r="BN203" i="13"/>
  <c r="BF203" i="13"/>
  <c r="BU203" i="13"/>
  <c r="BG203" i="13"/>
  <c r="BQ203" i="13"/>
  <c r="BO203" i="13"/>
  <c r="BH203" i="13"/>
  <c r="BP203" i="13"/>
  <c r="B204" i="13"/>
  <c r="B203" i="13"/>
  <c r="B187" i="13"/>
  <c r="B186" i="13"/>
  <c r="B185" i="13"/>
  <c r="B184" i="13"/>
  <c r="B183" i="13"/>
  <c r="B182" i="13"/>
  <c r="B181" i="13"/>
  <c r="B180" i="13"/>
  <c r="B179" i="13"/>
  <c r="B178" i="13"/>
  <c r="B177" i="13"/>
  <c r="B176" i="13"/>
  <c r="B175" i="13"/>
  <c r="B174" i="13"/>
  <c r="B138" i="13"/>
  <c r="B137" i="13"/>
  <c r="B136" i="13"/>
  <c r="B135" i="13"/>
  <c r="B134" i="13"/>
  <c r="B133" i="13"/>
  <c r="B132" i="13"/>
  <c r="B131" i="13"/>
  <c r="B130" i="13"/>
  <c r="B129"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F22" i="38" l="1"/>
  <c r="H22" i="38" s="1"/>
  <c r="I22" i="38" s="1"/>
  <c r="D22" i="38"/>
  <c r="B22" i="38"/>
  <c r="F21" i="38"/>
  <c r="H21" i="38" s="1"/>
  <c r="I21" i="38" s="1"/>
  <c r="D21" i="38"/>
  <c r="B21" i="38"/>
  <c r="F20" i="38"/>
  <c r="H20" i="38" s="1"/>
  <c r="I20" i="38" s="1"/>
  <c r="D20" i="38"/>
  <c r="B20" i="38"/>
  <c r="F19" i="38"/>
  <c r="D19" i="38"/>
  <c r="B19" i="38"/>
  <c r="H19" i="38" l="1"/>
  <c r="I19" i="38" l="1"/>
  <c r="I23" i="38" s="1"/>
  <c r="D12" i="19"/>
  <c r="D13" i="19" s="1"/>
  <c r="H23" i="38"/>
  <c r="G29" i="22" l="1"/>
  <c r="H29" i="22" l="1"/>
  <c r="B12" i="19"/>
  <c r="G26" i="22" l="1"/>
  <c r="H26" i="22" s="1"/>
  <c r="G24" i="22"/>
  <c r="K204" i="13"/>
  <c r="H24" i="22" l="1"/>
  <c r="F12" i="19"/>
  <c r="F13" i="19" s="1"/>
  <c r="G25" i="22"/>
  <c r="H25" i="22" s="1"/>
  <c r="H30" i="22" l="1"/>
  <c r="G30" i="22"/>
  <c r="E20" i="22" l="1"/>
  <c r="F20" i="22" s="1"/>
  <c r="E15" i="22"/>
  <c r="F15" i="22" s="1"/>
  <c r="E11" i="22"/>
  <c r="F11" i="22" s="1"/>
  <c r="E19" i="22"/>
  <c r="F19" i="22" s="1"/>
  <c r="E14" i="22"/>
  <c r="F14" i="22" s="1"/>
  <c r="E10" i="22"/>
  <c r="F10" i="22" s="1"/>
  <c r="E13" i="22"/>
  <c r="F13" i="22" s="1"/>
  <c r="E9" i="22"/>
  <c r="F9" i="22" s="1"/>
  <c r="E21" i="22"/>
  <c r="F21" i="22" s="1"/>
  <c r="E12" i="22"/>
  <c r="F12" i="22" s="1"/>
  <c r="E36" i="24"/>
  <c r="F36" i="24" s="1"/>
  <c r="E32" i="24"/>
  <c r="F32" i="24" s="1"/>
  <c r="E28" i="24"/>
  <c r="F28" i="24" s="1"/>
  <c r="E24" i="24"/>
  <c r="F24" i="24" s="1"/>
  <c r="E20" i="24"/>
  <c r="F20" i="24" s="1"/>
  <c r="E16" i="24"/>
  <c r="F16" i="24" s="1"/>
  <c r="E12" i="24"/>
  <c r="F12" i="24" s="1"/>
  <c r="E25" i="24"/>
  <c r="F25" i="24" s="1"/>
  <c r="E17" i="24"/>
  <c r="F17" i="24" s="1"/>
  <c r="E35" i="24"/>
  <c r="F35" i="24" s="1"/>
  <c r="E31" i="24"/>
  <c r="F31" i="24" s="1"/>
  <c r="E27" i="24"/>
  <c r="F27" i="24" s="1"/>
  <c r="E23" i="24"/>
  <c r="F23" i="24" s="1"/>
  <c r="E19" i="24"/>
  <c r="F19" i="24" s="1"/>
  <c r="E15" i="24"/>
  <c r="F15" i="24" s="1"/>
  <c r="E11" i="24"/>
  <c r="F11" i="24" s="1"/>
  <c r="E33" i="24"/>
  <c r="F33" i="24" s="1"/>
  <c r="E13" i="24"/>
  <c r="F13" i="24" s="1"/>
  <c r="E34" i="24"/>
  <c r="F34" i="24" s="1"/>
  <c r="E30" i="24"/>
  <c r="F30" i="24" s="1"/>
  <c r="E26" i="24"/>
  <c r="F26" i="24" s="1"/>
  <c r="E22" i="24"/>
  <c r="F22" i="24" s="1"/>
  <c r="E18" i="24"/>
  <c r="F18" i="24" s="1"/>
  <c r="E14" i="24"/>
  <c r="F14" i="24" s="1"/>
  <c r="E29" i="24"/>
  <c r="F29" i="24" s="1"/>
  <c r="E21" i="24"/>
  <c r="F21" i="24" s="1"/>
  <c r="E10" i="24"/>
  <c r="F10" i="24" s="1"/>
  <c r="E9" i="24"/>
  <c r="F9" i="24" s="1"/>
  <c r="G21" i="22" l="1"/>
  <c r="H21" i="22" s="1"/>
  <c r="G13" i="22"/>
  <c r="H13" i="22" s="1"/>
  <c r="G10" i="22"/>
  <c r="H10" i="22" s="1"/>
  <c r="G14" i="22"/>
  <c r="H14" i="22" s="1"/>
  <c r="G11" i="22"/>
  <c r="H11" i="22" s="1"/>
  <c r="G12" i="22"/>
  <c r="H12" i="22" s="1"/>
  <c r="G19" i="22"/>
  <c r="H19" i="22" s="1"/>
  <c r="G15" i="22"/>
  <c r="H15" i="22" s="1"/>
  <c r="G9" i="22"/>
  <c r="H9" i="22" s="1"/>
  <c r="G20" i="22"/>
  <c r="H20" i="22" s="1"/>
  <c r="G15" i="24"/>
  <c r="G13" i="24"/>
  <c r="G29" i="24"/>
  <c r="G11" i="24"/>
  <c r="G16" i="24"/>
  <c r="G32" i="24"/>
  <c r="G31" i="24"/>
  <c r="G18" i="24"/>
  <c r="G34" i="24"/>
  <c r="G23" i="24"/>
  <c r="G20" i="24"/>
  <c r="G36" i="24"/>
  <c r="G27" i="24"/>
  <c r="G17" i="24"/>
  <c r="G33" i="24"/>
  <c r="G22" i="24"/>
  <c r="G9" i="24"/>
  <c r="G21" i="24"/>
  <c r="G26" i="24"/>
  <c r="G35" i="24"/>
  <c r="G24" i="24"/>
  <c r="G12" i="24"/>
  <c r="G28" i="24"/>
  <c r="G10" i="24"/>
  <c r="G25" i="24"/>
  <c r="G19" i="24"/>
  <c r="G14" i="24"/>
  <c r="G30" i="24"/>
  <c r="G14" i="32" l="1"/>
  <c r="E12" i="19" s="1"/>
  <c r="I21" i="22"/>
  <c r="H30" i="24"/>
  <c r="H25" i="24"/>
  <c r="H28" i="24"/>
  <c r="H35" i="24"/>
  <c r="H26" i="24"/>
  <c r="H21" i="24"/>
  <c r="H9" i="24"/>
  <c r="H16" i="24"/>
  <c r="H19" i="24"/>
  <c r="H33" i="24"/>
  <c r="H36" i="24"/>
  <c r="H24" i="24"/>
  <c r="H11" i="24"/>
  <c r="H29" i="24"/>
  <c r="H22" i="24"/>
  <c r="H17" i="24"/>
  <c r="H20" i="24"/>
  <c r="H34" i="24"/>
  <c r="H13" i="24"/>
  <c r="H32" i="24"/>
  <c r="H27" i="24"/>
  <c r="H18" i="24"/>
  <c r="H14" i="24"/>
  <c r="H10" i="24"/>
  <c r="H12" i="24"/>
  <c r="H15" i="24"/>
  <c r="H23" i="24"/>
  <c r="H31" i="24"/>
  <c r="E13" i="19" l="1"/>
  <c r="H14" i="32"/>
  <c r="I19" i="22"/>
  <c r="I11" i="22"/>
  <c r="I14" i="22"/>
  <c r="I10" i="22"/>
  <c r="I9" i="22"/>
  <c r="I12" i="22"/>
  <c r="I15" i="22"/>
  <c r="I13" i="22"/>
  <c r="I20" i="22"/>
  <c r="I34" i="24"/>
  <c r="I32" i="24"/>
  <c r="I23" i="24"/>
  <c r="I10" i="24"/>
  <c r="I21" i="24"/>
  <c r="I14" i="24"/>
  <c r="I20" i="24"/>
  <c r="I11" i="24"/>
  <c r="I19" i="24"/>
  <c r="I18" i="24"/>
  <c r="I17" i="24"/>
  <c r="I24" i="24"/>
  <c r="I36" i="24"/>
  <c r="I31" i="24"/>
  <c r="I35" i="24"/>
  <c r="I22" i="24"/>
  <c r="I33" i="24"/>
  <c r="I16" i="24"/>
  <c r="I28" i="24"/>
  <c r="I15" i="24"/>
  <c r="I27" i="24"/>
  <c r="I30" i="24"/>
  <c r="I29" i="24"/>
  <c r="I12" i="24"/>
  <c r="I13" i="24"/>
  <c r="I9" i="24"/>
  <c r="I25" i="24"/>
  <c r="I26" i="24"/>
  <c r="S5" i="13" l="1"/>
  <c r="T5" i="13" s="1"/>
  <c r="Y5" i="13"/>
  <c r="AA5" i="13" l="1"/>
  <c r="Z5" i="13"/>
  <c r="AB5" i="13" s="1"/>
  <c r="AC5" i="13" s="1"/>
  <c r="U5" i="13"/>
  <c r="AD5" i="13" l="1"/>
  <c r="V5" i="13"/>
  <c r="W5" i="13" l="1"/>
  <c r="AE5" i="13"/>
  <c r="D7" i="19" s="1"/>
  <c r="C8" i="19" l="1"/>
  <c r="AF5" i="13" l="1"/>
  <c r="C12" i="19" l="1"/>
  <c r="G12" i="19" s="1"/>
  <c r="E7" i="19"/>
  <c r="F7" i="19" s="1"/>
  <c r="D8" i="19" l="1"/>
  <c r="E8" i="19"/>
  <c r="F8" i="19" l="1"/>
  <c r="C13" i="19"/>
  <c r="G13" i="19" l="1"/>
  <c r="E26" i="19" l="1"/>
</calcChain>
</file>

<file path=xl/sharedStrings.xml><?xml version="1.0" encoding="utf-8"?>
<sst xmlns="http://schemas.openxmlformats.org/spreadsheetml/2006/main" count="27548" uniqueCount="1821">
  <si>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</si>
  <si>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</si>
  <si>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</si>
  <si>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</si>
  <si>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</si>
  <si>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</si>
  <si>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</si>
  <si>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</si>
  <si>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</si>
  <si>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</si>
  <si>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</si>
  <si>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</si>
  <si>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</si>
  <si>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</si>
  <si>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</si>
  <si>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</si>
  <si>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</si>
  <si>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</si>
  <si>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</si>
  <si>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</si>
  <si>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</si>
  <si>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</si>
  <si>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</si>
  <si>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</si>
  <si>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</si>
  <si>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</si>
  <si>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</si>
  <si>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</si>
  <si>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</si>
  <si>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</si>
  <si>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</si>
  <si>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</si>
  <si>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</si>
  <si>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</si>
  <si>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</si>
  <si>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</si>
  <si>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</si>
  <si>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</si>
  <si>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</si>
  <si>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Glasbewassing</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</si>
  <si>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</si>
  <si>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</si>
  <si>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</si>
  <si>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</si>
  <si>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</si>
  <si>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</si>
  <si>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</si>
  <si>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</si>
  <si>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</si>
  <si>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</si>
  <si>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</si>
  <si>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</si>
  <si>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</si>
  <si>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</si>
  <si>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</si>
  <si>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</si>
  <si>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</si>
  <si>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</si>
  <si>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</si>
  <si>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</si>
  <si>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</si>
  <si>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</si>
  <si>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</si>
  <si>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</si>
  <si>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</si>
  <si>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</si>
  <si>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</si>
  <si>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r>
      <t>Prijs per m</t>
    </r>
    <r>
      <rPr>
        <vertAlign val="superscript"/>
        <sz val="9"/>
        <rFont val="Verdana"/>
        <family val="2"/>
      </rPr>
      <t>2</t>
    </r>
  </si>
  <si>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</si>
  <si>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</si>
  <si>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</si>
  <si>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</si>
  <si>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</si>
  <si>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</si>
  <si>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</si>
  <si>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</si>
  <si>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</si>
  <si>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</si>
  <si>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</si>
  <si>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</si>
  <si>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</si>
  <si>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</si>
  <si>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</si>
  <si>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</si>
  <si>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</si>
  <si>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</si>
  <si>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</si>
  <si>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</si>
  <si>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</si>
  <si>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</si>
  <si>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</si>
  <si>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</si>
  <si>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</si>
  <si>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</si>
  <si>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</si>
  <si>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</si>
  <si>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</si>
  <si>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</si>
  <si>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</si>
  <si>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</si>
  <si>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</si>
  <si>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</si>
  <si>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</si>
  <si>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</si>
  <si>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</si>
  <si>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</si>
  <si>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</si>
  <si>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</si>
  <si>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</si>
  <si>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</si>
  <si>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</si>
  <si>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</si>
  <si>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</si>
  <si>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</si>
  <si>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</si>
  <si>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</si>
  <si>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</si>
  <si>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</si>
  <si>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</si>
  <si>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</si>
  <si>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</si>
  <si>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</si>
  <si>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</si>
  <si>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</si>
  <si>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</si>
  <si>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</si>
  <si>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</si>
  <si>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</si>
  <si>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</si>
  <si>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</si>
  <si>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</si>
  <si>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</si>
  <si>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</si>
  <si>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</si>
  <si>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</si>
  <si>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</si>
  <si>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</si>
  <si>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Glassoort/voorziening</t>
  </si>
  <si>
    <t>Kosten/jaar excl. BTW</t>
  </si>
  <si>
    <t>Gevelglas buitenzijde</t>
  </si>
  <si>
    <t>Prijs per m2 per beurt</t>
  </si>
  <si>
    <t>Separatieglas (enkel gemeten, dubbel te wassen)</t>
  </si>
  <si>
    <t>Eenheid</t>
  </si>
  <si>
    <t>Prijs</t>
  </si>
  <si>
    <t>Hoogwerker buiten max 12 meter</t>
  </si>
  <si>
    <t>Hoogwerker buiten max 16 meter</t>
  </si>
  <si>
    <t>Hoogwerker buiten max 20 meter</t>
  </si>
  <si>
    <t>Oppervlakte of dagen</t>
  </si>
  <si>
    <t>H1</t>
  </si>
  <si>
    <t>H2</t>
  </si>
  <si>
    <t>H3</t>
  </si>
  <si>
    <t>Werkzaamheden</t>
  </si>
  <si>
    <t>Prijs per m2 per beurt, incl. in- en uitruimen</t>
  </si>
  <si>
    <t>Prijs per m2 per beurt, incl. in- en uitruimen, minimaal 2 lagen, kruislings</t>
  </si>
  <si>
    <t>Vloersoort</t>
  </si>
  <si>
    <t>Oppervlakte</t>
  </si>
  <si>
    <t>Sprayen/opblokken</t>
  </si>
  <si>
    <t>Diepstrippen, sealen en conserveren</t>
  </si>
  <si>
    <t>Schuren en lakken houten vloer</t>
  </si>
  <si>
    <t>Frequentie (uitv./jaar)</t>
  </si>
  <si>
    <t>Handmatig schrobben en droogzuigen</t>
  </si>
  <si>
    <t>Vloeronderhoud</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</si>
  <si>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</si>
  <si>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</si>
  <si>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</si>
  <si>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</si>
  <si>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</si>
  <si>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</si>
  <si>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</si>
  <si>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</si>
  <si>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</si>
  <si>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</si>
  <si>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</si>
  <si>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</si>
  <si>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</si>
  <si>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</si>
  <si>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</si>
  <si>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</si>
  <si>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</si>
  <si>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</si>
  <si>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</si>
  <si>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</si>
  <si>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</si>
  <si>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</si>
  <si>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</si>
  <si>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r>
      <t>Prijs per m</t>
    </r>
    <r>
      <rPr>
        <vertAlign val="superscript"/>
        <sz val="9"/>
        <rFont val="Verdana"/>
        <family val="2"/>
      </rPr>
      <t xml:space="preserve">2 </t>
    </r>
    <r>
      <rPr>
        <sz val="9"/>
        <rFont val="Verdana"/>
        <family val="2"/>
      </rPr>
      <t>per beurt</t>
    </r>
  </si>
  <si>
    <t>Regie per uur</t>
  </si>
  <si>
    <t>De opgegeven prijzen zijn tijdens de gehele contractduur van toepassing als afroepprijs.</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</si>
  <si>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</si>
  <si>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</si>
  <si>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</si>
  <si>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</si>
  <si>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</si>
  <si>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</si>
  <si>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</si>
  <si>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</si>
  <si>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</si>
  <si>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</si>
  <si>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</si>
  <si>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</si>
  <si>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</si>
  <si>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Code taak</t>
  </si>
  <si>
    <t>Omschrijving2</t>
  </si>
  <si>
    <r>
      <rPr>
        <b/>
        <sz val="9"/>
        <rFont val="Verdana"/>
        <family val="2"/>
      </rPr>
      <t>Alle</t>
    </r>
    <r>
      <rPr>
        <sz val="9"/>
        <rFont val="Verdana"/>
        <family val="2"/>
      </rPr>
      <t xml:space="preserve"> groen gearceerde velden dienen ingevuld te worden, overige cellen mogen niet gewijzigd worden</t>
    </r>
  </si>
  <si>
    <t>Alle groen gearceerde velden dienen ingevuld te worden, overige cellen mogen niet gewijzigd worden</t>
  </si>
  <si>
    <r>
      <t xml:space="preserve">Alle </t>
    </r>
    <r>
      <rPr>
        <sz val="9"/>
        <rFont val="Verdana"/>
        <family val="2"/>
      </rPr>
      <t>groen gearceerde velden dienen ingevuld te worden, overige cellen mogen niet gewijzigd worden</t>
    </r>
  </si>
  <si>
    <t>Totalisatie</t>
  </si>
  <si>
    <t>Locaties</t>
  </si>
  <si>
    <t>Rechtsgeldig ondertekening</t>
  </si>
  <si>
    <t>Functie</t>
  </si>
  <si>
    <t>Plaats, datum</t>
  </si>
  <si>
    <t>Handtekening</t>
  </si>
  <si>
    <t>Naam Inschrijver:</t>
  </si>
  <si>
    <t>% van de prod. uren</t>
  </si>
  <si>
    <t>Bijlage 5 dient in Excel format te worden toegevoegd, deze pagina dient daarnaast rechtsgeldig ondertekend als PDF te worden toegevoegd.</t>
  </si>
  <si>
    <t>Samenvatting schoonmaakonderhoud</t>
  </si>
  <si>
    <t>prijs per toiletunit*</t>
  </si>
  <si>
    <t>* zie tabblad Werkprogramma voor definities</t>
  </si>
  <si>
    <t>……………</t>
  </si>
  <si>
    <t>Lichtkoepels (enkel gemeten, dubbel te wassen)</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</si>
  <si>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</si>
  <si>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</si>
  <si>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</si>
  <si>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</si>
  <si>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</si>
  <si>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</si>
  <si>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</si>
  <si>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</si>
  <si>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</si>
  <si>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</si>
  <si>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</si>
  <si>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</si>
  <si>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</si>
  <si>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</si>
  <si>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H4</t>
  </si>
  <si>
    <t>Spinhoogwerker</t>
  </si>
  <si>
    <t>Harde vloeren zonder extra behandeling, zoals steen, beton e.d.</t>
  </si>
  <si>
    <t>Vergader/spreekkamers</t>
  </si>
  <si>
    <t>Indexatie</t>
  </si>
  <si>
    <t>Topstrippen en conserveren</t>
  </si>
  <si>
    <t>Tapijtreinigen, sproei-extractiemethode</t>
  </si>
  <si>
    <t>Tapijtreinigen, poedermethode</t>
  </si>
  <si>
    <t>Verwijderen van vervuiling in spoelranden, afvoersluitingen en restant van de binnenzijde van het toilet</t>
  </si>
  <si>
    <t>De drukspoeler controleren op goede werking en ontdoen van aanslag op de buitenzijde</t>
  </si>
  <si>
    <t>De spoelpijp ontdoen van aanslag en controleren op losse of defecte bevestigingsbeugels op de aansluiting van de pot en op lekkage</t>
  </si>
  <si>
    <t>Het verwijderen van vervuiling van schaamschotten</t>
  </si>
  <si>
    <t>Het reinigen van het toilet/urinoir aan de buitenzijde</t>
  </si>
  <si>
    <t>De toiletbril ontdoen van aanslag, demonteren van een bril met brugstuk (teneinde het vuil eronder te verwijderen) en weer monteren</t>
  </si>
  <si>
    <t>De binnen- en buitenzijde van de stortbak ontdoen van aanslag en vuil (gietijzer alleen buitenzijde)</t>
  </si>
  <si>
    <t>De stortbak controleren op het functioneren van het mechanisme, het waterniveau en de bevestiging ervan</t>
  </si>
  <si>
    <t>De stopkraan van de stortbak ontkalken en controleren op goede werking</t>
  </si>
  <si>
    <t>Het verwijderen van organische en anorganische vervuiling op de binnen- en buitenzijde van de wastafel</t>
  </si>
  <si>
    <t>Alle spiegels reinigen</t>
  </si>
  <si>
    <t>……………………………………………………</t>
  </si>
  <si>
    <t>Ruimte- 
nummer</t>
  </si>
  <si>
    <r>
      <t xml:space="preserve">Alle groen gearceerde velden dienen ingevuld te worden, overige cellen mogen niet gewijzigd worden    </t>
    </r>
    <r>
      <rPr>
        <b/>
        <sz val="9"/>
        <color rgb="FFFF0000"/>
        <rFont val="Verdana"/>
        <family val="2"/>
      </rPr>
      <t xml:space="preserve"> </t>
    </r>
  </si>
  <si>
    <t>2023</t>
  </si>
  <si>
    <t>2024</t>
  </si>
  <si>
    <t>2025</t>
  </si>
  <si>
    <t>2026</t>
  </si>
  <si>
    <t>Hout</t>
  </si>
  <si>
    <t>Fietsenstalling</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</si>
  <si>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</si>
  <si>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</si>
  <si>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</si>
  <si>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</si>
  <si>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</si>
  <si>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</si>
  <si>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</si>
  <si>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</si>
  <si>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</si>
  <si>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</si>
  <si>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</si>
  <si>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</si>
  <si>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</si>
  <si>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</si>
  <si>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</si>
  <si>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</si>
  <si>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</si>
  <si>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</si>
  <si>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</si>
  <si>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</si>
  <si>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</si>
  <si>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</si>
  <si>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</si>
  <si>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</si>
  <si>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</si>
  <si>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</si>
  <si>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</si>
  <si>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</si>
  <si>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</si>
  <si>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Locatiecode</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</si>
  <si>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</si>
  <si>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</si>
  <si>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</si>
  <si>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</si>
  <si>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</si>
  <si>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</si>
  <si>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</si>
  <si>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</si>
  <si>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</si>
  <si>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</si>
  <si>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</si>
  <si>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</si>
  <si>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</si>
  <si>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</si>
  <si>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</si>
  <si>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</si>
  <si>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</si>
  <si>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</si>
  <si>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</si>
  <si>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</si>
  <si>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</si>
  <si>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</si>
  <si>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</si>
  <si>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</si>
  <si>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</si>
  <si>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</si>
  <si>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</si>
  <si>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</si>
  <si>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</si>
  <si>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</si>
  <si>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</si>
  <si>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</si>
  <si>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</si>
  <si>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</si>
  <si>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</si>
  <si>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</si>
  <si>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</si>
  <si>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</si>
  <si>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</si>
  <si>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</si>
  <si>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</si>
  <si>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</si>
  <si>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</si>
  <si>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</si>
  <si>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</si>
  <si>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</si>
  <si>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</si>
  <si>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</si>
  <si>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</si>
  <si>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</si>
  <si>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</si>
  <si>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</si>
  <si>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</si>
  <si>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</si>
  <si>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</si>
  <si>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</si>
  <si>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</si>
  <si>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</si>
  <si>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</si>
  <si>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</si>
  <si>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</si>
  <si>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</si>
  <si>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</si>
  <si>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</si>
  <si>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</si>
  <si>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</si>
  <si>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</si>
  <si>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</si>
  <si>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</si>
  <si>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</si>
  <si>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</si>
  <si>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</si>
  <si>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</si>
  <si>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</si>
  <si>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</si>
  <si>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</si>
  <si>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</si>
  <si>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</si>
  <si>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</si>
  <si>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</si>
  <si>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</si>
  <si>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</si>
  <si>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</si>
  <si>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</si>
  <si>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</si>
  <si>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</si>
  <si>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</si>
  <si>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</si>
  <si>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</si>
  <si>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</si>
  <si>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</si>
  <si>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</si>
  <si>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</si>
  <si>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</si>
  <si>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</si>
  <si>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</si>
  <si>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</si>
  <si>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</si>
  <si>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</si>
  <si>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</si>
  <si>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</si>
  <si>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</si>
  <si>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</si>
  <si>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</si>
  <si>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</si>
  <si>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</si>
  <si>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</si>
  <si>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</si>
  <si>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</si>
  <si>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</si>
  <si>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</si>
  <si>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</si>
  <si>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</si>
  <si>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</si>
  <si>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</si>
  <si>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</si>
  <si>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</si>
  <si>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</si>
  <si>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</si>
  <si>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</si>
  <si>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</si>
  <si>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</si>
  <si>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</si>
  <si>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</si>
  <si>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</si>
  <si>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</si>
  <si>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</si>
  <si>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</si>
  <si>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</si>
  <si>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</si>
  <si>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</si>
  <si>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</si>
  <si>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</si>
  <si>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</si>
  <si>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</si>
  <si>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</si>
  <si>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</si>
  <si>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</si>
  <si>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</si>
  <si>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</si>
  <si>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</si>
  <si>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</si>
  <si>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</si>
  <si>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</si>
  <si>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</si>
  <si>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</si>
  <si>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</si>
  <si>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</si>
  <si>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</si>
  <si>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</si>
  <si>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</si>
  <si>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</si>
  <si>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</si>
  <si>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</si>
  <si>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</si>
  <si>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</si>
  <si>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</si>
  <si>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</si>
  <si>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</si>
  <si>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</si>
  <si>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</si>
  <si>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</si>
  <si>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</si>
  <si>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</si>
  <si>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</si>
  <si>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</si>
  <si>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</si>
  <si>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</si>
  <si>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</si>
  <si>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</si>
  <si>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</si>
  <si>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</si>
  <si>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</si>
  <si>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</si>
  <si>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</si>
  <si>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</si>
  <si>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</si>
  <si>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</si>
  <si>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</si>
  <si>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</si>
  <si>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</si>
  <si>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</si>
  <si>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</si>
  <si>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</si>
  <si>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</si>
  <si>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</si>
  <si>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</si>
  <si>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</si>
  <si>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</si>
  <si>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</si>
  <si>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</si>
  <si>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</si>
  <si>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</si>
  <si>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</si>
  <si>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</si>
  <si>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</si>
  <si>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</si>
  <si>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</si>
  <si>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</si>
  <si>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</si>
  <si>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</si>
  <si>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</si>
  <si>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</si>
  <si>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</si>
  <si>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</si>
  <si>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</si>
  <si>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</si>
  <si>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</si>
  <si>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</si>
  <si>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</si>
  <si>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</si>
  <si>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</si>
  <si>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</si>
  <si>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</si>
  <si>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</si>
  <si>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</si>
  <si>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</si>
  <si>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</si>
  <si>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</si>
  <si>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</si>
  <si>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</si>
  <si>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</si>
  <si>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</si>
  <si>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</si>
  <si>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</si>
  <si>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</si>
  <si>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</si>
  <si>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</si>
  <si>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</si>
  <si>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</si>
  <si>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</si>
  <si>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</si>
  <si>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</si>
  <si>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</si>
  <si>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</si>
  <si>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</si>
  <si>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</si>
  <si>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</si>
  <si>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</si>
  <si>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</si>
  <si>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</si>
  <si>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</si>
  <si>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</si>
  <si>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</si>
  <si>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</si>
  <si>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</si>
  <si>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</si>
  <si>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</si>
  <si>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</si>
  <si>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</si>
  <si>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</si>
  <si>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</si>
  <si>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</si>
  <si>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</si>
  <si>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</si>
  <si>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</si>
  <si>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</si>
  <si>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</si>
  <si>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</si>
  <si>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</si>
  <si>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</si>
  <si>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</si>
  <si>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</si>
  <si>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</si>
  <si>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</si>
  <si>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</si>
  <si>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</si>
  <si>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</si>
  <si>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</si>
  <si>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</si>
  <si>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</si>
  <si>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</si>
  <si>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</si>
  <si>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</si>
  <si>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</si>
  <si>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</si>
  <si>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</si>
  <si>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</si>
  <si>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</si>
  <si>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</si>
  <si>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</si>
  <si>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</si>
  <si>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</si>
  <si>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</si>
  <si>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</si>
  <si>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</si>
  <si>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</si>
  <si>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</si>
  <si>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</si>
  <si>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</si>
  <si>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</si>
  <si>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</si>
  <si>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</si>
  <si>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</si>
  <si>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</si>
  <si>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</si>
  <si>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</si>
  <si>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</si>
  <si>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</si>
  <si>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</si>
  <si>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</si>
  <si>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</si>
  <si>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</si>
  <si>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</si>
  <si>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</si>
  <si>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</si>
  <si>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</si>
  <si>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</si>
  <si>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</si>
  <si>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</si>
  <si>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</si>
  <si>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</si>
  <si>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</si>
  <si>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</si>
  <si>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</si>
  <si>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</si>
  <si>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</si>
  <si>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</si>
  <si>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</si>
  <si>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</si>
  <si>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</si>
  <si>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</si>
  <si>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</si>
  <si>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</si>
  <si>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</si>
  <si>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</si>
  <si>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</si>
  <si>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</si>
  <si>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</si>
  <si>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</si>
  <si>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</si>
  <si>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</si>
  <si>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</si>
  <si>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</si>
  <si>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</si>
  <si>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</si>
  <si>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</si>
  <si>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</si>
  <si>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</si>
  <si>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</si>
  <si>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</si>
  <si>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</si>
  <si>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</si>
  <si>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</si>
  <si>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</si>
  <si>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</si>
  <si>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</si>
  <si>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</si>
  <si>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</si>
  <si>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</si>
  <si>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</si>
  <si>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</si>
  <si>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</si>
  <si>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</si>
  <si>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</si>
  <si>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</si>
  <si>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</si>
  <si>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</si>
  <si>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</si>
  <si>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</si>
  <si>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</si>
  <si>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</si>
  <si>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</si>
  <si>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</si>
  <si>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</si>
  <si>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</si>
  <si>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</si>
  <si>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</si>
  <si>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</si>
  <si>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</si>
  <si>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</si>
  <si>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</si>
  <si>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</si>
  <si>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</si>
  <si>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</si>
  <si>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</si>
  <si>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</si>
  <si>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</si>
  <si>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</si>
  <si>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</si>
  <si>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</si>
  <si>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</si>
  <si>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</si>
  <si>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</si>
  <si>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</si>
  <si>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</si>
  <si>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</si>
  <si>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</si>
  <si>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</si>
  <si>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</si>
  <si>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</si>
  <si>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</si>
  <si>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</si>
  <si>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</si>
  <si>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</si>
  <si>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</si>
  <si>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</si>
  <si>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</si>
  <si>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</si>
  <si>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</si>
  <si>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</si>
  <si>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</si>
  <si>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</si>
  <si>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</si>
  <si>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</si>
  <si>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</si>
  <si>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</si>
  <si>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</si>
  <si>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</si>
  <si>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</si>
  <si>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</si>
  <si>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</si>
  <si>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</si>
  <si>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</si>
  <si>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</si>
  <si>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</si>
  <si>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</si>
  <si>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</si>
  <si>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</si>
  <si>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</si>
  <si>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</si>
  <si>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</si>
  <si>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</si>
  <si>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</si>
  <si>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</si>
  <si>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</si>
  <si>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</si>
  <si>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</si>
  <si>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</si>
  <si>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</si>
  <si>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</si>
  <si>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</si>
  <si>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</si>
  <si>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</si>
  <si>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</si>
  <si>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</si>
  <si>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</si>
  <si>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</si>
  <si>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</si>
  <si>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</si>
  <si>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</si>
  <si>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</si>
  <si>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</si>
  <si>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</si>
  <si>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</si>
  <si>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</si>
  <si>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</si>
  <si>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</si>
  <si>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</si>
  <si>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</si>
  <si>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</si>
  <si>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</si>
  <si>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</si>
  <si>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</si>
  <si>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</si>
  <si>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</si>
  <si>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</si>
  <si>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</si>
  <si>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</si>
  <si>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</si>
  <si>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</si>
  <si>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</si>
  <si>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</si>
  <si>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</si>
  <si>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</si>
  <si>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</si>
  <si>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</si>
  <si>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</si>
  <si>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</si>
  <si>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</si>
  <si>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</si>
  <si>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</si>
  <si>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</si>
  <si>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</si>
  <si>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</si>
  <si>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</si>
  <si>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</si>
  <si>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</si>
  <si>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</si>
  <si>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</si>
  <si>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</si>
  <si>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</si>
  <si>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</si>
  <si>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</si>
  <si>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</si>
  <si>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</si>
  <si>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</si>
  <si>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</si>
  <si>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</si>
  <si>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</si>
  <si>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</si>
  <si>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</si>
  <si>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</si>
  <si>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</si>
  <si>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</si>
  <si>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</si>
  <si>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</si>
  <si>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</si>
  <si>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</si>
  <si>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</si>
  <si>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</si>
  <si>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</si>
  <si>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</si>
  <si>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</si>
  <si>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</si>
  <si>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</si>
  <si>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</si>
  <si>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</si>
  <si>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</si>
  <si>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</si>
  <si>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</si>
  <si>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</si>
  <si>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</si>
  <si>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</si>
  <si>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</si>
  <si>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</si>
  <si>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</si>
  <si>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</si>
  <si>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</si>
  <si>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</si>
  <si>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</si>
  <si>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</si>
  <si>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</si>
  <si>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</si>
  <si>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</si>
  <si>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</si>
  <si>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</si>
  <si>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</si>
  <si>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</si>
  <si>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</si>
  <si>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</si>
  <si>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</si>
  <si>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</si>
  <si>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</si>
  <si>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</si>
  <si>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</si>
  <si>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</si>
  <si>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</si>
  <si>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</si>
  <si>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</si>
  <si>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</si>
  <si>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</si>
  <si>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</si>
  <si>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</si>
  <si>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</si>
  <si>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</si>
  <si>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</si>
  <si>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</si>
  <si>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</si>
  <si>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</si>
  <si>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</si>
  <si>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</si>
  <si>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</si>
  <si>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</si>
  <si>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</si>
  <si>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</si>
  <si>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</si>
  <si>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</si>
  <si>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</si>
  <si>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</si>
  <si>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</si>
  <si>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</si>
  <si>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</si>
  <si>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</si>
  <si>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</si>
  <si>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</si>
  <si>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</si>
  <si>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</si>
  <si>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</si>
  <si>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</si>
  <si>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</si>
  <si>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</si>
  <si>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</si>
  <si>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</si>
  <si>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</si>
  <si>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</si>
  <si>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</si>
  <si>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</si>
  <si>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</si>
  <si>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</si>
  <si>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</si>
  <si>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</si>
  <si>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</si>
  <si>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</si>
  <si>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</si>
  <si>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</si>
  <si>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</si>
  <si>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</si>
  <si>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</si>
  <si>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</si>
  <si>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</si>
  <si>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</si>
  <si>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</si>
  <si>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</si>
  <si>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</si>
  <si>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</si>
  <si>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</si>
  <si>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</si>
  <si>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</si>
  <si>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</si>
  <si>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</si>
  <si>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</si>
  <si>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</si>
  <si>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</si>
  <si>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</si>
  <si>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</si>
  <si>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</si>
  <si>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</si>
  <si>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</si>
  <si>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</si>
  <si>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</si>
  <si>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</si>
  <si>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</si>
  <si>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</si>
  <si>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</si>
  <si>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</si>
  <si>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</si>
  <si>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</si>
  <si>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</si>
  <si>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</si>
  <si>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</si>
  <si>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</si>
  <si>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</si>
  <si>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</si>
  <si>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</si>
  <si>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</si>
  <si>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</si>
  <si>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</si>
  <si>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</si>
  <si>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</si>
  <si>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</si>
  <si>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</si>
  <si>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</si>
  <si>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</si>
  <si>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</si>
  <si>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</si>
  <si>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</si>
  <si>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</si>
  <si>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</si>
  <si>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</si>
  <si>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</si>
  <si>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</si>
  <si>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</si>
  <si>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</si>
  <si>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</si>
  <si>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</si>
  <si>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</si>
  <si>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</si>
  <si>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</si>
  <si>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</si>
  <si>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</si>
  <si>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</si>
  <si>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</si>
  <si>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</si>
  <si>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</si>
  <si>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</si>
  <si>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</si>
  <si>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</si>
  <si>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</si>
  <si>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</si>
  <si>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</si>
  <si>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</si>
  <si>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</si>
  <si>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</si>
  <si>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</si>
  <si>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</si>
  <si>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</si>
  <si>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</si>
  <si>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</si>
  <si>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</si>
  <si>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</si>
  <si>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</si>
  <si>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</si>
  <si>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</si>
  <si>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</si>
  <si>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</si>
  <si>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</si>
  <si>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</si>
  <si>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</si>
  <si>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</si>
  <si>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</si>
  <si>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</si>
  <si>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</si>
  <si>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</si>
  <si>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</si>
  <si>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</si>
  <si>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</si>
  <si>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</si>
  <si>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</si>
  <si>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</si>
  <si>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</si>
  <si>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</si>
  <si>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</si>
  <si>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</si>
  <si>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</si>
  <si>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</si>
  <si>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</si>
  <si>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</si>
  <si>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</si>
  <si>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</si>
  <si>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</si>
  <si>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</si>
  <si>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</si>
  <si>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</si>
  <si>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</si>
  <si>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</si>
  <si>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</si>
  <si>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</si>
  <si>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</si>
  <si>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</si>
  <si>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</si>
  <si>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</si>
  <si>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</si>
  <si>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</si>
  <si>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</si>
  <si>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</si>
  <si>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</si>
  <si>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</si>
  <si>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</si>
  <si>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</si>
  <si>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</si>
  <si>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</si>
  <si>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</si>
  <si>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</si>
  <si>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</si>
  <si>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</si>
  <si>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</si>
  <si>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</si>
  <si>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</si>
  <si>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</si>
  <si>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</si>
  <si>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</si>
  <si>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</si>
  <si>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</si>
  <si>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</si>
  <si>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</si>
  <si>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</si>
  <si>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</si>
  <si>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</si>
  <si>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</si>
  <si>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</si>
  <si>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</si>
  <si>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</si>
  <si>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</si>
  <si>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</si>
  <si>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</si>
  <si>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</si>
  <si>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</si>
  <si>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</si>
  <si>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</si>
  <si>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</si>
  <si>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</si>
  <si>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</si>
  <si>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</si>
  <si>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</si>
  <si>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</si>
  <si>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</si>
  <si>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</si>
  <si>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</si>
  <si>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</si>
  <si>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</si>
  <si>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</si>
  <si>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</si>
  <si>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</si>
  <si>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</si>
  <si>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</si>
  <si>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</si>
  <si>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</si>
  <si>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</si>
  <si>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</si>
  <si>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</si>
  <si>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</si>
  <si>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</si>
  <si>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</si>
  <si>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</si>
  <si>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</si>
  <si>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</si>
  <si>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</si>
  <si>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</si>
  <si>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</si>
  <si>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</si>
  <si>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</si>
  <si>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</si>
  <si>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</si>
  <si>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</si>
  <si>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</si>
  <si>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</si>
  <si>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</si>
  <si>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</si>
  <si>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</si>
  <si>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</si>
  <si>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</si>
  <si>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</si>
  <si>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</si>
  <si>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</si>
  <si>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</si>
  <si>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</si>
  <si>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</si>
  <si>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</si>
  <si>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</si>
  <si>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</si>
  <si>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</si>
  <si>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</si>
  <si>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</si>
  <si>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</si>
  <si>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</si>
  <si>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</si>
  <si>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</si>
  <si>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</si>
  <si>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</si>
  <si>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</si>
  <si>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</si>
  <si>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</si>
  <si>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</si>
  <si>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</si>
  <si>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</si>
  <si>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</si>
  <si>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</si>
  <si>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</si>
  <si>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</si>
  <si>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</si>
  <si>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</si>
  <si>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</si>
  <si>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</si>
  <si>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</si>
  <si>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</si>
  <si>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</si>
  <si>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</si>
  <si>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</si>
  <si>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</si>
  <si>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</si>
  <si>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</si>
  <si>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</si>
  <si>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</si>
  <si>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</si>
  <si>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</si>
  <si>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</si>
  <si>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</si>
  <si>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</si>
  <si>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</si>
  <si>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</si>
  <si>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</si>
  <si>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</si>
  <si>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</si>
  <si>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</si>
  <si>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</si>
  <si>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</si>
  <si>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</si>
  <si>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</si>
  <si>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</si>
  <si>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</si>
  <si>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</si>
  <si>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</si>
  <si>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</si>
  <si>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</si>
  <si>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</si>
  <si>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</si>
  <si>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</si>
  <si>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</si>
  <si>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</si>
  <si>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</si>
  <si>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</si>
  <si>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</si>
  <si>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</si>
  <si>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</si>
  <si>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</si>
  <si>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</si>
  <si>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</si>
  <si>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</si>
  <si>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</si>
  <si>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</si>
  <si>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</si>
  <si>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</si>
  <si>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</si>
  <si>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</si>
  <si>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</si>
  <si>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</si>
  <si>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</si>
  <si>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</si>
  <si>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</si>
  <si>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</si>
  <si>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</si>
  <si>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</si>
  <si>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</si>
  <si>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</si>
  <si>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</si>
  <si>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</si>
  <si>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</si>
  <si>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</si>
  <si>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</si>
  <si>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</si>
  <si>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</si>
  <si>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</si>
  <si>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</si>
  <si>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</si>
  <si>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</si>
  <si>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</si>
  <si>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</si>
  <si>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</si>
  <si>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</si>
  <si>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</si>
  <si>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</si>
  <si>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</si>
  <si>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</si>
  <si>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</si>
  <si>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</si>
  <si>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</si>
  <si>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</si>
  <si>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</si>
  <si>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</si>
  <si>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</si>
  <si>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</si>
  <si>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</si>
  <si>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</si>
  <si>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</si>
  <si>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</si>
  <si>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</si>
  <si>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</si>
  <si>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</si>
  <si>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</si>
  <si>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</si>
  <si>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</si>
  <si>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</si>
  <si>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</si>
  <si>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</si>
  <si>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</si>
  <si>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</si>
  <si>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</si>
  <si>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</si>
  <si>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</si>
  <si>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</si>
  <si>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</si>
  <si>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</si>
  <si>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</si>
  <si>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</si>
  <si>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</si>
  <si>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</si>
  <si>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</si>
  <si>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</si>
  <si>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</si>
  <si>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</si>
  <si>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</si>
  <si>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</si>
  <si>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</si>
  <si>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</si>
  <si>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</si>
  <si>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</si>
  <si>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</si>
  <si>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</si>
  <si>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</si>
  <si>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inlooproosters dienen 2x per jaar gereinigd te worden, de ruimte eronder dient 2x per jaar leeggeschept te worden.</t>
  </si>
  <si>
    <t>De buitenentrees dienen wekelijks spinragvrij gemaakt te worden. De prullenbakken dienen te worden geledigd en gereinigd</t>
  </si>
  <si>
    <t>Bestekvervolg werkzaamheden</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</si>
  <si>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</si>
  <si>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</si>
  <si>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</si>
  <si>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</si>
  <si>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</si>
  <si>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</si>
  <si>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</si>
  <si>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</si>
  <si>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</si>
  <si>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</si>
  <si>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</si>
  <si>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</si>
  <si>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</si>
  <si>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5 x per week met 2x naloop</t>
  </si>
  <si>
    <t>2027</t>
  </si>
  <si>
    <t>Uren</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</si>
  <si>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</si>
  <si>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</si>
  <si>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</si>
  <si>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</si>
  <si>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</si>
  <si>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</si>
  <si>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</si>
  <si>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</si>
  <si>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</si>
  <si>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</si>
  <si>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</si>
  <si>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De gehele vloer en alle wanden reinigen met stoomreiniging bv fantomat</t>
  </si>
  <si>
    <t>Programma</t>
  </si>
  <si>
    <t>zie tabblad vloeronderhoud en het PvE.</t>
  </si>
  <si>
    <t>Kosten/jaar incl. BTW</t>
  </si>
  <si>
    <t>kosten / jaar excl btw</t>
  </si>
  <si>
    <r>
      <t>vl1</t>
    </r>
    <r>
      <rPr>
        <sz val="10"/>
        <color theme="6"/>
        <rFont val="Arial"/>
        <family val="2"/>
      </rPr>
      <t>2</t>
    </r>
  </si>
  <si>
    <r>
      <t>vl2</t>
    </r>
    <r>
      <rPr>
        <sz val="10"/>
        <color theme="6"/>
        <rFont val="Arial"/>
        <family val="2"/>
      </rPr>
      <t>3</t>
    </r>
  </si>
  <si>
    <r>
      <t>vl3</t>
    </r>
    <r>
      <rPr>
        <sz val="10"/>
        <color theme="6"/>
        <rFont val="Arial"/>
        <family val="2"/>
      </rPr>
      <t>4</t>
    </r>
  </si>
  <si>
    <r>
      <t>vl4</t>
    </r>
    <r>
      <rPr>
        <sz val="10"/>
        <color theme="6"/>
        <rFont val="Arial"/>
        <family val="2"/>
      </rPr>
      <t>5</t>
    </r>
  </si>
  <si>
    <r>
      <t>vl5</t>
    </r>
    <r>
      <rPr>
        <sz val="10"/>
        <color theme="6"/>
        <rFont val="Arial"/>
        <family val="2"/>
      </rPr>
      <t>6</t>
    </r>
  </si>
  <si>
    <r>
      <t>vl6</t>
    </r>
    <r>
      <rPr>
        <sz val="10"/>
        <color theme="6"/>
        <rFont val="Arial"/>
        <family val="2"/>
      </rPr>
      <t>7</t>
    </r>
  </si>
  <si>
    <r>
      <t>vl7</t>
    </r>
    <r>
      <rPr>
        <sz val="10"/>
        <color theme="6"/>
        <rFont val="Arial"/>
        <family val="2"/>
      </rPr>
      <t>8</t>
    </r>
  </si>
  <si>
    <r>
      <t>vnl</t>
    </r>
    <r>
      <rPr>
        <sz val="10"/>
        <color theme="6"/>
        <rFont val="Arial"/>
        <family val="2"/>
      </rPr>
      <t>9</t>
    </r>
  </si>
  <si>
    <r>
      <t>i8</t>
    </r>
    <r>
      <rPr>
        <sz val="10"/>
        <color theme="4" tint="0.39997558519241921"/>
        <rFont val="Arial"/>
        <family val="2"/>
      </rPr>
      <t>10</t>
    </r>
  </si>
  <si>
    <r>
      <t>i9</t>
    </r>
    <r>
      <rPr>
        <sz val="10"/>
        <color theme="4" tint="0.39997558519241921"/>
        <rFont val="Arial"/>
        <family val="2"/>
      </rPr>
      <t>11</t>
    </r>
  </si>
  <si>
    <r>
      <t>i10</t>
    </r>
    <r>
      <rPr>
        <sz val="10"/>
        <color theme="3" tint="0.59999389629810485"/>
        <rFont val="Arial"/>
        <family val="2"/>
      </rPr>
      <t>2</t>
    </r>
  </si>
  <si>
    <r>
      <rPr>
        <sz val="10"/>
        <rFont val="Arial"/>
        <family val="2"/>
      </rPr>
      <t>i11</t>
    </r>
    <r>
      <rPr>
        <sz val="10"/>
        <color theme="4" tint="0.39997558519241921"/>
        <rFont val="Arial"/>
        <family val="2"/>
      </rPr>
      <t>2</t>
    </r>
  </si>
  <si>
    <r>
      <t>i12</t>
    </r>
    <r>
      <rPr>
        <sz val="10"/>
        <color theme="3" tint="0.59999389629810485"/>
        <rFont val="Arial"/>
        <family val="2"/>
      </rPr>
      <t>2</t>
    </r>
  </si>
  <si>
    <r>
      <t>i13</t>
    </r>
    <r>
      <rPr>
        <sz val="10"/>
        <color theme="3" tint="0.59999389629810485"/>
        <rFont val="Arial"/>
        <family val="2"/>
      </rPr>
      <t>2</t>
    </r>
  </si>
  <si>
    <r>
      <t>i14</t>
    </r>
    <r>
      <rPr>
        <sz val="10"/>
        <color theme="3" tint="0.59999389629810485"/>
        <rFont val="Arial"/>
        <family val="2"/>
      </rPr>
      <t>2</t>
    </r>
  </si>
  <si>
    <r>
      <t>inl</t>
    </r>
    <r>
      <rPr>
        <sz val="10"/>
        <color theme="3" tint="0.59999389629810485"/>
        <rFont val="Arial"/>
        <family val="2"/>
      </rPr>
      <t>2</t>
    </r>
  </si>
  <si>
    <r>
      <t>s15</t>
    </r>
    <r>
      <rPr>
        <sz val="10"/>
        <color theme="5" tint="0.39997558519241921"/>
        <rFont val="Arial"/>
        <family val="2"/>
      </rPr>
      <t>2</t>
    </r>
  </si>
  <si>
    <r>
      <t>s16</t>
    </r>
    <r>
      <rPr>
        <sz val="10"/>
        <color theme="5" tint="0.39997558519241921"/>
        <rFont val="Arial"/>
        <family val="2"/>
      </rPr>
      <t>2</t>
    </r>
  </si>
  <si>
    <r>
      <t>snl</t>
    </r>
    <r>
      <rPr>
        <sz val="10"/>
        <color theme="5" tint="0.39997558519241921"/>
        <rFont val="Arial"/>
        <family val="2"/>
      </rPr>
      <t>2</t>
    </r>
  </si>
  <si>
    <t>Kosten / jaar excl btw</t>
  </si>
  <si>
    <t>Kosten/jaar incl BTW</t>
  </si>
  <si>
    <t>6w</t>
  </si>
  <si>
    <t>5-21w</t>
  </si>
  <si>
    <t>Overkapping</t>
  </si>
  <si>
    <t>Beplating wassen</t>
  </si>
  <si>
    <t>Glazen wandtuin</t>
  </si>
  <si>
    <t>Garderobes</t>
  </si>
  <si>
    <t>Kantine/Aula</t>
  </si>
  <si>
    <t>Praktijklokalen</t>
  </si>
  <si>
    <t>Leslokalen</t>
  </si>
  <si>
    <t>Toestelberging</t>
  </si>
  <si>
    <t>Gymzaal</t>
  </si>
  <si>
    <t>Niet in Onderhoud</t>
  </si>
  <si>
    <t>Le</t>
  </si>
  <si>
    <t>Ve</t>
  </si>
  <si>
    <t>Bu</t>
  </si>
  <si>
    <t>Sa</t>
  </si>
  <si>
    <t>kleedruimten</t>
  </si>
  <si>
    <t>Sp</t>
  </si>
  <si>
    <t>Adres</t>
  </si>
  <si>
    <t>Postcode</t>
  </si>
  <si>
    <t>Plaatsnaam</t>
  </si>
  <si>
    <t>Plaats</t>
  </si>
  <si>
    <t>Schoonmaakonderhoud
Kosten / jaar excl btw</t>
  </si>
  <si>
    <t>Vloeronderhoud
Kosten / jaar excl btw</t>
  </si>
  <si>
    <t>Extra werkzaamheden kosten/ jaar excl. btw</t>
  </si>
  <si>
    <t>Totaalprijs
Kosten / jaar excl. btw</t>
  </si>
  <si>
    <t>Soort indexatie</t>
  </si>
  <si>
    <t>Percentage</t>
  </si>
  <si>
    <t>Tarief excl btw</t>
  </si>
  <si>
    <t>CAO</t>
  </si>
  <si>
    <t>CBS index</t>
  </si>
  <si>
    <t>Tarief 
excl. 21% BTW</t>
  </si>
  <si>
    <t>Tarief 
incl. 21% BTW</t>
  </si>
  <si>
    <t>Gemiddelde
indexering</t>
  </si>
  <si>
    <t>Prijs per uur, overgenomen van tariefsopbouw</t>
  </si>
  <si>
    <t xml:space="preserve">Beeldschermen dienen dagelijks te worden gereinigd (stof- en vlekvrij). </t>
  </si>
  <si>
    <t>Omschrijving</t>
  </si>
  <si>
    <t>2028</t>
  </si>
  <si>
    <t>Extra werkzaamheden</t>
  </si>
  <si>
    <t>Bijtippend stofzuigen;</t>
  </si>
  <si>
    <t>Kauwgum verwijderen;</t>
  </si>
  <si>
    <t>(Entree)mat stofzuigen.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</si>
  <si>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</si>
  <si>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</si>
  <si>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</si>
  <si>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</si>
  <si>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</si>
  <si>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</si>
  <si>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</si>
  <si>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</si>
  <si>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</si>
  <si>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</si>
  <si>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</si>
  <si>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</si>
  <si>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</si>
  <si>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</si>
  <si>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</si>
  <si>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</si>
  <si>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</si>
  <si>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</si>
  <si>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</si>
  <si>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</si>
  <si>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</si>
  <si>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</si>
  <si>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</si>
  <si>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</si>
  <si>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</si>
  <si>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</si>
  <si>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</si>
  <si>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</si>
  <si>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</si>
  <si>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</si>
  <si>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</si>
  <si>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</si>
  <si>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</si>
  <si>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</si>
  <si>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</si>
  <si>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</si>
  <si>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</si>
  <si>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</si>
  <si>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</si>
  <si>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</si>
  <si>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</si>
  <si>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</si>
  <si>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</si>
  <si>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</si>
  <si>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</si>
  <si>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</si>
  <si>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</si>
  <si>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</si>
  <si>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</si>
  <si>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</si>
  <si>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</si>
  <si>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</si>
  <si>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</si>
  <si>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</si>
  <si>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</si>
  <si>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</si>
  <si>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</si>
  <si>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</si>
  <si>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</si>
  <si>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</si>
  <si>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</si>
  <si>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</si>
  <si>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</si>
  <si>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</si>
  <si>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</si>
  <si>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</si>
  <si>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</si>
  <si>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</si>
  <si>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</si>
  <si>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</si>
  <si>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</si>
  <si>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</si>
  <si>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</si>
  <si>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</si>
  <si>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</si>
  <si>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</si>
  <si>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</si>
  <si>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</si>
  <si>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</si>
  <si>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</si>
  <si>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</si>
  <si>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</si>
  <si>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</si>
  <si>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</si>
  <si>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</si>
  <si>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</si>
  <si>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</si>
  <si>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</si>
  <si>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</si>
  <si>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</si>
  <si>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</si>
  <si>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</si>
  <si>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</si>
  <si>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</si>
  <si>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</si>
  <si>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</si>
  <si>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</si>
  <si>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</si>
  <si>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</si>
  <si>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</si>
  <si>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</si>
  <si>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</si>
  <si>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</si>
  <si>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</si>
  <si>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</si>
  <si>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</si>
  <si>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</si>
  <si>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</si>
  <si>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</si>
  <si>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</si>
  <si>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</si>
  <si>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</si>
  <si>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</si>
  <si>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</si>
  <si>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</si>
  <si>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</si>
  <si>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</si>
  <si>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</si>
  <si>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</si>
  <si>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</si>
  <si>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</si>
  <si>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</si>
  <si>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</si>
  <si>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</si>
  <si>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</si>
  <si>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</si>
  <si>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</si>
  <si>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</si>
  <si>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</si>
  <si>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</si>
  <si>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</si>
  <si>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</si>
  <si>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</si>
  <si>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</si>
  <si>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</si>
  <si>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</si>
  <si>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</si>
  <si>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</si>
  <si>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</si>
  <si>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</si>
  <si>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</si>
  <si>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</si>
  <si>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</si>
  <si>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</si>
  <si>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</si>
  <si>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</si>
  <si>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</si>
  <si>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</si>
  <si>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</si>
  <si>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</si>
  <si>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</si>
  <si>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</si>
  <si>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</si>
  <si>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</si>
  <si>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</si>
  <si>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</si>
  <si>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</si>
  <si>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</si>
  <si>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</si>
  <si>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</si>
  <si>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</si>
  <si>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</si>
  <si>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</si>
  <si>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</si>
  <si>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</si>
  <si>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</si>
  <si>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</si>
  <si>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</si>
  <si>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</si>
  <si>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</si>
  <si>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</si>
  <si>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</si>
  <si>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</si>
  <si>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</si>
  <si>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</si>
  <si>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</si>
  <si>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</si>
  <si>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</si>
  <si>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</si>
  <si>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</si>
  <si>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</si>
  <si>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</si>
  <si>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</si>
  <si>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</si>
  <si>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</si>
  <si>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</si>
  <si>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</si>
  <si>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</si>
  <si>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</si>
  <si>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</si>
  <si>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</si>
  <si>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</si>
  <si>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</si>
  <si>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</si>
  <si>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</si>
  <si>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</si>
  <si>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</si>
  <si>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</si>
  <si>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Telefoontoelstellen, beeldschermen, toetsenborden e.d. stof en vlekvrij maken;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</si>
  <si>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</si>
  <si>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</si>
  <si>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</si>
  <si>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</si>
  <si>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</si>
  <si>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</si>
  <si>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</si>
  <si>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</si>
  <si>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</si>
  <si>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</si>
  <si>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</si>
  <si>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</si>
  <si>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</si>
  <si>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</si>
  <si>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</si>
  <si>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</si>
  <si>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</si>
  <si>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</si>
  <si>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</si>
  <si>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</si>
  <si>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</si>
  <si>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</si>
  <si>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</si>
  <si>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</si>
  <si>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</si>
  <si>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</si>
  <si>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</si>
  <si>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</si>
  <si>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</si>
  <si>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</si>
  <si>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</si>
  <si>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</si>
  <si>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</si>
  <si>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</si>
  <si>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</si>
  <si>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</si>
  <si>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</si>
  <si>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</si>
  <si>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r>
      <t>Sanitaire eenheid:</t>
    </r>
    <r>
      <rPr>
        <sz val="10"/>
        <rFont val="Calibri"/>
        <family val="2"/>
        <scheme val="minor"/>
      </rPr>
      <t xml:space="preserve"> bestaat uit 2 toiletpotten (of 1 toiletpot en 1 urinoir) en 1 wastafel</t>
    </r>
  </si>
  <si>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</si>
  <si>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</si>
  <si>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</si>
  <si>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</si>
  <si>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</si>
  <si>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</si>
  <si>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</si>
  <si>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</si>
  <si>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</si>
  <si>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</si>
  <si>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</si>
  <si>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</si>
  <si>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</si>
  <si>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</si>
  <si>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</si>
  <si>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</si>
  <si>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</si>
  <si>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</si>
  <si>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</si>
  <si>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</si>
  <si>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</si>
  <si>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</si>
  <si>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</si>
  <si>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</si>
  <si>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</si>
  <si>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</si>
  <si>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</si>
  <si>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</si>
  <si>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</si>
  <si>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</si>
  <si>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</si>
  <si>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</si>
  <si>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Handelingen dieptereiniging 2x per jaar</t>
  </si>
  <si>
    <t>Glasbewassing kosten/ jaar excl. Btw</t>
  </si>
  <si>
    <t>bg</t>
  </si>
  <si>
    <t>1e</t>
  </si>
  <si>
    <t>2e</t>
  </si>
  <si>
    <t>lokaal</t>
  </si>
  <si>
    <t>Stationslaan 26</t>
  </si>
  <si>
    <t>3842 LA</t>
  </si>
  <si>
    <t>Harderwijk</t>
  </si>
  <si>
    <t>CCNV</t>
  </si>
  <si>
    <t>Monument BG</t>
  </si>
  <si>
    <t>Monument 1V</t>
  </si>
  <si>
    <t>Monument 2V</t>
  </si>
  <si>
    <t>overblijf</t>
  </si>
  <si>
    <t>Badweg BG</t>
  </si>
  <si>
    <t>Badweg 1V</t>
  </si>
  <si>
    <t>Badweg 2V</t>
  </si>
  <si>
    <t>A BG</t>
  </si>
  <si>
    <t>A 1V</t>
  </si>
  <si>
    <t>A 2V</t>
  </si>
  <si>
    <t xml:space="preserve">Gym </t>
  </si>
  <si>
    <t>kantoren</t>
  </si>
  <si>
    <t xml:space="preserve">aula/overdekt schoolplein </t>
  </si>
  <si>
    <t>m013</t>
  </si>
  <si>
    <t>m014</t>
  </si>
  <si>
    <t>m015</t>
  </si>
  <si>
    <t>m016</t>
  </si>
  <si>
    <t>m017</t>
  </si>
  <si>
    <t>m017a</t>
  </si>
  <si>
    <t>m018</t>
  </si>
  <si>
    <t>m018a</t>
  </si>
  <si>
    <t>m018b</t>
  </si>
  <si>
    <t>m018c</t>
  </si>
  <si>
    <t>m019a</t>
  </si>
  <si>
    <t>m020</t>
  </si>
  <si>
    <t>m01</t>
  </si>
  <si>
    <t>m02</t>
  </si>
  <si>
    <t>m03</t>
  </si>
  <si>
    <t>m04</t>
  </si>
  <si>
    <t>m05</t>
  </si>
  <si>
    <t>t6</t>
  </si>
  <si>
    <t>m121</t>
  </si>
  <si>
    <t>m122</t>
  </si>
  <si>
    <t>m123</t>
  </si>
  <si>
    <t>m124</t>
  </si>
  <si>
    <t>m125</t>
  </si>
  <si>
    <t>m125a</t>
  </si>
  <si>
    <t>m125b</t>
  </si>
  <si>
    <t>m125c</t>
  </si>
  <si>
    <t>m125d</t>
  </si>
  <si>
    <t>m126</t>
  </si>
  <si>
    <t>m127</t>
  </si>
  <si>
    <t>m128</t>
  </si>
  <si>
    <t>m129</t>
  </si>
  <si>
    <t>m130</t>
  </si>
  <si>
    <t>t105</t>
  </si>
  <si>
    <t>t106</t>
  </si>
  <si>
    <t>m231</t>
  </si>
  <si>
    <t>m232</t>
  </si>
  <si>
    <t>m238</t>
  </si>
  <si>
    <t>m239</t>
  </si>
  <si>
    <t>m233</t>
  </si>
  <si>
    <t>m237</t>
  </si>
  <si>
    <t>m236</t>
  </si>
  <si>
    <t>m240</t>
  </si>
  <si>
    <t>m235</t>
  </si>
  <si>
    <t>m234</t>
  </si>
  <si>
    <t>t205</t>
  </si>
  <si>
    <t>k002</t>
  </si>
  <si>
    <t>k001</t>
  </si>
  <si>
    <t>k031</t>
  </si>
  <si>
    <t>b01</t>
  </si>
  <si>
    <t>b02</t>
  </si>
  <si>
    <t>t01</t>
  </si>
  <si>
    <t>t02</t>
  </si>
  <si>
    <t>t03</t>
  </si>
  <si>
    <t>t04</t>
  </si>
  <si>
    <t>b001</t>
  </si>
  <si>
    <t>b002</t>
  </si>
  <si>
    <t>b003</t>
  </si>
  <si>
    <t>b004</t>
  </si>
  <si>
    <t>b005</t>
  </si>
  <si>
    <t>b006</t>
  </si>
  <si>
    <t>b007</t>
  </si>
  <si>
    <t>b008</t>
  </si>
  <si>
    <t>b009</t>
  </si>
  <si>
    <t>b110</t>
  </si>
  <si>
    <t>b111</t>
  </si>
  <si>
    <t>b112</t>
  </si>
  <si>
    <t>b113</t>
  </si>
  <si>
    <t>b114</t>
  </si>
  <si>
    <t>b115</t>
  </si>
  <si>
    <t>b116</t>
  </si>
  <si>
    <t>t101</t>
  </si>
  <si>
    <t>t102</t>
  </si>
  <si>
    <t>t103</t>
  </si>
  <si>
    <t>t104</t>
  </si>
  <si>
    <t>b217</t>
  </si>
  <si>
    <t>b217a</t>
  </si>
  <si>
    <t>b217b</t>
  </si>
  <si>
    <t>b218</t>
  </si>
  <si>
    <t>b219</t>
  </si>
  <si>
    <t>b220</t>
  </si>
  <si>
    <t>b221</t>
  </si>
  <si>
    <t>b222</t>
  </si>
  <si>
    <t>b223</t>
  </si>
  <si>
    <t>b223b</t>
  </si>
  <si>
    <t>t201</t>
  </si>
  <si>
    <t>t202</t>
  </si>
  <si>
    <t>t203</t>
  </si>
  <si>
    <t>t204</t>
  </si>
  <si>
    <t>A01</t>
  </si>
  <si>
    <t>a02</t>
  </si>
  <si>
    <t>a001</t>
  </si>
  <si>
    <t>a002</t>
  </si>
  <si>
    <t>a003</t>
  </si>
  <si>
    <t>a004</t>
  </si>
  <si>
    <t>a025</t>
  </si>
  <si>
    <t>a026</t>
  </si>
  <si>
    <t>a027</t>
  </si>
  <si>
    <t>sanitair</t>
  </si>
  <si>
    <t>a105</t>
  </si>
  <si>
    <t>a106</t>
  </si>
  <si>
    <t>a107</t>
  </si>
  <si>
    <t>a108</t>
  </si>
  <si>
    <t>a109</t>
  </si>
  <si>
    <t>a110</t>
  </si>
  <si>
    <t>a123</t>
  </si>
  <si>
    <t>a124</t>
  </si>
  <si>
    <t>t107</t>
  </si>
  <si>
    <t>t108</t>
  </si>
  <si>
    <t>a211</t>
  </si>
  <si>
    <t>a212</t>
  </si>
  <si>
    <t>a213</t>
  </si>
  <si>
    <t>a214</t>
  </si>
  <si>
    <t>a215</t>
  </si>
  <si>
    <t>a216</t>
  </si>
  <si>
    <t>a217</t>
  </si>
  <si>
    <t>a218</t>
  </si>
  <si>
    <t>a219</t>
  </si>
  <si>
    <t>a220</t>
  </si>
  <si>
    <t>a221</t>
  </si>
  <si>
    <t>a222</t>
  </si>
  <si>
    <t>a222a</t>
  </si>
  <si>
    <t>t207</t>
  </si>
  <si>
    <t>t208</t>
  </si>
  <si>
    <t>gymzaal 1</t>
  </si>
  <si>
    <t>gymzaal 2</t>
  </si>
  <si>
    <t>h1</t>
  </si>
  <si>
    <t>h2</t>
  </si>
  <si>
    <t>toestelberging 1</t>
  </si>
  <si>
    <t>toestelberging 2</t>
  </si>
  <si>
    <t>berging 1</t>
  </si>
  <si>
    <t>berging 2</t>
  </si>
  <si>
    <t>kleedkamer 1</t>
  </si>
  <si>
    <t>kleedkamer 2</t>
  </si>
  <si>
    <t>gang</t>
  </si>
  <si>
    <t>Sportzaal 3</t>
  </si>
  <si>
    <t>k105</t>
  </si>
  <si>
    <t>k106</t>
  </si>
  <si>
    <t>k107</t>
  </si>
  <si>
    <t>k108</t>
  </si>
  <si>
    <t>k109</t>
  </si>
  <si>
    <t>k110</t>
  </si>
  <si>
    <t>k111</t>
  </si>
  <si>
    <t>k112</t>
  </si>
  <si>
    <t>k113</t>
  </si>
  <si>
    <t>k114</t>
  </si>
  <si>
    <t>k115</t>
  </si>
  <si>
    <t>k116</t>
  </si>
  <si>
    <t>k117</t>
  </si>
  <si>
    <t>receptie</t>
  </si>
  <si>
    <t>kabinet</t>
  </si>
  <si>
    <t>kantoor</t>
  </si>
  <si>
    <t>hoofdingang</t>
  </si>
  <si>
    <t>trappenhuis</t>
  </si>
  <si>
    <t>garderobe</t>
  </si>
  <si>
    <t>kantine</t>
  </si>
  <si>
    <t>olc</t>
  </si>
  <si>
    <t>berging</t>
  </si>
  <si>
    <t>toilet</t>
  </si>
  <si>
    <t>spreekamer</t>
  </si>
  <si>
    <t>saniatir</t>
  </si>
  <si>
    <t>magazijn</t>
  </si>
  <si>
    <t>hal</t>
  </si>
  <si>
    <t>entree</t>
  </si>
  <si>
    <t>gymzaal</t>
  </si>
  <si>
    <t>toestelberging</t>
  </si>
  <si>
    <t xml:space="preserve">kleedkamer </t>
  </si>
  <si>
    <t>douche</t>
  </si>
  <si>
    <t>keuken</t>
  </si>
  <si>
    <t>stilteruimte</t>
  </si>
  <si>
    <t>pvc</t>
  </si>
  <si>
    <t>tapijt</t>
  </si>
  <si>
    <t>marmoleum</t>
  </si>
  <si>
    <t>tegels</t>
  </si>
  <si>
    <t>gietvloer</t>
  </si>
  <si>
    <t>sportvloer</t>
  </si>
  <si>
    <t>mat</t>
  </si>
  <si>
    <t>schoonloopmat</t>
  </si>
  <si>
    <t>steen</t>
  </si>
  <si>
    <t>5j</t>
  </si>
  <si>
    <t>trespabelating</t>
  </si>
  <si>
    <t>publieksruimte</t>
  </si>
  <si>
    <t>handvaardigheids lokalen</t>
  </si>
  <si>
    <t>bu</t>
  </si>
  <si>
    <t>ve</t>
  </si>
  <si>
    <t>p</t>
  </si>
  <si>
    <t>5 x per jaar</t>
  </si>
  <si>
    <t xml:space="preserve">Het reguliere onderhoud in de gymzalen is voor 30 weken per jaar in de planning en calculatie opgenomen. 
10 weken per jaar worden gymzalen gebruikt als examenzaal. 
Gedurende deze periode worden 5 of 6 lokalen leeggeruimd. Het meubilair wordt naar de gymzaal verplaatst.
Schoonmaak in de gymzalen tijdens deze periode van 10 weken;  dagelijks afvalbakken ledigen en wekelijks stofzuigen en tafels afnemen.
Inschrijver wordt hier in de gelegenheid gesteld een meerprijs op te nemen. 
Houdt rekening met 5 of 6 lokalen die gedurende dezelfde periode geen schoonmaakonderhoud behoeven. </t>
  </si>
  <si>
    <t>aantal weken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</si>
</sst>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s>
  <fonts count="75">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9"/>
      <name val="Verdana"/>
      <family val="2"/>
    </font>
    <font>
      <b/>
      <u/>
      <sz val="9"/>
      <name val="Verdana"/>
      <family val="2"/>
    </font>
    <font>
      <b/>
      <sz val="9"/>
      <name val="Verdana"/>
      <family val="2"/>
    </font>
    <font>
      <sz val="9"/>
      <color indexed="9"/>
      <name val="Verdana"/>
      <family val="2"/>
    </font>
    <font>
      <u/>
      <sz val="9"/>
      <name val="Verdana"/>
      <family val="2"/>
    </font>
    <font>
      <vertAlign val="superscript"/>
      <sz val="9"/>
      <name val="Verdana"/>
      <family val="2"/>
    </font>
    <font>
      <sz val="9"/>
      <color indexed="8"/>
      <name val="Verdana"/>
      <family val="2"/>
    </font>
    <font>
      <b/>
      <sz val="9"/>
      <color indexed="8"/>
      <name val="Verdana"/>
      <family val="2"/>
    </font>
    <font>
      <b/>
      <u/>
      <sz val="12"/>
      <name val="Verdana"/>
      <family val="2"/>
    </font>
    <font>
      <b/>
      <sz val="9"/>
      <color theme="0"/>
      <name val="Verdana"/>
      <family val="2"/>
    </font>
    <font>
      <sz val="9"/>
      <color theme="0"/>
      <name val="Verdana"/>
      <family val="2"/>
    </font>
    <font>
      <sz val="9"/>
      <color theme="1"/>
      <name val="Verdana"/>
      <family val="2"/>
    </font>
    <font>
      <b/>
      <sz val="12"/>
      <color theme="0"/>
      <name val="Verdana"/>
      <family val="2"/>
    </font>
    <font>
      <b/>
      <sz val="10"/>
      <color theme="0"/>
      <name val="Verdana"/>
      <family val="2"/>
    </font>
    <font>
      <b/>
      <sz val="9"/>
      <color theme="1"/>
      <name val="Verdana"/>
      <family val="2"/>
    </font>
    <font>
      <sz val="9"/>
      <name val="Verdana"/>
      <family val="2"/>
    </font>
    <font>
      <sz val="10"/>
      <color theme="1"/>
      <name val="Verdana"/>
      <family val="2"/>
    </font>
    <font>
      <sz val="10"/>
      <name val="Arial"/>
      <family val="2"/>
    </font>
    <font>
      <b/>
      <sz val="9"/>
      <color rgb="FFFF0000"/>
      <name val="Verdana"/>
      <family val="2"/>
    </font>
    <font>
      <sz val="9"/>
      <name val="Geneva"/>
    </font>
    <font>
      <sz val="9"/>
      <color rgb="FFFF0000"/>
      <name val="Verdana"/>
      <family val="2"/>
    </font>
    <font>
      <sz val="10"/>
      <color theme="0"/>
      <name val="Arial"/>
      <family val="2"/>
    </font>
    <font>
      <b/>
      <sz val="14"/>
      <color theme="0"/>
      <name val="Arial"/>
      <family val="2"/>
    </font>
    <font>
      <b/>
      <sz val="11"/>
      <name val="Arial"/>
      <family val="2"/>
    </font>
    <font>
      <b/>
      <sz val="11"/>
      <color theme="0"/>
      <name val="Arial"/>
      <family val="2"/>
    </font>
    <font>
      <b/>
      <sz val="26"/>
      <name val="Arial"/>
      <family val="2"/>
    </font>
    <font>
      <b/>
      <sz val="12"/>
      <name val="Arial"/>
      <family val="2"/>
    </font>
    <font>
      <b/>
      <sz val="10"/>
      <color theme="1"/>
      <name val="Arial"/>
      <family val="2"/>
    </font>
    <font>
      <b/>
      <sz val="22"/>
      <name val="Calibri"/>
      <family val="2"/>
    </font>
    <font>
      <sz val="10"/>
      <name val="Calibri"/>
      <family val="2"/>
    </font>
    <font>
      <b/>
      <sz val="10"/>
      <color indexed="10"/>
      <name val="Calibri"/>
      <family val="2"/>
    </font>
    <font>
      <sz val="10"/>
      <color indexed="9"/>
      <name val="Calibri"/>
      <family val="2"/>
    </font>
    <font>
      <b/>
      <sz val="10"/>
      <color indexed="9"/>
      <name val="Calibri"/>
      <family val="2"/>
    </font>
    <font>
      <b/>
      <u/>
      <sz val="10"/>
      <color indexed="9"/>
      <name val="Calibri"/>
      <family val="2"/>
    </font>
    <font>
      <b/>
      <sz val="10"/>
      <name val="Calibri"/>
      <family val="2"/>
    </font>
    <font>
      <sz val="9"/>
      <name val="Arial"/>
      <family val="2"/>
    </font>
    <font>
      <b/>
      <sz val="14"/>
      <name val="Calibri"/>
      <family val="2"/>
    </font>
    <font>
      <b/>
      <sz val="9"/>
      <name val="Arial"/>
      <family val="2"/>
    </font>
    <font>
      <sz val="10"/>
      <color theme="6"/>
      <name val="Arial"/>
      <family val="2"/>
    </font>
    <font>
      <sz val="10"/>
      <color theme="4" tint="0.39997558519241921"/>
      <name val="Arial"/>
      <family val="2"/>
    </font>
    <font>
      <sz val="10"/>
      <color theme="3" tint="0.59999389629810485"/>
      <name val="Arial"/>
      <family val="2"/>
    </font>
    <font>
      <sz val="10"/>
      <color theme="5" tint="0.39997558519241921"/>
      <name val="Arial"/>
      <family val="2"/>
    </font>
    <font>
      <b/>
      <u/>
      <sz val="10"/>
      <color theme="0"/>
      <name val="Calibri"/>
      <family val="2"/>
    </font>
    <font>
      <sz val="8"/>
      <name val="Arial"/>
      <family val="2"/>
    </font>
    <font>
      <sz val="11"/>
      <name val="Calibri"/>
      <family val="2"/>
      <scheme val="minor"/>
    </font>
    <font>
      <sz val="10"/>
      <name val="Calibri"/>
      <family val="2"/>
      <scheme val="minor"/>
    </font>
    <font>
      <b/>
      <sz val="12"/>
      <name val="Calibri"/>
      <family val="2"/>
      <scheme val="minor"/>
    </font>
    <font>
      <u/>
      <sz val="10"/>
      <name val="Calibri"/>
      <family val="2"/>
      <scheme val="minor"/>
    </font>
    <font>
      <b/>
      <sz val="10"/>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theme="4"/>
        <bgColor indexed="64"/>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s>
  <borders count="33">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ck">
        <color theme="0"/>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3"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43" fontId="24" fillId="0" borderId="0" applyFont="0" applyFill="0" applyBorder="0" applyAlignment="0" applyProtection="0"/>
    <xf numFmtId="9" fontId="25"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43" fillId="0" borderId="0" applyFont="0" applyFill="0" applyBorder="0" applyAlignment="0" applyProtection="0"/>
    <xf numFmtId="0" fontId="45"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4" fillId="0" borderId="0" applyFont="0" applyFill="0" applyBorder="0" applyAlignment="0" applyProtection="0"/>
    <xf numFmtId="43" fontId="24"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453">
    <xf numFmtId="0" fontId="0" fillId="0" borderId="0" xfId="0"/>
    <xf numFmtId="0" fontId="26" fillId="0" borderId="0" xfId="0" applyFont="1" applyAlignment="1">
      <alignment horizontal="center"/>
    </xf>
    <xf numFmtId="0" fontId="26" fillId="0" borderId="0" xfId="0" applyFont="1"/>
    <xf numFmtId="0" fontId="32" fillId="0" borderId="0" xfId="29" applyFont="1"/>
    <xf numFmtId="0" fontId="26" fillId="0" borderId="0" xfId="0" applyFont="1" applyAlignment="1">
      <alignment vertical="center"/>
    </xf>
    <xf numFmtId="0" fontId="28" fillId="0" borderId="0" xfId="0" applyFont="1" applyAlignment="1">
      <alignment horizontal="center"/>
    </xf>
    <xf numFmtId="169" fontId="26" fillId="0" borderId="0" xfId="0" applyNumberFormat="1" applyFont="1"/>
    <xf numFmtId="2" fontId="26" fillId="0" borderId="0" xfId="0" applyNumberFormat="1" applyFont="1"/>
    <xf numFmtId="0" fontId="26" fillId="0" borderId="0" xfId="0" applyFont="1" applyAlignment="1">
      <alignment vertical="center" wrapText="1"/>
    </xf>
    <xf numFmtId="0" fontId="26" fillId="0" borderId="0" xfId="30" applyFont="1" applyAlignment="1">
      <alignment vertical="center"/>
    </xf>
    <xf numFmtId="164" fontId="26" fillId="5" borderId="9" xfId="0" applyNumberFormat="1" applyFont="1" applyFill="1" applyBorder="1" applyAlignment="1">
      <alignment horizontal="left" vertical="center"/>
    </xf>
    <xf numFmtId="10" fontId="26" fillId="5" borderId="9" xfId="0" applyNumberFormat="1" applyFont="1" applyFill="1" applyBorder="1" applyAlignment="1">
      <alignment horizontal="center" vertical="center"/>
    </xf>
    <xf numFmtId="173" fontId="26" fillId="0" borderId="9" xfId="0" applyNumberFormat="1" applyFont="1" applyBorder="1" applyAlignment="1">
      <alignment vertical="center"/>
    </xf>
    <xf numFmtId="10" fontId="26" fillId="0" borderId="9" xfId="0" applyNumberFormat="1" applyFont="1" applyBorder="1" applyAlignment="1">
      <alignment horizontal="center" vertical="center"/>
    </xf>
    <xf numFmtId="171" fontId="26" fillId="0" borderId="9" xfId="2" applyFont="1" applyBorder="1" applyAlignment="1" applyProtection="1">
      <alignment horizontal="left" vertical="center"/>
      <protection locked="0"/>
    </xf>
    <xf numFmtId="172" fontId="26" fillId="0" borderId="9" xfId="31" applyNumberFormat="1" applyFont="1" applyBorder="1" applyAlignment="1" applyProtection="1">
      <alignment horizontal="left" vertical="center"/>
      <protection hidden="1"/>
    </xf>
    <xf numFmtId="0" fontId="30" fillId="0" borderId="0" xfId="0" applyFont="1" applyAlignment="1">
      <alignment vertical="center"/>
    </xf>
    <xf numFmtId="0" fontId="28" fillId="0" borderId="0" xfId="0" applyFont="1" applyAlignment="1">
      <alignment horizontal="center" vertical="center"/>
    </xf>
    <xf numFmtId="170" fontId="26" fillId="0" borderId="0" xfId="0" applyNumberFormat="1" applyFont="1" applyAlignment="1">
      <alignment vertical="center"/>
    </xf>
    <xf numFmtId="170" fontId="26" fillId="0" borderId="0" xfId="0" applyNumberFormat="1" applyFont="1" applyAlignment="1" applyProtection="1">
      <alignment horizontal="center" vertical="center"/>
      <protection locked="0"/>
    </xf>
    <xf numFmtId="166" fontId="26" fillId="0" borderId="0" xfId="0" applyNumberFormat="1" applyFont="1" applyAlignment="1" applyProtection="1">
      <alignment horizontal="left" vertical="center"/>
      <protection hidden="1"/>
    </xf>
    <xf numFmtId="0" fontId="26" fillId="0" borderId="0" xfId="0" applyFont="1" applyAlignment="1">
      <alignment horizontal="center" vertical="center"/>
    </xf>
    <xf numFmtId="170" fontId="26" fillId="0" borderId="0" xfId="0" applyNumberFormat="1" applyFont="1" applyAlignment="1">
      <alignment horizontal="center" vertical="center"/>
    </xf>
    <xf numFmtId="172" fontId="26" fillId="0" borderId="0" xfId="31" applyNumberFormat="1" applyFont="1" applyAlignment="1" applyProtection="1">
      <alignment horizontal="left" vertical="center"/>
      <protection hidden="1"/>
    </xf>
    <xf numFmtId="171" fontId="26" fillId="0" borderId="0" xfId="2" applyFont="1" applyAlignment="1" applyProtection="1">
      <alignment horizontal="left" vertical="center"/>
      <protection locked="0"/>
    </xf>
    <xf numFmtId="9" fontId="26" fillId="0" borderId="9" xfId="0" applyNumberFormat="1" applyFont="1" applyBorder="1" applyAlignment="1">
      <alignment horizontal="center" vertical="center"/>
    </xf>
    <xf numFmtId="173" fontId="26" fillId="0" borderId="9" xfId="0" applyNumberFormat="1" applyFont="1" applyBorder="1" applyAlignment="1" applyProtection="1">
      <alignment vertical="center"/>
      <protection locked="0"/>
    </xf>
    <xf numFmtId="173" fontId="26" fillId="0" borderId="9" xfId="2" applyNumberFormat="1" applyFont="1" applyBorder="1" applyAlignment="1" applyProtection="1">
      <alignment horizontal="left" vertical="center"/>
      <protection hidden="1"/>
    </xf>
    <xf numFmtId="173" fontId="26" fillId="0" borderId="0" xfId="0" applyNumberFormat="1" applyFont="1" applyAlignment="1">
      <alignment vertical="center"/>
    </xf>
    <xf numFmtId="0" fontId="26" fillId="0" borderId="0" xfId="30" applyFont="1" applyAlignment="1">
      <alignment vertical="center" wrapText="1"/>
    </xf>
    <xf numFmtId="0" fontId="26" fillId="0" borderId="0" xfId="30" applyFont="1" applyAlignment="1">
      <alignment horizontal="center" vertical="center"/>
    </xf>
    <xf numFmtId="0" fontId="26" fillId="0" borderId="0" xfId="0" applyFont="1" applyAlignment="1">
      <alignment wrapText="1"/>
    </xf>
    <xf numFmtId="2" fontId="26" fillId="0" borderId="0" xfId="0" applyNumberFormat="1" applyFont="1" applyAlignment="1">
      <alignment vertical="center" wrapText="1"/>
    </xf>
    <xf numFmtId="0" fontId="26" fillId="0" borderId="0" xfId="0" applyFont="1" applyAlignment="1">
      <alignment horizontal="center" vertical="center" wrapText="1"/>
    </xf>
    <xf numFmtId="4" fontId="26" fillId="0" borderId="0" xfId="0" applyNumberFormat="1" applyFont="1" applyAlignment="1">
      <alignment vertical="center"/>
    </xf>
    <xf numFmtId="4" fontId="26" fillId="0" borderId="0" xfId="0" applyNumberFormat="1" applyFont="1" applyAlignment="1">
      <alignment horizontal="center" vertical="center"/>
    </xf>
    <xf numFmtId="164" fontId="26" fillId="0" borderId="0" xfId="8" applyFont="1" applyAlignment="1">
      <alignment vertical="center"/>
    </xf>
    <xf numFmtId="0" fontId="28" fillId="0" borderId="0" xfId="0" applyFont="1" applyAlignment="1">
      <alignment vertical="center"/>
    </xf>
    <xf numFmtId="3" fontId="26" fillId="0" borderId="0" xfId="0" applyNumberFormat="1" applyFont="1" applyAlignment="1">
      <alignment horizontal="center" vertical="center"/>
    </xf>
    <xf numFmtId="2" fontId="29" fillId="0" borderId="0" xfId="0" applyNumberFormat="1" applyFont="1" applyAlignment="1">
      <alignment horizontal="left" vertical="center"/>
    </xf>
    <xf numFmtId="164" fontId="26" fillId="6" borderId="0" xfId="0" applyNumberFormat="1" applyFont="1" applyFill="1" applyAlignment="1">
      <alignment horizontal="center" vertical="center"/>
    </xf>
    <xf numFmtId="3" fontId="26" fillId="0" borderId="0" xfId="8" applyNumberFormat="1" applyFont="1" applyAlignment="1">
      <alignment vertical="center"/>
    </xf>
    <xf numFmtId="0" fontId="26" fillId="0" borderId="5" xfId="30" applyFont="1" applyBorder="1" applyAlignment="1">
      <alignment vertical="center"/>
    </xf>
    <xf numFmtId="0" fontId="26" fillId="0" borderId="10" xfId="30" applyFont="1" applyBorder="1" applyAlignment="1">
      <alignment vertical="center"/>
    </xf>
    <xf numFmtId="0" fontId="33" fillId="0" borderId="0" xfId="29" applyFont="1"/>
    <xf numFmtId="0" fontId="32" fillId="0" borderId="0" xfId="29" applyFont="1" applyAlignment="1">
      <alignment horizontal="center" vertical="center"/>
    </xf>
    <xf numFmtId="173" fontId="36" fillId="9" borderId="13" xfId="0" applyNumberFormat="1" applyFont="1" applyFill="1" applyBorder="1" applyAlignment="1">
      <alignment horizontal="center" vertical="center" wrapText="1"/>
    </xf>
    <xf numFmtId="0" fontId="36" fillId="9" borderId="0" xfId="0" applyFont="1" applyFill="1" applyAlignment="1">
      <alignment horizontal="center" vertical="center" wrapText="1"/>
    </xf>
    <xf numFmtId="0" fontId="36" fillId="9" borderId="0" xfId="0" applyFont="1" applyFill="1" applyAlignment="1">
      <alignment vertical="center" wrapText="1"/>
    </xf>
    <xf numFmtId="164" fontId="36" fillId="9" borderId="0" xfId="0" applyNumberFormat="1" applyFont="1" applyFill="1" applyAlignment="1">
      <alignment horizontal="center" vertical="center" wrapText="1"/>
    </xf>
    <xf numFmtId="0" fontId="37" fillId="8" borderId="0" xfId="0" applyFont="1" applyFill="1" applyAlignment="1">
      <alignment horizontal="center" vertical="center"/>
    </xf>
    <xf numFmtId="0" fontId="37" fillId="8" borderId="0" xfId="0" applyFont="1" applyFill="1" applyAlignment="1">
      <alignment vertical="center"/>
    </xf>
    <xf numFmtId="164" fontId="37" fillId="5" borderId="0" xfId="0" applyNumberFormat="1" applyFont="1" applyFill="1" applyAlignment="1">
      <alignment horizontal="center" vertical="center"/>
    </xf>
    <xf numFmtId="0" fontId="37" fillId="7" borderId="0" xfId="0" applyFont="1" applyFill="1" applyAlignment="1">
      <alignment horizontal="center" vertical="center"/>
    </xf>
    <xf numFmtId="0" fontId="37" fillId="7" borderId="0" xfId="0" applyFont="1" applyFill="1" applyAlignment="1">
      <alignment vertical="center"/>
    </xf>
    <xf numFmtId="0" fontId="37" fillId="8" borderId="0" xfId="0" applyFont="1" applyFill="1" applyAlignment="1">
      <alignment horizontal="left" vertical="center"/>
    </xf>
    <xf numFmtId="4" fontId="37" fillId="7" borderId="0" xfId="0" applyNumberFormat="1" applyFont="1" applyFill="1" applyAlignment="1">
      <alignment horizontal="left" vertical="center"/>
    </xf>
    <xf numFmtId="0" fontId="37" fillId="7" borderId="0" xfId="0" applyFont="1" applyFill="1" applyAlignment="1">
      <alignment horizontal="left" vertical="center"/>
    </xf>
    <xf numFmtId="4" fontId="36" fillId="9" borderId="0" xfId="0" applyNumberFormat="1" applyFont="1" applyFill="1" applyAlignment="1">
      <alignment horizontal="center" vertical="center" wrapText="1"/>
    </xf>
    <xf numFmtId="164" fontId="36" fillId="9" borderId="0" xfId="8" applyFont="1" applyFill="1" applyAlignment="1">
      <alignment horizontal="center" vertical="center" wrapText="1"/>
    </xf>
    <xf numFmtId="0" fontId="26" fillId="6" borderId="0" xfId="0" applyFont="1" applyFill="1"/>
    <xf numFmtId="0" fontId="26" fillId="6" borderId="0" xfId="0" applyFont="1" applyFill="1" applyAlignment="1">
      <alignment horizontal="center"/>
    </xf>
    <xf numFmtId="0" fontId="26" fillId="6" borderId="0" xfId="0" applyFont="1" applyFill="1" applyAlignment="1">
      <alignment wrapText="1"/>
    </xf>
    <xf numFmtId="0" fontId="28" fillId="0" borderId="0" xfId="0" applyFont="1" applyAlignment="1">
      <alignment horizontal="center" vertical="center" wrapText="1"/>
    </xf>
    <xf numFmtId="0" fontId="35" fillId="9" borderId="0" xfId="0" applyFont="1" applyFill="1" applyAlignment="1">
      <alignment horizontal="center" vertical="center" wrapText="1"/>
    </xf>
    <xf numFmtId="4" fontId="35" fillId="9" borderId="0" xfId="0" applyNumberFormat="1" applyFont="1" applyFill="1" applyAlignment="1">
      <alignment horizontal="center" vertical="center" wrapText="1"/>
    </xf>
    <xf numFmtId="164" fontId="35" fillId="9" borderId="0" xfId="8" applyFont="1" applyFill="1" applyAlignment="1">
      <alignment horizontal="center" vertical="center" wrapText="1"/>
    </xf>
    <xf numFmtId="0" fontId="26" fillId="0" borderId="0" xfId="0" applyFont="1" applyAlignment="1">
      <alignment horizontal="center" vertical="center" textRotation="90"/>
    </xf>
    <xf numFmtId="0" fontId="34" fillId="0" borderId="0" xfId="30" applyFont="1" applyAlignment="1">
      <alignmen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center" vertical="center" textRotation="90" wrapText="1"/>
    </xf>
    <xf numFmtId="173" fontId="26" fillId="5" borderId="0" xfId="0" applyNumberFormat="1" applyFont="1" applyFill="1" applyAlignment="1">
      <alignment vertical="center"/>
    </xf>
    <xf numFmtId="0" fontId="26" fillId="6" borderId="0" xfId="0" applyFont="1" applyFill="1" applyAlignment="1">
      <alignment horizontal="center" vertical="center" textRotation="90"/>
    </xf>
    <xf numFmtId="0" fontId="26" fillId="6" borderId="0" xfId="0" applyFont="1" applyFill="1" applyAlignment="1">
      <alignment vertical="center"/>
    </xf>
    <xf numFmtId="168" fontId="26" fillId="0" borderId="0" xfId="19" applyFont="1" applyAlignment="1">
      <alignment horizontal="center" vertical="center" wrapText="1"/>
    </xf>
    <xf numFmtId="173" fontId="26" fillId="0" borderId="0" xfId="0" applyNumberFormat="1" applyFont="1" applyAlignment="1">
      <alignment horizontal="center" vertical="center" wrapText="1"/>
    </xf>
    <xf numFmtId="2" fontId="26" fillId="6" borderId="0" xfId="0" applyNumberFormat="1" applyFont="1" applyFill="1"/>
    <xf numFmtId="169" fontId="26" fillId="6" borderId="0" xfId="0" applyNumberFormat="1" applyFont="1" applyFill="1"/>
    <xf numFmtId="17" fontId="26" fillId="6" borderId="0" xfId="0" applyNumberFormat="1" applyFont="1" applyFill="1" applyAlignment="1">
      <alignment horizontal="center"/>
    </xf>
    <xf numFmtId="2" fontId="28" fillId="6" borderId="0" xfId="0" applyNumberFormat="1" applyFont="1" applyFill="1" applyAlignment="1">
      <alignment vertical="center"/>
    </xf>
    <xf numFmtId="169" fontId="26" fillId="6" borderId="0" xfId="0" applyNumberFormat="1" applyFont="1" applyFill="1" applyAlignment="1">
      <alignment vertical="center"/>
    </xf>
    <xf numFmtId="0" fontId="26" fillId="6" borderId="0" xfId="0" applyFont="1" applyFill="1" applyAlignment="1">
      <alignment horizontal="center" vertical="center"/>
    </xf>
    <xf numFmtId="169" fontId="26" fillId="6" borderId="0" xfId="0" applyNumberFormat="1" applyFont="1" applyFill="1" applyAlignment="1">
      <alignment wrapText="1"/>
    </xf>
    <xf numFmtId="0" fontId="39" fillId="6" borderId="10" xfId="30" applyFont="1" applyFill="1" applyBorder="1" applyAlignment="1">
      <alignment vertical="center" wrapText="1"/>
    </xf>
    <xf numFmtId="0" fontId="36" fillId="10" borderId="9" xfId="0" applyFont="1" applyFill="1" applyBorder="1" applyAlignment="1">
      <alignment horizontal="center" vertical="center" wrapText="1"/>
    </xf>
    <xf numFmtId="170" fontId="36" fillId="10" borderId="9" xfId="0" applyNumberFormat="1" applyFont="1" applyFill="1" applyBorder="1" applyAlignment="1">
      <alignment horizontal="center" vertical="center" wrapText="1"/>
    </xf>
    <xf numFmtId="0" fontId="35" fillId="10" borderId="7" xfId="0" applyFont="1" applyFill="1" applyBorder="1" applyAlignment="1">
      <alignment vertical="center" wrapText="1"/>
    </xf>
    <xf numFmtId="0" fontId="35" fillId="10" borderId="4" xfId="0" applyFont="1" applyFill="1" applyBorder="1" applyAlignment="1">
      <alignment vertical="center" wrapText="1"/>
    </xf>
    <xf numFmtId="0" fontId="26" fillId="0" borderId="0" xfId="30" applyFont="1" applyAlignment="1">
      <alignment horizontal="center" vertical="center" wrapText="1"/>
    </xf>
    <xf numFmtId="0" fontId="28" fillId="6" borderId="0" xfId="0" applyFont="1" applyFill="1" applyAlignment="1">
      <alignment horizontal="left" vertical="center"/>
    </xf>
    <xf numFmtId="0" fontId="27" fillId="0" borderId="0" xfId="30" applyFont="1" applyAlignment="1">
      <alignment horizontal="center" vertical="center"/>
    </xf>
    <xf numFmtId="9" fontId="28" fillId="5" borderId="0" xfId="38" applyFont="1" applyFill="1" applyAlignment="1">
      <alignment horizontal="center" vertical="center"/>
    </xf>
    <xf numFmtId="2" fontId="26" fillId="6" borderId="0" xfId="0" applyNumberFormat="1" applyFont="1" applyFill="1" applyAlignment="1">
      <alignment vertical="center"/>
    </xf>
    <xf numFmtId="17" fontId="26" fillId="6" borderId="0" xfId="0" applyNumberFormat="1" applyFont="1" applyFill="1" applyAlignment="1">
      <alignment horizontal="center" vertical="center"/>
    </xf>
    <xf numFmtId="177" fontId="26" fillId="6" borderId="0" xfId="0" applyNumberFormat="1" applyFont="1" applyFill="1" applyAlignment="1">
      <alignment vertical="center"/>
    </xf>
    <xf numFmtId="177" fontId="26" fillId="6" borderId="0" xfId="0" applyNumberFormat="1" applyFont="1" applyFill="1" applyAlignment="1">
      <alignment horizontal="center" vertical="center"/>
    </xf>
    <xf numFmtId="177" fontId="26" fillId="0" borderId="0" xfId="0" applyNumberFormat="1" applyFont="1" applyAlignment="1">
      <alignment vertical="center"/>
    </xf>
    <xf numFmtId="177" fontId="26" fillId="0" borderId="0" xfId="0" applyNumberFormat="1" applyFont="1" applyAlignment="1">
      <alignment horizontal="center" vertical="center"/>
    </xf>
    <xf numFmtId="0" fontId="26" fillId="0" borderId="0" xfId="0" applyFont="1" applyAlignment="1" applyProtection="1">
      <alignment vertical="center"/>
      <protection hidden="1"/>
    </xf>
    <xf numFmtId="169" fontId="26" fillId="0" borderId="0" xfId="0" applyNumberFormat="1" applyFont="1" applyAlignment="1" applyProtection="1">
      <alignment vertical="center"/>
      <protection hidden="1"/>
    </xf>
    <xf numFmtId="2" fontId="26" fillId="0" borderId="0" xfId="0" applyNumberFormat="1" applyFont="1" applyAlignment="1" applyProtection="1">
      <alignment vertical="center"/>
      <protection hidden="1"/>
    </xf>
    <xf numFmtId="168" fontId="26" fillId="0" borderId="0" xfId="19" applyFont="1" applyAlignment="1">
      <alignment vertical="center"/>
    </xf>
    <xf numFmtId="169" fontId="26" fillId="0" borderId="0" xfId="0" applyNumberFormat="1" applyFont="1" applyAlignment="1">
      <alignment vertical="center"/>
    </xf>
    <xf numFmtId="2" fontId="26" fillId="0" borderId="0" xfId="0" applyNumberFormat="1" applyFont="1" applyAlignment="1">
      <alignment horizontal="center" vertical="center" wrapText="1"/>
    </xf>
    <xf numFmtId="0" fontId="41" fillId="0" borderId="0" xfId="0" applyFont="1" applyAlignment="1">
      <alignment horizontal="center" vertical="center" wrapText="1"/>
    </xf>
    <xf numFmtId="170" fontId="26" fillId="5" borderId="0" xfId="0" applyNumberFormat="1" applyFont="1" applyFill="1" applyAlignment="1">
      <alignment vertical="center"/>
    </xf>
    <xf numFmtId="0" fontId="26" fillId="6" borderId="0" xfId="0" applyFont="1" applyFill="1" applyAlignment="1">
      <alignment horizontal="left" vertical="center"/>
    </xf>
    <xf numFmtId="0" fontId="26" fillId="6" borderId="0" xfId="0" applyFont="1" applyFill="1" applyAlignment="1">
      <alignment horizontal="center" wrapText="1"/>
    </xf>
    <xf numFmtId="17" fontId="28" fillId="6" borderId="0" xfId="0" applyNumberFormat="1" applyFont="1" applyFill="1" applyAlignment="1">
      <alignment horizontal="center"/>
    </xf>
    <xf numFmtId="0" fontId="28" fillId="6" borderId="0" xfId="0" applyFont="1" applyFill="1" applyAlignment="1">
      <alignment horizontal="center"/>
    </xf>
    <xf numFmtId="0" fontId="36" fillId="9" borderId="9" xfId="0" applyFont="1" applyFill="1" applyBorder="1" applyAlignment="1">
      <alignment horizontal="center" vertical="center" wrapText="1"/>
    </xf>
    <xf numFmtId="0" fontId="36" fillId="9" borderId="9" xfId="0" applyFont="1" applyFill="1" applyBorder="1" applyAlignment="1">
      <alignment horizontal="left" vertical="center" wrapText="1"/>
    </xf>
    <xf numFmtId="168" fontId="36" fillId="9" borderId="9" xfId="19" applyFont="1" applyFill="1" applyBorder="1" applyAlignment="1">
      <alignment horizontal="center" vertical="center" wrapText="1"/>
    </xf>
    <xf numFmtId="173" fontId="36" fillId="9" borderId="9" xfId="0" applyNumberFormat="1" applyFont="1" applyFill="1" applyBorder="1" applyAlignment="1">
      <alignment horizontal="center" vertical="center" wrapText="1"/>
    </xf>
    <xf numFmtId="0" fontId="32" fillId="0" borderId="0" xfId="29" applyFont="1" applyAlignment="1">
      <alignment horizontal="center"/>
    </xf>
    <xf numFmtId="0" fontId="37" fillId="7" borderId="9" xfId="0" applyFont="1" applyFill="1" applyBorder="1" applyAlignment="1">
      <alignment horizontal="left" vertical="center"/>
    </xf>
    <xf numFmtId="0" fontId="37" fillId="8" borderId="9" xfId="0" applyFont="1" applyFill="1" applyBorder="1" applyAlignment="1">
      <alignment horizontal="left" vertical="center"/>
    </xf>
    <xf numFmtId="0" fontId="26" fillId="7" borderId="9" xfId="0" applyFont="1" applyFill="1" applyBorder="1" applyAlignment="1">
      <alignment vertical="center"/>
    </xf>
    <xf numFmtId="182" fontId="26" fillId="7" borderId="9" xfId="0" applyNumberFormat="1" applyFont="1" applyFill="1" applyBorder="1" applyAlignment="1">
      <alignment horizontal="center" vertical="center"/>
    </xf>
    <xf numFmtId="0" fontId="26" fillId="7" borderId="7" xfId="0" applyFont="1" applyFill="1" applyBorder="1" applyAlignment="1">
      <alignment vertical="center"/>
    </xf>
    <xf numFmtId="0" fontId="26" fillId="7" borderId="4" xfId="0" applyFont="1" applyFill="1" applyBorder="1" applyAlignment="1">
      <alignment vertical="center"/>
    </xf>
    <xf numFmtId="0" fontId="26" fillId="7" borderId="14" xfId="0" applyFont="1" applyFill="1" applyBorder="1" applyAlignment="1">
      <alignment vertical="center"/>
    </xf>
    <xf numFmtId="0" fontId="37" fillId="0" borderId="0" xfId="0" applyFont="1" applyAlignment="1">
      <alignment horizontal="center" vertical="center" textRotation="90"/>
    </xf>
    <xf numFmtId="0" fontId="37" fillId="13" borderId="0" xfId="0" applyFont="1" applyFill="1" applyAlignment="1">
      <alignment horizontal="left" vertical="center" wrapText="1"/>
    </xf>
    <xf numFmtId="0" fontId="37" fillId="0" borderId="0" xfId="0" applyFont="1"/>
    <xf numFmtId="173" fontId="40" fillId="13" borderId="9" xfId="0" applyNumberFormat="1" applyFont="1" applyFill="1" applyBorder="1" applyAlignment="1">
      <alignment vertical="center"/>
    </xf>
    <xf numFmtId="2" fontId="26" fillId="0" borderId="0" xfId="0" applyNumberFormat="1" applyFont="1" applyAlignment="1">
      <alignment horizontal="center" vertical="center"/>
    </xf>
    <xf numFmtId="0" fontId="26" fillId="0" borderId="0" xfId="0" applyFont="1" applyAlignment="1">
      <alignment horizontal="right" vertical="center"/>
    </xf>
    <xf numFmtId="164" fontId="26" fillId="0" borderId="0" xfId="8" applyFont="1" applyAlignment="1">
      <alignment horizontal="right" vertical="center"/>
    </xf>
    <xf numFmtId="2" fontId="29" fillId="0" borderId="0" xfId="0" applyNumberFormat="1" applyFont="1" applyAlignment="1">
      <alignment horizontal="right" vertical="center"/>
    </xf>
    <xf numFmtId="4" fontId="26" fillId="0" borderId="0" xfId="0" applyNumberFormat="1" applyFont="1" applyAlignment="1">
      <alignment horizontal="right" vertical="center"/>
    </xf>
    <xf numFmtId="4" fontId="36" fillId="9" borderId="0" xfId="0" applyNumberFormat="1" applyFont="1" applyFill="1" applyAlignment="1">
      <alignment horizontal="right" vertical="center" wrapText="1"/>
    </xf>
    <xf numFmtId="49" fontId="26" fillId="6" borderId="0" xfId="0" applyNumberFormat="1" applyFont="1" applyFill="1" applyAlignment="1">
      <alignment horizontal="center" vertical="center"/>
    </xf>
    <xf numFmtId="49" fontId="26" fillId="0" borderId="0" xfId="0" applyNumberFormat="1" applyFont="1" applyAlignment="1">
      <alignment horizontal="center" vertical="center"/>
    </xf>
    <xf numFmtId="0" fontId="42" fillId="13" borderId="9" xfId="0" applyFont="1" applyFill="1" applyBorder="1" applyAlignment="1">
      <alignment horizontal="center" vertical="center"/>
    </xf>
    <xf numFmtId="0" fontId="42" fillId="13" borderId="9" xfId="0" applyFont="1" applyFill="1" applyBorder="1" applyAlignment="1">
      <alignment vertical="center"/>
    </xf>
    <xf numFmtId="180" fontId="42" fillId="13" borderId="9" xfId="0" applyNumberFormat="1" applyFont="1" applyFill="1" applyBorder="1" applyAlignment="1">
      <alignment vertical="center"/>
    </xf>
    <xf numFmtId="181" fontId="42" fillId="13" borderId="9" xfId="0" applyNumberFormat="1" applyFont="1" applyFill="1" applyBorder="1" applyAlignment="1">
      <alignment vertical="center"/>
    </xf>
    <xf numFmtId="173" fontId="42" fillId="13" borderId="9" xfId="0" applyNumberFormat="1" applyFont="1" applyFill="1" applyBorder="1" applyAlignment="1">
      <alignment vertical="center"/>
    </xf>
    <xf numFmtId="173" fontId="42" fillId="13" borderId="0" xfId="0" applyNumberFormat="1" applyFont="1" applyFill="1" applyAlignment="1">
      <alignment vertical="center"/>
    </xf>
    <xf numFmtId="0" fontId="37" fillId="0" borderId="9" xfId="0" applyFont="1" applyBorder="1" applyAlignment="1">
      <alignment horizontal="center" vertical="center"/>
    </xf>
    <xf numFmtId="0" fontId="37" fillId="0" borderId="9" xfId="0" applyFont="1" applyBorder="1" applyAlignment="1">
      <alignment vertical="center"/>
    </xf>
    <xf numFmtId="3" fontId="37" fillId="0" borderId="9" xfId="0" applyNumberFormat="1" applyFont="1" applyBorder="1" applyAlignment="1">
      <alignment vertical="center"/>
    </xf>
    <xf numFmtId="179" fontId="37" fillId="0" borderId="9" xfId="0" applyNumberFormat="1" applyFont="1" applyBorder="1" applyAlignment="1">
      <alignment vertical="center"/>
    </xf>
    <xf numFmtId="173" fontId="37" fillId="0" borderId="9" xfId="0" applyNumberFormat="1" applyFont="1" applyBorder="1" applyAlignment="1">
      <alignment vertical="center"/>
    </xf>
    <xf numFmtId="173" fontId="37" fillId="0" borderId="14" xfId="0" applyNumberFormat="1" applyFont="1" applyBorder="1" applyAlignment="1">
      <alignment vertical="center"/>
    </xf>
    <xf numFmtId="0" fontId="26" fillId="6" borderId="5" xfId="30" applyFont="1" applyFill="1" applyBorder="1" applyAlignment="1">
      <alignment vertical="center"/>
    </xf>
    <xf numFmtId="178" fontId="26" fillId="0" borderId="0" xfId="0" applyNumberFormat="1" applyFont="1" applyAlignment="1">
      <alignment vertical="center"/>
    </xf>
    <xf numFmtId="0" fontId="6" fillId="0" borderId="0" xfId="42" applyAlignment="1">
      <alignment wrapText="1"/>
    </xf>
    <xf numFmtId="178" fontId="37" fillId="0" borderId="0" xfId="0" applyNumberFormat="1" applyFont="1" applyAlignment="1">
      <alignment vertical="center"/>
    </xf>
    <xf numFmtId="10" fontId="36" fillId="10" borderId="9" xfId="0" applyNumberFormat="1" applyFont="1" applyFill="1" applyBorder="1" applyAlignment="1">
      <alignment horizontal="center" vertical="center" wrapText="1"/>
    </xf>
    <xf numFmtId="44" fontId="26" fillId="5" borderId="9" xfId="48" applyFont="1" applyFill="1" applyBorder="1" applyAlignment="1">
      <alignment horizontal="center" vertical="center"/>
    </xf>
    <xf numFmtId="170" fontId="26" fillId="0" borderId="9" xfId="44" applyNumberFormat="1" applyFont="1" applyFill="1" applyBorder="1" applyAlignment="1">
      <alignment horizontal="center" vertical="center"/>
    </xf>
    <xf numFmtId="170" fontId="26" fillId="0" borderId="9" xfId="0" applyNumberFormat="1" applyFont="1" applyBorder="1" applyAlignment="1">
      <alignment horizontal="center" vertical="center"/>
    </xf>
    <xf numFmtId="0" fontId="35" fillId="10" borderId="9" xfId="0" applyFont="1" applyFill="1" applyBorder="1" applyAlignment="1">
      <alignment vertical="center" wrapText="1"/>
    </xf>
    <xf numFmtId="44" fontId="37" fillId="8" borderId="20" xfId="54" applyFont="1" applyFill="1" applyBorder="1" applyAlignment="1">
      <alignment horizontal="left" vertical="center"/>
    </xf>
    <xf numFmtId="44" fontId="37" fillId="7" borderId="20" xfId="54" applyFont="1" applyFill="1" applyBorder="1" applyAlignment="1">
      <alignment horizontal="left" vertical="center"/>
    </xf>
    <xf numFmtId="44" fontId="37" fillId="8" borderId="20" xfId="0" applyNumberFormat="1" applyFont="1" applyFill="1" applyBorder="1" applyAlignment="1">
      <alignment horizontal="left" vertical="center"/>
    </xf>
    <xf numFmtId="0" fontId="40" fillId="13" borderId="24" xfId="0" applyFont="1" applyFill="1" applyBorder="1" applyAlignment="1">
      <alignment horizontal="left" vertical="center" wrapText="1"/>
    </xf>
    <xf numFmtId="173" fontId="37" fillId="8" borderId="19" xfId="0" applyNumberFormat="1" applyFont="1" applyFill="1" applyBorder="1" applyAlignment="1">
      <alignment horizontal="left" vertical="center" wrapText="1"/>
    </xf>
    <xf numFmtId="44" fontId="37" fillId="7" borderId="19" xfId="54" applyFont="1" applyFill="1" applyBorder="1" applyAlignment="1">
      <alignment horizontal="left" vertical="center" wrapText="1"/>
    </xf>
    <xf numFmtId="44" fontId="37" fillId="8" borderId="19" xfId="54" applyFont="1" applyFill="1" applyBorder="1" applyAlignment="1">
      <alignment horizontal="left" vertical="center" wrapText="1"/>
    </xf>
    <xf numFmtId="168" fontId="26" fillId="6" borderId="0" xfId="19" applyFont="1" applyFill="1" applyAlignment="1">
      <alignment vertical="center"/>
    </xf>
    <xf numFmtId="168" fontId="26" fillId="0" borderId="0" xfId="19" applyFont="1" applyAlignment="1" applyProtection="1">
      <alignment vertical="center"/>
      <protection hidden="1"/>
    </xf>
    <xf numFmtId="44" fontId="26" fillId="6" borderId="0" xfId="54" applyFont="1" applyFill="1" applyAlignment="1">
      <alignment vertical="center"/>
    </xf>
    <xf numFmtId="44" fontId="26" fillId="0" borderId="0" xfId="54" applyFont="1" applyAlignment="1">
      <alignment horizontal="center" vertical="center" wrapText="1"/>
    </xf>
    <xf numFmtId="44" fontId="28" fillId="0" borderId="0" xfId="54" applyFont="1" applyAlignment="1">
      <alignment horizontal="center" vertical="center"/>
    </xf>
    <xf numFmtId="173" fontId="0" fillId="0" borderId="9" xfId="0" applyNumberFormat="1" applyBorder="1" applyAlignment="1">
      <alignment vertical="center"/>
    </xf>
    <xf numFmtId="173" fontId="36" fillId="9" borderId="14" xfId="0" applyNumberFormat="1" applyFont="1" applyFill="1" applyBorder="1" applyAlignment="1">
      <alignment horizontal="center" vertical="center" wrapText="1"/>
    </xf>
    <xf numFmtId="168" fontId="26" fillId="0" borderId="0" xfId="19" applyFont="1" applyFill="1" applyAlignment="1">
      <alignment horizontal="center" vertical="center" wrapText="1"/>
    </xf>
    <xf numFmtId="44" fontId="26" fillId="0" borderId="0" xfId="54" applyFont="1" applyFill="1" applyAlignment="1">
      <alignment horizontal="center" vertical="center" wrapText="1"/>
    </xf>
    <xf numFmtId="0" fontId="26" fillId="6" borderId="0" xfId="0" applyFont="1" applyFill="1" applyAlignment="1">
      <alignment horizontal="left" vertical="top"/>
    </xf>
    <xf numFmtId="0" fontId="26" fillId="0" borderId="0" xfId="0" applyFont="1" applyAlignment="1">
      <alignment horizontal="left" vertical="top"/>
    </xf>
    <xf numFmtId="9" fontId="26" fillId="0" borderId="0" xfId="38" applyFont="1" applyAlignment="1">
      <alignment vertical="center"/>
    </xf>
    <xf numFmtId="9" fontId="32" fillId="0" borderId="0" xfId="38" applyFont="1"/>
    <xf numFmtId="3" fontId="37" fillId="0" borderId="0" xfId="58" applyNumberFormat="1" applyFont="1" applyAlignment="1">
      <alignment horizontal="center" vertical="center"/>
    </xf>
    <xf numFmtId="173" fontId="32" fillId="0" borderId="0" xfId="29" applyNumberFormat="1" applyFont="1"/>
    <xf numFmtId="44" fontId="32" fillId="0" borderId="0" xfId="54" applyFont="1"/>
    <xf numFmtId="1" fontId="28" fillId="5" borderId="0" xfId="0" applyNumberFormat="1" applyFont="1" applyFill="1" applyAlignment="1">
      <alignment horizontal="center" vertical="center"/>
    </xf>
    <xf numFmtId="44" fontId="26" fillId="0" borderId="0" xfId="0" applyNumberFormat="1" applyFont="1" applyAlignment="1">
      <alignment vertical="center"/>
    </xf>
    <xf numFmtId="2" fontId="28" fillId="0" borderId="15" xfId="0" applyNumberFormat="1" applyFont="1" applyBorder="1" applyAlignment="1">
      <alignment vertical="center" wrapText="1"/>
    </xf>
    <xf numFmtId="2" fontId="28" fillId="0" borderId="16" xfId="0" applyNumberFormat="1" applyFont="1" applyBorder="1" applyAlignment="1">
      <alignment vertical="center" wrapText="1"/>
    </xf>
    <xf numFmtId="0" fontId="28" fillId="9" borderId="17" xfId="0" applyFont="1" applyFill="1" applyBorder="1" applyAlignment="1">
      <alignment horizontal="center" vertical="center" wrapText="1"/>
    </xf>
    <xf numFmtId="0" fontId="28" fillId="0" borderId="16" xfId="0" applyFont="1" applyBorder="1" applyAlignment="1">
      <alignment vertical="center" wrapText="1"/>
    </xf>
    <xf numFmtId="183" fontId="28" fillId="5" borderId="20" xfId="38" applyNumberFormat="1" applyFont="1" applyFill="1" applyBorder="1" applyAlignment="1">
      <alignment horizontal="center" vertical="center"/>
    </xf>
    <xf numFmtId="184" fontId="26" fillId="0" borderId="0" xfId="0" applyNumberFormat="1" applyFont="1" applyAlignment="1">
      <alignment vertical="center"/>
    </xf>
    <xf numFmtId="44" fontId="26" fillId="0" borderId="0" xfId="0" applyNumberFormat="1" applyFont="1" applyAlignment="1">
      <alignment vertical="center" wrapText="1"/>
    </xf>
    <xf numFmtId="1" fontId="26" fillId="0" borderId="0" xfId="0" applyNumberFormat="1" applyFont="1" applyAlignment="1">
      <alignment vertical="center"/>
    </xf>
    <xf numFmtId="10" fontId="26" fillId="6" borderId="0" xfId="0" applyNumberFormat="1" applyFont="1" applyFill="1"/>
    <xf numFmtId="1" fontId="26" fillId="6" borderId="0" xfId="0" applyNumberFormat="1" applyFont="1" applyFill="1"/>
    <xf numFmtId="1" fontId="26" fillId="6" borderId="0" xfId="0" applyNumberFormat="1" applyFont="1" applyFill="1" applyAlignment="1">
      <alignment vertical="center"/>
    </xf>
    <xf numFmtId="1" fontId="26" fillId="6" borderId="0" xfId="0" applyNumberFormat="1" applyFont="1" applyFill="1" applyAlignment="1">
      <alignment wrapText="1"/>
    </xf>
    <xf numFmtId="44" fontId="26" fillId="6" borderId="0" xfId="0" applyNumberFormat="1" applyFont="1" applyFill="1"/>
    <xf numFmtId="44" fontId="26" fillId="6" borderId="0" xfId="0" applyNumberFormat="1" applyFont="1" applyFill="1" applyAlignment="1">
      <alignment wrapText="1"/>
    </xf>
    <xf numFmtId="44" fontId="26" fillId="6" borderId="0" xfId="54" applyFont="1" applyFill="1" applyAlignment="1">
      <alignment wrapText="1"/>
    </xf>
    <xf numFmtId="44" fontId="26" fillId="6" borderId="0" xfId="0" applyNumberFormat="1" applyFont="1" applyFill="1" applyAlignment="1">
      <alignment horizontal="center"/>
    </xf>
    <xf numFmtId="0" fontId="28" fillId="6" borderId="0" xfId="0" applyFont="1" applyFill="1" applyAlignment="1">
      <alignment vertical="center"/>
    </xf>
    <xf numFmtId="44" fontId="26" fillId="6" borderId="0" xfId="0" applyNumberFormat="1" applyFont="1" applyFill="1" applyAlignment="1">
      <alignment vertical="center"/>
    </xf>
    <xf numFmtId="44" fontId="26" fillId="6" borderId="0" xfId="54" applyFont="1" applyFill="1"/>
    <xf numFmtId="44" fontId="26" fillId="6" borderId="0" xfId="54" applyFont="1" applyFill="1" applyAlignment="1">
      <alignment horizontal="center" vertical="center"/>
    </xf>
    <xf numFmtId="44" fontId="26" fillId="6" borderId="0" xfId="54" applyFont="1" applyFill="1" applyAlignment="1">
      <alignment horizontal="center" wrapText="1"/>
    </xf>
    <xf numFmtId="44" fontId="26" fillId="0" borderId="0" xfId="54" applyFont="1" applyAlignment="1">
      <alignment wrapText="1"/>
    </xf>
    <xf numFmtId="9" fontId="28" fillId="5" borderId="0" xfId="44" applyFont="1" applyFill="1" applyAlignment="1">
      <alignment horizontal="center" vertical="center"/>
    </xf>
    <xf numFmtId="0" fontId="1" fillId="12" borderId="0" xfId="0" applyFont="1" applyFill="1" applyAlignment="1">
      <alignment horizontal="center" vertical="center"/>
    </xf>
    <xf numFmtId="0" fontId="1" fillId="12" borderId="0" xfId="0" applyFont="1" applyFill="1" applyAlignment="1">
      <alignment horizontal="left" vertical="center"/>
    </xf>
    <xf numFmtId="0" fontId="1" fillId="12" borderId="0" xfId="0" applyFont="1" applyFill="1" applyAlignment="1">
      <alignment vertical="center"/>
    </xf>
    <xf numFmtId="0" fontId="1" fillId="12" borderId="0" xfId="0" applyFont="1" applyFill="1" applyAlignment="1">
      <alignment horizontal="right" vertical="center"/>
    </xf>
    <xf numFmtId="173" fontId="1" fillId="12" borderId="0" xfId="0" applyNumberFormat="1" applyFont="1" applyFill="1" applyAlignment="1">
      <alignment horizontal="center" vertical="center"/>
    </xf>
    <xf numFmtId="184" fontId="32" fillId="0" borderId="0" xfId="29" applyNumberFormat="1" applyFont="1"/>
    <xf numFmtId="0" fontId="26" fillId="0" borderId="18" xfId="30" applyFont="1" applyBorder="1" applyAlignment="1">
      <alignment horizontal="center" vertical="center"/>
    </xf>
    <xf numFmtId="0" fontId="1" fillId="0" borderId="19" xfId="0" applyFont="1" applyBorder="1" applyAlignment="1">
      <alignment horizontal="left" vertical="top"/>
    </xf>
    <xf numFmtId="0" fontId="37" fillId="0" borderId="0" xfId="0" applyFont="1" applyAlignment="1">
      <alignment horizontal="center" vertical="center"/>
    </xf>
    <xf numFmtId="0" fontId="37" fillId="0" borderId="0" xfId="0" applyFont="1" applyAlignment="1">
      <alignment horizontal="left" vertical="center"/>
    </xf>
    <xf numFmtId="4" fontId="37" fillId="0" borderId="0" xfId="0" applyNumberFormat="1" applyFont="1" applyAlignment="1">
      <alignment vertical="center"/>
    </xf>
    <xf numFmtId="4" fontId="37" fillId="0" borderId="0" xfId="0" applyNumberFormat="1" applyFont="1" applyAlignment="1">
      <alignment horizontal="center" vertical="center"/>
    </xf>
    <xf numFmtId="4" fontId="37" fillId="0" borderId="0" xfId="0" applyNumberFormat="1" applyFont="1" applyAlignment="1">
      <alignment horizontal="right" vertical="center"/>
    </xf>
    <xf numFmtId="173" fontId="37" fillId="0" borderId="0" xfId="0" applyNumberFormat="1" applyFont="1" applyAlignment="1">
      <alignment horizontal="center" vertical="center"/>
    </xf>
    <xf numFmtId="0" fontId="34" fillId="0" borderId="0" xfId="30" applyFont="1" applyAlignment="1">
      <alignment horizontal="center" vertical="center"/>
    </xf>
    <xf numFmtId="0" fontId="0" fillId="0" borderId="0" xfId="0" applyAlignment="1">
      <alignment horizontal="center" wrapText="1"/>
    </xf>
    <xf numFmtId="0" fontId="47" fillId="6" borderId="0" xfId="0" applyFont="1" applyFill="1" applyAlignment="1">
      <alignment horizontal="center" wrapText="1"/>
    </xf>
    <xf numFmtId="0" fontId="50" fillId="6" borderId="0" xfId="0" applyFont="1" applyFill="1" applyAlignment="1">
      <alignment horizontal="center" wrapText="1"/>
    </xf>
    <xf numFmtId="0" fontId="51" fillId="0" borderId="0" xfId="0" applyFont="1" applyAlignment="1">
      <alignment horizontal="left"/>
    </xf>
    <xf numFmtId="0" fontId="0" fillId="0" borderId="0" xfId="0" applyAlignment="1">
      <alignment horizontal="center"/>
    </xf>
    <xf numFmtId="0" fontId="6" fillId="0" borderId="13" xfId="0" applyFont="1" applyBorder="1" applyAlignment="1">
      <alignment horizontal="center"/>
    </xf>
    <xf numFmtId="0" fontId="6" fillId="0" borderId="10" xfId="0" applyFont="1" applyBorder="1"/>
    <xf numFmtId="0" fontId="6" fillId="0" borderId="10" xfId="0" applyFont="1" applyBorder="1" applyAlignment="1">
      <alignment horizontal="center"/>
    </xf>
    <xf numFmtId="0" fontId="53" fillId="24" borderId="9" xfId="0" applyFont="1" applyFill="1" applyBorder="1" applyAlignment="1">
      <alignment horizontal="left" vertical="top" textRotation="90"/>
    </xf>
    <xf numFmtId="0" fontId="24" fillId="16" borderId="9" xfId="0" applyFont="1" applyFill="1" applyBorder="1" applyAlignment="1">
      <alignment horizontal="left" vertical="top" textRotation="90"/>
    </xf>
    <xf numFmtId="0" fontId="24" fillId="20" borderId="9" xfId="0" applyFont="1" applyFill="1" applyBorder="1" applyAlignment="1">
      <alignment horizontal="left" vertical="top" textRotation="90"/>
    </xf>
    <xf numFmtId="0" fontId="0" fillId="0" borderId="14" xfId="0" applyBorder="1" applyAlignment="1">
      <alignment horizontal="center"/>
    </xf>
    <xf numFmtId="0" fontId="0" fillId="0" borderId="9" xfId="0" applyBorder="1"/>
    <xf numFmtId="0" fontId="0" fillId="0" borderId="9" xfId="0" applyBorder="1" applyAlignment="1">
      <alignment horizontal="center"/>
    </xf>
    <xf numFmtId="0" fontId="6" fillId="0" borderId="9" xfId="0" applyFont="1" applyBorder="1" applyAlignment="1">
      <alignment horizontal="center"/>
    </xf>
    <xf numFmtId="0" fontId="6" fillId="21" borderId="9" xfId="0" applyFont="1" applyFill="1" applyBorder="1" applyAlignment="1">
      <alignment horizontal="center"/>
    </xf>
    <xf numFmtId="0" fontId="0" fillId="21" borderId="9" xfId="0" applyFill="1" applyBorder="1" applyAlignment="1">
      <alignment horizontal="center"/>
    </xf>
    <xf numFmtId="0" fontId="0" fillId="22" borderId="9" xfId="0" applyFill="1" applyBorder="1" applyAlignment="1">
      <alignment horizontal="center"/>
    </xf>
    <xf numFmtId="0" fontId="0" fillId="23" borderId="9" xfId="0" applyFill="1" applyBorder="1" applyAlignment="1">
      <alignment horizontal="center"/>
    </xf>
    <xf numFmtId="0" fontId="0" fillId="23" borderId="7" xfId="0" applyFill="1" applyBorder="1" applyAlignment="1">
      <alignment horizontal="center"/>
    </xf>
    <xf numFmtId="0" fontId="0" fillId="0" borderId="22" xfId="0" applyBorder="1" applyAlignment="1">
      <alignment horizontal="center"/>
    </xf>
    <xf numFmtId="0" fontId="0" fillId="21" borderId="25" xfId="0" applyFill="1" applyBorder="1" applyAlignment="1">
      <alignment horizontal="center"/>
    </xf>
    <xf numFmtId="0" fontId="0" fillId="22" borderId="25" xfId="0" applyFill="1" applyBorder="1" applyAlignment="1">
      <alignment horizontal="center"/>
    </xf>
    <xf numFmtId="0" fontId="0" fillId="23" borderId="25" xfId="0" applyFill="1" applyBorder="1" applyAlignment="1">
      <alignment horizontal="center"/>
    </xf>
    <xf numFmtId="0" fontId="0" fillId="23" borderId="8" xfId="0" applyFill="1" applyBorder="1" applyAlignment="1">
      <alignment horizontal="center"/>
    </xf>
    <xf numFmtId="0" fontId="6" fillId="22" borderId="9" xfId="0" applyFont="1" applyFill="1" applyBorder="1" applyAlignment="1">
      <alignment horizontal="center"/>
    </xf>
    <xf numFmtId="0" fontId="0" fillId="0" borderId="25" xfId="0" applyBorder="1" applyAlignment="1">
      <alignment horizontal="center"/>
    </xf>
    <xf numFmtId="0" fontId="54" fillId="0" borderId="0" xfId="30" applyFont="1"/>
    <xf numFmtId="0" fontId="55" fillId="0" borderId="0" xfId="30" applyFont="1"/>
    <xf numFmtId="0" fontId="56" fillId="0" borderId="0" xfId="30" applyFont="1" applyAlignment="1">
      <alignment vertical="top" wrapText="1"/>
    </xf>
    <xf numFmtId="0" fontId="55" fillId="0" borderId="26" xfId="30" applyFont="1" applyBorder="1"/>
    <xf numFmtId="0" fontId="55" fillId="0" borderId="27" xfId="30" applyFont="1" applyBorder="1" applyAlignment="1">
      <alignment vertical="top" wrapText="1"/>
    </xf>
    <xf numFmtId="0" fontId="55" fillId="0" borderId="27" xfId="30" applyFont="1" applyBorder="1"/>
    <xf numFmtId="0" fontId="55" fillId="0" borderId="0" xfId="30" applyFont="1" applyAlignment="1">
      <alignment wrapText="1"/>
    </xf>
    <xf numFmtId="0" fontId="26" fillId="0" borderId="27" xfId="30" applyFont="1" applyBorder="1" applyAlignment="1">
      <alignment vertical="center"/>
    </xf>
    <xf numFmtId="0" fontId="26" fillId="0" borderId="18" xfId="30" applyFont="1" applyBorder="1" applyAlignment="1">
      <alignment horizontal="left" vertical="center"/>
    </xf>
    <xf numFmtId="0" fontId="28" fillId="13" borderId="0" xfId="0" applyFont="1" applyFill="1" applyAlignment="1">
      <alignment horizontal="center" vertical="center"/>
    </xf>
    <xf numFmtId="0" fontId="6" fillId="23" borderId="9" xfId="0" applyFont="1" applyFill="1" applyBorder="1" applyAlignment="1">
      <alignment horizontal="center"/>
    </xf>
    <xf numFmtId="0" fontId="26" fillId="0" borderId="0" xfId="30" applyFont="1" applyAlignment="1">
      <alignment horizontal="left" vertical="center"/>
    </xf>
    <xf numFmtId="0" fontId="6" fillId="0" borderId="9" xfId="0" applyFont="1" applyBorder="1"/>
    <xf numFmtId="44" fontId="37" fillId="0" borderId="0" xfId="0" applyNumberFormat="1" applyFont="1" applyAlignment="1">
      <alignment horizontal="left" vertical="center"/>
    </xf>
    <xf numFmtId="0" fontId="1" fillId="0" borderId="0" xfId="0" applyFont="1" applyAlignment="1">
      <alignment horizontal="left" vertical="center"/>
    </xf>
    <xf numFmtId="44" fontId="1" fillId="0" borderId="20" xfId="54" applyFont="1" applyFill="1" applyBorder="1" applyAlignment="1">
      <alignment horizontal="left" vertical="center"/>
    </xf>
    <xf numFmtId="44" fontId="37" fillId="0" borderId="20" xfId="54" applyFont="1" applyFill="1" applyBorder="1" applyAlignment="1">
      <alignment horizontal="left" vertical="center"/>
    </xf>
    <xf numFmtId="1" fontId="37" fillId="0" borderId="0" xfId="0" applyNumberFormat="1" applyFont="1" applyAlignment="1">
      <alignment horizontal="center" vertical="center"/>
    </xf>
    <xf numFmtId="0" fontId="1" fillId="0" borderId="0" xfId="0" applyFont="1" applyAlignment="1">
      <alignment horizontal="center" vertical="center"/>
    </xf>
    <xf numFmtId="173" fontId="1" fillId="0" borderId="0" xfId="0" applyNumberFormat="1" applyFont="1" applyAlignment="1">
      <alignment horizontal="center" vertical="center"/>
    </xf>
    <xf numFmtId="0" fontId="1" fillId="11" borderId="0" xfId="0" applyFont="1" applyFill="1" applyAlignment="1">
      <alignment horizontal="center" vertical="center"/>
    </xf>
    <xf numFmtId="4" fontId="35" fillId="9" borderId="5" xfId="8" applyNumberFormat="1" applyFont="1" applyFill="1" applyBorder="1" applyAlignment="1">
      <alignment horizontal="center" vertical="center" wrapText="1"/>
    </xf>
    <xf numFmtId="0" fontId="1" fillId="11" borderId="0" xfId="0" applyFont="1" applyFill="1" applyAlignment="1">
      <alignment horizontal="left" vertical="center"/>
    </xf>
    <xf numFmtId="0" fontId="1" fillId="11" borderId="0" xfId="0" applyFont="1" applyFill="1" applyAlignment="1">
      <alignment vertical="center"/>
    </xf>
    <xf numFmtId="173" fontId="1" fillId="11" borderId="0" xfId="0" applyNumberFormat="1" applyFont="1" applyFill="1" applyAlignment="1">
      <alignment horizontal="center" vertical="center"/>
    </xf>
    <xf numFmtId="4" fontId="35" fillId="9" borderId="5" xfId="0" applyNumberFormat="1" applyFont="1" applyFill="1" applyBorder="1" applyAlignment="1">
      <alignment horizontal="center" vertical="center" wrapText="1"/>
    </xf>
    <xf numFmtId="173" fontId="26" fillId="0" borderId="19" xfId="0" applyNumberFormat="1" applyFont="1" applyBorder="1" applyAlignment="1">
      <alignment horizontal="center" vertical="center" wrapText="1"/>
    </xf>
    <xf numFmtId="173" fontId="26" fillId="0" borderId="0" xfId="0" applyNumberFormat="1" applyFont="1" applyAlignment="1">
      <alignment horizontal="center" vertical="center"/>
    </xf>
    <xf numFmtId="173" fontId="26" fillId="0" borderId="16" xfId="0" applyNumberFormat="1" applyFont="1" applyBorder="1" applyAlignment="1">
      <alignment horizontal="center" vertical="center" wrapText="1"/>
    </xf>
    <xf numFmtId="0" fontId="26" fillId="0" borderId="9" xfId="0" applyFont="1" applyBorder="1" applyAlignment="1">
      <alignment horizontal="center" vertical="center" wrapText="1"/>
    </xf>
    <xf numFmtId="44" fontId="37" fillId="0" borderId="0" xfId="54" applyFont="1" applyFill="1" applyAlignment="1">
      <alignment horizontal="center" vertical="center"/>
    </xf>
    <xf numFmtId="164" fontId="36" fillId="9" borderId="0" xfId="8" applyFont="1" applyFill="1" applyAlignment="1">
      <alignment horizontal="center" wrapText="1"/>
    </xf>
    <xf numFmtId="44" fontId="37" fillId="0" borderId="23" xfId="54" applyFont="1" applyFill="1" applyBorder="1" applyAlignment="1">
      <alignment horizontal="left" vertical="center"/>
    </xf>
    <xf numFmtId="4" fontId="1" fillId="0" borderId="0" xfId="0" applyNumberFormat="1" applyFont="1" applyAlignment="1">
      <alignment horizontal="center" vertical="center"/>
    </xf>
    <xf numFmtId="0" fontId="6" fillId="23" borderId="7" xfId="0" applyFont="1" applyFill="1" applyBorder="1" applyAlignment="1">
      <alignment horizontal="center"/>
    </xf>
    <xf numFmtId="168" fontId="6" fillId="21" borderId="9" xfId="19" applyFont="1" applyFill="1" applyBorder="1" applyAlignment="1">
      <alignment horizontal="center"/>
    </xf>
    <xf numFmtId="0" fontId="46" fillId="27" borderId="0" xfId="0" applyFont="1" applyFill="1" applyAlignment="1">
      <alignment horizontal="left" vertical="center"/>
    </xf>
    <xf numFmtId="0" fontId="46" fillId="27" borderId="0" xfId="0" applyFont="1" applyFill="1" applyAlignment="1">
      <alignment horizontal="center" vertical="center"/>
    </xf>
    <xf numFmtId="164" fontId="1" fillId="5" borderId="0" xfId="0" applyNumberFormat="1" applyFont="1" applyFill="1" applyAlignment="1">
      <alignment horizontal="center" vertical="center"/>
    </xf>
    <xf numFmtId="0" fontId="37" fillId="0" borderId="0" xfId="0" applyFont="1" applyAlignment="1">
      <alignment vertical="center"/>
    </xf>
    <xf numFmtId="0" fontId="1" fillId="0" borderId="0" xfId="0" applyFont="1" applyAlignment="1">
      <alignment vertical="center"/>
    </xf>
    <xf numFmtId="0" fontId="44" fillId="0" borderId="0" xfId="0" applyFont="1" applyAlignment="1">
      <alignment horizontal="left" vertical="center"/>
    </xf>
    <xf numFmtId="0" fontId="26" fillId="0" borderId="9" xfId="0" applyFont="1" applyBorder="1" applyAlignment="1">
      <alignment vertical="center"/>
    </xf>
    <xf numFmtId="0" fontId="26" fillId="0" borderId="9" xfId="0" applyFont="1" applyBorder="1" applyAlignment="1">
      <alignment horizontal="left" vertical="center"/>
    </xf>
    <xf numFmtId="170" fontId="26" fillId="5" borderId="9" xfId="0" applyNumberFormat="1" applyFont="1" applyFill="1" applyBorder="1" applyAlignment="1">
      <alignment horizontal="center" vertical="center"/>
    </xf>
    <xf numFmtId="0" fontId="28" fillId="0" borderId="0" xfId="0" applyFont="1" applyAlignment="1">
      <alignment vertical="center" wrapText="1"/>
    </xf>
    <xf numFmtId="0" fontId="37" fillId="5" borderId="0" xfId="0" applyFont="1" applyFill="1" applyAlignment="1">
      <alignment horizontal="center" vertical="center"/>
    </xf>
    <xf numFmtId="0" fontId="44" fillId="0" borderId="0" xfId="0" applyFont="1" applyAlignment="1">
      <alignment vertical="center"/>
    </xf>
    <xf numFmtId="0" fontId="46" fillId="0" borderId="0" xfId="0" applyFont="1" applyAlignment="1">
      <alignment vertical="center"/>
    </xf>
    <xf numFmtId="9" fontId="26" fillId="0" borderId="9" xfId="0" applyNumberFormat="1" applyFont="1" applyBorder="1" applyAlignment="1">
      <alignment vertical="center"/>
    </xf>
    <xf numFmtId="170" fontId="1" fillId="13" borderId="9" xfId="0" applyNumberFormat="1" applyFont="1" applyFill="1" applyBorder="1" applyAlignment="1">
      <alignment horizontal="center" vertical="center"/>
    </xf>
    <xf numFmtId="172" fontId="1" fillId="13" borderId="9" xfId="31" applyNumberFormat="1" applyFont="1" applyFill="1" applyBorder="1" applyAlignment="1" applyProtection="1">
      <alignment horizontal="left" vertical="center"/>
      <protection hidden="1"/>
    </xf>
    <xf numFmtId="182" fontId="26" fillId="0" borderId="9" xfId="0" applyNumberFormat="1" applyFont="1" applyBorder="1" applyAlignment="1">
      <alignment vertical="center"/>
    </xf>
    <xf numFmtId="9" fontId="26" fillId="0" borderId="9" xfId="44" applyFont="1" applyBorder="1" applyAlignment="1">
      <alignment vertical="center"/>
    </xf>
    <xf numFmtId="170" fontId="1" fillId="13" borderId="9" xfId="0" applyNumberFormat="1" applyFont="1" applyFill="1" applyBorder="1" applyAlignment="1" applyProtection="1">
      <alignment horizontal="center" vertical="center"/>
      <protection locked="0"/>
    </xf>
    <xf numFmtId="172" fontId="1" fillId="13" borderId="9" xfId="2" applyNumberFormat="1" applyFont="1" applyFill="1" applyBorder="1" applyAlignment="1" applyProtection="1">
      <alignment horizontal="left" vertical="center"/>
      <protection hidden="1"/>
    </xf>
    <xf numFmtId="171" fontId="26" fillId="0" borderId="9" xfId="0" applyNumberFormat="1" applyFont="1" applyBorder="1" applyAlignment="1">
      <alignment vertical="center"/>
    </xf>
    <xf numFmtId="171" fontId="1" fillId="13" borderId="9" xfId="2" applyFont="1" applyFill="1" applyBorder="1" applyAlignment="1" applyProtection="1">
      <alignment horizontal="left" vertical="center"/>
      <protection locked="0"/>
    </xf>
    <xf numFmtId="0" fontId="36" fillId="0" borderId="0" xfId="0" applyFont="1" applyAlignment="1">
      <alignment vertical="center"/>
    </xf>
    <xf numFmtId="164" fontId="37" fillId="0" borderId="0" xfId="0" applyNumberFormat="1" applyFont="1" applyAlignment="1">
      <alignment horizontal="center" vertical="center"/>
    </xf>
    <xf numFmtId="173" fontId="36" fillId="0" borderId="0" xfId="0" applyNumberFormat="1" applyFont="1" applyAlignment="1">
      <alignment horizontal="center" vertical="center" wrapText="1"/>
    </xf>
    <xf numFmtId="0" fontId="26" fillId="5" borderId="0" xfId="0" applyFont="1" applyFill="1" applyAlignment="1">
      <alignment horizontal="center" vertical="center"/>
    </xf>
    <xf numFmtId="0" fontId="35" fillId="9" borderId="16" xfId="0" applyFont="1" applyFill="1" applyBorder="1" applyAlignment="1">
      <alignment horizontal="center" vertical="center" wrapText="1"/>
    </xf>
    <xf numFmtId="0" fontId="35" fillId="9" borderId="17" xfId="0" applyFont="1" applyFill="1" applyBorder="1" applyAlignment="1">
      <alignment horizontal="center" vertical="center" wrapText="1"/>
    </xf>
    <xf numFmtId="173" fontId="0" fillId="0" borderId="9" xfId="0" applyNumberFormat="1" applyBorder="1" applyAlignment="1">
      <alignment horizontal="center" vertical="center"/>
    </xf>
    <xf numFmtId="2" fontId="70" fillId="0" borderId="0" xfId="0" applyNumberFormat="1" applyFont="1" applyAlignment="1" applyProtection="1">
      <alignment horizontal="center"/>
      <protection hidden="1"/>
    </xf>
    <xf numFmtId="0" fontId="70" fillId="0" borderId="0" xfId="0" applyFont="1" applyProtection="1">
      <protection hidden="1"/>
    </xf>
    <xf numFmtId="1" fontId="26" fillId="0" borderId="0" xfId="0" applyNumberFormat="1" applyFont="1" applyAlignment="1">
      <alignment horizontal="center" vertical="center"/>
    </xf>
    <xf numFmtId="173" fontId="26" fillId="0" borderId="9" xfId="0" applyNumberFormat="1" applyFont="1" applyBorder="1" applyAlignment="1">
      <alignment horizontal="center" vertical="center"/>
    </xf>
    <xf numFmtId="0" fontId="0" fillId="0" borderId="0" xfId="0" applyAlignment="1">
      <alignment horizontal="left" vertical="center"/>
    </xf>
    <xf numFmtId="0" fontId="58" fillId="24" borderId="25" xfId="30" applyFont="1" applyFill="1" applyBorder="1"/>
    <xf numFmtId="0" fontId="57" fillId="24" borderId="10" xfId="30" applyFont="1" applyFill="1" applyBorder="1"/>
    <xf numFmtId="0" fontId="59" fillId="24" borderId="10" xfId="30" applyFont="1" applyFill="1" applyBorder="1" applyAlignment="1">
      <alignment vertical="top" wrapText="1"/>
    </xf>
    <xf numFmtId="0" fontId="55" fillId="0" borderId="5" xfId="30" applyFont="1" applyBorder="1"/>
    <xf numFmtId="0" fontId="55" fillId="0" borderId="5" xfId="30" applyFont="1" applyBorder="1" applyAlignment="1">
      <alignment vertical="top" wrapText="1"/>
    </xf>
    <xf numFmtId="0" fontId="57" fillId="24" borderId="9" xfId="30" applyFont="1" applyFill="1" applyBorder="1"/>
    <xf numFmtId="0" fontId="59" fillId="24" borderId="9" xfId="30" applyFont="1" applyFill="1" applyBorder="1" applyAlignment="1">
      <alignment vertical="top" wrapText="1"/>
    </xf>
    <xf numFmtId="0" fontId="68" fillId="24" borderId="9" xfId="30" applyFont="1" applyFill="1" applyBorder="1" applyAlignment="1">
      <alignment vertical="top" wrapText="1"/>
    </xf>
    <xf numFmtId="0" fontId="55" fillId="0" borderId="10" xfId="30" applyFont="1" applyBorder="1"/>
    <xf numFmtId="0" fontId="55" fillId="0" borderId="10" xfId="30" applyFont="1" applyBorder="1" applyAlignment="1">
      <alignment vertical="top" wrapText="1"/>
    </xf>
    <xf numFmtId="0" fontId="60" fillId="0" borderId="26" xfId="30" applyFont="1" applyBorder="1"/>
    <xf numFmtId="0" fontId="57" fillId="25" borderId="9" xfId="30" applyFont="1" applyFill="1" applyBorder="1"/>
    <xf numFmtId="0" fontId="58" fillId="25" borderId="9" xfId="30" applyFont="1" applyFill="1" applyBorder="1"/>
    <xf numFmtId="0" fontId="55" fillId="0" borderId="5" xfId="30" applyFont="1" applyBorder="1" applyAlignment="1">
      <alignment wrapText="1"/>
    </xf>
    <xf numFmtId="0" fontId="59" fillId="25" borderId="9" xfId="30" applyFont="1" applyFill="1" applyBorder="1" applyAlignment="1">
      <alignment vertical="top" wrapText="1"/>
    </xf>
    <xf numFmtId="0" fontId="68" fillId="25" borderId="9" xfId="30" applyFont="1" applyFill="1" applyBorder="1" applyAlignment="1">
      <alignment vertical="top" wrapText="1"/>
    </xf>
    <xf numFmtId="0" fontId="55" fillId="0" borderId="10" xfId="30" applyFont="1" applyBorder="1" applyAlignment="1">
      <alignment wrapText="1"/>
    </xf>
    <xf numFmtId="0" fontId="60" fillId="26" borderId="25" xfId="30" applyFont="1" applyFill="1" applyBorder="1"/>
    <xf numFmtId="0" fontId="58" fillId="26" borderId="25" xfId="30" applyFont="1" applyFill="1" applyBorder="1"/>
    <xf numFmtId="0" fontId="60" fillId="26" borderId="10" xfId="30" applyFont="1" applyFill="1" applyBorder="1"/>
    <xf numFmtId="0" fontId="59" fillId="26" borderId="10" xfId="30" applyFont="1" applyFill="1" applyBorder="1"/>
    <xf numFmtId="0" fontId="60" fillId="0" borderId="5" xfId="30" applyFont="1" applyBorder="1"/>
    <xf numFmtId="0" fontId="60" fillId="26" borderId="9" xfId="30" applyFont="1" applyFill="1" applyBorder="1"/>
    <xf numFmtId="0" fontId="59" fillId="26" borderId="9" xfId="30" applyFont="1" applyFill="1" applyBorder="1"/>
    <xf numFmtId="0" fontId="62" fillId="15" borderId="8" xfId="30" applyFont="1" applyFill="1" applyBorder="1"/>
    <xf numFmtId="0" fontId="62" fillId="15" borderId="22" xfId="30" applyFont="1" applyFill="1" applyBorder="1"/>
    <xf numFmtId="0" fontId="62" fillId="15" borderId="12" xfId="30" applyFont="1" applyFill="1" applyBorder="1"/>
    <xf numFmtId="0" fontId="62" fillId="15" borderId="13" xfId="30" applyFont="1" applyFill="1" applyBorder="1"/>
    <xf numFmtId="0" fontId="63" fillId="0" borderId="7" xfId="0" applyFont="1" applyBorder="1" applyAlignment="1">
      <alignment vertical="center" wrapText="1"/>
    </xf>
    <xf numFmtId="0" fontId="61" fillId="0" borderId="9" xfId="0" applyFont="1" applyBorder="1" applyAlignment="1">
      <alignment vertical="center" wrapText="1"/>
    </xf>
    <xf numFmtId="0" fontId="63" fillId="0" borderId="0" xfId="0" applyFont="1" applyAlignment="1">
      <alignment vertical="center" wrapText="1"/>
    </xf>
    <xf numFmtId="0" fontId="61" fillId="0" borderId="25" xfId="0" applyFont="1" applyBorder="1" applyAlignment="1">
      <alignment vertical="top" wrapText="1"/>
    </xf>
    <xf numFmtId="0" fontId="61" fillId="0" borderId="5" xfId="0" applyFont="1" applyBorder="1" applyAlignment="1">
      <alignment vertical="center" wrapText="1"/>
    </xf>
    <xf numFmtId="0" fontId="61" fillId="0" borderId="10" xfId="0" applyFont="1" applyBorder="1" applyAlignment="1">
      <alignment vertical="center" wrapText="1"/>
    </xf>
    <xf numFmtId="0" fontId="63" fillId="0" borderId="9" xfId="0" applyFont="1" applyBorder="1" applyAlignment="1">
      <alignment vertical="center" wrapText="1"/>
    </xf>
    <xf numFmtId="0" fontId="63" fillId="15" borderId="9" xfId="0" applyFont="1" applyFill="1" applyBorder="1" applyAlignment="1">
      <alignment vertical="center" wrapText="1"/>
    </xf>
    <xf numFmtId="0" fontId="61" fillId="15" borderId="9" xfId="0" applyFont="1" applyFill="1" applyBorder="1" applyAlignment="1">
      <alignment vertical="center" wrapText="1"/>
    </xf>
    <xf numFmtId="0" fontId="61" fillId="0" borderId="25" xfId="0" applyFont="1" applyBorder="1" applyAlignment="1">
      <alignment vertical="center" wrapText="1"/>
    </xf>
    <xf numFmtId="0" fontId="71" fillId="0" borderId="28" xfId="0" applyFont="1" applyBorder="1" applyAlignment="1">
      <alignment horizontal="center"/>
    </xf>
    <xf numFmtId="0" fontId="72" fillId="0" borderId="2" xfId="0" applyFont="1" applyBorder="1"/>
    <xf numFmtId="0" fontId="71" fillId="0" borderId="29" xfId="0" applyFont="1" applyBorder="1"/>
    <xf numFmtId="0" fontId="71" fillId="0" borderId="26" xfId="0" applyFont="1" applyBorder="1" applyAlignment="1">
      <alignment horizontal="center"/>
    </xf>
    <xf numFmtId="0" fontId="71" fillId="0" borderId="0" xfId="0" applyFont="1"/>
    <xf numFmtId="0" fontId="71" fillId="0" borderId="27" xfId="0" applyFont="1" applyBorder="1"/>
    <xf numFmtId="0" fontId="73" fillId="0" borderId="0" xfId="0" applyFont="1"/>
    <xf numFmtId="0" fontId="74" fillId="0" borderId="0" xfId="0" applyFont="1"/>
    <xf numFmtId="0" fontId="71" fillId="0" borderId="26" xfId="0" applyFont="1" applyBorder="1" applyAlignment="1">
      <alignment horizontal="center" vertical="center"/>
    </xf>
    <xf numFmtId="0" fontId="71" fillId="0" borderId="0" xfId="0" applyFont="1" applyAlignment="1">
      <alignment horizontal="left" indent="1"/>
    </xf>
    <xf numFmtId="0" fontId="74" fillId="0" borderId="0" xfId="0" applyFont="1" applyAlignment="1">
      <alignment horizontal="left" indent="1"/>
    </xf>
    <xf numFmtId="0" fontId="71" fillId="0" borderId="30" xfId="0" applyFont="1" applyBorder="1" applyAlignment="1">
      <alignment horizontal="center" vertical="center"/>
    </xf>
    <xf numFmtId="1" fontId="26" fillId="0" borderId="0" xfId="30" applyNumberFormat="1" applyFont="1" applyAlignment="1">
      <alignment horizontal="center" vertical="center"/>
    </xf>
    <xf numFmtId="4" fontId="0" fillId="0" borderId="0" xfId="0" applyNumberFormat="1" applyAlignment="1">
      <alignment vertical="center" wrapText="1"/>
    </xf>
    <xf numFmtId="0" fontId="60" fillId="0" borderId="0" xfId="30" applyFont="1" applyAlignment="1">
      <alignment horizontal="center" vertical="center" wrapText="1"/>
    </xf>
    <xf numFmtId="0" fontId="63" fillId="0" borderId="8" xfId="0" applyFont="1" applyBorder="1" applyAlignment="1">
      <alignment horizontal="left" vertical="center" wrapText="1"/>
    </xf>
    <xf numFmtId="0" fontId="63" fillId="0" borderId="11" xfId="0" applyFont="1" applyBorder="1" applyAlignment="1">
      <alignment horizontal="left" vertical="center" wrapText="1"/>
    </xf>
    <xf numFmtId="0" fontId="63" fillId="0" borderId="12" xfId="0" applyFont="1" applyBorder="1" applyAlignment="1">
      <alignment horizontal="left" vertical="center" wrapText="1"/>
    </xf>
    <xf numFmtId="0" fontId="63" fillId="0" borderId="25" xfId="0" applyFont="1" applyBorder="1" applyAlignment="1">
      <alignment horizontal="left" vertical="center" wrapText="1"/>
    </xf>
    <xf numFmtId="0" fontId="63" fillId="0" borderId="5" xfId="0" applyFont="1" applyBorder="1" applyAlignment="1">
      <alignment horizontal="left" vertical="center" wrapText="1"/>
    </xf>
    <xf numFmtId="0" fontId="63" fillId="0" borderId="10" xfId="0" applyFont="1" applyBorder="1" applyAlignment="1">
      <alignment horizontal="left" vertical="center" wrapText="1"/>
    </xf>
    <xf numFmtId="0" fontId="38" fillId="10" borderId="8" xfId="30" applyFont="1" applyFill="1" applyBorder="1" applyAlignment="1">
      <alignment horizontal="center" vertical="center" wrapText="1"/>
    </xf>
    <xf numFmtId="0" fontId="38" fillId="10" borderId="11" xfId="30" applyFont="1" applyFill="1" applyBorder="1" applyAlignment="1">
      <alignment horizontal="center" vertical="center" wrapText="1"/>
    </xf>
    <xf numFmtId="0" fontId="49" fillId="19" borderId="9" xfId="0" applyFont="1" applyFill="1" applyBorder="1" applyAlignment="1">
      <alignment horizontal="center" wrapText="1"/>
    </xf>
    <xf numFmtId="0" fontId="49" fillId="16" borderId="9" xfId="0" applyFont="1" applyFill="1" applyBorder="1" applyAlignment="1">
      <alignment horizontal="center" wrapText="1"/>
    </xf>
    <xf numFmtId="0" fontId="52" fillId="20" borderId="9" xfId="0" applyFont="1" applyFill="1" applyBorder="1" applyAlignment="1">
      <alignment horizontal="center"/>
    </xf>
    <xf numFmtId="0" fontId="40" fillId="13" borderId="7" xfId="0" applyFont="1" applyFill="1" applyBorder="1" applyAlignment="1">
      <alignment horizontal="left" vertical="center"/>
    </xf>
    <xf numFmtId="0" fontId="40" fillId="13" borderId="4" xfId="0" applyFont="1" applyFill="1" applyBorder="1" applyAlignment="1">
      <alignment horizontal="left" vertical="center"/>
    </xf>
    <xf numFmtId="0" fontId="40" fillId="13" borderId="14" xfId="0" applyFont="1" applyFill="1" applyBorder="1" applyAlignment="1">
      <alignment horizontal="left" vertical="center"/>
    </xf>
    <xf numFmtId="0" fontId="26" fillId="0" borderId="9" xfId="0" applyFont="1" applyBorder="1" applyAlignment="1">
      <alignment vertical="center"/>
    </xf>
    <xf numFmtId="0" fontId="26" fillId="0" borderId="7" xfId="0" applyFont="1" applyBorder="1" applyAlignment="1">
      <alignment horizontal="left" vertical="center"/>
    </xf>
    <xf numFmtId="0" fontId="26" fillId="0" borderId="4" xfId="0" applyFont="1" applyBorder="1" applyAlignment="1">
      <alignment horizontal="left" vertical="center"/>
    </xf>
    <xf numFmtId="0" fontId="26" fillId="0" borderId="14" xfId="0" applyFont="1" applyBorder="1" applyAlignment="1">
      <alignment horizontal="left" vertical="center"/>
    </xf>
    <xf numFmtId="10" fontId="26" fillId="5" borderId="7" xfId="0" applyNumberFormat="1" applyFont="1" applyFill="1" applyBorder="1" applyAlignment="1">
      <alignment horizontal="left" vertical="center"/>
    </xf>
    <xf numFmtId="10" fontId="26" fillId="5" borderId="4" xfId="0" applyNumberFormat="1" applyFont="1" applyFill="1" applyBorder="1" applyAlignment="1">
      <alignment horizontal="left" vertical="center"/>
    </xf>
    <xf numFmtId="10" fontId="26" fillId="5" borderId="14" xfId="0" applyNumberFormat="1" applyFont="1" applyFill="1" applyBorder="1" applyAlignment="1">
      <alignment horizontal="left" vertical="center"/>
    </xf>
    <xf numFmtId="0" fontId="35" fillId="10" borderId="7" xfId="0" applyFont="1" applyFill="1" applyBorder="1" applyAlignment="1">
      <alignment horizontal="left" vertical="center" wrapText="1"/>
    </xf>
    <xf numFmtId="0" fontId="35" fillId="10" borderId="4" xfId="0" applyFont="1" applyFill="1" applyBorder="1" applyAlignment="1">
      <alignment horizontal="left" vertical="center" wrapText="1"/>
    </xf>
    <xf numFmtId="0" fontId="35" fillId="10" borderId="14" xfId="0" applyFont="1" applyFill="1" applyBorder="1" applyAlignment="1">
      <alignment horizontal="left" vertical="center" wrapText="1"/>
    </xf>
    <xf numFmtId="0" fontId="40" fillId="13" borderId="9" xfId="0" applyFont="1" applyFill="1" applyBorder="1" applyAlignment="1">
      <alignment horizontal="center" vertical="center"/>
    </xf>
    <xf numFmtId="0" fontId="26" fillId="0" borderId="9" xfId="0" applyFont="1" applyBorder="1" applyAlignment="1">
      <alignment horizontal="left" vertical="center"/>
    </xf>
    <xf numFmtId="0" fontId="28" fillId="0" borderId="9" xfId="30" applyFont="1" applyBorder="1" applyAlignment="1">
      <alignment horizontal="center" vertical="center"/>
    </xf>
    <xf numFmtId="0" fontId="35" fillId="10" borderId="10" xfId="0" applyFont="1" applyFill="1" applyBorder="1" applyAlignment="1">
      <alignment horizontal="center" vertical="center" wrapText="1"/>
    </xf>
    <xf numFmtId="0" fontId="35" fillId="10" borderId="12" xfId="0" applyFont="1" applyFill="1" applyBorder="1" applyAlignment="1">
      <alignment horizontal="center" vertical="center" wrapText="1"/>
    </xf>
    <xf numFmtId="0" fontId="35" fillId="10" borderId="13" xfId="0" applyFont="1" applyFill="1" applyBorder="1" applyAlignment="1">
      <alignment horizontal="center" vertical="center" wrapText="1"/>
    </xf>
    <xf numFmtId="0" fontId="34" fillId="0" borderId="0" xfId="30" applyFont="1" applyAlignment="1">
      <alignment horizontal="center" vertical="center"/>
    </xf>
    <xf numFmtId="170" fontId="26" fillId="5" borderId="9" xfId="0" applyNumberFormat="1" applyFont="1" applyFill="1" applyBorder="1" applyAlignment="1">
      <alignment horizontal="center" vertical="center"/>
    </xf>
    <xf numFmtId="9" fontId="26" fillId="0" borderId="7" xfId="0" applyNumberFormat="1" applyFont="1" applyBorder="1" applyAlignment="1">
      <alignment horizontal="left" vertical="center" wrapText="1"/>
    </xf>
    <xf numFmtId="9" fontId="26" fillId="0" borderId="14" xfId="0" applyNumberFormat="1" applyFont="1" applyBorder="1" applyAlignment="1">
      <alignment horizontal="left" vertical="center" wrapText="1"/>
    </xf>
    <xf numFmtId="9" fontId="26" fillId="0" borderId="7" xfId="0" applyNumberFormat="1" applyFont="1" applyBorder="1" applyAlignment="1">
      <alignment horizontal="left" vertical="center"/>
    </xf>
    <xf numFmtId="9" fontId="26" fillId="0" borderId="4" xfId="0" applyNumberFormat="1" applyFont="1" applyBorder="1" applyAlignment="1">
      <alignment horizontal="left" vertical="center"/>
    </xf>
    <xf numFmtId="9" fontId="26" fillId="0" borderId="14" xfId="0" applyNumberFormat="1" applyFont="1" applyBorder="1" applyAlignment="1">
      <alignment horizontal="left" vertical="center"/>
    </xf>
    <xf numFmtId="170" fontId="28" fillId="5" borderId="7" xfId="0" applyNumberFormat="1" applyFont="1" applyFill="1" applyBorder="1" applyAlignment="1">
      <alignment horizontal="center" vertical="center"/>
    </xf>
    <xf numFmtId="170" fontId="26" fillId="5" borderId="4" xfId="0" applyNumberFormat="1" applyFont="1" applyFill="1" applyBorder="1" applyAlignment="1">
      <alignment horizontal="center" vertical="center"/>
    </xf>
    <xf numFmtId="0" fontId="34" fillId="0" borderId="6" xfId="30" applyFont="1" applyBorder="1" applyAlignment="1">
      <alignment horizontal="center" vertical="center"/>
    </xf>
    <xf numFmtId="0" fontId="48" fillId="17" borderId="9" xfId="0" applyFont="1" applyFill="1" applyBorder="1" applyAlignment="1">
      <alignment horizontal="center" vertical="center" wrapText="1"/>
    </xf>
    <xf numFmtId="0" fontId="48" fillId="18" borderId="9" xfId="0" applyFont="1" applyFill="1" applyBorder="1" applyAlignment="1">
      <alignment horizontal="center" vertical="center" wrapText="1"/>
    </xf>
    <xf numFmtId="0" fontId="49" fillId="20" borderId="9" xfId="0" applyFont="1" applyFill="1" applyBorder="1" applyAlignment="1">
      <alignment horizontal="center" wrapText="1"/>
    </xf>
    <xf numFmtId="0" fontId="34" fillId="0" borderId="0" xfId="30" applyFont="1" applyAlignment="1">
      <alignment horizontal="left" vertical="center"/>
    </xf>
    <xf numFmtId="0" fontId="28" fillId="13" borderId="7" xfId="0" applyFont="1" applyFill="1" applyBorder="1" applyAlignment="1">
      <alignment horizontal="center" vertical="center"/>
    </xf>
    <xf numFmtId="0" fontId="28" fillId="13" borderId="4" xfId="0" applyFont="1" applyFill="1" applyBorder="1" applyAlignment="1">
      <alignment horizontal="center" vertical="center"/>
    </xf>
    <xf numFmtId="0" fontId="28" fillId="13" borderId="14" xfId="0" applyFont="1" applyFill="1" applyBorder="1" applyAlignment="1">
      <alignment horizontal="center" vertical="center"/>
    </xf>
    <xf numFmtId="0" fontId="28" fillId="14" borderId="8" xfId="0" applyFont="1" applyFill="1" applyBorder="1" applyAlignment="1">
      <alignment horizontal="center" vertical="center"/>
    </xf>
    <xf numFmtId="0" fontId="28" fillId="14" borderId="21" xfId="0" applyFont="1" applyFill="1" applyBorder="1" applyAlignment="1">
      <alignment horizontal="center" vertical="center"/>
    </xf>
    <xf numFmtId="0" fontId="28" fillId="14" borderId="22" xfId="0" applyFont="1" applyFill="1" applyBorder="1" applyAlignment="1">
      <alignment horizontal="center" vertical="center"/>
    </xf>
    <xf numFmtId="0" fontId="28" fillId="13" borderId="8" xfId="0" applyFont="1" applyFill="1" applyBorder="1" applyAlignment="1">
      <alignment horizontal="center" vertical="center"/>
    </xf>
    <xf numFmtId="0" fontId="28" fillId="13" borderId="21" xfId="0" applyFont="1" applyFill="1" applyBorder="1" applyAlignment="1">
      <alignment horizontal="center" vertical="center"/>
    </xf>
    <xf numFmtId="0" fontId="28" fillId="13" borderId="22" xfId="0" applyFont="1" applyFill="1" applyBorder="1" applyAlignment="1">
      <alignment horizontal="center" vertical="center"/>
    </xf>
    <xf numFmtId="170" fontId="28" fillId="5" borderId="9" xfId="0" applyNumberFormat="1" applyFont="1" applyFill="1" applyBorder="1" applyAlignment="1">
      <alignment horizontal="center" vertical="center"/>
    </xf>
    <xf numFmtId="4" fontId="26" fillId="0" borderId="9" xfId="0" applyNumberFormat="1" applyFont="1" applyBorder="1" applyAlignment="1">
      <alignment horizontal="center" vertical="center"/>
    </xf>
    <xf numFmtId="170" fontId="26" fillId="5" borderId="14" xfId="0" applyNumberFormat="1" applyFont="1" applyFill="1" applyBorder="1" applyAlignment="1">
      <alignment horizontal="center" vertical="center"/>
    </xf>
    <xf numFmtId="170" fontId="28" fillId="5" borderId="4" xfId="0" applyNumberFormat="1" applyFont="1" applyFill="1" applyBorder="1" applyAlignment="1">
      <alignment horizontal="center" vertical="center"/>
    </xf>
    <xf numFmtId="170" fontId="28" fillId="5" borderId="14" xfId="0" applyNumberFormat="1" applyFont="1" applyFill="1" applyBorder="1" applyAlignment="1">
      <alignment horizontal="center" vertical="center"/>
    </xf>
    <xf numFmtId="0" fontId="71" fillId="0" borderId="0" xfId="0" applyFont="1" applyAlignment="1">
      <alignment horizontal="left"/>
    </xf>
    <xf numFmtId="0" fontId="71" fillId="0" borderId="27" xfId="0" applyFont="1" applyBorder="1" applyAlignment="1">
      <alignment horizontal="left"/>
    </xf>
    <xf numFmtId="0" fontId="71" fillId="0" borderId="31" xfId="0" applyFont="1" applyBorder="1" applyAlignment="1">
      <alignment horizontal="left"/>
    </xf>
    <xf numFmtId="0" fontId="71" fillId="0" borderId="32" xfId="0" applyFont="1" applyBorder="1" applyAlignment="1">
      <alignment horizontal="left"/>
    </xf>
    <xf numFmtId="0" fontId="71" fillId="0" borderId="0" xfId="0" applyFont="1" applyAlignment="1">
      <alignment horizontal="left" wrapText="1"/>
    </xf>
    <xf numFmtId="0" fontId="71" fillId="0" borderId="27" xfId="0" applyFont="1" applyBorder="1" applyAlignment="1">
      <alignment horizontal="left" wrapText="1"/>
    </xf>
    <xf numFmtId="0" fontId="26" fillId="0" borderId="8" xfId="0" applyFont="1" applyBorder="1" applyAlignment="1">
      <alignment horizontal="center" vertical="center" textRotation="90"/>
    </xf>
    <xf numFmtId="0" fontId="26" fillId="0" borderId="11" xfId="0" applyFont="1" applyBorder="1" applyAlignment="1">
      <alignment horizontal="center" vertical="center" textRotation="90"/>
    </xf>
    <xf numFmtId="0" fontId="26" fillId="0" borderId="12" xfId="0" applyFont="1" applyBorder="1" applyAlignment="1">
      <alignment horizontal="center" vertical="center" textRotation="90"/>
    </xf>
    <xf numFmtId="170" fontId="26" fillId="5" borderId="7" xfId="0" applyNumberFormat="1" applyFont="1" applyFill="1" applyBorder="1" applyAlignment="1">
      <alignment horizontal="center" vertical="center"/>
    </xf>
    <xf numFmtId="0" fontId="26" fillId="0" borderId="8" xfId="0" applyFont="1" applyBorder="1" applyAlignment="1">
      <alignment horizontal="center" vertical="center" textRotation="90" wrapText="1"/>
    </xf>
    <xf numFmtId="0" fontId="26" fillId="0" borderId="11" xfId="0" applyFont="1" applyBorder="1" applyAlignment="1">
      <alignment horizontal="center" vertical="center" textRotation="90" wrapText="1"/>
    </xf>
    <xf numFmtId="0" fontId="26" fillId="0" borderId="12" xfId="0" applyFont="1" applyBorder="1" applyAlignment="1">
      <alignment horizontal="center" vertical="center" textRotation="90" wrapText="1"/>
    </xf>
    <xf numFmtId="0" fontId="26" fillId="8" borderId="7" xfId="0" applyFont="1" applyFill="1" applyBorder="1" applyAlignment="1">
      <alignment horizontal="center" vertical="center"/>
    </xf>
    <xf numFmtId="0" fontId="26" fillId="8" borderId="4" xfId="0" applyFont="1" applyFill="1" applyBorder="1" applyAlignment="1">
      <alignment horizontal="center" vertical="center"/>
    </xf>
    <xf numFmtId="0" fontId="26" fillId="8" borderId="14" xfId="0" applyFont="1" applyFill="1" applyBorder="1" applyAlignment="1">
      <alignment horizontal="center" vertical="center"/>
    </xf>
    <xf numFmtId="2" fontId="35" fillId="10" borderId="7" xfId="0" applyNumberFormat="1" applyFont="1" applyFill="1" applyBorder="1" applyAlignment="1">
      <alignment horizontal="left" vertical="center"/>
    </xf>
    <xf numFmtId="2" fontId="35" fillId="10" borderId="4" xfId="0" applyNumberFormat="1" applyFont="1" applyFill="1" applyBorder="1" applyAlignment="1">
      <alignment horizontal="left" vertical="center"/>
    </xf>
    <xf numFmtId="49" fontId="35" fillId="10" borderId="4" xfId="29" applyNumberFormat="1" applyFont="1" applyFill="1" applyBorder="1" applyAlignment="1">
      <alignment horizontal="left" vertical="center"/>
    </xf>
    <xf numFmtId="49" fontId="35" fillId="10" borderId="14" xfId="29" applyNumberFormat="1" applyFont="1" applyFill="1" applyBorder="1" applyAlignment="1">
      <alignment horizontal="left" vertical="center"/>
    </xf>
    <xf numFmtId="49" fontId="26" fillId="7" borderId="7" xfId="0" applyNumberFormat="1" applyFont="1" applyFill="1" applyBorder="1" applyAlignment="1">
      <alignment horizontal="center" vertical="center"/>
    </xf>
    <xf numFmtId="49" fontId="26" fillId="7" borderId="14" xfId="0" applyNumberFormat="1" applyFont="1" applyFill="1" applyBorder="1" applyAlignment="1">
      <alignment horizontal="center" vertical="center"/>
    </xf>
    <xf numFmtId="49" fontId="26" fillId="8" borderId="7" xfId="0" applyNumberFormat="1" applyFont="1" applyFill="1" applyBorder="1" applyAlignment="1">
      <alignment horizontal="center" vertical="center"/>
    </xf>
    <xf numFmtId="49" fontId="26" fillId="8" borderId="14" xfId="0" applyNumberFormat="1" applyFont="1" applyFill="1" applyBorder="1" applyAlignment="1">
      <alignment horizontal="center" vertical="center"/>
    </xf>
    <xf numFmtId="49" fontId="26" fillId="7" borderId="4" xfId="0" applyNumberFormat="1" applyFont="1" applyFill="1" applyBorder="1" applyAlignment="1">
      <alignment horizontal="center" vertical="center"/>
    </xf>
    <xf numFmtId="49" fontId="26" fillId="8" borderId="4" xfId="0" applyNumberFormat="1" applyFont="1" applyFill="1" applyBorder="1" applyAlignment="1">
      <alignment horizontal="center" vertical="center"/>
    </xf>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298">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9"/>
        <color theme="1"/>
        <name val="Verdana"/>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Verdana"/>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Verdana"/>
        <scheme val="none"/>
      </font>
    </dxf>
    <dxf>
      <border outline="0">
        <bottom style="thin">
          <color indexed="64"/>
        </bottom>
      </border>
    </dxf>
    <dxf>
      <font>
        <strike val="0"/>
        <outline val="0"/>
        <shadow val="0"/>
        <vertAlign val="baseline"/>
        <name val="Verdana"/>
        <scheme val="none"/>
      </font>
      <alignment horizontal="center" vertical="center" textRotation="0" indent="0" justifyLastLine="0" shrinkToFit="0" readingOrder="0"/>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Verdana"/>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Verdana"/>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Verdana"/>
        <scheme val="none"/>
      </font>
    </dxf>
    <dxf>
      <border outline="0">
        <bottom style="thin">
          <color indexed="64"/>
        </bottom>
      </border>
    </dxf>
    <dxf>
      <font>
        <strike val="0"/>
        <outline val="0"/>
        <shadow val="0"/>
        <vertAlign val="baseline"/>
        <name val="Verdana"/>
        <scheme val="none"/>
      </font>
      <alignment horizontal="center"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u val="none"/>
        <vertAlign val="baseline"/>
        <sz val="9"/>
        <color theme="1"/>
        <name val="Verdana"/>
        <scheme val="none"/>
      </font>
      <fill>
        <patternFill patternType="solid">
          <fgColor indexed="64"/>
          <bgColor theme="0" tint="-0.249977111117893"/>
        </patternFill>
      </fill>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 formatCode="0"/>
      <fill>
        <patternFill patternType="none">
          <fgColor indexed="64"/>
          <bgColor auto="1"/>
        </patternFill>
      </fill>
      <alignment horizontal="center" vertical="center" textRotation="0" wrapText="0" indent="0" justifyLastLine="0" shrinkToFit="0" readingOrder="0"/>
    </dxf>
    <dxf>
      <fill>
        <patternFill patternType="solid">
          <fgColor theme="4" tint="0.59999389629810485"/>
          <bgColor theme="0" tint="-0.249977111117893"/>
        </patternFill>
      </fill>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general" vertical="center" textRotation="0" wrapText="0" indent="0" justifyLastLine="0" shrinkToFit="0" readingOrder="0"/>
    </dxf>
    <dxf>
      <font>
        <sz val="9"/>
        <color theme="1"/>
        <name val="Verdana"/>
        <family val="2"/>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ill>
        <patternFill patternType="solid">
          <fgColor theme="4" tint="0.79998168889431442"/>
          <bgColor theme="0" tint="-0.249977111117893"/>
        </patternFill>
      </fill>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Verdana"/>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9"/>
        <color theme="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ill>
        <patternFill patternType="solid">
          <fgColor rgb="FFB8CCE4"/>
          <bgColor rgb="FFBFBFBF"/>
        </patternFill>
      </fill>
    </dxf>
    <dxf>
      <font>
        <b val="0"/>
        <i val="0"/>
        <strike val="0"/>
        <condense val="0"/>
        <extend val="0"/>
        <outline val="0"/>
        <shadow val="0"/>
        <u val="none"/>
        <vertAlign val="baseline"/>
        <sz val="9"/>
        <color rgb="FF000000"/>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scheme val="none"/>
      </font>
      <fill>
        <patternFill patternType="solid">
          <fgColor theme="4" tint="0.79998168889431442"/>
          <bgColor theme="4" tint="0.79998168889431442"/>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Verdana"/>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0" formatCode="General"/>
      <fill>
        <patternFill patternType="solid">
          <fgColor theme="4" tint="0.79998168889431442"/>
          <bgColor theme="4"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8" formatCode="0.00\ &quot;m²&quo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general" vertical="center" textRotation="0" wrapText="0" indent="0" justifyLastLine="0" shrinkToFit="0" readingOrder="0"/>
      <border outline="0">
        <left style="thin">
          <color theme="0"/>
        </left>
        <right style="thin">
          <color theme="0"/>
        </right>
      </border>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9"/>
        <color auto="1"/>
        <name val="Verdana"/>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general" vertical="center" textRotation="0" wrapText="0" indent="0" justifyLastLine="0" shrinkToFit="0" readingOrder="0"/>
      <border outline="0">
        <left style="thin">
          <color theme="0"/>
        </left>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solid">
          <fgColor indexed="64"/>
          <bgColor theme="0"/>
        </patternFill>
      </fill>
      <alignment horizontal="general" vertical="center" textRotation="0" wrapText="0" indent="0" justifyLastLine="0" shrinkToFit="0" readingOrder="0"/>
    </dxf>
    <dxf>
      <font>
        <strike val="0"/>
        <outline val="0"/>
        <shadow val="0"/>
        <vertAlign val="baseline"/>
        <color auto="1"/>
        <name val="Verdana"/>
        <family val="2"/>
        <scheme val="none"/>
      </font>
    </dxf>
    <dxf>
      <font>
        <strike val="0"/>
        <outline val="0"/>
        <shadow val="0"/>
        <vertAlign val="baseline"/>
        <color auto="1"/>
        <name val="Verdana"/>
        <family val="2"/>
        <scheme val="none"/>
      </font>
      <alignment vertical="center" textRotation="0" wrapText="0" indent="0" justifyLastLine="0" shrinkToFit="0" readingOrder="0"/>
    </dxf>
    <dxf>
      <font>
        <b/>
        <i val="0"/>
        <strike val="0"/>
        <condense val="0"/>
        <extend val="0"/>
        <outline val="0"/>
        <shadow val="0"/>
        <u val="none"/>
        <vertAlign val="baseline"/>
        <sz val="9"/>
        <color auto="1"/>
        <name val="Verdana"/>
        <family val="2"/>
        <scheme val="none"/>
      </font>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auto="1"/>
        </patternFill>
      </fill>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strike val="0"/>
        <outline val="0"/>
        <shadow val="0"/>
        <vertAlign val="baseline"/>
        <color auto="1"/>
        <name val="Verdana"/>
        <family val="2"/>
        <scheme val="none"/>
      </font>
      <alignment vertical="bottom" textRotation="0" wrapText="1" justifyLastLine="0" shrinkToFit="0" readingOrder="0"/>
    </dxf>
    <dxf>
      <font>
        <b val="0"/>
        <i val="0"/>
        <strike val="0"/>
        <condense val="0"/>
        <extend val="0"/>
        <outline val="0"/>
        <shadow val="0"/>
        <u val="none"/>
        <vertAlign val="baseline"/>
        <sz val="9"/>
        <color auto="1"/>
        <name val="Verdana"/>
        <family val="2"/>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family val="2"/>
        <scheme val="none"/>
      </font>
      <fill>
        <patternFill patternType="solid">
          <fgColor indexed="64"/>
          <bgColor indexed="11"/>
        </patternFill>
      </fill>
      <alignment horizontal="center" vertical="center" textRotation="0" wrapText="0" indent="0" justifyLastLine="0" shrinkToFit="0" readingOrder="0"/>
    </dxf>
    <dxf>
      <font>
        <b val="0"/>
        <strike val="0"/>
        <outline val="0"/>
        <shadow val="0"/>
        <u val="none"/>
        <vertAlign val="baseline"/>
        <sz val="9"/>
        <color auto="1"/>
        <name val="Verdana"/>
        <family val="2"/>
        <scheme val="none"/>
      </font>
      <alignment horizontal="center" vertical="center" textRotation="0" wrapText="0" indent="0" justifyLastLine="0" shrinkToFit="0" readingOrder="0"/>
    </dxf>
    <dxf>
      <font>
        <strike val="0"/>
        <outline val="0"/>
        <shadow val="0"/>
        <vertAlign val="baseline"/>
        <color auto="1"/>
        <name val="Verdana"/>
        <family val="2"/>
        <scheme val="none"/>
      </font>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strike val="0"/>
        <outline val="0"/>
        <shadow val="0"/>
        <vertAlign val="baseline"/>
        <color auto="1"/>
        <name val="Verdana"/>
        <family val="2"/>
        <scheme val="none"/>
      </font>
      <alignment vertical="bottom" textRotation="0" wrapText="1" justifyLastLine="0" shrinkToFit="0" readingOrder="0"/>
    </dxf>
    <dxf>
      <font>
        <b/>
        <i val="0"/>
        <strike val="0"/>
        <condense val="0"/>
        <extend val="0"/>
        <outline val="0"/>
        <shadow val="0"/>
        <u val="none"/>
        <vertAlign val="baseline"/>
        <sz val="9"/>
        <color auto="1"/>
        <name val="Verdana"/>
        <family val="2"/>
        <scheme val="none"/>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Verdana"/>
        <family val="2"/>
        <scheme val="none"/>
      </font>
      <numFmt numFmtId="2" formatCode="0.00"/>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general" vertical="center" textRotation="0" wrapText="1" indent="0" justifyLastLine="0" shrinkToFit="0" readingOrder="0"/>
    </dxf>
    <dxf>
      <font>
        <color rgb="FF9C0006"/>
      </font>
      <fill>
        <patternFill>
          <bgColor rgb="FFFFC7CE"/>
        </patternFill>
      </fill>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mruColors>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s>
    <sheetDataSet>
      <sheetData sheetId="0" refreshError="1"/>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7" totalsRowShown="0" headerRowDxfId="297" dataDxfId="295" headerRowBorderDxfId="296" tableBorderDxfId="294" totalsRowBorderDxfId="293">
  <autoFilter ref="A3:Y1107" xr:uid="{EFA13895-E364-4C8A-AA8D-12C726A7AC31}"/>
  <tableColumns count="25">
    <tableColumn id="1" xr3:uid="{6B145318-7F04-4B27-80E3-EDDB80D8AA5F}" name="Locatiecode" dataDxfId="292"/>
    <tableColumn id="2" xr3:uid="{A3A88513-89B7-4FB7-9DB5-CF77936D6328}" name="Locatie" dataDxfId="291"/>
    <tableColumn id="3" xr3:uid="{962D7CAE-D138-4226-9114-7A665E66FE09}" name="Frequentie" dataDxfId="290"/>
    <tableColumn id="4" xr3:uid="{02A05A85-F557-4E8F-81CA-782514C3EB0B}" name="Frequentieomschrijving" dataDxfId="289"/>
    <tableColumn id="5" xr3:uid="{3D41A4F3-0BA0-4F3A-8059-E98FA4296AD9}" name="Vloercode" dataDxfId="288"/>
    <tableColumn id="6" xr3:uid="{9F60BC29-F803-467C-9E8A-B9FD3FAED5FC}" name="Code" dataDxfId="287"/>
    <tableColumn id="7" xr3:uid="{624EFF30-884A-4A63-9192-06AA3C4453EA}" name="vl1" dataDxfId="286"/>
    <tableColumn id="8" xr3:uid="{C944B72C-E6D7-4E79-85F6-914704F2E65C}" name="vl2" dataDxfId="285"/>
    <tableColumn id="9" xr3:uid="{D65DE689-F9B8-430B-B34E-7DF95793D674}" name="vl3" dataDxfId="284"/>
    <tableColumn id="10" xr3:uid="{43A4B773-0F96-4280-9C3F-EAF80A14A709}" name="vl4" dataDxfId="283"/>
    <tableColumn id="11" xr3:uid="{380012B2-3312-431D-8946-41856C56FB2C}" name="vl5" dataDxfId="282"/>
    <tableColumn id="12" xr3:uid="{2B1C9BF4-8C96-4C73-984A-DE131A286832}" name="vl6" dataDxfId="281"/>
    <tableColumn id="13" xr3:uid="{B5514BB9-74E0-4ABE-9E20-CCE23D228131}" name="vl7" dataDxfId="280"/>
    <tableColumn id="14" xr3:uid="{F791ACCD-A47B-41ED-BECD-6641D8F9B18D}" name="vnl" dataDxfId="279"/>
    <tableColumn id="15" xr3:uid="{20BAF86F-0248-4538-95CC-65053CB39BEF}" name="i8" dataDxfId="278"/>
    <tableColumn id="16" xr3:uid="{678C2240-F553-40F8-8F75-1C080929C9FC}" name="i9" dataDxfId="277"/>
    <tableColumn id="17" xr3:uid="{C2F746AF-E6E8-4646-8431-CFDAE0006C0B}" name="i10" dataDxfId="276"/>
    <tableColumn id="18" xr3:uid="{87F5E1E5-AB4E-4E20-BA95-D8FB4BB75EC7}" name="i11" dataDxfId="275"/>
    <tableColumn id="19" xr3:uid="{9C49B827-4B78-47E3-AF74-E39A99170859}" name="i12" dataDxfId="274"/>
    <tableColumn id="20" xr3:uid="{52B1AE75-DD29-4ADA-956E-361F983699DB}" name="i13" dataDxfId="273"/>
    <tableColumn id="21" xr3:uid="{9EF47AA6-0AC0-40A4-BB2C-B58ABE40EEF2}" name="i14" dataDxfId="272"/>
    <tableColumn id="22" xr3:uid="{5E7A7D3D-FCD2-4FB4-BE26-536C0F75A359}" name="inl" dataDxfId="271"/>
    <tableColumn id="23" xr3:uid="{4FDE95B9-743A-4E1C-BBAB-5F5DE7DAE90F}" name="s15" dataDxfId="270"/>
    <tableColumn id="24" xr3:uid="{F08AC32D-BF76-4C5E-A2C7-ABF0B3ADEC32}" name="s16" dataDxfId="269"/>
    <tableColumn id="25" xr3:uid="{F5AC86BA-6517-4B7E-AA9D-85C454384A01}" name="snl" dataDxfId="268"/>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OverzichtGlas" displayName="OverzichtGlas" ref="A23:I30" totalsRowCount="1" headerRowDxfId="93" dataDxfId="92" totalsRowDxfId="91">
  <autoFilter ref="A23:I29" xr:uid="{00000000-0009-0000-0100-000004000000}"/>
  <sortState xmlns:xlrd2="http://schemas.microsoft.com/office/spreadsheetml/2017/richdata2" ref="A24:G29">
    <sortCondition ref="A24:A29"/>
  </sortState>
  <tableColumns count="9">
    <tableColumn id="1" xr3:uid="{00000000-0010-0000-0600-000001000000}" name="Code Locatie" totalsRowLabel="Totaal" dataDxfId="90" totalsRowDxfId="89"/>
    <tableColumn id="2" xr3:uid="{00000000-0010-0000-0600-000002000000}" name="Locatie" dataDxfId="88" totalsRowDxfId="87">
      <calculatedColumnFormula>VLOOKUP(OverzichtGlas[[#This Row],[Code Locatie]],Totalisatie!$A$7:$B$7,2,FALSE)</calculatedColumnFormula>
    </tableColumn>
    <tableColumn id="3" xr3:uid="{00000000-0010-0000-0600-000003000000}" name="Code taak" dataDxfId="86" totalsRowDxfId="85"/>
    <tableColumn id="4" xr3:uid="{00000000-0010-0000-0600-000004000000}" name="Glassoort/voorziening" dataDxfId="84" totalsRowDxfId="83">
      <calculatedColumnFormula>IF(Glasbewassing!$C24&gt;0,VLOOKUP(Glasbewassing!$C24,$A$8:$B$21,2,FALSE),"Hier vult u de inzet van eventuele hoogwerkers in")</calculatedColumnFormula>
    </tableColumn>
    <tableColumn id="5" xr3:uid="{00000000-0010-0000-0600-000005000000}" name="Oppervlakte of dagen" dataDxfId="82" totalsRowDxfId="81"/>
    <tableColumn id="7" xr3:uid="{00000000-0010-0000-0600-000007000000}" name="Frequentie" dataDxfId="80" totalsRowDxfId="79"/>
    <tableColumn id="8" xr3:uid="{00000000-0010-0000-0600-000008000000}" name="Kosten/jaar excl. BTW" totalsRowFunction="sum" dataDxfId="78" totalsRowDxfId="77">
      <calculatedColumnFormula>IF(C24&gt;0,VLOOKUP(OverzichtGlas[[#This Row],[Code taak]],InvulGlas[],3,0)*E24*F24,0)</calculatedColumnFormula>
    </tableColumn>
    <tableColumn id="9" xr3:uid="{C6828B68-C5ED-4DD8-81B9-05DF00D6C1BD}" name="Kosten/jaar incl. BTW" totalsRowFunction="sum" dataDxfId="76" totalsRowDxfId="75">
      <calculatedColumnFormula>OverzichtGlas[[#This Row],[Kosten/jaar excl. BTW]]*1.21</calculatedColumnFormula>
    </tableColumn>
    <tableColumn id="10" xr3:uid="{281CE6AA-F18D-4D78-892B-498ACB4CB3F2}" name="Kolom1" dataDxfId="74" totalsRowDxfId="73"/>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DB9578-714A-48DF-BAEF-79307E09FE9A}" name="Invulextrawerkz" displayName="Invulextrawerkz" ref="A8:I9" totalsRowShown="0" headerRowDxfId="72" dataDxfId="71">
  <autoFilter ref="A8:I9" xr:uid="{A588C5F6-B106-46F9-B98B-C593A09DB2A3}"/>
  <tableColumns count="9">
    <tableColumn id="1" xr3:uid="{22B850F0-AE08-4CE3-9B2D-04E6314FD547}" name="Code Taak" dataDxfId="70"/>
    <tableColumn id="2" xr3:uid="{6412DB2E-0333-47D7-AB1A-EA797FE96A5D}" name="Werkzaamheden" dataDxfId="69"/>
    <tableColumn id="3" xr3:uid="{8AAD7C70-4047-4EB3-A9DF-188E4E2089BC}" name="Prijs" dataDxfId="68"/>
    <tableColumn id="4" xr3:uid="{1CA4AC32-87D6-4484-8912-27D47F4EAAF7}" name="Omschrijving2" dataDxfId="67"/>
    <tableColumn id="5" xr3:uid="{BE52F369-C5C3-4A71-8D70-B7E0ACF04F24}" name="2024" dataDxfId="66" dataCellStyle="Valuta">
      <calculatedColumnFormula>(Invulextrawerkz[[#This Row],[Prijs]]*Tariefsopbouw!$I$37)+Invulextrawerkz[[#This Row],[Prijs]]</calculatedColumnFormula>
    </tableColumn>
    <tableColumn id="6" xr3:uid="{046CD56D-41E8-4E69-876C-FF09421E56AF}" name="2025" dataDxfId="65" dataCellStyle="Valuta">
      <calculatedColumnFormula>Invulextrawerkz[[#This Row],[2024]]*Tariefsopbouw!$K$37+Invulextrawerkz[[#This Row],[2024]]</calculatedColumnFormula>
    </tableColumn>
    <tableColumn id="7" xr3:uid="{AF2B5E6B-A19D-4429-8D14-84B8E528B026}" name="2026" dataDxfId="64" dataCellStyle="Valuta">
      <calculatedColumnFormula>Invulextrawerkz[[#This Row],[2025]]*Tariefsopbouw!$M$37+Invulextrawerkz[[#This Row],[2025]]</calculatedColumnFormula>
    </tableColumn>
    <tableColumn id="8" xr3:uid="{69208AF1-447E-49EB-8803-78C4123AE3E9}" name="2027" dataDxfId="63" dataCellStyle="Valuta">
      <calculatedColumnFormula>Invulextrawerkz[[#This Row],[2026]]*Tariefsopbouw!$O$37+Invulextrawerkz[[#This Row],[2026]]</calculatedColumnFormula>
    </tableColumn>
    <tableColumn id="9" xr3:uid="{E25B61B0-84BE-4386-B6FA-D50084DDD0DC}" name="2028" dataDxfId="62" dataCellStyle="Valuta">
      <calculatedColumnFormula>Invulextrawerkz[[#This Row],[2027]]*Tariefsopbouw!$I$37+Invulextrawerkz[[#This Row],[2027]]</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E09BA18-8EEA-4E62-AF63-DC85F042CD41}" name="Overzichtextrawerkz." displayName="Overzichtextrawerkz." ref="A12:H14" totalsRowCount="1" headerRowDxfId="61" dataDxfId="60" totalsRowDxfId="59">
  <autoFilter ref="A12:H13" xr:uid="{B3DABFDF-61AB-4C78-A962-F8CAE07529D2}"/>
  <tableColumns count="8">
    <tableColumn id="11" xr3:uid="{FED34620-6CE0-4955-8DDC-285BD6540A10}" name="Code Locatie" dataDxfId="58" totalsRowDxfId="57"/>
    <tableColumn id="1" xr3:uid="{38A9D2E6-7E84-4572-8661-1EA1E213D2FD}" name="Locatie" totalsRowLabel="Totaal" dataDxfId="56" totalsRowDxfId="55"/>
    <tableColumn id="3" xr3:uid="{65AA2A4E-FC38-4AA7-9EDE-EA1292669AD6}" name="Code Taak" dataDxfId="54" totalsRowDxfId="53"/>
    <tableColumn id="4" xr3:uid="{4538BE92-6D95-4430-BD90-4F27BD6C1025}" name="Vloersoort / toelichting" dataDxfId="52" totalsRowDxfId="51">
      <calculatedColumnFormula>IF(#REF!&gt;0,VLOOKUP(#REF!,$A$8:$B$9,2,FALSE),"")</calculatedColumnFormula>
    </tableColumn>
    <tableColumn id="6" xr3:uid="{6B6E2754-DCC5-4C0C-89CF-D088B3C5F0F4}" name="Uren" dataDxfId="50" totalsRowDxfId="49"/>
    <tableColumn id="8" xr3:uid="{4862230C-3525-4D32-9FDD-2ADF1DC2DED5}" name="aantal weken" dataDxfId="48" totalsRowDxfId="47"/>
    <tableColumn id="9" xr3:uid="{3AF652DD-830E-4C84-ACC3-83DF08C65F3F}" name="Kosten/jaar excl. BTW" totalsRowFunction="sum" dataDxfId="46" totalsRowDxfId="45">
      <calculatedColumnFormula>VLOOKUP(Overzichtextrawerkz.[[#This Row],[Code Taak]],Invulextrawerkz[],3,3)*#REF!*E13*F13</calculatedColumnFormula>
    </tableColumn>
    <tableColumn id="10" xr3:uid="{DD2F212C-5755-442B-B448-ACDA43EBEDAE}" name="Kosten/jaar incl. BTW" totalsRowFunction="sum" dataDxfId="44" totalsRowDxfId="43"/>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D37" totalsRowCount="1" headerRowDxfId="42" dataDxfId="41" totalsRowDxfId="40">
  <autoFilter ref="B8:D36" xr:uid="{00000000-0009-0000-0100-00000B000000}"/>
  <tableColumns count="3">
    <tableColumn id="1" xr3:uid="{00000000-0010-0000-0B00-000001000000}" name="Werkzaamheid" totalsRowLabel="Totaal" totalsRowDxfId="39"/>
    <tableColumn id="2" xr3:uid="{00000000-0010-0000-0B00-000002000000}" name="Eenheid" totalsRowDxfId="38"/>
    <tableColumn id="3" xr3:uid="{00000000-0010-0000-0B00-000003000000}" name="Prijs excl. BTW" dataDxfId="37" totalsRowDxfId="36"/>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8" totalsRowCount="1" headerRowDxfId="35" dataDxfId="33" totalsRowDxfId="31" headerRowBorderDxfId="34" tableBorderDxfId="32">
  <autoFilter ref="A6:F7" xr:uid="{00000000-0009-0000-0100-00000E000000}"/>
  <tableColumns count="6">
    <tableColumn id="8" xr3:uid="{00000000-0010-0000-0C00-000008000000}" name="Code Locatie" dataDxfId="30" totalsRowDxfId="29"/>
    <tableColumn id="1" xr3:uid="{00000000-0010-0000-0C00-000001000000}" name="Locatie" totalsRowLabel="Totaal" dataDxfId="28" totalsRowDxfId="27"/>
    <tableColumn id="2" xr3:uid="{00000000-0010-0000-0C00-000002000000}" name="Oppervlakte i/o" totalsRowFunction="sum" dataDxfId="26" totalsRowDxfId="25"/>
    <tableColumn id="4" xr3:uid="{00000000-0010-0000-0C00-000004000000}" name="Uren / jaar" totalsRowFunction="sum" dataDxfId="24" totalsRowDxfId="23"/>
    <tableColumn id="6" xr3:uid="{00000000-0010-0000-0C00-000006000000}" name="Kosten / jaar excl btw" totalsRowFunction="sum" dataDxfId="22" totalsRowDxfId="21"/>
    <tableColumn id="7" xr3:uid="{00000000-0010-0000-0C00-000007000000}" name="Kosten / m2" totalsRowFunction="custom" dataDxfId="20" totalsRowDxfId="19">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1:G13" totalsRowCount="1" headerRowDxfId="18" dataDxfId="16" totalsRowDxfId="14" headerRowBorderDxfId="17" tableBorderDxfId="15">
  <autoFilter ref="A11:G12" xr:uid="{00000000-0009-0000-0100-00000F000000}"/>
  <sortState xmlns:xlrd2="http://schemas.microsoft.com/office/spreadsheetml/2017/richdata2" ref="A12:G12">
    <sortCondition ref="C11:C12"/>
  </sortState>
  <tableColumns count="7">
    <tableColumn id="8" xr3:uid="{00000000-0010-0000-0D00-000008000000}" name="Code Locatie" dataDxfId="13" totalsRowDxfId="12"/>
    <tableColumn id="1" xr3:uid="{00000000-0010-0000-0D00-000001000000}" name="Locaties" totalsRowLabel="Totaal" dataDxfId="11" totalsRowDxfId="10">
      <calculatedColumnFormula>VLOOKUP(Totalisatie[[#This Row],[Code Locatie]],Locaties[],2,0)</calculatedColumnFormula>
    </tableColumn>
    <tableColumn id="4" xr3:uid="{00000000-0010-0000-0D00-000004000000}" name="Schoonmaakonderhoud_x000a_Kosten / jaar excl btw" totalsRowFunction="sum" dataDxfId="9" totalsRowDxfId="8">
      <calculatedColumnFormula>SUMIF(Ruimtestaat[#All],Totalisatie[[#This Row],[Code Locatie]],Ruimtestaat[[#All],[kosten / jaar excl btw]])</calculatedColumnFormula>
    </tableColumn>
    <tableColumn id="2" xr3:uid="{00000000-0010-0000-0D00-000002000000}" name="Vloeronderhoud_x000a_Kosten / jaar excl btw" totalsRowFunction="sum" dataDxfId="7" totalsRowDxfId="6">
      <calculatedColumnFormula>SUMIF(OverzichtVloer20[[#All],[Code Locatie]:[Kosten/jaar excl. BTW]],Totalisatie[[#This Row],[Code Locatie]],OverzichtVloer20[[#Headers],[#Data],[Kosten/jaar excl. BTW]])</calculatedColumnFormula>
    </tableColumn>
    <tableColumn id="3" xr3:uid="{5354BE06-5B60-4010-BCF7-0BE3CE5F1508}" name="Extra werkzaamheden kosten/ jaar excl. btw" totalsRowFunction="sum" dataDxfId="5" totalsRowDxfId="4">
      <calculatedColumnFormula>SUMIF(Overzichtextrawerkz.[[#All],[Code Locatie]:[Kosten/jaar excl. BTW]],Totalisatie[[#This Row],[Code Locatie]],Overzichtextrawerkz.[[#All],[Kosten/jaar excl. BTW]])</calculatedColumnFormula>
    </tableColumn>
    <tableColumn id="7" xr3:uid="{C88582D1-75BF-412D-8869-B84AE072738B}" name="Glasbewassing kosten/ jaar excl. Btw" totalsRowFunction="sum" dataDxfId="3" totalsRowDxfId="2">
      <calculatedColumnFormula>SUMIF(OverzichtGlas[[Code Locatie]:[Kosten/jaar excl. BTW]],Totalisatie[[#This Row],[Code Locatie]],OverzichtGlas[Kosten/jaar excl. BTW])</calculatedColumnFormula>
    </tableColumn>
    <tableColumn id="5" xr3:uid="{2A8C3CF1-513F-4CAD-A439-3F5FCA3E0363}" name="Totaalprijs_x000a_Kosten / jaar excl. btw" totalsRowFunction="sum" dataDxfId="1" totalsRowDxfId="0">
      <calculatedColumnFormula>SUM(Totalisatie[[#This Row],[Schoonmaakonderhoud
Kosten / jaar excl btw]:[Glasbewassing kosten/ jaar excl. Btw]])</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8:D28" totalsRowShown="0" headerRowDxfId="266" dataDxfId="265" headerRowCellStyle="Standaard 4">
  <autoFilter ref="A8:D28" xr:uid="{00000000-0009-0000-0100-000006000000}"/>
  <tableColumns count="4">
    <tableColumn id="1" xr3:uid="{00000000-0010-0000-0000-000001000000}" name="Code" dataDxfId="264" dataCellStyle="Standaard 4"/>
    <tableColumn id="2" xr3:uid="{00000000-0010-0000-0000-000002000000}" name="Ruimte omschrijving" dataDxfId="263" dataCellStyle="Standaard 4"/>
    <tableColumn id="3" xr3:uid="{00000000-0010-0000-0000-000003000000}" name="Norm (5w)" dataDxfId="262"/>
    <tableColumn id="4" xr3:uid="{00000000-0010-0000-0000-000004000000}" name="Inspectiecategorie" dataDxfId="261"/>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31:D36" totalsRowShown="0" headerRowDxfId="260" dataDxfId="259">
  <autoFilter ref="A31:D36" xr:uid="{00000000-0009-0000-0100-000007000000}"/>
  <tableColumns count="4">
    <tableColumn id="1" xr3:uid="{00000000-0010-0000-0100-000001000000}" name="Code" dataDxfId="258"/>
    <tableColumn id="4" xr3:uid="{00000000-0010-0000-0100-000004000000}" name="Naam" dataDxfId="257"/>
    <tableColumn id="5" xr3:uid="{00000000-0010-0000-0100-000005000000}" name="Aanpassing norm" dataDxfId="256" dataCellStyle="Procent 3"/>
    <tableColumn id="2" xr3:uid="{00000000-0010-0000-0100-000002000000}" name="Vloersoort omschrijving" dataDxfId="255"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39:D52" totalsRowShown="0" headerRowDxfId="254" dataDxfId="253">
  <autoFilter ref="A39:D52" xr:uid="{00000000-0009-0000-0100-000008000000}"/>
  <tableColumns count="4">
    <tableColumn id="1" xr3:uid="{00000000-0010-0000-0200-000001000000}" name="Code" dataDxfId="252" dataCellStyle="Standaard 4"/>
    <tableColumn id="2" xr3:uid="{00000000-0010-0000-0200-000002000000}" name="Frequentie omschrijving" dataDxfId="251" dataCellStyle="Standaard 4"/>
    <tableColumn id="3" xr3:uid="{00000000-0010-0000-0200-000003000000}" name="Aanpassing norm" dataDxfId="250" dataCellStyle="Procent"/>
    <tableColumn id="4" xr3:uid="{62B36348-2266-47E8-AF7C-A5085F351579}" name="Kolom1" dataDxfId="249"/>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5" totalsRowShown="0" headerRowDxfId="248" dataDxfId="247">
  <autoFilter ref="A4:F5" xr:uid="{00000000-0009-0000-0100-00000D000000}"/>
  <tableColumns count="6">
    <tableColumn id="1" xr3:uid="{00000000-0010-0000-0300-000001000000}" name="Code" dataDxfId="246"/>
    <tableColumn id="2" xr3:uid="{00000000-0010-0000-0300-000002000000}" name="Locatie" dataDxfId="245"/>
    <tableColumn id="7" xr3:uid="{00000000-0010-0000-0300-000007000000}" name="Aanpassing norm" dataDxfId="244" dataCellStyle="Procent"/>
    <tableColumn id="3" xr3:uid="{00000000-0010-0000-0300-000003000000}" name="Adres" dataDxfId="243" dataCellStyle="Standaard 4"/>
    <tableColumn id="5" xr3:uid="{DA45991E-5E38-40DC-A1BE-D3770F949A13}" name="Postcode" dataDxfId="242" dataCellStyle="Standaard 4"/>
    <tableColumn id="4" xr3:uid="{00000000-0010-0000-0300-000004000000}" name="Plaats" dataDxfId="241"/>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V204" totalsRowShown="0" headerRowDxfId="240" dataDxfId="239">
  <autoFilter ref="A4:BV204" xr:uid="{396E59E9-BF0A-4D12-8DDE-B051B0F3D5F7}"/>
  <tableColumns count="74">
    <tableColumn id="32" xr3:uid="{00000000-0010-0000-0400-000020000000}" name="Code" dataDxfId="238" totalsRowDxfId="237"/>
    <tableColumn id="3" xr3:uid="{00000000-0010-0000-0400-000003000000}" name="Naam" dataDxfId="236" totalsRowDxfId="235"/>
    <tableColumn id="4" xr3:uid="{70782354-32A9-4BC9-88AC-C4AB6869B8E9}" name="Adres" dataDxfId="234" totalsRowDxfId="233">
      <calculatedColumnFormula>VLOOKUP(Ruimtestaat[[#This Row],[Code]],Locaties[[#All],[Code]:[Adres]],4,FALSE)</calculatedColumnFormula>
    </tableColumn>
    <tableColumn id="79" xr3:uid="{E7B33814-4928-4AE9-A368-AE6E30B7DBF6}" name="Postcode" dataDxfId="232" totalsRowDxfId="231">
      <calculatedColumnFormula>VLOOKUP(Ruimtestaat[[#This Row],[Code]],Locaties[[#All],[Code]:[Postcode]],5,FALSE)</calculatedColumnFormula>
    </tableColumn>
    <tableColumn id="80" xr3:uid="{476650B5-E93B-45F9-BED3-2256EBFA7240}" name="Plaatsnaam" dataDxfId="230" totalsRowDxfId="229">
      <calculatedColumnFormula>VLOOKUP(Ruimtestaat[[#This Row],[Code]],Locaties[#All],6,FALSE)</calculatedColumnFormula>
    </tableColumn>
    <tableColumn id="2" xr3:uid="{00000000-0010-0000-0400-000002000000}" name="Gebouw gedeelte" dataDxfId="228" totalsRowDxfId="227"/>
    <tableColumn id="6" xr3:uid="{00000000-0010-0000-0400-000006000000}" name="Etage" dataDxfId="226" totalsRowDxfId="225"/>
    <tableColumn id="7" xr3:uid="{00000000-0010-0000-0400-000007000000}" name="Ruimte- _x000a_nummer" dataDxfId="224" totalsRowDxfId="223"/>
    <tableColumn id="8" xr3:uid="{00000000-0010-0000-0400-000008000000}" name="Ruimte omschrijving" dataDxfId="222" totalsRowDxfId="221"/>
    <tableColumn id="9" xr3:uid="{00000000-0010-0000-0400-000009000000}" name="Ruimte code" dataDxfId="220" totalsRowDxfId="219"/>
    <tableColumn id="10" xr3:uid="{00000000-0010-0000-0400-00000A000000}" name="Ruimtesoort" dataDxfId="218" totalsRowDxfId="217">
      <calculatedColumnFormula>VLOOKUP(Ruimtestaat[[#This Row],[Ruimte code]],Ruimtegroepen[[#All],[Code]:[Ruimte omschrijving]],2,FALSE)</calculatedColumnFormula>
    </tableColumn>
    <tableColumn id="11" xr3:uid="{00000000-0010-0000-0400-00000B000000}" name="Vloer code" dataDxfId="216" totalsRowDxfId="215"/>
    <tableColumn id="12" xr3:uid="{00000000-0010-0000-0400-00000C000000}" name="Vloer afwerking" dataDxfId="214" totalsRowDxfId="213"/>
    <tableColumn id="13" xr3:uid="{00000000-0010-0000-0400-00000D000000}" name="Oppervlak (netto)" dataDxfId="212" totalsRowDxfId="211"/>
    <tableColumn id="14" xr3:uid="{00000000-0010-0000-0400-00000E000000}" name="Oppervlakte n.i.o." dataDxfId="210"/>
    <tableColumn id="15" xr3:uid="{00000000-0010-0000-0400-00000F000000}" name="Inspectie categorie" dataDxfId="209" totalsRowDxfId="208">
      <calculatedColumnFormula>VLOOKUP(Ruimtestaat[[#This Row],[Ruimte code]],Ruimtegroepen[],4,FALSE)</calculatedColumnFormula>
    </tableColumn>
    <tableColumn id="17" xr3:uid="{00000000-0010-0000-0400-000011000000}" name="Aantal weken/jr" dataDxfId="207" totalsRowDxfId="206"/>
    <tableColumn id="18" xr3:uid="{00000000-0010-0000-0400-000012000000}" name="Frequentie werkdagen" dataDxfId="205" totalsRowDxfId="204"/>
    <tableColumn id="19" xr3:uid="{00000000-0010-0000-0400-000013000000}" name="Uitvoeringen werkdagen" dataDxfId="203" totalsRowDxfId="202">
      <calculatedColumnFormula>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201" totalsRowDxfId="200">
      <calculatedColumnFormula>IF(S5&gt;0,VLOOKUP($J5,Ruimtegroepen[],3,FALSE)*VLOOKUP($L5,Vloersoorten[],3,FALSE)*VLOOKUP($R5,Frequenties[],3,FALSE)*VLOOKUP($A5,Locaties[],3,FALSE),0)</calculatedColumnFormula>
    </tableColumn>
    <tableColumn id="21" xr3:uid="{00000000-0010-0000-0400-000015000000}" name="Prest. (m2 /jaar) werkdagen" dataDxfId="199" totalsRowDxfId="198">
      <calculatedColumnFormula>Ruimtestaat[[#This Row],[Uitvoeringen werkdagen]]*Ruimtestaat[[#This Row],[Oppervlak (netto)]]</calculatedColumnFormula>
    </tableColumn>
    <tableColumn id="22" xr3:uid="{00000000-0010-0000-0400-000016000000}" name="uren / jaar werkdagen" dataDxfId="197" totalsRowDxfId="196" dataCellStyle="Komma">
      <calculatedColumnFormula>IF(T5&gt;0,Ruimtestaat[[#This Row],[Prest. (m2 /jaar) werkdagen]]/Ruimtestaat[[#This Row],[Norm (m2/uur) werkdagen]],0)</calculatedColumnFormula>
    </tableColumn>
    <tableColumn id="23" xr3:uid="{00000000-0010-0000-0400-000017000000}" name="kosten / jaar werkdagen" dataDxfId="195" totalsRowDxfId="194" dataCellStyle="Valuta">
      <calculatedColumnFormula>Ruimtestaat[[#This Row],[uren / jaar werkdagen]]*Tariefsopbouw!$E$35</calculatedColumnFormula>
    </tableColumn>
    <tableColumn id="24" xr3:uid="{00000000-0010-0000-0400-000018000000}" name="Frequentie weekend" dataDxfId="193" totalsRowDxfId="192"/>
    <tableColumn id="38" xr3:uid="{00000000-0010-0000-0400-000026000000}" name="Uitvoeringen weekend" dataDxfId="191" totalsRowDxfId="190">
      <calculatedColumnFormula>IF(Ruimtestaat[[#This Row],[Frequentie weekend]]&gt;0,VALUE(LEFT(X5,1))*Q5,0)</calculatedColumnFormula>
    </tableColumn>
    <tableColumn id="25" xr3:uid="{00000000-0010-0000-0400-000019000000}" name="Norm (m2/uur) weekend" dataDxfId="189" totalsRowDxfId="188">
      <calculatedColumnFormula>IF($Y5&gt;0,VLOOKUP($J5,Ruimtegroepen[],3,FALSE)*VLOOKUP($L5,Vloersoorten[],3,FALSE)*VLOOKUP($X5,Frequenties[],3,FALSE)*VLOOKUP(#REF!,Locaties[],3,FALSE),0)</calculatedColumnFormula>
    </tableColumn>
    <tableColumn id="26" xr3:uid="{00000000-0010-0000-0400-00001A000000}" name="Prest. (m2 /jaar) weekend" dataDxfId="187" totalsRowDxfId="186">
      <calculatedColumnFormula>Ruimtestaat[[#This Row],[Uitvoeringen weekend]]*Ruimtestaat[[#This Row],[Oppervlak (netto)]]</calculatedColumnFormula>
    </tableColumn>
    <tableColumn id="27" xr3:uid="{00000000-0010-0000-0400-00001B000000}" name="uren / jaar weekend" dataDxfId="185" totalsRowDxfId="184">
      <calculatedColumnFormula>IF(Z5&gt;0,Ruimtestaat[[#This Row],[Prest. (m2 /jaar) weekend]]/Ruimtestaat[[#This Row],[Norm (m2/uur) weekend]],0)</calculatedColumnFormula>
    </tableColumn>
    <tableColumn id="28" xr3:uid="{00000000-0010-0000-0400-00001C000000}" name="kosten / jaar weekend" dataDxfId="183" totalsRowDxfId="182">
      <calculatedColumnFormula>Ruimtestaat[[#This Row],[uren / jaar weekend]]*Tariefsopbouw!$D$40</calculatedColumnFormula>
    </tableColumn>
    <tableColumn id="29" xr3:uid="{00000000-0010-0000-0400-00001D000000}" name="Prest. (m2 /jaar)" dataDxfId="181" totalsRowDxfId="180" dataCellStyle="Komma">
      <calculatedColumnFormula>Ruimtestaat[[#This Row],[Prest. (m2 /jaar) weekend]]+Ruimtestaat[[#This Row],[Prest. (m2 /jaar) werkdagen]]</calculatedColumnFormula>
    </tableColumn>
    <tableColumn id="30" xr3:uid="{00000000-0010-0000-0400-00001E000000}" name="uren / jaar" dataDxfId="179" totalsRowDxfId="178" dataCellStyle="Komma">
      <calculatedColumnFormula>Ruimtestaat[[#This Row],[uren / jaar weekend]]+Ruimtestaat[[#This Row],[uren / jaar werkdagen]]</calculatedColumnFormula>
    </tableColumn>
    <tableColumn id="31" xr3:uid="{00000000-0010-0000-0400-00001F000000}" name="kosten / jaar excl btw" dataDxfId="177" totalsRowDxfId="176">
      <calculatedColumnFormula>Ruimtestaat[[#This Row],[kosten / jaar weekend]]+Ruimtestaat[[#This Row],[kosten / jaar werkdagen]]</calculatedColumnFormula>
    </tableColumn>
    <tableColumn id="78" xr3:uid="{C7E09CEC-45CA-4861-813D-3146CE52089E}" name="Kolom2" dataDxfId="175"/>
    <tableColumn id="36" xr3:uid="{644223A4-3B0B-40ED-9CC2-5E87CCEF757C}" name="Programmacode_x000a_Regulier" dataDxfId="174">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173">
      <calculatedColumnFormula>_xlfn.IFNA(VLOOKUP($AH5,Programma!$F$3:$G$1107,2,0),"")</calculatedColumnFormula>
    </tableColumn>
    <tableColumn id="39" xr3:uid="{2E53B719-2751-4AFA-8ABF-26530B7DD3C0}" name="vl2" dataDxfId="172">
      <calculatedColumnFormula>_xlfn.IFNA(VLOOKUP($AH5,Programma!$F$3:$H$1107,3,0),"")</calculatedColumnFormula>
    </tableColumn>
    <tableColumn id="40" xr3:uid="{306853D9-AD5A-48B5-B1FA-D17329457C4F}" name="vl3" dataDxfId="171">
      <calculatedColumnFormula>_xlfn.IFNA(VLOOKUP($AH5,Programma!$F$3:$I$1107,4,0),"")</calculatedColumnFormula>
    </tableColumn>
    <tableColumn id="41" xr3:uid="{1C4AA553-8156-4DB3-BDBC-D8EC1536D309}" name="vl4" dataDxfId="170">
      <calculatedColumnFormula>_xlfn.IFNA(VLOOKUP($AH5,Programma!$F$3:$J$1107,5,0),"")</calculatedColumnFormula>
    </tableColumn>
    <tableColumn id="42" xr3:uid="{A56B8907-DE9F-4701-8C5E-C547567EA280}" name="vl5" dataDxfId="169">
      <calculatedColumnFormula>_xlfn.IFNA(VLOOKUP($AH5,Programma!$F$3:$K$1107,6,0),"")</calculatedColumnFormula>
    </tableColumn>
    <tableColumn id="43" xr3:uid="{6B17D7A2-AE8D-440F-A4FD-2BE2B7B88A60}" name="vl6" dataDxfId="168">
      <calculatedColumnFormula>_xlfn.IFNA(VLOOKUP($AH5,Programma!$F$3:$L$1107,7,0),"")</calculatedColumnFormula>
    </tableColumn>
    <tableColumn id="44" xr3:uid="{A071B3DB-7D24-4A25-BD62-7D2ABDA8EADC}" name="vl7" dataDxfId="167">
      <calculatedColumnFormula>_xlfn.IFNA(VLOOKUP($AH5,Programma!$F$3:$M$1107,8,0),"")</calculatedColumnFormula>
    </tableColumn>
    <tableColumn id="45" xr3:uid="{30501DAE-368A-4139-B486-528B170E6783}" name="vnl" dataDxfId="166">
      <calculatedColumnFormula>_xlfn.IFNA(VLOOKUP($AH5,Programma!$F$3:$N$1107,9,0),"")</calculatedColumnFormula>
    </tableColumn>
    <tableColumn id="46" xr3:uid="{868425D4-EECE-431D-9D6F-487DB854241D}" name="i8" dataDxfId="165">
      <calculatedColumnFormula>_xlfn.IFNA(VLOOKUP($AH5,Programma!$F$3:$O$1107,10,0),"")</calculatedColumnFormula>
    </tableColumn>
    <tableColumn id="47" xr3:uid="{EA20F07B-5CD7-426B-BA6F-183E04D325BB}" name="i9" dataDxfId="164">
      <calculatedColumnFormula>_xlfn.IFNA(VLOOKUP($AH5,Programma!$F$3:$P$1107,11,0),"")</calculatedColumnFormula>
    </tableColumn>
    <tableColumn id="48" xr3:uid="{28D20BBF-F87A-4F80-A59D-F67559BB9D34}" name="i10" dataDxfId="163">
      <calculatedColumnFormula>_xlfn.IFNA(VLOOKUP($AH5,Programma!$F$3:$Q$1107,12,0),"")</calculatedColumnFormula>
    </tableColumn>
    <tableColumn id="49" xr3:uid="{0CB7B7F7-D003-43D2-9F6C-0F0170BB89E1}" name="i11" dataDxfId="162">
      <calculatedColumnFormula>_xlfn.IFNA(VLOOKUP($AH5,Programma!$F$3:$R$1107,13,0),"")</calculatedColumnFormula>
    </tableColumn>
    <tableColumn id="50" xr3:uid="{AD88DBA6-2501-4ADB-97BD-2EEAE5CA5FB9}" name="i12" dataDxfId="161">
      <calculatedColumnFormula>_xlfn.IFNA(VLOOKUP($AH5,Programma!$F$3:$S$1107,14,0),"")</calculatedColumnFormula>
    </tableColumn>
    <tableColumn id="51" xr3:uid="{0B24F272-5C0F-49A2-9E82-3DEBB7333DE2}" name="i13" dataDxfId="160">
      <calculatedColumnFormula>_xlfn.IFNA(VLOOKUP($AH5,Programma!$F$3:$T$1107,15,0),"")</calculatedColumnFormula>
    </tableColumn>
    <tableColumn id="52" xr3:uid="{60DD2901-FFF4-4159-9DB3-58E5D77411C3}" name="i14" dataDxfId="159">
      <calculatedColumnFormula>_xlfn.IFNA(VLOOKUP($AH5,Programma!$F$3:$U$1107,16,0),"")</calculatedColumnFormula>
    </tableColumn>
    <tableColumn id="53" xr3:uid="{87559DB0-F928-4A01-8FAF-36E422BF0893}" name="inl" dataDxfId="158">
      <calculatedColumnFormula>_xlfn.IFNA(VLOOKUP($AH5,Programma!$F$3:$V$1107,17,0),"")</calculatedColumnFormula>
    </tableColumn>
    <tableColumn id="54" xr3:uid="{1C929E3E-45B3-4A1C-A3C5-D8B1EDE1891E}" name="s15" dataDxfId="157">
      <calculatedColumnFormula>_xlfn.IFNA(VLOOKUP($AH5,Programma!$F$3:$W$1107,18,0),"")</calculatedColumnFormula>
    </tableColumn>
    <tableColumn id="55" xr3:uid="{68B49970-C415-4EEF-857B-52BA16B5258D}" name="s16" dataDxfId="156">
      <calculatedColumnFormula>_xlfn.IFNA(VLOOKUP($AH5,Programma!$F$3:$X$1107,19,0),"")</calculatedColumnFormula>
    </tableColumn>
    <tableColumn id="56" xr3:uid="{A0705AE3-CACF-4E1C-9227-68669BFDB0C6}" name="snl" dataDxfId="155">
      <calculatedColumnFormula>_xlfn.IFNA(VLOOKUP($AH5,Programma!$F$3:$Y$1107,20,0),"")</calculatedColumnFormula>
    </tableColumn>
    <tableColumn id="57" xr3:uid="{11D7C8EF-B5C8-42BF-8A18-9A836402F196}" name="Kolom1" dataDxfId="154"/>
    <tableColumn id="58" xr3:uid="{B2B8DFA8-D835-49F0-A51B-ED223C73D142}" name="Code Weekend" dataDxfId="153">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152">
      <calculatedColumnFormula>_xlfn.IFNA(VLOOKUP($BC5,Programma!$F$3:$G$1107,2,0),"")</calculatedColumnFormula>
    </tableColumn>
    <tableColumn id="60" xr3:uid="{27AAF80B-FAE7-4A55-B080-A97D81F19498}" name="vl23" dataDxfId="151">
      <calculatedColumnFormula>_xlfn.IFNA(VLOOKUP($BC5,Programma!$F$3:$H$1107,3,0),"")</calculatedColumnFormula>
    </tableColumn>
    <tableColumn id="61" xr3:uid="{A8E673C6-B5F4-4D95-85CD-FB4271CFAA79}" name="vl34" dataDxfId="150">
      <calculatedColumnFormula>_xlfn.IFNA(VLOOKUP($BC5,Programma!$F$3:$I$1107,4,0),"")</calculatedColumnFormula>
    </tableColumn>
    <tableColumn id="62" xr3:uid="{8F1B78A5-14D6-4E3A-8B4A-DFAEDDAB9211}" name="vl45" dataDxfId="149">
      <calculatedColumnFormula>_xlfn.IFNA(VLOOKUP($BC5,Programma!$F$3:$J$1107,5,0),"")</calculatedColumnFormula>
    </tableColumn>
    <tableColumn id="63" xr3:uid="{87048FA4-EE9C-46AE-B51B-6CBA81BE8308}" name="vl56" dataDxfId="148">
      <calculatedColumnFormula>_xlfn.IFNA(VLOOKUP($BC5,Programma!$F$3:$K$1107,6,0),"")</calculatedColumnFormula>
    </tableColumn>
    <tableColumn id="64" xr3:uid="{DA05AE85-CE88-407D-9245-D0C804841261}" name="vl67" dataDxfId="147">
      <calculatedColumnFormula>_xlfn.IFNA(VLOOKUP($BC5,Programma!$F$3:$L$1107,7,0),"")</calculatedColumnFormula>
    </tableColumn>
    <tableColumn id="65" xr3:uid="{78BAE9E2-79F8-42F8-A636-69ECC21638B3}" name="vl78" dataDxfId="146">
      <calculatedColumnFormula>_xlfn.IFNA(VLOOKUP($BC5,Programma!$F$3:$M$1107,8,0),"")</calculatedColumnFormula>
    </tableColumn>
    <tableColumn id="66" xr3:uid="{E7E7A23D-5570-4D4F-A0C4-4BEBD25C2D08}" name="vnl9" dataDxfId="145">
      <calculatedColumnFormula>_xlfn.IFNA(VLOOKUP($BC5,Programma!$F$3:$N$1107,9,0),"")</calculatedColumnFormula>
    </tableColumn>
    <tableColumn id="67" xr3:uid="{069678F9-CB78-4810-881E-5A1AE2EC2E64}" name="i810" dataDxfId="144">
      <calculatedColumnFormula>_xlfn.IFNA(VLOOKUP($BC5,Programma!$F$3:$O$1107,10,0),"")</calculatedColumnFormula>
    </tableColumn>
    <tableColumn id="68" xr3:uid="{D4FF459B-C19D-4ED7-9F3B-7801E97C6C63}" name="i911" dataDxfId="143">
      <calculatedColumnFormula>_xlfn.IFNA(VLOOKUP($BC5,Programma!$F$3:$P$1107,11,0),"")</calculatedColumnFormula>
    </tableColumn>
    <tableColumn id="69" xr3:uid="{059C7A6A-75FC-4AAF-9824-5E2D2E379CD4}" name="i102" dataDxfId="142">
      <calculatedColumnFormula>_xlfn.IFNA(VLOOKUP($BC5,Programma!$F$3:$Q$1107,12,0),"")</calculatedColumnFormula>
    </tableColumn>
    <tableColumn id="70" xr3:uid="{F02F1F0A-14E6-44C4-A18E-15D8545C3F7C}" name="i112" dataDxfId="141">
      <calculatedColumnFormula>_xlfn.IFNA(VLOOKUP($BC5,Programma!$F$3:$R$1107,13,0),"")</calculatedColumnFormula>
    </tableColumn>
    <tableColumn id="71" xr3:uid="{64F8BC77-D92C-4AFB-A8AA-C6E3DB4AF028}" name="i122" dataDxfId="140">
      <calculatedColumnFormula>_xlfn.IFNA(VLOOKUP($BC5,Programma!$F$3:$S$1107,14,0),"")</calculatedColumnFormula>
    </tableColumn>
    <tableColumn id="72" xr3:uid="{D10D9617-4D40-479A-8098-9C3D52AED20C}" name="i132" dataDxfId="139">
      <calculatedColumnFormula>_xlfn.IFNA(VLOOKUP($BC5,Programma!$F$3:$T$1107,15,0),"")</calculatedColumnFormula>
    </tableColumn>
    <tableColumn id="73" xr3:uid="{AFAFBD6D-E9F3-4AD5-B1BA-C259BBD1CC21}" name="i142" dataDxfId="138">
      <calculatedColumnFormula>_xlfn.IFNA(VLOOKUP($BC5,Programma!$F$3:$U$1107,16,0),"")</calculatedColumnFormula>
    </tableColumn>
    <tableColumn id="74" xr3:uid="{13917009-2884-4D8A-8C68-14907776CAFD}" name="inl2" dataDxfId="137">
      <calculatedColumnFormula>_xlfn.IFNA(VLOOKUP($BC5,Programma!$F$3:$V$1107,17,0),"")</calculatedColumnFormula>
    </tableColumn>
    <tableColumn id="75" xr3:uid="{6E9DF77C-B052-4A52-B6CF-00BB698E51C6}" name="s152" dataDxfId="136">
      <calculatedColumnFormula>_xlfn.IFNA(VLOOKUP($BC5,Programma!$F$3:$W$1107,18,0),"")</calculatedColumnFormula>
    </tableColumn>
    <tableColumn id="76" xr3:uid="{11F41571-107E-423E-B237-84692FBBC6D7}" name="s162" dataDxfId="135">
      <calculatedColumnFormula>_xlfn.IFNA(VLOOKUP($BC5,Programma!$F$3:$X$1107,19,0),"")</calculatedColumnFormula>
    </tableColumn>
    <tableColumn id="77" xr3:uid="{3DEE5E13-D5E7-474C-89D8-AF6FC5695F2C}" name="snl2" dataDxfId="134">
      <calculatedColumnFormula>_xlfn.IFNA(VLOOKUP($BC5,Programma!$F$3:$Y$1107,20,0),"")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6" totalsRowShown="0" headerRowDxfId="133">
  <autoFilter ref="A8:I16" xr:uid="{00000000-0009-0000-0100-000001000000}"/>
  <tableColumns count="9">
    <tableColumn id="1" xr3:uid="{634B9515-CED4-4B9C-AC41-91D68E2A6390}" name="Code Taak" dataDxfId="132"/>
    <tableColumn id="2" xr3:uid="{B45DE533-5F07-4399-BBF5-C49AD01DD88F}" name="Werkzaamheden"/>
    <tableColumn id="3" xr3:uid="{569B4254-85AB-4A9D-9738-20A72FAFD71D}" name="Prijs" dataDxfId="131"/>
    <tableColumn id="4" xr3:uid="{3FCFDB06-433D-4D90-AC83-D401C0BB9D5F}" name="Omschrijving" dataDxfId="130"/>
    <tableColumn id="5" xr3:uid="{A2C235A7-50B4-45CF-B035-6B2B17679F97}" name="2024" dataDxfId="129" dataCellStyle="Valuta">
      <calculatedColumnFormula>InvulVloer19[[#This Row],[Prijs]]*Tariefsopbouw!$I$37+InvulVloer19[[#This Row],[Prijs]]</calculatedColumnFormula>
    </tableColumn>
    <tableColumn id="6" xr3:uid="{32314B1F-C549-43D0-A68A-E1D872932DA7}" name="2025" dataDxfId="128" dataCellStyle="Valuta">
      <calculatedColumnFormula>InvulVloer19[[#This Row],[2024]]*Tariefsopbouw!$K$37+InvulVloer19[[#This Row],[2024]]</calculatedColumnFormula>
    </tableColumn>
    <tableColumn id="7" xr3:uid="{5A4E277A-177C-4476-A9A5-6B25E0351BAB}" name="2026" dataDxfId="127" dataCellStyle="Valuta">
      <calculatedColumnFormula>InvulVloer19[[#This Row],[2025]]*Tariefsopbouw!$M$37+InvulVloer19[[#This Row],[2025]]</calculatedColumnFormula>
    </tableColumn>
    <tableColumn id="8" xr3:uid="{6A8CB127-9578-4A7F-8F5E-DABA3EAD7E06}" name="2027" dataDxfId="126" dataCellStyle="Valuta">
      <calculatedColumnFormula>InvulVloer19[[#This Row],[2026]]*Tariefsopbouw!$O$37+InvulVloer19[[#This Row],[2026]]</calculatedColumnFormula>
    </tableColumn>
    <tableColumn id="9" xr3:uid="{F268163B-6C49-46F0-9F2A-A503A98B29BC}" name="2028" dataDxfId="125" dataCellStyle="Valuta">
      <calculatedColumnFormula>InvulVloer19[[#This Row],[2027]]*Tariefsopbouw!$Q$37+InvulVloer19[[#This Row],[2027]]</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18:I23" totalsRowCount="1" headerRowDxfId="124" dataDxfId="123" totalsRowDxfId="122">
  <autoFilter ref="A18:I22" xr:uid="{00000000-0009-0000-0100-000002000000}"/>
  <tableColumns count="9">
    <tableColumn id="11" xr3:uid="{9970215E-3F06-4AEF-A1F5-0009C03D624E}" name="Code Locatie" dataDxfId="121" totalsRowDxfId="120"/>
    <tableColumn id="1" xr3:uid="{113C96F6-1924-406B-B23A-994513941647}" name="Locatie" totalsRowLabel="Totaal" dataDxfId="119" totalsRowDxfId="118">
      <calculatedColumnFormula>VLOOKUP(OverzichtVloer20[[#This Row],[Code Locatie]],Locaties[],2,0)</calculatedColumnFormula>
    </tableColumn>
    <tableColumn id="3" xr3:uid="{B3D3B5E7-D3C4-461C-9CA1-DBFD10306269}" name="Code Taak" dataDxfId="117" totalsRowDxfId="116"/>
    <tableColumn id="4" xr3:uid="{EBF3EF80-AF01-4C87-A6CF-BF63D79AF323}" name="Vloersoort / toelichting" dataDxfId="115" totalsRowDxfId="114">
      <calculatedColumnFormula>IF(Vloeronderhoud!$C19&gt;0,VLOOKUP(Vloeronderhoud!$C19,$A$8:$B$16,2,FALSE),"")</calculatedColumnFormula>
    </tableColumn>
    <tableColumn id="5" xr3:uid="{309F41B6-3D0E-446B-8EDD-5EB98BD855C7}" name="Vloersoort" dataDxfId="113" totalsRowDxfId="112"/>
    <tableColumn id="6" xr3:uid="{B97F1EF9-BC44-4F7E-8997-83E439999C81}" name="Oppervlakte" dataDxfId="111" totalsRowDxfId="110">
      <calculatedColumnFormula>SUMIFS('Ruimtestaat'!$N:$N,'Ruimtestaat'!L:L,Vloeronderhoud!E19,'Ruimtestaat'!A:A,Vloeronderhoud!A19)</calculatedColumnFormula>
    </tableColumn>
    <tableColumn id="8" xr3:uid="{A5FF7A00-BD80-4497-8A9A-905C07BFA557}" name="Frequentie (uitv./jaar)" dataDxfId="109" totalsRowDxfId="108"/>
    <tableColumn id="9" xr3:uid="{13C992BE-16CA-4305-AC75-C46233681A13}" name="Kosten/jaar excl. BTW" totalsRowFunction="sum" dataDxfId="107" totalsRowDxfId="106">
      <calculatedColumnFormula>VLOOKUP(OverzichtVloer20[[#This Row],[Code Taak]],InvulVloer19[],3,3)*F19*G19</calculatedColumnFormula>
    </tableColumn>
    <tableColumn id="2" xr3:uid="{BBD43C19-81F6-4223-A10B-97F2D79A548F}" name="Kosten/jaar incl BTW" totalsRowFunction="sum" dataDxfId="105" totalsRowDxfId="104" dataCellStyle="Valuta">
      <calculatedColumnFormula>OverzichtVloer20[[#This Row],[Kosten/jaar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vulGlas" displayName="InvulGlas" ref="A8:I21" totalsRowShown="0" headerRowDxfId="103">
  <autoFilter ref="A8:I21" xr:uid="{00000000-0009-0000-0100-000003000000}"/>
  <tableColumns count="9">
    <tableColumn id="1" xr3:uid="{00000000-0010-0000-0500-000001000000}" name="Code taak" dataDxfId="102"/>
    <tableColumn id="2" xr3:uid="{00000000-0010-0000-0500-000002000000}" name="Glassoort/voorziening" dataDxfId="101"/>
    <tableColumn id="3" xr3:uid="{00000000-0010-0000-0500-000003000000}" name="Prijs excl. BTW" dataDxfId="100"/>
    <tableColumn id="4" xr3:uid="{00000000-0010-0000-0500-000004000000}" name="Eenheid" dataDxfId="99"/>
    <tableColumn id="5" xr3:uid="{CC43D47B-51D1-48C7-9FBE-6228B4D72C08}" name="2023" dataDxfId="98" dataCellStyle="Valuta">
      <calculatedColumnFormula>(InvulGlas[[#This Row],[Prijs excl. BTW]]*Tariefsopbouw!$H$35)+InvulGlas[[#This Row],[Prijs excl. BTW]]</calculatedColumnFormula>
    </tableColumn>
    <tableColumn id="6" xr3:uid="{14AF2224-D978-4323-B50E-296D91A6AA97}" name="2024" dataDxfId="97" dataCellStyle="Valuta">
      <calculatedColumnFormula>E9*Tariefsopbouw!$J$35+Glasbewassing!E9</calculatedColumnFormula>
    </tableColumn>
    <tableColumn id="7" xr3:uid="{C18EB174-680A-4DCC-A57F-327D4F1C3675}" name="2025" dataDxfId="96" dataCellStyle="Valuta">
      <calculatedColumnFormula>F9*Tariefsopbouw!$L$35+Glasbewassing!F9</calculatedColumnFormula>
    </tableColumn>
    <tableColumn id="8" xr3:uid="{2002E41E-1578-4095-8CE5-943025AA110B}" name="2026" dataDxfId="95" dataCellStyle="Valuta">
      <calculatedColumnFormula>G10*Tariefsopbouw!$N$35+Glasbewassing!G10</calculatedColumnFormula>
    </tableColumn>
    <tableColumn id="9" xr3:uid="{95B9447D-2760-430F-8929-530FC65F506E}" name="2027" dataDxfId="94" dataCellStyle="Valuta">
      <calculatedColumnFormula>H9*Tariefsopbouw!$P$35+Glasbewassing!H9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 Id="rId5" Type="http://schemas.openxmlformats.org/officeDocument/2006/relationships/table" Target="../tables/table5.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4"/>
  <sheetViews>
    <sheetView tabSelected="1" view="pageBreakPreview" zoomScaleNormal="100" zoomScaleSheetLayoutView="100" workbookViewId="0"/>
  </sheetViews>
  <sheetFormatPr defaultColWidth="9" defaultRowHeight="12.75"/>
  <cols>
    <col min="1" max="1" width="19.42578125" style="9" customWidth="1"/>
    <col min="2" max="2" width="103.7109375" style="9" bestFit="1" customWidth="1"/>
    <col min="3" max="16384" width="9" style="149"/>
  </cols>
  <sheetData>
    <row r="1" spans="1:2" ht="28.5">
      <c r="A1" s="246" t="s">
        <v>1261</v>
      </c>
      <c r="B1" s="247"/>
    </row>
    <row r="2" spans="1:2">
      <c r="A2" s="247"/>
      <c r="B2" s="248"/>
    </row>
    <row r="3" spans="1:2">
      <c r="A3" s="316" t="s">
        <v>1262</v>
      </c>
      <c r="B3" s="316" t="s">
        <v>1216</v>
      </c>
    </row>
    <row r="4" spans="1:2">
      <c r="A4" s="317" t="s">
        <v>271</v>
      </c>
      <c r="B4" s="318"/>
    </row>
    <row r="5" spans="1:2">
      <c r="A5" s="319"/>
      <c r="B5" s="320" t="s">
        <v>1337</v>
      </c>
    </row>
    <row r="6" spans="1:2">
      <c r="A6" s="319"/>
      <c r="B6" s="320" t="s">
        <v>1217</v>
      </c>
    </row>
    <row r="7" spans="1:2">
      <c r="A7" s="319"/>
      <c r="B7" s="320" t="s">
        <v>1338</v>
      </c>
    </row>
    <row r="8" spans="1:2">
      <c r="A8" s="319"/>
      <c r="B8" s="320" t="s">
        <v>1339</v>
      </c>
    </row>
    <row r="9" spans="1:2">
      <c r="A9" s="321" t="s">
        <v>272</v>
      </c>
      <c r="B9" s="322"/>
    </row>
    <row r="10" spans="1:2">
      <c r="A10" s="319"/>
      <c r="B10" s="320" t="s">
        <v>1529</v>
      </c>
    </row>
    <row r="11" spans="1:2">
      <c r="A11" s="319"/>
      <c r="B11" s="320" t="s">
        <v>1340</v>
      </c>
    </row>
    <row r="12" spans="1:2">
      <c r="A12" s="321" t="s">
        <v>273</v>
      </c>
      <c r="B12" s="322"/>
    </row>
    <row r="13" spans="1:2">
      <c r="A13" s="319"/>
      <c r="B13" s="320" t="s">
        <v>1341</v>
      </c>
    </row>
    <row r="14" spans="1:2">
      <c r="A14" s="319"/>
      <c r="B14" s="320" t="s">
        <v>1342</v>
      </c>
    </row>
    <row r="15" spans="1:2">
      <c r="A15" s="321" t="s">
        <v>274</v>
      </c>
      <c r="B15" s="322"/>
    </row>
    <row r="16" spans="1:2">
      <c r="A16" s="319"/>
      <c r="B16" s="320" t="s">
        <v>1343</v>
      </c>
    </row>
    <row r="17" spans="1:2">
      <c r="A17" s="319"/>
      <c r="B17" s="320" t="s">
        <v>1342</v>
      </c>
    </row>
    <row r="18" spans="1:2">
      <c r="A18" s="321" t="s">
        <v>275</v>
      </c>
      <c r="B18" s="322"/>
    </row>
    <row r="19" spans="1:2">
      <c r="A19" s="319"/>
      <c r="B19" s="320" t="s">
        <v>1530</v>
      </c>
    </row>
    <row r="20" spans="1:2">
      <c r="A20" s="321" t="s">
        <v>276</v>
      </c>
      <c r="B20" s="323" t="s">
        <v>1274</v>
      </c>
    </row>
    <row r="21" spans="1:2">
      <c r="A21" s="319"/>
      <c r="B21" s="320" t="s">
        <v>1531</v>
      </c>
    </row>
    <row r="22" spans="1:2">
      <c r="A22" s="319"/>
      <c r="B22" s="320" t="s">
        <v>1532</v>
      </c>
    </row>
    <row r="23" spans="1:2">
      <c r="A23" s="319"/>
      <c r="B23" s="320" t="s">
        <v>1533</v>
      </c>
    </row>
    <row r="24" spans="1:2">
      <c r="A24" s="321" t="s">
        <v>277</v>
      </c>
      <c r="B24" s="322" t="s">
        <v>1274</v>
      </c>
    </row>
    <row r="25" spans="1:2">
      <c r="A25" s="319"/>
      <c r="B25" s="319" t="s">
        <v>1534</v>
      </c>
    </row>
    <row r="26" spans="1:2">
      <c r="A26" s="319"/>
      <c r="B26" s="319" t="s">
        <v>1535</v>
      </c>
    </row>
    <row r="27" spans="1:2">
      <c r="A27" s="319"/>
      <c r="B27" s="319"/>
    </row>
    <row r="28" spans="1:2">
      <c r="A28" s="319"/>
      <c r="B28" s="319" t="s">
        <v>1218</v>
      </c>
    </row>
    <row r="29" spans="1:2">
      <c r="A29" s="319"/>
      <c r="B29" s="319" t="s">
        <v>1263</v>
      </c>
    </row>
    <row r="30" spans="1:2">
      <c r="A30" s="321" t="s">
        <v>278</v>
      </c>
      <c r="B30" s="323" t="s">
        <v>1219</v>
      </c>
    </row>
    <row r="31" spans="1:2">
      <c r="A31" s="324"/>
      <c r="B31" s="325" t="s">
        <v>1264</v>
      </c>
    </row>
    <row r="32" spans="1:2">
      <c r="A32" s="249"/>
      <c r="B32" s="250"/>
    </row>
    <row r="33" spans="1:2">
      <c r="A33" s="326" t="s">
        <v>1220</v>
      </c>
      <c r="B33" s="251"/>
    </row>
    <row r="34" spans="1:2">
      <c r="A34" s="327" t="s">
        <v>279</v>
      </c>
      <c r="B34" s="328"/>
    </row>
    <row r="35" spans="1:2">
      <c r="A35" s="319"/>
      <c r="B35" s="329" t="s">
        <v>1266</v>
      </c>
    </row>
    <row r="36" spans="1:2">
      <c r="A36" s="319" t="s">
        <v>1267</v>
      </c>
      <c r="B36" s="329"/>
    </row>
    <row r="37" spans="1:2">
      <c r="A37" s="319"/>
      <c r="B37" s="320" t="s">
        <v>1536</v>
      </c>
    </row>
    <row r="38" spans="1:2">
      <c r="A38" s="319"/>
      <c r="B38" s="320" t="s">
        <v>1537</v>
      </c>
    </row>
    <row r="39" spans="1:2">
      <c r="A39" s="319"/>
      <c r="B39" s="320" t="s">
        <v>1538</v>
      </c>
    </row>
    <row r="40" spans="1:2">
      <c r="A40" s="319"/>
      <c r="B40" s="320" t="s">
        <v>1539</v>
      </c>
    </row>
    <row r="41" spans="1:2">
      <c r="A41" s="319"/>
      <c r="B41" s="320" t="s">
        <v>1540</v>
      </c>
    </row>
    <row r="42" spans="1:2">
      <c r="A42" s="319"/>
      <c r="B42" s="320" t="s">
        <v>1541</v>
      </c>
    </row>
    <row r="43" spans="1:2">
      <c r="A43" s="319"/>
      <c r="B43" s="320" t="s">
        <v>1542</v>
      </c>
    </row>
    <row r="44" spans="1:2">
      <c r="A44" s="319"/>
      <c r="B44" s="320" t="s">
        <v>1543</v>
      </c>
    </row>
    <row r="45" spans="1:2">
      <c r="A45" s="319"/>
      <c r="B45" s="320" t="s">
        <v>1544</v>
      </c>
    </row>
    <row r="46" spans="1:2">
      <c r="A46" s="319"/>
      <c r="B46" s="319" t="s">
        <v>1545</v>
      </c>
    </row>
    <row r="47" spans="1:2">
      <c r="A47" s="319"/>
      <c r="B47" s="320" t="s">
        <v>1546</v>
      </c>
    </row>
    <row r="48" spans="1:2">
      <c r="A48" s="319"/>
      <c r="B48" s="320" t="s">
        <v>1547</v>
      </c>
    </row>
    <row r="49" spans="1:2">
      <c r="A49" s="327" t="s">
        <v>280</v>
      </c>
      <c r="B49" s="330"/>
    </row>
    <row r="50" spans="1:2">
      <c r="A50" s="319" t="s">
        <v>1268</v>
      </c>
      <c r="B50" s="320" t="s">
        <v>1548</v>
      </c>
    </row>
    <row r="51" spans="1:2">
      <c r="A51" s="319"/>
      <c r="B51" s="320" t="s">
        <v>1221</v>
      </c>
    </row>
    <row r="52" spans="1:2">
      <c r="A52" s="327" t="s">
        <v>281</v>
      </c>
      <c r="B52" s="330"/>
    </row>
    <row r="53" spans="1:2">
      <c r="A53" s="319"/>
      <c r="B53" s="319" t="s">
        <v>1549</v>
      </c>
    </row>
    <row r="54" spans="1:2" ht="25.5">
      <c r="A54" s="319"/>
      <c r="B54" s="329" t="s">
        <v>1550</v>
      </c>
    </row>
    <row r="55" spans="1:2" ht="25.5">
      <c r="A55" s="319"/>
      <c r="B55" s="329" t="s">
        <v>1551</v>
      </c>
    </row>
    <row r="56" spans="1:2">
      <c r="A56" s="319"/>
      <c r="B56" s="319" t="s">
        <v>1552</v>
      </c>
    </row>
    <row r="57" spans="1:2">
      <c r="A57" s="327" t="s">
        <v>282</v>
      </c>
      <c r="B57" s="330"/>
    </row>
    <row r="58" spans="1:2">
      <c r="A58" s="319"/>
      <c r="B58" s="319" t="s">
        <v>1222</v>
      </c>
    </row>
    <row r="59" spans="1:2">
      <c r="A59" s="319"/>
      <c r="B59" s="319" t="s">
        <v>1223</v>
      </c>
    </row>
    <row r="60" spans="1:2" ht="25.5">
      <c r="A60" s="319"/>
      <c r="B60" s="329" t="s">
        <v>1224</v>
      </c>
    </row>
    <row r="61" spans="1:2">
      <c r="A61" s="327" t="s">
        <v>283</v>
      </c>
      <c r="B61" s="330"/>
    </row>
    <row r="62" spans="1:2">
      <c r="A62" s="319"/>
      <c r="B62" s="329" t="s">
        <v>1553</v>
      </c>
    </row>
    <row r="63" spans="1:2">
      <c r="A63" s="319"/>
      <c r="B63" s="329" t="s">
        <v>1554</v>
      </c>
    </row>
    <row r="64" spans="1:2">
      <c r="A64" s="319"/>
      <c r="B64" s="320" t="s">
        <v>1555</v>
      </c>
    </row>
    <row r="65" spans="1:2">
      <c r="A65" s="327" t="s">
        <v>284</v>
      </c>
      <c r="B65" s="330"/>
    </row>
    <row r="66" spans="1:2">
      <c r="A66" s="319"/>
      <c r="B66" s="319" t="s">
        <v>1556</v>
      </c>
    </row>
    <row r="67" spans="1:2">
      <c r="A67" s="319"/>
      <c r="B67" s="329" t="s">
        <v>1557</v>
      </c>
    </row>
    <row r="68" spans="1:2">
      <c r="A68" s="327" t="s">
        <v>285</v>
      </c>
      <c r="B68" s="330"/>
    </row>
    <row r="69" spans="1:2">
      <c r="A69" s="319"/>
      <c r="B69" s="329" t="s">
        <v>1558</v>
      </c>
    </row>
    <row r="70" spans="1:2">
      <c r="A70" s="319"/>
      <c r="B70" s="329" t="s">
        <v>1559</v>
      </c>
    </row>
    <row r="71" spans="1:2">
      <c r="A71" s="327" t="s">
        <v>286</v>
      </c>
      <c r="B71" s="331" t="s">
        <v>1225</v>
      </c>
    </row>
    <row r="72" spans="1:2">
      <c r="A72" s="324"/>
      <c r="B72" s="332" t="s">
        <v>1560</v>
      </c>
    </row>
    <row r="73" spans="1:2">
      <c r="A73" s="249"/>
      <c r="B73" s="250"/>
    </row>
    <row r="74" spans="1:2">
      <c r="A74" s="249"/>
      <c r="B74" s="250"/>
    </row>
    <row r="75" spans="1:2">
      <c r="A75" s="326" t="s">
        <v>1269</v>
      </c>
      <c r="B75" s="250"/>
    </row>
    <row r="76" spans="1:2">
      <c r="A76" s="333" t="s">
        <v>1265</v>
      </c>
      <c r="B76" s="334"/>
    </row>
    <row r="77" spans="1:2">
      <c r="A77" s="335" t="s">
        <v>287</v>
      </c>
      <c r="B77" s="336"/>
    </row>
    <row r="78" spans="1:2">
      <c r="A78" s="337"/>
      <c r="B78" s="329" t="s">
        <v>1226</v>
      </c>
    </row>
    <row r="79" spans="1:2">
      <c r="A79" s="337"/>
      <c r="B79" s="319" t="s">
        <v>1561</v>
      </c>
    </row>
    <row r="80" spans="1:2">
      <c r="A80" s="337"/>
      <c r="B80" s="319" t="s">
        <v>1562</v>
      </c>
    </row>
    <row r="81" spans="1:2">
      <c r="A81" s="337"/>
      <c r="B81" s="319" t="s">
        <v>1227</v>
      </c>
    </row>
    <row r="82" spans="1:2">
      <c r="A82" s="337"/>
      <c r="B82" s="329" t="s">
        <v>1563</v>
      </c>
    </row>
    <row r="83" spans="1:2">
      <c r="A83" s="337"/>
      <c r="B83" s="329" t="s">
        <v>1564</v>
      </c>
    </row>
    <row r="84" spans="1:2">
      <c r="A84" s="338" t="s">
        <v>288</v>
      </c>
      <c r="B84" s="339"/>
    </row>
    <row r="85" spans="1:2">
      <c r="A85" s="337"/>
      <c r="B85" s="319" t="s">
        <v>1229</v>
      </c>
    </row>
    <row r="86" spans="1:2">
      <c r="A86" s="337"/>
      <c r="B86" s="329" t="s">
        <v>1565</v>
      </c>
    </row>
    <row r="87" spans="1:2">
      <c r="A87" s="338" t="s">
        <v>289</v>
      </c>
      <c r="B87" s="338" t="s">
        <v>1566</v>
      </c>
    </row>
    <row r="88" spans="1:2">
      <c r="A88" s="319"/>
      <c r="B88" s="319" t="s">
        <v>1230</v>
      </c>
    </row>
    <row r="89" spans="1:2">
      <c r="A89" s="319"/>
      <c r="B89" s="329" t="s">
        <v>1226</v>
      </c>
    </row>
    <row r="90" spans="1:2">
      <c r="A90" s="319"/>
      <c r="B90" s="319" t="s">
        <v>1227</v>
      </c>
    </row>
    <row r="91" spans="1:2">
      <c r="A91" s="319"/>
      <c r="B91" s="329" t="s">
        <v>1228</v>
      </c>
    </row>
    <row r="92" spans="1:2">
      <c r="A92" s="324"/>
      <c r="B92" s="332"/>
    </row>
    <row r="93" spans="1:2">
      <c r="A93" s="247"/>
      <c r="B93" s="252"/>
    </row>
    <row r="94" spans="1:2" ht="18.75">
      <c r="A94" s="340" t="s">
        <v>1244</v>
      </c>
      <c r="B94" s="341"/>
    </row>
    <row r="95" spans="1:2" ht="18.75">
      <c r="A95" s="342" t="s">
        <v>1270</v>
      </c>
      <c r="B95" s="343"/>
    </row>
    <row r="96" spans="1:2">
      <c r="A96" s="368"/>
      <c r="B96" s="368"/>
    </row>
    <row r="97" spans="1:2" ht="24">
      <c r="A97" s="344" t="s">
        <v>1271</v>
      </c>
      <c r="B97" s="345" t="s">
        <v>1231</v>
      </c>
    </row>
    <row r="98" spans="1:2">
      <c r="A98" s="346"/>
      <c r="B98" s="251"/>
    </row>
    <row r="99" spans="1:2" ht="24">
      <c r="A99" s="344" t="s">
        <v>1245</v>
      </c>
      <c r="B99" s="345" t="s">
        <v>1232</v>
      </c>
    </row>
    <row r="100" spans="1:2">
      <c r="A100" s="346"/>
      <c r="B100" s="253"/>
    </row>
    <row r="101" spans="1:2" ht="51.75" customHeight="1">
      <c r="A101" s="369" t="s">
        <v>1567</v>
      </c>
      <c r="B101" s="347" t="s">
        <v>1568</v>
      </c>
    </row>
    <row r="102" spans="1:2" ht="48">
      <c r="A102" s="370"/>
      <c r="B102" s="348" t="s">
        <v>1233</v>
      </c>
    </row>
    <row r="103" spans="1:2" ht="36">
      <c r="A103" s="371"/>
      <c r="B103" s="349" t="s">
        <v>1569</v>
      </c>
    </row>
    <row r="104" spans="1:2">
      <c r="A104" s="346"/>
      <c r="B104" s="253"/>
    </row>
    <row r="105" spans="1:2">
      <c r="A105" s="350" t="s">
        <v>1246</v>
      </c>
      <c r="B105" s="345" t="s">
        <v>1333</v>
      </c>
    </row>
    <row r="106" spans="1:2">
      <c r="A106" s="346"/>
      <c r="B106" s="253"/>
    </row>
    <row r="107" spans="1:2" ht="48">
      <c r="A107" s="350" t="s">
        <v>1247</v>
      </c>
      <c r="B107" s="345" t="s">
        <v>1570</v>
      </c>
    </row>
    <row r="108" spans="1:2">
      <c r="A108" s="346"/>
      <c r="B108" s="253"/>
    </row>
    <row r="109" spans="1:2" ht="24">
      <c r="A109" s="351" t="s">
        <v>1248</v>
      </c>
      <c r="B109" s="352" t="s">
        <v>1234</v>
      </c>
    </row>
    <row r="110" spans="1:2">
      <c r="A110" s="346"/>
      <c r="B110" s="253"/>
    </row>
    <row r="111" spans="1:2">
      <c r="A111" s="350" t="s">
        <v>220</v>
      </c>
      <c r="B111" s="345" t="s">
        <v>1235</v>
      </c>
    </row>
    <row r="112" spans="1:2">
      <c r="A112" s="346"/>
      <c r="B112" s="253"/>
    </row>
    <row r="113" spans="1:2" ht="24">
      <c r="A113" s="350" t="s">
        <v>1249</v>
      </c>
      <c r="B113" s="345" t="s">
        <v>1571</v>
      </c>
    </row>
    <row r="114" spans="1:2">
      <c r="A114" s="346"/>
      <c r="B114" s="253"/>
    </row>
    <row r="115" spans="1:2" ht="36">
      <c r="A115" s="350" t="s">
        <v>1250</v>
      </c>
      <c r="B115" s="345" t="s">
        <v>1572</v>
      </c>
    </row>
    <row r="116" spans="1:2">
      <c r="A116" s="346"/>
      <c r="B116" s="253"/>
    </row>
    <row r="117" spans="1:2" ht="24">
      <c r="A117" s="350" t="s">
        <v>1251</v>
      </c>
      <c r="B117" s="345" t="s">
        <v>1236</v>
      </c>
    </row>
    <row r="118" spans="1:2">
      <c r="A118" s="346"/>
      <c r="B118" s="253"/>
    </row>
    <row r="119" spans="1:2">
      <c r="A119" s="350" t="s">
        <v>1252</v>
      </c>
      <c r="B119" s="345" t="s">
        <v>1237</v>
      </c>
    </row>
    <row r="120" spans="1:2">
      <c r="A120" s="346"/>
      <c r="B120" s="253"/>
    </row>
    <row r="121" spans="1:2">
      <c r="A121" s="350" t="s">
        <v>1253</v>
      </c>
      <c r="B121" s="345" t="s">
        <v>1238</v>
      </c>
    </row>
    <row r="122" spans="1:2">
      <c r="A122" s="346"/>
      <c r="B122" s="253"/>
    </row>
    <row r="123" spans="1:2">
      <c r="A123" s="372" t="s">
        <v>1254</v>
      </c>
      <c r="B123" s="353" t="s">
        <v>1239</v>
      </c>
    </row>
    <row r="124" spans="1:2">
      <c r="A124" s="373"/>
      <c r="B124" s="348" t="s">
        <v>1240</v>
      </c>
    </row>
    <row r="125" spans="1:2">
      <c r="A125" s="373"/>
      <c r="B125" s="348" t="s">
        <v>1241</v>
      </c>
    </row>
    <row r="126" spans="1:2">
      <c r="A126" s="374"/>
      <c r="B126" s="349" t="s">
        <v>1573</v>
      </c>
    </row>
    <row r="127" spans="1:2">
      <c r="A127" s="346"/>
      <c r="B127" s="253"/>
    </row>
    <row r="128" spans="1:2" ht="24">
      <c r="A128" s="350" t="s">
        <v>36</v>
      </c>
      <c r="B128" s="345" t="s">
        <v>1574</v>
      </c>
    </row>
    <row r="129" spans="1:2">
      <c r="A129" s="346"/>
      <c r="B129" s="253"/>
    </row>
    <row r="130" spans="1:2">
      <c r="A130" s="350" t="s">
        <v>1255</v>
      </c>
      <c r="B130" s="345" t="s">
        <v>1242</v>
      </c>
    </row>
    <row r="131" spans="1:2">
      <c r="A131" s="346"/>
      <c r="B131" s="253"/>
    </row>
    <row r="132" spans="1:2" ht="36">
      <c r="A132" s="350" t="s">
        <v>1256</v>
      </c>
      <c r="B132" s="345" t="s">
        <v>1243</v>
      </c>
    </row>
    <row r="133" spans="1:2">
      <c r="A133" s="346"/>
      <c r="B133" s="253"/>
    </row>
    <row r="134" spans="1:2" ht="36">
      <c r="A134" s="350" t="s">
        <v>1575</v>
      </c>
      <c r="B134" s="345" t="s">
        <v>1576</v>
      </c>
    </row>
  </sheetData>
  <mergeCells count="3">
    <mergeCell ref="A96:B96"/>
    <mergeCell ref="A101:A103"/>
    <mergeCell ref="A123:A126"/>
  </mergeCells>
  <pageMargins left="0.7" right="0.7" top="0.75" bottom="0.75" header="0.3" footer="0.3"/>
  <pageSetup paperSize="9" scale="72" fitToHeight="0" orientation="portrait" r:id="rId1"/>
  <rowBreaks count="1" manualBreakCount="1">
    <brk id="7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79"/>
  <sheetViews>
    <sheetView view="pageBreakPreview" zoomScaleNormal="100" zoomScaleSheetLayoutView="100" workbookViewId="0">
      <selection sqref="A1:I1"/>
    </sheetView>
  </sheetViews>
  <sheetFormatPr defaultColWidth="9.140625" defaultRowHeight="18.75" customHeight="1"/>
  <cols>
    <col min="1" max="1" width="9.140625" style="67"/>
    <col min="2" max="2" width="66.42578125" style="2" customWidth="1"/>
    <col min="3" max="3" width="23.42578125" style="2" customWidth="1"/>
    <col min="4" max="4" width="15.140625" style="2" customWidth="1"/>
    <col min="5" max="9" width="17.7109375" style="2" bestFit="1" customWidth="1"/>
    <col min="10" max="16384" width="9.140625" style="2"/>
  </cols>
  <sheetData>
    <row r="1" spans="1:9" s="9" customFormat="1" ht="26.25" customHeight="1">
      <c r="A1" s="408" t="s">
        <v>170</v>
      </c>
      <c r="B1" s="408"/>
      <c r="C1" s="408"/>
      <c r="D1" s="408"/>
      <c r="E1" s="408"/>
      <c r="F1" s="408"/>
      <c r="G1" s="408"/>
      <c r="H1" s="408"/>
      <c r="I1" s="408"/>
    </row>
    <row r="2" spans="1:9" s="9" customFormat="1" ht="18.75" customHeight="1">
      <c r="A2" s="436" t="s">
        <v>204</v>
      </c>
      <c r="B2" s="407"/>
      <c r="C2" s="407"/>
      <c r="D2" s="407"/>
      <c r="E2" s="407"/>
      <c r="F2" s="407"/>
      <c r="G2" s="407"/>
      <c r="H2" s="407"/>
      <c r="I2" s="424"/>
    </row>
    <row r="3" spans="1:9" s="74" customFormat="1" ht="18.75" customHeight="1">
      <c r="A3" s="73"/>
    </row>
    <row r="4" spans="1:9" s="74" customFormat="1" ht="18.75" customHeight="1">
      <c r="A4" s="74" t="s">
        <v>169</v>
      </c>
    </row>
    <row r="5" spans="1:9" s="74" customFormat="1" ht="18.75" customHeight="1">
      <c r="A5" s="74" t="s">
        <v>171</v>
      </c>
    </row>
    <row r="6" spans="1:9" s="74" customFormat="1" ht="18.75" customHeight="1">
      <c r="A6" s="74" t="s">
        <v>217</v>
      </c>
    </row>
    <row r="7" spans="1:9" s="74" customFormat="1" ht="18.75" customHeight="1">
      <c r="A7" s="73"/>
      <c r="E7" s="423" t="s">
        <v>238</v>
      </c>
      <c r="F7" s="423"/>
      <c r="G7" s="423"/>
      <c r="H7" s="423"/>
      <c r="I7" s="423"/>
    </row>
    <row r="8" spans="1:9" s="31" customFormat="1" ht="26.25" customHeight="1" thickBot="1">
      <c r="A8" s="71"/>
      <c r="B8" s="70" t="s">
        <v>172</v>
      </c>
      <c r="C8" s="70" t="s">
        <v>142</v>
      </c>
      <c r="D8" s="33" t="s">
        <v>168</v>
      </c>
      <c r="E8" s="308" t="s">
        <v>257</v>
      </c>
      <c r="F8" s="308" t="s">
        <v>258</v>
      </c>
      <c r="G8" s="308" t="s">
        <v>259</v>
      </c>
      <c r="H8" s="308" t="s">
        <v>1259</v>
      </c>
      <c r="I8" s="309" t="s">
        <v>1335</v>
      </c>
    </row>
    <row r="9" spans="1:9" ht="18.75" customHeight="1" thickTop="1">
      <c r="A9" s="433" t="s">
        <v>186</v>
      </c>
      <c r="B9" s="70" t="s">
        <v>174</v>
      </c>
      <c r="C9" s="70" t="s">
        <v>173</v>
      </c>
      <c r="D9" s="72">
        <v>0</v>
      </c>
      <c r="E9" s="160">
        <f>InvulRegie[[#This Row],[Prijs excl. BTW]]*Tariefsopbouw!$H$42+InvulRegie[[#This Row],[Prijs excl. BTW]]</f>
        <v>0</v>
      </c>
      <c r="F9" s="160">
        <f>E9*Tariefsopbouw!$J$42+'Regie en afroep'!E9</f>
        <v>0</v>
      </c>
      <c r="G9" s="160">
        <f>F9*Tariefsopbouw!$L$42+'Regie en afroep'!F9</f>
        <v>0</v>
      </c>
      <c r="H9" s="160">
        <f>G9*Tariefsopbouw!$N$42+'Regie en afroep'!G9</f>
        <v>0</v>
      </c>
      <c r="I9" s="160">
        <f>H9*Tariefsopbouw!$P$42+H9</f>
        <v>0</v>
      </c>
    </row>
    <row r="10" spans="1:9" ht="18.75" customHeight="1">
      <c r="A10" s="434"/>
      <c r="B10" s="70" t="s">
        <v>175</v>
      </c>
      <c r="C10" s="70" t="s">
        <v>173</v>
      </c>
      <c r="D10" s="72">
        <v>0</v>
      </c>
      <c r="E10" s="161">
        <f>InvulRegie[[#This Row],[Prijs excl. BTW]]*Tariefsopbouw!$H$42+InvulRegie[[#This Row],[Prijs excl. BTW]]</f>
        <v>0</v>
      </c>
      <c r="F10" s="161">
        <f>E10*Tariefsopbouw!$J$42+'Regie en afroep'!E10</f>
        <v>0</v>
      </c>
      <c r="G10" s="161">
        <f>F10*Tariefsopbouw!$L$42+'Regie en afroep'!F10</f>
        <v>0</v>
      </c>
      <c r="H10" s="161">
        <f>G10*Tariefsopbouw!$N$42+'Regie en afroep'!G10</f>
        <v>0</v>
      </c>
      <c r="I10" s="161">
        <f>H10*Tariefsopbouw!$P$42+H10</f>
        <v>0</v>
      </c>
    </row>
    <row r="11" spans="1:9" ht="18.75" customHeight="1">
      <c r="A11" s="434"/>
      <c r="B11" s="69" t="s">
        <v>176</v>
      </c>
      <c r="C11" s="70" t="s">
        <v>173</v>
      </c>
      <c r="D11" s="72">
        <v>0</v>
      </c>
      <c r="E11" s="161">
        <f>InvulRegie[[#This Row],[Prijs excl. BTW]]*Tariefsopbouw!$H$42+InvulRegie[[#This Row],[Prijs excl. BTW]]</f>
        <v>0</v>
      </c>
      <c r="F11" s="161">
        <f>E11*Tariefsopbouw!$J$42+'Regie en afroep'!E11</f>
        <v>0</v>
      </c>
      <c r="G11" s="161">
        <f>F11*Tariefsopbouw!$L$42+'Regie en afroep'!F11</f>
        <v>0</v>
      </c>
      <c r="H11" s="161">
        <f>G11*Tariefsopbouw!$N$42+'Regie en afroep'!G11</f>
        <v>0</v>
      </c>
      <c r="I11" s="161">
        <f>H11*Tariefsopbouw!$P$42+H11</f>
        <v>0</v>
      </c>
    </row>
    <row r="12" spans="1:9" ht="18.75" customHeight="1">
      <c r="A12" s="434"/>
      <c r="B12" s="69" t="s">
        <v>193</v>
      </c>
      <c r="C12" s="70" t="s">
        <v>173</v>
      </c>
      <c r="D12" s="72">
        <v>0</v>
      </c>
      <c r="E12" s="162">
        <f>InvulRegie[[#This Row],[Prijs excl. BTW]]*Tariefsopbouw!$H$42+InvulRegie[[#This Row],[Prijs excl. BTW]]</f>
        <v>0</v>
      </c>
      <c r="F12" s="162">
        <f>E12*Tariefsopbouw!$J$42+'Regie en afroep'!E12</f>
        <v>0</v>
      </c>
      <c r="G12" s="162">
        <f>F12*Tariefsopbouw!$L$42+'Regie en afroep'!F12</f>
        <v>0</v>
      </c>
      <c r="H12" s="162">
        <f>G12*Tariefsopbouw!$N$42+'Regie en afroep'!G12</f>
        <v>0</v>
      </c>
      <c r="I12" s="162">
        <f>H12*Tariefsopbouw!$P$42+H12</f>
        <v>0</v>
      </c>
    </row>
    <row r="13" spans="1:9" ht="18.75" customHeight="1">
      <c r="A13" s="435"/>
      <c r="B13" s="70" t="s">
        <v>182</v>
      </c>
      <c r="C13" s="70" t="s">
        <v>173</v>
      </c>
      <c r="D13" s="72">
        <v>0</v>
      </c>
      <c r="E13" s="161">
        <f>InvulRegie[[#This Row],[Prijs excl. BTW]]*Tariefsopbouw!$H$42+InvulRegie[[#This Row],[Prijs excl. BTW]]</f>
        <v>0</v>
      </c>
      <c r="F13" s="161">
        <f>E13*Tariefsopbouw!$J$42+'Regie en afroep'!E13</f>
        <v>0</v>
      </c>
      <c r="G13" s="161">
        <f>F13*Tariefsopbouw!$L$42+'Regie en afroep'!F13</f>
        <v>0</v>
      </c>
      <c r="H13" s="161">
        <f>G13*Tariefsopbouw!$N$42+'Regie en afroep'!G13</f>
        <v>0</v>
      </c>
      <c r="I13" s="161">
        <f>H13*Tariefsopbouw!$P$42+H13</f>
        <v>0</v>
      </c>
    </row>
    <row r="14" spans="1:9" ht="18.75" customHeight="1">
      <c r="A14" s="433" t="s">
        <v>122</v>
      </c>
      <c r="B14" s="70" t="s">
        <v>40</v>
      </c>
      <c r="C14" s="70" t="s">
        <v>41</v>
      </c>
      <c r="D14" s="72">
        <v>0</v>
      </c>
      <c r="E14" s="162">
        <f>InvulRegie[[#This Row],[Prijs excl. BTW]]*Tariefsopbouw!$H$42+InvulRegie[[#This Row],[Prijs excl. BTW]]</f>
        <v>0</v>
      </c>
      <c r="F14" s="162">
        <f>E14*Tariefsopbouw!$J$42+'Regie en afroep'!E14</f>
        <v>0</v>
      </c>
      <c r="G14" s="162">
        <f>F14*Tariefsopbouw!$L$42+'Regie en afroep'!F14</f>
        <v>0</v>
      </c>
      <c r="H14" s="162">
        <f>G14*Tariefsopbouw!$N$42+'Regie en afroep'!G14</f>
        <v>0</v>
      </c>
      <c r="I14" s="162">
        <f>H14*Tariefsopbouw!$P$42+H14</f>
        <v>0</v>
      </c>
    </row>
    <row r="15" spans="1:9" ht="18.75" customHeight="1">
      <c r="A15" s="434"/>
      <c r="B15" s="70" t="s">
        <v>42</v>
      </c>
      <c r="C15" s="70" t="s">
        <v>177</v>
      </c>
      <c r="D15" s="72">
        <v>0</v>
      </c>
      <c r="E15" s="161">
        <f>InvulRegie[[#This Row],[Prijs excl. BTW]]*Tariefsopbouw!$H$42+InvulRegie[[#This Row],[Prijs excl. BTW]]</f>
        <v>0</v>
      </c>
      <c r="F15" s="161">
        <f>E15*Tariefsopbouw!$J$42+'Regie en afroep'!E15</f>
        <v>0</v>
      </c>
      <c r="G15" s="161">
        <f>F15*Tariefsopbouw!$L$42+'Regie en afroep'!F15</f>
        <v>0</v>
      </c>
      <c r="H15" s="161">
        <f>G15*Tariefsopbouw!$N$42+'Regie en afroep'!G15</f>
        <v>0</v>
      </c>
      <c r="I15" s="161">
        <f>H15*Tariefsopbouw!$P$42+H15</f>
        <v>0</v>
      </c>
    </row>
    <row r="16" spans="1:9" ht="18.75" customHeight="1">
      <c r="A16" s="434"/>
      <c r="B16" s="70" t="s">
        <v>178</v>
      </c>
      <c r="C16" s="70" t="s">
        <v>177</v>
      </c>
      <c r="D16" s="72">
        <v>0</v>
      </c>
      <c r="E16" s="162">
        <f>InvulRegie[[#This Row],[Prijs excl. BTW]]*Tariefsopbouw!$H$42+InvulRegie[[#This Row],[Prijs excl. BTW]]</f>
        <v>0</v>
      </c>
      <c r="F16" s="162">
        <f>E16*Tariefsopbouw!$J$42+'Regie en afroep'!E16</f>
        <v>0</v>
      </c>
      <c r="G16" s="162">
        <f>F16*Tariefsopbouw!$L$42+'Regie en afroep'!F16</f>
        <v>0</v>
      </c>
      <c r="H16" s="162">
        <f>G16*Tariefsopbouw!$N$42+'Regie en afroep'!G16</f>
        <v>0</v>
      </c>
      <c r="I16" s="162">
        <f>H16*Tariefsopbouw!$P$42+H16</f>
        <v>0</v>
      </c>
    </row>
    <row r="17" spans="1:9" ht="18.75" customHeight="1">
      <c r="A17" s="434"/>
      <c r="B17" s="70" t="s">
        <v>179</v>
      </c>
      <c r="C17" s="70" t="s">
        <v>43</v>
      </c>
      <c r="D17" s="72">
        <v>0</v>
      </c>
      <c r="E17" s="161">
        <f>InvulRegie[[#This Row],[Prijs excl. BTW]]*Tariefsopbouw!$H$42+InvulRegie[[#This Row],[Prijs excl. BTW]]</f>
        <v>0</v>
      </c>
      <c r="F17" s="161">
        <f>E17*Tariefsopbouw!$J$42+'Regie en afroep'!E17</f>
        <v>0</v>
      </c>
      <c r="G17" s="161">
        <f>F17*Tariefsopbouw!$L$42+'Regie en afroep'!F17</f>
        <v>0</v>
      </c>
      <c r="H17" s="161">
        <f>G17*Tariefsopbouw!$N$42+'Regie en afroep'!G17</f>
        <v>0</v>
      </c>
      <c r="I17" s="161">
        <f>H17*Tariefsopbouw!$P$42+H17</f>
        <v>0</v>
      </c>
    </row>
    <row r="18" spans="1:9" ht="18.75" customHeight="1">
      <c r="A18" s="434"/>
      <c r="B18" s="70" t="s">
        <v>232</v>
      </c>
      <c r="C18" s="70" t="s">
        <v>43</v>
      </c>
      <c r="D18" s="72">
        <v>0</v>
      </c>
      <c r="E18" s="162">
        <f>InvulRegie[[#This Row],[Prijs excl. BTW]]*Tariefsopbouw!$H$42+InvulRegie[[#This Row],[Prijs excl. BTW]]</f>
        <v>0</v>
      </c>
      <c r="F18" s="162">
        <f>E18*Tariefsopbouw!$J$42+'Regie en afroep'!E18</f>
        <v>0</v>
      </c>
      <c r="G18" s="162">
        <f>F18*Tariefsopbouw!$L$42+'Regie en afroep'!F18</f>
        <v>0</v>
      </c>
      <c r="H18" s="162">
        <f>G18*Tariefsopbouw!$N$42+'Regie en afroep'!G18</f>
        <v>0</v>
      </c>
      <c r="I18" s="162">
        <f>H18*Tariefsopbouw!$P$42+H18</f>
        <v>0</v>
      </c>
    </row>
    <row r="19" spans="1:9" ht="18.75" customHeight="1">
      <c r="A19" s="434"/>
      <c r="B19" s="70" t="s">
        <v>180</v>
      </c>
      <c r="C19" s="70" t="s">
        <v>43</v>
      </c>
      <c r="D19" s="72">
        <v>0</v>
      </c>
      <c r="E19" s="161">
        <f>InvulRegie[[#This Row],[Prijs excl. BTW]]*Tariefsopbouw!$H$42+InvulRegie[[#This Row],[Prijs excl. BTW]]</f>
        <v>0</v>
      </c>
      <c r="F19" s="161">
        <f>E19*Tariefsopbouw!$J$42+'Regie en afroep'!E19</f>
        <v>0</v>
      </c>
      <c r="G19" s="161">
        <f>F19*Tariefsopbouw!$L$42+'Regie en afroep'!F19</f>
        <v>0</v>
      </c>
      <c r="H19" s="161">
        <f>G19*Tariefsopbouw!$N$42+'Regie en afroep'!G19</f>
        <v>0</v>
      </c>
      <c r="I19" s="161">
        <f>H19*Tariefsopbouw!$P$42+H19</f>
        <v>0</v>
      </c>
    </row>
    <row r="20" spans="1:9" ht="18.75" customHeight="1">
      <c r="A20" s="435"/>
      <c r="B20" s="70" t="s">
        <v>181</v>
      </c>
      <c r="C20" s="70" t="s">
        <v>43</v>
      </c>
      <c r="D20" s="72">
        <v>0</v>
      </c>
      <c r="E20" s="162">
        <f>InvulRegie[[#This Row],[Prijs excl. BTW]]*Tariefsopbouw!$H$42+InvulRegie[[#This Row],[Prijs excl. BTW]]</f>
        <v>0</v>
      </c>
      <c r="F20" s="162">
        <f>E20*Tariefsopbouw!$J$42+'Regie en afroep'!E20</f>
        <v>0</v>
      </c>
      <c r="G20" s="162">
        <f>F20*Tariefsopbouw!$L$42+'Regie en afroep'!F20</f>
        <v>0</v>
      </c>
      <c r="H20" s="162">
        <f>G20*Tariefsopbouw!$N$42+'Regie en afroep'!G20</f>
        <v>0</v>
      </c>
      <c r="I20" s="162">
        <f>H20*Tariefsopbouw!$P$42+H20</f>
        <v>0</v>
      </c>
    </row>
    <row r="21" spans="1:9" ht="18.75" customHeight="1">
      <c r="A21" s="433" t="s">
        <v>183</v>
      </c>
      <c r="B21" s="70" t="s">
        <v>56</v>
      </c>
      <c r="C21" s="70" t="s">
        <v>48</v>
      </c>
      <c r="D21" s="72">
        <v>0</v>
      </c>
      <c r="E21" s="161">
        <f>InvulRegie[[#This Row],[Prijs excl. BTW]]*Tariefsopbouw!$H$42+InvulRegie[[#This Row],[Prijs excl. BTW]]</f>
        <v>0</v>
      </c>
      <c r="F21" s="161">
        <f>E21*Tariefsopbouw!$J$42+'Regie en afroep'!E21</f>
        <v>0</v>
      </c>
      <c r="G21" s="161">
        <f>F21*Tariefsopbouw!$L$42+'Regie en afroep'!F21</f>
        <v>0</v>
      </c>
      <c r="H21" s="161">
        <f>G21*Tariefsopbouw!$N$42+'Regie en afroep'!G21</f>
        <v>0</v>
      </c>
      <c r="I21" s="161">
        <f>H21*Tariefsopbouw!$P$42+H21</f>
        <v>0</v>
      </c>
    </row>
    <row r="22" spans="1:9" ht="18.75" customHeight="1">
      <c r="A22" s="435"/>
      <c r="B22" s="70" t="s">
        <v>44</v>
      </c>
      <c r="C22" s="70" t="s">
        <v>67</v>
      </c>
      <c r="D22" s="72">
        <v>0</v>
      </c>
      <c r="E22" s="162">
        <f>InvulRegie[[#This Row],[Prijs excl. BTW]]*Tariefsopbouw!$H$42+InvulRegie[[#This Row],[Prijs excl. BTW]]</f>
        <v>0</v>
      </c>
      <c r="F22" s="162">
        <f>E22*Tariefsopbouw!$J$42+'Regie en afroep'!E22</f>
        <v>0</v>
      </c>
      <c r="G22" s="162">
        <f>F22*Tariefsopbouw!$L$42+'Regie en afroep'!F22</f>
        <v>0</v>
      </c>
      <c r="H22" s="162">
        <f>G22*Tariefsopbouw!$N$42+'Regie en afroep'!G22</f>
        <v>0</v>
      </c>
      <c r="I22" s="162">
        <f>H22*Tariefsopbouw!$P$42+H22</f>
        <v>0</v>
      </c>
    </row>
    <row r="23" spans="1:9" ht="18.75" customHeight="1">
      <c r="A23" s="433" t="s">
        <v>194</v>
      </c>
      <c r="B23" s="70" t="s">
        <v>184</v>
      </c>
      <c r="C23" s="70" t="s">
        <v>185</v>
      </c>
      <c r="D23" s="72">
        <v>0</v>
      </c>
      <c r="E23" s="161">
        <f>InvulRegie[[#This Row],[Prijs excl. BTW]]*Tariefsopbouw!$H$42+InvulRegie[[#This Row],[Prijs excl. BTW]]</f>
        <v>0</v>
      </c>
      <c r="F23" s="161">
        <f>E23*Tariefsopbouw!$J$42+'Regie en afroep'!E23</f>
        <v>0</v>
      </c>
      <c r="G23" s="161">
        <f>F23*Tariefsopbouw!$L$42+'Regie en afroep'!F23</f>
        <v>0</v>
      </c>
      <c r="H23" s="161">
        <f>G23*Tariefsopbouw!$N$42+'Regie en afroep'!G23</f>
        <v>0</v>
      </c>
      <c r="I23" s="161">
        <f>H23*Tariefsopbouw!$P$42+H23</f>
        <v>0</v>
      </c>
    </row>
    <row r="24" spans="1:9" ht="18.75" customHeight="1">
      <c r="A24" s="434"/>
      <c r="B24" s="70" t="s">
        <v>225</v>
      </c>
      <c r="C24" s="70" t="s">
        <v>185</v>
      </c>
      <c r="D24" s="72">
        <v>0</v>
      </c>
      <c r="E24" s="162">
        <f>InvulRegie[[#This Row],[Prijs excl. BTW]]*Tariefsopbouw!$H$42+InvulRegie[[#This Row],[Prijs excl. BTW]]</f>
        <v>0</v>
      </c>
      <c r="F24" s="162">
        <f>E24*Tariefsopbouw!$J$42+'Regie en afroep'!E24</f>
        <v>0</v>
      </c>
      <c r="G24" s="162">
        <f>F24*Tariefsopbouw!$L$42+'Regie en afroep'!F24</f>
        <v>0</v>
      </c>
      <c r="H24" s="162">
        <f>G24*Tariefsopbouw!$N$42+'Regie en afroep'!G24</f>
        <v>0</v>
      </c>
      <c r="I24" s="162">
        <f>H24*Tariefsopbouw!$P$42+H24</f>
        <v>0</v>
      </c>
    </row>
    <row r="25" spans="1:9" ht="18.75" customHeight="1">
      <c r="A25" s="434"/>
      <c r="B25" s="70" t="s">
        <v>227</v>
      </c>
      <c r="C25" s="70" t="s">
        <v>185</v>
      </c>
      <c r="D25" s="72">
        <v>0</v>
      </c>
      <c r="E25" s="161">
        <f>InvulRegie[[#This Row],[Prijs excl. BTW]]*Tariefsopbouw!$H$42+InvulRegie[[#This Row],[Prijs excl. BTW]]</f>
        <v>0</v>
      </c>
      <c r="F25" s="161">
        <f>E25*Tariefsopbouw!$J$42+'Regie en afroep'!E25</f>
        <v>0</v>
      </c>
      <c r="G25" s="161">
        <f>F25*Tariefsopbouw!$L$42+'Regie en afroep'!F25</f>
        <v>0</v>
      </c>
      <c r="H25" s="161">
        <f>G25*Tariefsopbouw!$N$42+'Regie en afroep'!G25</f>
        <v>0</v>
      </c>
      <c r="I25" s="161">
        <f>H25*Tariefsopbouw!$P$42+H25</f>
        <v>0</v>
      </c>
    </row>
    <row r="26" spans="1:9" ht="18.75" customHeight="1">
      <c r="A26" s="434"/>
      <c r="B26" s="70" t="s">
        <v>226</v>
      </c>
      <c r="C26" s="70" t="s">
        <v>185</v>
      </c>
      <c r="D26" s="72">
        <v>0</v>
      </c>
      <c r="E26" s="162">
        <f>InvulRegie[[#This Row],[Prijs excl. BTW]]*Tariefsopbouw!$H$42+InvulRegie[[#This Row],[Prijs excl. BTW]]</f>
        <v>0</v>
      </c>
      <c r="F26" s="162">
        <f>E26*Tariefsopbouw!$J$42+'Regie en afroep'!E26</f>
        <v>0</v>
      </c>
      <c r="G26" s="162">
        <f>F26*Tariefsopbouw!$L$42+'Regie en afroep'!F26</f>
        <v>0</v>
      </c>
      <c r="H26" s="162">
        <f>G26*Tariefsopbouw!$N$42+'Regie en afroep'!G26</f>
        <v>0</v>
      </c>
      <c r="I26" s="162">
        <f>H26*Tariefsopbouw!$P$42+H26</f>
        <v>0</v>
      </c>
    </row>
    <row r="27" spans="1:9" ht="18.75" customHeight="1">
      <c r="A27" s="435"/>
      <c r="B27" s="70" t="s">
        <v>47</v>
      </c>
      <c r="C27" s="70" t="s">
        <v>185</v>
      </c>
      <c r="D27" s="72">
        <v>0</v>
      </c>
      <c r="E27" s="161">
        <f>InvulRegie[[#This Row],[Prijs excl. BTW]]*Tariefsopbouw!$H$42+InvulRegie[[#This Row],[Prijs excl. BTW]]</f>
        <v>0</v>
      </c>
      <c r="F27" s="161">
        <f>E27*Tariefsopbouw!$J$42+'Regie en afroep'!E27</f>
        <v>0</v>
      </c>
      <c r="G27" s="161">
        <f>F27*Tariefsopbouw!$L$42+'Regie en afroep'!F27</f>
        <v>0</v>
      </c>
      <c r="H27" s="161">
        <f>G27*Tariefsopbouw!$N$42+'Regie en afroep'!G27</f>
        <v>0</v>
      </c>
      <c r="I27" s="161">
        <f>H27*Tariefsopbouw!$P$42+H27</f>
        <v>0</v>
      </c>
    </row>
    <row r="28" spans="1:9" ht="18.75" customHeight="1">
      <c r="A28" s="433" t="s">
        <v>189</v>
      </c>
      <c r="B28" s="70" t="s">
        <v>49</v>
      </c>
      <c r="C28" s="70" t="s">
        <v>48</v>
      </c>
      <c r="D28" s="72">
        <v>0</v>
      </c>
      <c r="E28" s="162">
        <f>InvulRegie[[#This Row],[Prijs excl. BTW]]*Tariefsopbouw!$H$42+InvulRegie[[#This Row],[Prijs excl. BTW]]</f>
        <v>0</v>
      </c>
      <c r="F28" s="162">
        <f>E28*Tariefsopbouw!$J$42+'Regie en afroep'!E28</f>
        <v>0</v>
      </c>
      <c r="G28" s="162">
        <f>F28*Tariefsopbouw!$L$42+'Regie en afroep'!F28</f>
        <v>0</v>
      </c>
      <c r="H28" s="162">
        <f>G28*Tariefsopbouw!$N$42+'Regie en afroep'!G28</f>
        <v>0</v>
      </c>
      <c r="I28" s="162">
        <f>H28*Tariefsopbouw!$P$42+H28</f>
        <v>0</v>
      </c>
    </row>
    <row r="29" spans="1:9" ht="18.75" customHeight="1">
      <c r="A29" s="434"/>
      <c r="B29" s="70" t="s">
        <v>50</v>
      </c>
      <c r="C29" s="70" t="s">
        <v>48</v>
      </c>
      <c r="D29" s="72">
        <v>0</v>
      </c>
      <c r="E29" s="161">
        <f>InvulRegie[[#This Row],[Prijs excl. BTW]]*Tariefsopbouw!$H$42+InvulRegie[[#This Row],[Prijs excl. BTW]]</f>
        <v>0</v>
      </c>
      <c r="F29" s="161">
        <f>E29*Tariefsopbouw!$J$42+'Regie en afroep'!E29</f>
        <v>0</v>
      </c>
      <c r="G29" s="161">
        <f>F29*Tariefsopbouw!$L$42+'Regie en afroep'!F29</f>
        <v>0</v>
      </c>
      <c r="H29" s="161">
        <f>G29*Tariefsopbouw!$N$42+'Regie en afroep'!G29</f>
        <v>0</v>
      </c>
      <c r="I29" s="161">
        <f>H29*Tariefsopbouw!$P$42+H29</f>
        <v>0</v>
      </c>
    </row>
    <row r="30" spans="1:9" ht="18.75" customHeight="1">
      <c r="A30" s="434"/>
      <c r="B30" s="70" t="s">
        <v>51</v>
      </c>
      <c r="C30" s="70" t="s">
        <v>48</v>
      </c>
      <c r="D30" s="72">
        <v>0</v>
      </c>
      <c r="E30" s="162">
        <f>InvulRegie[[#This Row],[Prijs excl. BTW]]*Tariefsopbouw!$H$42+InvulRegie[[#This Row],[Prijs excl. BTW]]</f>
        <v>0</v>
      </c>
      <c r="F30" s="162">
        <f>E30*Tariefsopbouw!$J$42+'Regie en afroep'!E30</f>
        <v>0</v>
      </c>
      <c r="G30" s="162">
        <f>F30*Tariefsopbouw!$L$42+'Regie en afroep'!F30</f>
        <v>0</v>
      </c>
      <c r="H30" s="162">
        <f>G30*Tariefsopbouw!$N$42+'Regie en afroep'!G30</f>
        <v>0</v>
      </c>
      <c r="I30" s="162">
        <f>H30*Tariefsopbouw!$P$42+H30</f>
        <v>0</v>
      </c>
    </row>
    <row r="31" spans="1:9" ht="18.75" customHeight="1">
      <c r="A31" s="434"/>
      <c r="B31" s="70" t="s">
        <v>52</v>
      </c>
      <c r="C31" s="70" t="s">
        <v>48</v>
      </c>
      <c r="D31" s="72">
        <v>0</v>
      </c>
      <c r="E31" s="161">
        <f>InvulRegie[[#This Row],[Prijs excl. BTW]]*Tariefsopbouw!$H$42+InvulRegie[[#This Row],[Prijs excl. BTW]]</f>
        <v>0</v>
      </c>
      <c r="F31" s="161">
        <f>E31*Tariefsopbouw!$J$42+'Regie en afroep'!E31</f>
        <v>0</v>
      </c>
      <c r="G31" s="161">
        <f>F31*Tariefsopbouw!$L$42+'Regie en afroep'!F31</f>
        <v>0</v>
      </c>
      <c r="H31" s="161">
        <f>G31*Tariefsopbouw!$N$42+'Regie en afroep'!G31</f>
        <v>0</v>
      </c>
      <c r="I31" s="161">
        <f>H31*Tariefsopbouw!$P$42+H31</f>
        <v>0</v>
      </c>
    </row>
    <row r="32" spans="1:9" ht="18.75" customHeight="1">
      <c r="A32" s="435"/>
      <c r="B32" s="70" t="s">
        <v>45</v>
      </c>
      <c r="C32" s="70" t="s">
        <v>46</v>
      </c>
      <c r="D32" s="72">
        <v>0</v>
      </c>
      <c r="E32" s="162">
        <f>InvulRegie[[#This Row],[Prijs excl. BTW]]*Tariefsopbouw!$H$42+InvulRegie[[#This Row],[Prijs excl. BTW]]</f>
        <v>0</v>
      </c>
      <c r="F32" s="162">
        <f>E32*Tariefsopbouw!$J$42+'Regie en afroep'!E32</f>
        <v>0</v>
      </c>
      <c r="G32" s="162">
        <f>F32*Tariefsopbouw!$L$42+'Regie en afroep'!F32</f>
        <v>0</v>
      </c>
      <c r="H32" s="162">
        <f>G32*Tariefsopbouw!$N$42+'Regie en afroep'!G32</f>
        <v>0</v>
      </c>
      <c r="I32" s="162">
        <f>H32*Tariefsopbouw!$P$42+H32</f>
        <v>0</v>
      </c>
    </row>
    <row r="33" spans="1:9" ht="18.75" customHeight="1">
      <c r="A33" s="437" t="s">
        <v>190</v>
      </c>
      <c r="B33" s="70" t="s">
        <v>53</v>
      </c>
      <c r="C33" s="70" t="s">
        <v>216</v>
      </c>
      <c r="D33" s="72">
        <v>0</v>
      </c>
      <c r="E33" s="161">
        <f>InvulRegie[[#This Row],[Prijs excl. BTW]]*Tariefsopbouw!$H$42+InvulRegie[[#This Row],[Prijs excl. BTW]]</f>
        <v>0</v>
      </c>
      <c r="F33" s="161">
        <f>E33*Tariefsopbouw!$J$42+'Regie en afroep'!E33</f>
        <v>0</v>
      </c>
      <c r="G33" s="161">
        <f>F33*Tariefsopbouw!$L$42+'Regie en afroep'!F33</f>
        <v>0</v>
      </c>
      <c r="H33" s="161">
        <f>G33*Tariefsopbouw!$N$42+'Regie en afroep'!G33</f>
        <v>0</v>
      </c>
      <c r="I33" s="161">
        <f>H33*Tariefsopbouw!$P$42+H33</f>
        <v>0</v>
      </c>
    </row>
    <row r="34" spans="1:9" ht="18.75" customHeight="1">
      <c r="A34" s="438"/>
      <c r="B34" s="70" t="s">
        <v>54</v>
      </c>
      <c r="C34" s="70" t="s">
        <v>55</v>
      </c>
      <c r="D34" s="72">
        <v>0</v>
      </c>
      <c r="E34" s="162">
        <f>InvulRegie[[#This Row],[Prijs excl. BTW]]*Tariefsopbouw!$H$42+InvulRegie[[#This Row],[Prijs excl. BTW]]</f>
        <v>0</v>
      </c>
      <c r="F34" s="162">
        <f>E34*Tariefsopbouw!$J$42+'Regie en afroep'!E34</f>
        <v>0</v>
      </c>
      <c r="G34" s="162">
        <f>F34*Tariefsopbouw!$L$42+'Regie en afroep'!F34</f>
        <v>0</v>
      </c>
      <c r="H34" s="162">
        <f>G34*Tariefsopbouw!$N$42+'Regie en afroep'!G34</f>
        <v>0</v>
      </c>
      <c r="I34" s="162">
        <f>H34*Tariefsopbouw!$P$42+H34</f>
        <v>0</v>
      </c>
    </row>
    <row r="35" spans="1:9" ht="18.75" customHeight="1">
      <c r="A35" s="438"/>
      <c r="B35" s="70" t="s">
        <v>191</v>
      </c>
      <c r="C35" s="70" t="s">
        <v>55</v>
      </c>
      <c r="D35" s="72">
        <v>0</v>
      </c>
      <c r="E35" s="161">
        <f>InvulRegie[[#This Row],[Prijs excl. BTW]]*Tariefsopbouw!$H$42+InvulRegie[[#This Row],[Prijs excl. BTW]]</f>
        <v>0</v>
      </c>
      <c r="F35" s="161">
        <f>E35*Tariefsopbouw!$J$42+'Regie en afroep'!E35</f>
        <v>0</v>
      </c>
      <c r="G35" s="161">
        <f>F35*Tariefsopbouw!$L$42+'Regie en afroep'!F35</f>
        <v>0</v>
      </c>
      <c r="H35" s="161">
        <f>G35*Tariefsopbouw!$N$42+'Regie en afroep'!G35</f>
        <v>0</v>
      </c>
      <c r="I35" s="161">
        <f>H35*Tariefsopbouw!$P$42+H35</f>
        <v>0</v>
      </c>
    </row>
    <row r="36" spans="1:9" ht="18.75" customHeight="1" thickBot="1">
      <c r="A36" s="439"/>
      <c r="B36" s="70" t="s">
        <v>192</v>
      </c>
      <c r="C36" s="70" t="s">
        <v>55</v>
      </c>
      <c r="D36" s="72">
        <v>0</v>
      </c>
      <c r="E36" s="162">
        <f>InvulRegie[[#This Row],[Prijs excl. BTW]]*Tariefsopbouw!$H$42+InvulRegie[[#This Row],[Prijs excl. BTW]]</f>
        <v>0</v>
      </c>
      <c r="F36" s="162">
        <f>E36*Tariefsopbouw!$J$42+'Regie en afroep'!E36</f>
        <v>0</v>
      </c>
      <c r="G36" s="162">
        <f>F36*Tariefsopbouw!$L$42+'Regie en afroep'!F36</f>
        <v>0</v>
      </c>
      <c r="H36" s="162">
        <f>G36*Tariefsopbouw!$N$42+'Regie en afroep'!G36</f>
        <v>0</v>
      </c>
      <c r="I36" s="162">
        <f>H36*Tariefsopbouw!$P$42+H36</f>
        <v>0</v>
      </c>
    </row>
    <row r="37" spans="1:9" s="125" customFormat="1" ht="26.25" customHeight="1" thickTop="1">
      <c r="A37" s="123"/>
      <c r="B37" s="124" t="s">
        <v>32</v>
      </c>
      <c r="C37" s="124"/>
      <c r="D37" s="124"/>
      <c r="E37" s="159"/>
      <c r="F37" s="159"/>
      <c r="G37" s="159"/>
      <c r="H37" s="159"/>
      <c r="I37" s="159"/>
    </row>
    <row r="39" spans="1:9" ht="18.75" customHeight="1" thickBot="1"/>
    <row r="40" spans="1:9" ht="15.75">
      <c r="A40" s="354"/>
      <c r="B40" s="355" t="s">
        <v>1609</v>
      </c>
      <c r="C40" s="355"/>
      <c r="D40" s="356"/>
    </row>
    <row r="41" spans="1:9" ht="12.75">
      <c r="A41" s="357"/>
      <c r="B41" s="358"/>
      <c r="C41" s="358"/>
      <c r="D41" s="359"/>
    </row>
    <row r="42" spans="1:9" ht="12.75">
      <c r="A42" s="357"/>
      <c r="B42" s="360" t="s">
        <v>1577</v>
      </c>
      <c r="C42" s="358"/>
      <c r="D42" s="359"/>
    </row>
    <row r="43" spans="1:9" ht="12.75">
      <c r="A43" s="357"/>
      <c r="B43" s="358"/>
      <c r="C43" s="358"/>
      <c r="D43" s="359"/>
    </row>
    <row r="44" spans="1:9" ht="12.75">
      <c r="A44" s="357"/>
      <c r="B44" s="361" t="s">
        <v>1578</v>
      </c>
      <c r="C44" s="358"/>
      <c r="D44" s="359"/>
    </row>
    <row r="45" spans="1:9" ht="12.75">
      <c r="A45" s="357"/>
      <c r="B45" s="358"/>
      <c r="C45" s="358"/>
      <c r="D45" s="359"/>
    </row>
    <row r="46" spans="1:9" ht="12.75">
      <c r="A46" s="362" t="s">
        <v>1579</v>
      </c>
      <c r="B46" s="431" t="s">
        <v>1580</v>
      </c>
      <c r="C46" s="431"/>
      <c r="D46" s="432"/>
    </row>
    <row r="47" spans="1:9" ht="12.75">
      <c r="A47" s="362" t="s">
        <v>1579</v>
      </c>
      <c r="B47" s="431" t="s">
        <v>1581</v>
      </c>
      <c r="C47" s="431" t="s">
        <v>1581</v>
      </c>
      <c r="D47" s="432" t="s">
        <v>1581</v>
      </c>
    </row>
    <row r="48" spans="1:9" ht="12.75">
      <c r="A48" s="362" t="s">
        <v>1579</v>
      </c>
      <c r="B48" s="431" t="s">
        <v>1582</v>
      </c>
      <c r="C48" s="431" t="s">
        <v>1582</v>
      </c>
      <c r="D48" s="432" t="s">
        <v>1582</v>
      </c>
    </row>
    <row r="49" spans="1:4" ht="12.75">
      <c r="A49" s="362" t="s">
        <v>1579</v>
      </c>
      <c r="B49" s="431" t="s">
        <v>1583</v>
      </c>
      <c r="C49" s="431" t="s">
        <v>1583</v>
      </c>
      <c r="D49" s="432" t="s">
        <v>1583</v>
      </c>
    </row>
    <row r="50" spans="1:4" ht="12.75">
      <c r="A50" s="362" t="s">
        <v>1579</v>
      </c>
      <c r="B50" s="431" t="s">
        <v>1584</v>
      </c>
      <c r="C50" s="431" t="s">
        <v>1584</v>
      </c>
      <c r="D50" s="432" t="s">
        <v>1584</v>
      </c>
    </row>
    <row r="51" spans="1:4" ht="12.75">
      <c r="A51" s="362" t="s">
        <v>1579</v>
      </c>
      <c r="B51" s="431" t="s">
        <v>1585</v>
      </c>
      <c r="C51" s="431" t="s">
        <v>1585</v>
      </c>
      <c r="D51" s="432" t="s">
        <v>1585</v>
      </c>
    </row>
    <row r="52" spans="1:4" ht="12.75">
      <c r="A52" s="362" t="s">
        <v>1579</v>
      </c>
      <c r="B52" s="431" t="s">
        <v>1586</v>
      </c>
      <c r="C52" s="431" t="s">
        <v>1586</v>
      </c>
      <c r="D52" s="432" t="s">
        <v>1586</v>
      </c>
    </row>
    <row r="53" spans="1:4" ht="12.75">
      <c r="A53" s="362" t="s">
        <v>1579</v>
      </c>
      <c r="B53" s="431" t="s">
        <v>1587</v>
      </c>
      <c r="C53" s="431" t="s">
        <v>1587</v>
      </c>
      <c r="D53" s="432" t="s">
        <v>1587</v>
      </c>
    </row>
    <row r="54" spans="1:4" ht="12.75">
      <c r="A54" s="362" t="s">
        <v>1579</v>
      </c>
      <c r="B54" s="431" t="s">
        <v>1588</v>
      </c>
      <c r="C54" s="431" t="s">
        <v>1588</v>
      </c>
      <c r="D54" s="432" t="s">
        <v>1588</v>
      </c>
    </row>
    <row r="55" spans="1:4" ht="12.75">
      <c r="A55" s="362" t="s">
        <v>1579</v>
      </c>
      <c r="B55" s="431" t="s">
        <v>1589</v>
      </c>
      <c r="C55" s="431" t="s">
        <v>1589</v>
      </c>
      <c r="D55" s="432" t="s">
        <v>1589</v>
      </c>
    </row>
    <row r="56" spans="1:4" ht="12.75">
      <c r="A56" s="362" t="s">
        <v>1579</v>
      </c>
      <c r="B56" s="431" t="s">
        <v>1590</v>
      </c>
      <c r="C56" s="431" t="s">
        <v>1590</v>
      </c>
      <c r="D56" s="432" t="s">
        <v>1590</v>
      </c>
    </row>
    <row r="57" spans="1:4" ht="12.75">
      <c r="A57" s="362" t="s">
        <v>1579</v>
      </c>
      <c r="B57" s="431" t="s">
        <v>1591</v>
      </c>
      <c r="C57" s="431" t="s">
        <v>1591</v>
      </c>
      <c r="D57" s="432" t="s">
        <v>1591</v>
      </c>
    </row>
    <row r="58" spans="1:4" ht="12.75">
      <c r="A58" s="357"/>
      <c r="B58" s="363"/>
      <c r="C58" s="358"/>
      <c r="D58" s="359"/>
    </row>
    <row r="59" spans="1:4" ht="12.75">
      <c r="A59" s="357"/>
      <c r="B59" s="364" t="s">
        <v>1592</v>
      </c>
      <c r="C59" s="358"/>
      <c r="D59" s="359"/>
    </row>
    <row r="60" spans="1:4" ht="12.75">
      <c r="A60" s="357"/>
      <c r="B60" s="363"/>
      <c r="C60" s="358"/>
      <c r="D60" s="359"/>
    </row>
    <row r="61" spans="1:4" ht="24" customHeight="1">
      <c r="A61" s="362" t="s">
        <v>1579</v>
      </c>
      <c r="B61" s="431" t="s">
        <v>1593</v>
      </c>
      <c r="C61" s="431" t="s">
        <v>1593</v>
      </c>
      <c r="D61" s="432" t="s">
        <v>1593</v>
      </c>
    </row>
    <row r="62" spans="1:4" ht="12.75">
      <c r="A62" s="362" t="s">
        <v>1579</v>
      </c>
      <c r="B62" s="431" t="s">
        <v>1594</v>
      </c>
      <c r="C62" s="431" t="s">
        <v>1594</v>
      </c>
      <c r="D62" s="432" t="s">
        <v>1594</v>
      </c>
    </row>
    <row r="63" spans="1:4" ht="12.75">
      <c r="A63" s="362" t="s">
        <v>1579</v>
      </c>
      <c r="B63" s="431" t="s">
        <v>1595</v>
      </c>
      <c r="C63" s="431" t="s">
        <v>1595</v>
      </c>
      <c r="D63" s="432" t="s">
        <v>1595</v>
      </c>
    </row>
    <row r="64" spans="1:4" ht="12.75">
      <c r="A64" s="362" t="s">
        <v>1579</v>
      </c>
      <c r="B64" s="431" t="s">
        <v>1589</v>
      </c>
      <c r="C64" s="431" t="s">
        <v>1589</v>
      </c>
      <c r="D64" s="432" t="s">
        <v>1589</v>
      </c>
    </row>
    <row r="65" spans="1:4" ht="12.75">
      <c r="A65" s="362" t="s">
        <v>1579</v>
      </c>
      <c r="B65" s="431" t="s">
        <v>1596</v>
      </c>
      <c r="C65" s="431" t="s">
        <v>1596</v>
      </c>
      <c r="D65" s="432" t="s">
        <v>1596</v>
      </c>
    </row>
    <row r="66" spans="1:4" ht="12.75">
      <c r="A66" s="362" t="s">
        <v>1579</v>
      </c>
      <c r="B66" s="431" t="s">
        <v>1597</v>
      </c>
      <c r="C66" s="431" t="s">
        <v>1597</v>
      </c>
      <c r="D66" s="432" t="s">
        <v>1597</v>
      </c>
    </row>
    <row r="67" spans="1:4" ht="12.75">
      <c r="A67" s="362" t="s">
        <v>1579</v>
      </c>
      <c r="B67" s="431" t="s">
        <v>1598</v>
      </c>
      <c r="C67" s="431" t="s">
        <v>1598</v>
      </c>
      <c r="D67" s="432" t="s">
        <v>1598</v>
      </c>
    </row>
    <row r="68" spans="1:4" ht="12.75">
      <c r="A68" s="362" t="s">
        <v>1579</v>
      </c>
      <c r="B68" s="431" t="s">
        <v>1599</v>
      </c>
      <c r="C68" s="431" t="s">
        <v>1599</v>
      </c>
      <c r="D68" s="432" t="s">
        <v>1599</v>
      </c>
    </row>
    <row r="69" spans="1:4" ht="12.75">
      <c r="A69" s="362" t="s">
        <v>1579</v>
      </c>
      <c r="B69" s="431" t="s">
        <v>1600</v>
      </c>
      <c r="C69" s="431" t="s">
        <v>1600</v>
      </c>
      <c r="D69" s="432" t="s">
        <v>1600</v>
      </c>
    </row>
    <row r="70" spans="1:4" ht="12.75">
      <c r="A70" s="357"/>
      <c r="B70" s="358"/>
      <c r="C70" s="358"/>
      <c r="D70" s="359"/>
    </row>
    <row r="71" spans="1:4" ht="12.75">
      <c r="A71" s="357"/>
      <c r="B71" s="364" t="s">
        <v>1601</v>
      </c>
      <c r="C71" s="358"/>
      <c r="D71" s="359"/>
    </row>
    <row r="72" spans="1:4" ht="12.75">
      <c r="A72" s="357"/>
      <c r="B72" s="363"/>
      <c r="C72" s="358"/>
      <c r="D72" s="359"/>
    </row>
    <row r="73" spans="1:4" ht="12.75">
      <c r="A73" s="362" t="s">
        <v>1579</v>
      </c>
      <c r="B73" s="427" t="s">
        <v>1602</v>
      </c>
      <c r="C73" s="427" t="s">
        <v>1602</v>
      </c>
      <c r="D73" s="428" t="s">
        <v>1602</v>
      </c>
    </row>
    <row r="74" spans="1:4" ht="12.75">
      <c r="A74" s="362" t="s">
        <v>1579</v>
      </c>
      <c r="B74" s="427" t="s">
        <v>1603</v>
      </c>
      <c r="C74" s="427" t="s">
        <v>1603</v>
      </c>
      <c r="D74" s="428" t="s">
        <v>1603</v>
      </c>
    </row>
    <row r="75" spans="1:4" ht="12.75">
      <c r="A75" s="362" t="s">
        <v>1579</v>
      </c>
      <c r="B75" s="427" t="s">
        <v>1604</v>
      </c>
      <c r="C75" s="427" t="s">
        <v>1604</v>
      </c>
      <c r="D75" s="428" t="s">
        <v>1604</v>
      </c>
    </row>
    <row r="76" spans="1:4" ht="12.75">
      <c r="A76" s="362" t="s">
        <v>1579</v>
      </c>
      <c r="B76" s="427" t="s">
        <v>1605</v>
      </c>
      <c r="C76" s="427" t="s">
        <v>1605</v>
      </c>
      <c r="D76" s="428" t="s">
        <v>1605</v>
      </c>
    </row>
    <row r="77" spans="1:4" ht="12.75">
      <c r="A77" s="362" t="s">
        <v>1579</v>
      </c>
      <c r="B77" s="427" t="s">
        <v>1606</v>
      </c>
      <c r="C77" s="427" t="s">
        <v>1606</v>
      </c>
      <c r="D77" s="428" t="s">
        <v>1606</v>
      </c>
    </row>
    <row r="78" spans="1:4" ht="12.75">
      <c r="A78" s="362" t="s">
        <v>1579</v>
      </c>
      <c r="B78" s="427" t="s">
        <v>1607</v>
      </c>
      <c r="C78" s="427" t="s">
        <v>1607</v>
      </c>
      <c r="D78" s="428" t="s">
        <v>1607</v>
      </c>
    </row>
    <row r="79" spans="1:4" ht="13.5" thickBot="1">
      <c r="A79" s="365" t="s">
        <v>1579</v>
      </c>
      <c r="B79" s="429" t="s">
        <v>1608</v>
      </c>
      <c r="C79" s="429" t="s">
        <v>1608</v>
      </c>
      <c r="D79" s="430" t="s">
        <v>1608</v>
      </c>
    </row>
  </sheetData>
  <mergeCells count="37">
    <mergeCell ref="A28:A32"/>
    <mergeCell ref="A2:I2"/>
    <mergeCell ref="A1:I1"/>
    <mergeCell ref="A33:A36"/>
    <mergeCell ref="A23:A27"/>
    <mergeCell ref="A14:A20"/>
    <mergeCell ref="A21:A22"/>
    <mergeCell ref="E7:I7"/>
    <mergeCell ref="A9:A13"/>
    <mergeCell ref="B46:D46"/>
    <mergeCell ref="B47:D47"/>
    <mergeCell ref="B48:D48"/>
    <mergeCell ref="B49:D49"/>
    <mergeCell ref="B50:D50"/>
    <mergeCell ref="B51:D51"/>
    <mergeCell ref="B52:D52"/>
    <mergeCell ref="B53:D53"/>
    <mergeCell ref="B54:D54"/>
    <mergeCell ref="B55:D55"/>
    <mergeCell ref="B56:D56"/>
    <mergeCell ref="B57:D57"/>
    <mergeCell ref="B61:D61"/>
    <mergeCell ref="B62:D62"/>
    <mergeCell ref="B63:D63"/>
    <mergeCell ref="B64:D64"/>
    <mergeCell ref="B65:D65"/>
    <mergeCell ref="B66:D66"/>
    <mergeCell ref="B67:D67"/>
    <mergeCell ref="B68:D68"/>
    <mergeCell ref="B77:D77"/>
    <mergeCell ref="B78:D78"/>
    <mergeCell ref="B79:D79"/>
    <mergeCell ref="B69:D69"/>
    <mergeCell ref="B73:D73"/>
    <mergeCell ref="B74:D74"/>
    <mergeCell ref="B75:D75"/>
    <mergeCell ref="B76:D76"/>
  </mergeCells>
  <phoneticPr fontId="22" type="noConversion"/>
  <pageMargins left="0.70866141732283472" right="0.70866141732283472" top="0.74803149606299213" bottom="0.74803149606299213" header="0.31496062992125984" footer="0.31496062992125984"/>
  <pageSetup paperSize="9" scale="65" fitToHeight="0" orientation="landscape" r:id="rId1"/>
  <headerFooter alignWithMargins="0">
    <oddFooter>&amp;L&amp;F&amp;C&amp;D&amp;R&amp;A</oddFooter>
  </headerFooter>
  <rowBreaks count="2" manualBreakCount="2">
    <brk id="39" max="8" man="1"/>
    <brk id="79" max="16383" man="1"/>
  </rowBreaks>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27"/>
  <sheetViews>
    <sheetView showGridLines="0" zoomScaleNormal="100" zoomScaleSheetLayoutView="90" workbookViewId="0">
      <selection sqref="A1:G1"/>
    </sheetView>
  </sheetViews>
  <sheetFormatPr defaultColWidth="9.140625" defaultRowHeight="18.75" customHeight="1"/>
  <cols>
    <col min="1" max="1" width="13.7109375" style="3" customWidth="1"/>
    <col min="2" max="2" width="31.5703125" style="115" customWidth="1"/>
    <col min="3" max="5" width="23.28515625" style="3" customWidth="1"/>
    <col min="6" max="6" width="23.5703125" style="3" customWidth="1"/>
    <col min="7" max="7" width="23.28515625" style="3" customWidth="1"/>
    <col min="8" max="8" width="17.5703125" style="175" bestFit="1" customWidth="1"/>
    <col min="9" max="9" width="20.5703125" style="3" customWidth="1"/>
    <col min="10" max="10" width="15.85546875" style="3" customWidth="1"/>
    <col min="11" max="16384" width="9.140625" style="3"/>
  </cols>
  <sheetData>
    <row r="1" spans="1:8" s="9" customFormat="1" ht="17.25" customHeight="1">
      <c r="A1" s="399" t="s">
        <v>206</v>
      </c>
      <c r="B1" s="399"/>
      <c r="C1" s="399"/>
      <c r="D1" s="399"/>
      <c r="E1" s="399"/>
      <c r="F1" s="399"/>
      <c r="G1" s="399"/>
      <c r="H1" s="174"/>
    </row>
    <row r="2" spans="1:8" s="9" customFormat="1" ht="15" customHeight="1">
      <c r="A2" s="422"/>
      <c r="B2" s="400"/>
      <c r="C2" s="400"/>
      <c r="D2" s="400"/>
      <c r="E2" s="400"/>
      <c r="F2" s="400"/>
      <c r="G2" s="400"/>
      <c r="H2" s="174"/>
    </row>
    <row r="3" spans="1:8" s="4" customFormat="1" ht="11.25">
      <c r="B3" s="21"/>
      <c r="H3" s="174"/>
    </row>
    <row r="4" spans="1:8" ht="11.25">
      <c r="A4" s="115"/>
      <c r="B4" s="3"/>
    </row>
    <row r="5" spans="1:8" ht="11.25">
      <c r="A5" s="80" t="s">
        <v>215</v>
      </c>
      <c r="B5" s="3"/>
    </row>
    <row r="6" spans="1:8" s="45" customFormat="1" ht="25.5" customHeight="1">
      <c r="A6" s="111" t="s">
        <v>199</v>
      </c>
      <c r="B6" s="112" t="s">
        <v>136</v>
      </c>
      <c r="C6" s="111" t="s">
        <v>163</v>
      </c>
      <c r="D6" s="113" t="s">
        <v>164</v>
      </c>
      <c r="E6" s="114" t="s">
        <v>1296</v>
      </c>
      <c r="F6" s="46" t="s">
        <v>165</v>
      </c>
    </row>
    <row r="7" spans="1:8" s="45" customFormat="1" ht="11.25">
      <c r="A7" s="141">
        <v>1</v>
      </c>
      <c r="B7" s="142" t="str">
        <f>VLOOKUP(Samenvattingschoonmaak[[#This Row],[Code Locatie]],Locaties[],2,0)</f>
        <v>CCNV</v>
      </c>
      <c r="C7" s="143">
        <f>SUMIF('Ruimtestaat'!$A:$A,Totalisatie!$A7,'Ruimtestaat'!$N:$N)</f>
        <v>9760</v>
      </c>
      <c r="D7" s="144">
        <f>SUMIF('Ruimtestaat'!$A:$A,Totalisatie!$A7,'Ruimtestaat'!$AE:$AE)</f>
        <v>0</v>
      </c>
      <c r="E7" s="145">
        <f>SUMIF('Ruimtestaat'!$A:$A,Totalisatie!$A7,'Ruimtestaat'!$AF:$AF)</f>
        <v>0</v>
      </c>
      <c r="F7" s="146">
        <f t="shared" ref="F7" si="0">IF(C7=0,0,E7/C7)</f>
        <v>0</v>
      </c>
    </row>
    <row r="8" spans="1:8" s="45" customFormat="1" ht="12.75">
      <c r="A8" s="135"/>
      <c r="B8" s="136" t="s">
        <v>32</v>
      </c>
      <c r="C8" s="137">
        <f>SUBTOTAL(109,Samenvattingschoonmaak[Oppervlakte i/o])</f>
        <v>9760</v>
      </c>
      <c r="D8" s="138">
        <f>SUBTOTAL(109,Samenvattingschoonmaak[Uren / jaar])</f>
        <v>0</v>
      </c>
      <c r="E8" s="139">
        <f>SUBTOTAL(109,Samenvattingschoonmaak[Kosten / jaar excl btw])</f>
        <v>0</v>
      </c>
      <c r="F8" s="140">
        <f>Samenvattingschoonmaak[[#Totals],[Kosten / jaar excl btw]]/Samenvattingschoonmaak[[#Totals],[Oppervlakte i/o]]</f>
        <v>0</v>
      </c>
    </row>
    <row r="9" spans="1:8" ht="18.75" customHeight="1">
      <c r="A9" s="115"/>
      <c r="B9" s="3"/>
    </row>
    <row r="10" spans="1:8" ht="18.75" customHeight="1">
      <c r="A10" s="80" t="s">
        <v>166</v>
      </c>
      <c r="B10" s="44"/>
      <c r="C10" s="44"/>
      <c r="D10" s="44"/>
      <c r="E10" s="44"/>
      <c r="F10" s="44"/>
    </row>
    <row r="11" spans="1:8" ht="30.4" customHeight="1">
      <c r="A11" s="111" t="s">
        <v>199</v>
      </c>
      <c r="B11" s="112" t="s">
        <v>207</v>
      </c>
      <c r="C11" s="111" t="s">
        <v>1320</v>
      </c>
      <c r="D11" s="114" t="s">
        <v>1321</v>
      </c>
      <c r="E11" s="114" t="s">
        <v>1322</v>
      </c>
      <c r="F11" s="114" t="s">
        <v>1611</v>
      </c>
      <c r="G11" s="169" t="s">
        <v>1323</v>
      </c>
      <c r="H11" s="3"/>
    </row>
    <row r="12" spans="1:8" ht="12.75">
      <c r="A12" s="141">
        <v>1</v>
      </c>
      <c r="B12" s="142" t="str">
        <f>VLOOKUP(Totalisatie[[#This Row],[Code Locatie]],Locaties[],2,0)</f>
        <v>CCNV</v>
      </c>
      <c r="C12" s="145">
        <f ca="1">SUMIF(Ruimtestaat[#All],Totalisatie[[#This Row],[Code Locatie]],Ruimtestaat[[#All],[kosten / jaar excl btw]])</f>
        <v>0</v>
      </c>
      <c r="D12" s="168">
        <f ca="1">SUMIF(OverzichtVloer20[[#All],[Code Locatie]:[Kosten/jaar excl. BTW]],Totalisatie[[#This Row],[Code Locatie]],OverzichtVloer20[[#Headers],[#Data],[Kosten/jaar excl. BTW]])</f>
        <v>0</v>
      </c>
      <c r="E12" s="168">
        <f ca="1">SUMIF(Overzichtextrawerkz.[[#All],[Code Locatie]:[Kosten/jaar excl. BTW]],Totalisatie[[#This Row],[Code Locatie]],Overzichtextrawerkz.[[#All],[Kosten/jaar excl. BTW]])</f>
        <v>0</v>
      </c>
      <c r="F12" s="168">
        <f ca="1">SUMIF(OverzichtGlas[[Code Locatie]:[Kosten/jaar excl. BTW]],Totalisatie[[#This Row],[Code Locatie]],OverzichtGlas[Kosten/jaar excl. BTW])</f>
        <v>0</v>
      </c>
      <c r="G12" s="145">
        <f ca="1">SUM(Totalisatie[[#This Row],[Schoonmaakonderhoud
Kosten / jaar excl btw]:[Glasbewassing kosten/ jaar excl. Btw]])</f>
        <v>0</v>
      </c>
      <c r="H12" s="3"/>
    </row>
    <row r="13" spans="1:8" ht="12.75">
      <c r="A13" s="135"/>
      <c r="B13" s="136" t="s">
        <v>32</v>
      </c>
      <c r="C13" s="139">
        <f ca="1">SUBTOTAL(109,Totalisatie[Schoonmaakonderhoud
Kosten / jaar excl btw])</f>
        <v>0</v>
      </c>
      <c r="D13" s="139">
        <f ca="1">SUBTOTAL(109,Totalisatie[Vloeronderhoud
Kosten / jaar excl btw])</f>
        <v>0</v>
      </c>
      <c r="E13" s="139">
        <f ca="1">SUBTOTAL(109,Totalisatie[Extra werkzaamheden kosten/ jaar excl. btw])</f>
        <v>0</v>
      </c>
      <c r="F13" s="139">
        <f ca="1">SUBTOTAL(109,Totalisatie[Glasbewassing kosten/ jaar excl. Btw])</f>
        <v>0</v>
      </c>
      <c r="G13" s="139">
        <f ca="1">SUBTOTAL(109,Totalisatie[Totaalprijs
Kosten / jaar excl. btw])</f>
        <v>0</v>
      </c>
      <c r="H13" s="3"/>
    </row>
    <row r="14" spans="1:8" ht="11.25">
      <c r="A14" s="115"/>
      <c r="B14" s="3"/>
      <c r="C14" s="209"/>
      <c r="D14" s="177"/>
      <c r="E14" s="177"/>
      <c r="F14" s="177"/>
      <c r="G14" s="177"/>
    </row>
    <row r="15" spans="1:8" ht="11.25">
      <c r="A15" s="115"/>
      <c r="B15" s="3"/>
    </row>
    <row r="16" spans="1:8" ht="11.25">
      <c r="A16" s="80" t="s">
        <v>208</v>
      </c>
      <c r="B16" s="3"/>
    </row>
    <row r="17" spans="1:7" ht="18.75" customHeight="1">
      <c r="A17" s="443" t="s">
        <v>212</v>
      </c>
      <c r="B17" s="444"/>
      <c r="C17" s="445" t="s">
        <v>253</v>
      </c>
      <c r="D17" s="445"/>
      <c r="E17" s="445"/>
      <c r="F17" s="445"/>
      <c r="G17" s="446"/>
    </row>
    <row r="18" spans="1:7" ht="18.75" customHeight="1">
      <c r="A18" s="116" t="s">
        <v>123</v>
      </c>
      <c r="B18" s="447" t="s">
        <v>218</v>
      </c>
      <c r="C18" s="448"/>
      <c r="D18" s="116" t="s">
        <v>123</v>
      </c>
      <c r="E18" s="447" t="s">
        <v>218</v>
      </c>
      <c r="F18" s="451"/>
      <c r="G18" s="448"/>
    </row>
    <row r="19" spans="1:7" ht="18.75" customHeight="1">
      <c r="A19" s="117" t="s">
        <v>209</v>
      </c>
      <c r="B19" s="449" t="s">
        <v>218</v>
      </c>
      <c r="C19" s="450"/>
      <c r="D19" s="117" t="s">
        <v>209</v>
      </c>
      <c r="E19" s="449" t="s">
        <v>218</v>
      </c>
      <c r="F19" s="452"/>
      <c r="G19" s="450"/>
    </row>
    <row r="20" spans="1:7" ht="18.75" customHeight="1">
      <c r="A20" s="116" t="s">
        <v>210</v>
      </c>
      <c r="B20" s="447" t="s">
        <v>218</v>
      </c>
      <c r="C20" s="448"/>
      <c r="D20" s="116" t="s">
        <v>210</v>
      </c>
      <c r="E20" s="447" t="s">
        <v>218</v>
      </c>
      <c r="F20" s="451"/>
      <c r="G20" s="448"/>
    </row>
    <row r="21" spans="1:7" ht="37.5" customHeight="1">
      <c r="A21" s="117" t="s">
        <v>211</v>
      </c>
      <c r="B21" s="449" t="s">
        <v>218</v>
      </c>
      <c r="C21" s="450"/>
      <c r="D21" s="117" t="s">
        <v>211</v>
      </c>
      <c r="E21" s="440" t="s">
        <v>218</v>
      </c>
      <c r="F21" s="441"/>
      <c r="G21" s="442"/>
    </row>
    <row r="22" spans="1:7" ht="18.75" customHeight="1">
      <c r="A22" s="116" t="s">
        <v>214</v>
      </c>
      <c r="B22" s="118"/>
      <c r="C22" s="119"/>
      <c r="D22" s="120"/>
      <c r="E22" s="121"/>
      <c r="F22" s="121"/>
      <c r="G22" s="122"/>
    </row>
    <row r="25" spans="1:7" ht="18.75" hidden="1" customHeight="1">
      <c r="E25" s="178">
        <v>1332069.4835246154</v>
      </c>
    </row>
    <row r="26" spans="1:7" ht="18.75" hidden="1" customHeight="1">
      <c r="E26" s="177">
        <f ca="1">Totalisatie[[#Totals],[Totaalprijs
Kosten / jaar excl. btw]]-E25</f>
        <v>-1332069.4835246154</v>
      </c>
    </row>
    <row r="27" spans="1:7" ht="18.75" hidden="1" customHeight="1"/>
  </sheetData>
  <mergeCells count="12">
    <mergeCell ref="A1:G1"/>
    <mergeCell ref="A2:G2"/>
    <mergeCell ref="E21:G21"/>
    <mergeCell ref="A17:B17"/>
    <mergeCell ref="C17:G17"/>
    <mergeCell ref="B18:C18"/>
    <mergeCell ref="B19:C19"/>
    <mergeCell ref="B20:C20"/>
    <mergeCell ref="B21:C21"/>
    <mergeCell ref="E18:G18"/>
    <mergeCell ref="E19:G19"/>
    <mergeCell ref="E20:G20"/>
  </mergeCells>
  <phoneticPr fontId="13"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9">
    <tabColor theme="0" tint="-0.14999847407452621"/>
  </sheetPr>
  <dimension ref="A1:A17"/>
  <sheetViews>
    <sheetView showGridLines="0" view="pageBreakPreview" zoomScaleNormal="100" zoomScaleSheetLayoutView="100" workbookViewId="0"/>
  </sheetViews>
  <sheetFormatPr defaultColWidth="9.140625" defaultRowHeight="15" customHeight="1"/>
  <cols>
    <col min="1" max="1" width="133.7109375" style="9" bestFit="1" customWidth="1"/>
    <col min="2" max="2" width="125.42578125" style="9" customWidth="1"/>
    <col min="3" max="3" width="7.5703125" style="9" customWidth="1"/>
    <col min="4" max="4" width="29" style="9" bestFit="1" customWidth="1"/>
    <col min="5" max="5" width="5.7109375" style="9" customWidth="1"/>
    <col min="6" max="6" width="9.140625" style="9"/>
    <col min="7" max="7" width="17.85546875" style="9" bestFit="1" customWidth="1"/>
    <col min="8" max="10" width="9.140625" style="9"/>
    <col min="11" max="11" width="19.7109375" style="9" customWidth="1"/>
    <col min="12" max="16384" width="9.140625" style="9"/>
  </cols>
  <sheetData>
    <row r="1" spans="1:1" ht="15" customHeight="1">
      <c r="A1" s="84"/>
    </row>
    <row r="2" spans="1:1" ht="15" customHeight="1">
      <c r="A2" s="375" t="s">
        <v>1610</v>
      </c>
    </row>
    <row r="3" spans="1:1" ht="15" customHeight="1">
      <c r="A3" s="376"/>
    </row>
    <row r="4" spans="1:1" ht="15" customHeight="1">
      <c r="A4" s="42" t="s">
        <v>242</v>
      </c>
    </row>
    <row r="5" spans="1:1" ht="15" customHeight="1">
      <c r="A5" s="42" t="s">
        <v>243</v>
      </c>
    </row>
    <row r="6" spans="1:1" ht="15" customHeight="1">
      <c r="A6" s="42" t="s">
        <v>244</v>
      </c>
    </row>
    <row r="7" spans="1:1" ht="15" customHeight="1">
      <c r="A7" s="42" t="s">
        <v>245</v>
      </c>
    </row>
    <row r="8" spans="1:1" ht="15" customHeight="1">
      <c r="A8" s="42" t="s">
        <v>195</v>
      </c>
    </row>
    <row r="9" spans="1:1" ht="15" customHeight="1">
      <c r="A9" s="147" t="s">
        <v>246</v>
      </c>
    </row>
    <row r="10" spans="1:1" ht="15" customHeight="1">
      <c r="A10" s="147" t="s">
        <v>247</v>
      </c>
    </row>
    <row r="11" spans="1:1" ht="15" customHeight="1">
      <c r="A11" s="147" t="s">
        <v>248</v>
      </c>
    </row>
    <row r="12" spans="1:1" ht="15" customHeight="1">
      <c r="A12" s="147" t="s">
        <v>249</v>
      </c>
    </row>
    <row r="13" spans="1:1" ht="15" customHeight="1">
      <c r="A13" s="147" t="s">
        <v>250</v>
      </c>
    </row>
    <row r="14" spans="1:1" ht="15" customHeight="1">
      <c r="A14" s="147" t="s">
        <v>251</v>
      </c>
    </row>
    <row r="15" spans="1:1" ht="15" customHeight="1">
      <c r="A15" s="42" t="s">
        <v>252</v>
      </c>
    </row>
    <row r="16" spans="1:1" ht="15" customHeight="1">
      <c r="A16" s="43" t="s">
        <v>1272</v>
      </c>
    </row>
    <row r="17" spans="1:1" ht="15" customHeight="1">
      <c r="A17" s="147"/>
    </row>
  </sheetData>
  <dataConsolidate link="1"/>
  <mergeCells count="1">
    <mergeCell ref="A2:A3"/>
  </mergeCells>
  <phoneticPr fontId="21" type="noConversion"/>
  <pageMargins left="0.2" right="0.21" top="0.57999999999999996" bottom="0.59" header="0.5" footer="0.5"/>
  <pageSetup paperSize="9" scale="81" fitToHeight="0" orientation="portrait" r:id="rId1"/>
  <headerFooter alignWithMargins="0"/>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7"/>
  <sheetViews>
    <sheetView workbookViewId="0">
      <pane ySplit="3" topLeftCell="A4" activePane="bottomLeft" state="frozen"/>
      <selection pane="bottomLeft"/>
    </sheetView>
  </sheetViews>
  <sheetFormatPr defaultRowHeight="12.75"/>
  <cols>
    <col min="1" max="1" width="14.42578125" style="223" customWidth="1"/>
    <col min="2" max="2" width="26" bestFit="1" customWidth="1"/>
    <col min="3" max="3" width="16.140625" style="223" customWidth="1"/>
    <col min="4" max="4" width="25.85546875" bestFit="1" customWidth="1"/>
    <col min="5" max="5" width="14.85546875" style="223" bestFit="1" customWidth="1"/>
    <col min="6" max="6" width="16.42578125" style="223" customWidth="1"/>
    <col min="7" max="25" width="5.5703125" style="223" bestFit="1" customWidth="1"/>
  </cols>
  <sheetData>
    <row r="1" spans="1:25" ht="33.75">
      <c r="A1" s="222" t="s">
        <v>1273</v>
      </c>
    </row>
    <row r="2" spans="1:25" ht="15.75">
      <c r="G2" s="377" t="s">
        <v>268</v>
      </c>
      <c r="H2" s="377"/>
      <c r="I2" s="377"/>
      <c r="J2" s="377"/>
      <c r="K2" s="377"/>
      <c r="L2" s="377"/>
      <c r="M2" s="377"/>
      <c r="N2" s="377"/>
      <c r="O2" s="378" t="s">
        <v>269</v>
      </c>
      <c r="P2" s="378"/>
      <c r="Q2" s="378"/>
      <c r="R2" s="378"/>
      <c r="S2" s="378"/>
      <c r="T2" s="378"/>
      <c r="U2" s="378"/>
      <c r="V2" s="378"/>
      <c r="W2" s="379" t="s">
        <v>270</v>
      </c>
      <c r="X2" s="379"/>
      <c r="Y2" s="379"/>
    </row>
    <row r="3" spans="1:25" ht="30" customHeight="1">
      <c r="A3" s="224" t="s">
        <v>291</v>
      </c>
      <c r="B3" s="225" t="s">
        <v>136</v>
      </c>
      <c r="C3" s="226" t="s">
        <v>118</v>
      </c>
      <c r="D3" s="225" t="s">
        <v>292</v>
      </c>
      <c r="E3" s="226" t="s">
        <v>293</v>
      </c>
      <c r="F3" s="226" t="s">
        <v>33</v>
      </c>
      <c r="G3" s="227" t="s">
        <v>271</v>
      </c>
      <c r="H3" s="227" t="s">
        <v>272</v>
      </c>
      <c r="I3" s="227" t="s">
        <v>273</v>
      </c>
      <c r="J3" s="227" t="s">
        <v>274</v>
      </c>
      <c r="K3" s="227" t="s">
        <v>275</v>
      </c>
      <c r="L3" s="227" t="s">
        <v>276</v>
      </c>
      <c r="M3" s="227" t="s">
        <v>277</v>
      </c>
      <c r="N3" s="227" t="s">
        <v>278</v>
      </c>
      <c r="O3" s="228" t="s">
        <v>279</v>
      </c>
      <c r="P3" s="228" t="s">
        <v>280</v>
      </c>
      <c r="Q3" s="228" t="s">
        <v>281</v>
      </c>
      <c r="R3" s="228" t="s">
        <v>282</v>
      </c>
      <c r="S3" s="228" t="s">
        <v>283</v>
      </c>
      <c r="T3" s="228" t="s">
        <v>284</v>
      </c>
      <c r="U3" s="228" t="s">
        <v>285</v>
      </c>
      <c r="V3" s="228" t="s">
        <v>286</v>
      </c>
      <c r="W3" s="229" t="s">
        <v>287</v>
      </c>
      <c r="X3" s="229" t="s">
        <v>288</v>
      </c>
      <c r="Y3" s="229" t="s">
        <v>289</v>
      </c>
    </row>
    <row r="4" spans="1:25">
      <c r="A4" s="230">
        <v>1</v>
      </c>
      <c r="B4" s="231" t="str">
        <f>VLOOKUP(Tabel10[[#This Row],[Locatiecode]],Ruimtegroepen[[Code]:[Ruimte omschrijving]],2,FALSE)</f>
        <v>Magazijnen/bergingen</v>
      </c>
      <c r="C4" s="232" t="s">
        <v>294</v>
      </c>
      <c r="D4" s="231" t="s">
        <v>29</v>
      </c>
      <c r="E4" s="233" t="s">
        <v>101</v>
      </c>
      <c r="F4" s="232" t="s">
        <v>295</v>
      </c>
      <c r="G4" s="234" t="s">
        <v>296</v>
      </c>
      <c r="H4" s="234" t="s">
        <v>296</v>
      </c>
      <c r="I4" s="234" t="s">
        <v>20</v>
      </c>
      <c r="J4" s="235" t="s">
        <v>15</v>
      </c>
      <c r="K4" s="234" t="s">
        <v>296</v>
      </c>
      <c r="L4" s="234" t="s">
        <v>296</v>
      </c>
      <c r="M4" s="234" t="s">
        <v>296</v>
      </c>
      <c r="N4" s="235" t="s">
        <v>2</v>
      </c>
      <c r="O4" s="236" t="s">
        <v>296</v>
      </c>
      <c r="P4" s="236" t="s">
        <v>296</v>
      </c>
      <c r="Q4" s="236" t="s">
        <v>296</v>
      </c>
      <c r="R4" s="236" t="s">
        <v>296</v>
      </c>
      <c r="S4" s="236" t="s">
        <v>2</v>
      </c>
      <c r="T4" s="236" t="s">
        <v>297</v>
      </c>
      <c r="U4" s="236" t="s">
        <v>297</v>
      </c>
      <c r="V4" s="236" t="s">
        <v>2</v>
      </c>
      <c r="W4" s="237" t="s">
        <v>296</v>
      </c>
      <c r="X4" s="237" t="s">
        <v>296</v>
      </c>
      <c r="Y4" s="238" t="s">
        <v>296</v>
      </c>
    </row>
    <row r="5" spans="1:25">
      <c r="A5" s="230">
        <v>1</v>
      </c>
      <c r="B5" s="231" t="str">
        <f>VLOOKUP(Tabel10[[#This Row],[Locatiecode]],Ruimtegroepen[[Code]:[Ruimte omschrijving]],2,FALSE)</f>
        <v>Magazijnen/bergingen</v>
      </c>
      <c r="C5" s="232" t="s">
        <v>294</v>
      </c>
      <c r="D5" s="231" t="s">
        <v>29</v>
      </c>
      <c r="E5" s="233" t="s">
        <v>100</v>
      </c>
      <c r="F5" s="232" t="s">
        <v>298</v>
      </c>
      <c r="G5" s="235" t="s">
        <v>20</v>
      </c>
      <c r="H5" s="235" t="s">
        <v>15</v>
      </c>
      <c r="I5" s="234" t="s">
        <v>296</v>
      </c>
      <c r="J5" s="234" t="s">
        <v>296</v>
      </c>
      <c r="K5" s="234" t="s">
        <v>296</v>
      </c>
      <c r="L5" s="234" t="s">
        <v>296</v>
      </c>
      <c r="M5" s="234" t="s">
        <v>296</v>
      </c>
      <c r="N5" s="235" t="s">
        <v>2</v>
      </c>
      <c r="O5" s="236" t="s">
        <v>296</v>
      </c>
      <c r="P5" s="236" t="s">
        <v>296</v>
      </c>
      <c r="Q5" s="236" t="s">
        <v>296</v>
      </c>
      <c r="R5" s="236" t="s">
        <v>296</v>
      </c>
      <c r="S5" s="236" t="s">
        <v>2</v>
      </c>
      <c r="T5" s="236" t="s">
        <v>297</v>
      </c>
      <c r="U5" s="236" t="s">
        <v>297</v>
      </c>
      <c r="V5" s="236" t="s">
        <v>2</v>
      </c>
      <c r="W5" s="237" t="s">
        <v>296</v>
      </c>
      <c r="X5" s="237" t="s">
        <v>296</v>
      </c>
      <c r="Y5" s="238" t="s">
        <v>296</v>
      </c>
    </row>
    <row r="6" spans="1:25">
      <c r="A6" s="230">
        <v>1</v>
      </c>
      <c r="B6" s="231" t="str">
        <f>VLOOKUP(Tabel10[[#This Row],[Locatiecode]],Ruimtegroepen[[Code]:[Ruimte omschrijving]],2,FALSE)</f>
        <v>Magazijnen/bergingen</v>
      </c>
      <c r="C6" s="232" t="s">
        <v>294</v>
      </c>
      <c r="D6" s="231" t="s">
        <v>29</v>
      </c>
      <c r="E6" s="233" t="s">
        <v>102</v>
      </c>
      <c r="F6" s="232" t="s">
        <v>299</v>
      </c>
      <c r="G6" s="281" t="s">
        <v>296</v>
      </c>
      <c r="H6" s="234" t="s">
        <v>296</v>
      </c>
      <c r="I6" s="234" t="s">
        <v>20</v>
      </c>
      <c r="J6" s="235" t="s">
        <v>15</v>
      </c>
      <c r="K6" s="235" t="s">
        <v>262</v>
      </c>
      <c r="L6" s="234" t="s">
        <v>296</v>
      </c>
      <c r="M6" s="234" t="s">
        <v>296</v>
      </c>
      <c r="N6" s="235" t="s">
        <v>2</v>
      </c>
      <c r="O6" s="236" t="s">
        <v>296</v>
      </c>
      <c r="P6" s="236" t="s">
        <v>296</v>
      </c>
      <c r="Q6" s="236" t="s">
        <v>296</v>
      </c>
      <c r="R6" s="236" t="s">
        <v>296</v>
      </c>
      <c r="S6" s="236" t="s">
        <v>2</v>
      </c>
      <c r="T6" s="236" t="s">
        <v>297</v>
      </c>
      <c r="U6" s="236" t="s">
        <v>297</v>
      </c>
      <c r="V6" s="236" t="s">
        <v>2</v>
      </c>
      <c r="W6" s="237" t="s">
        <v>296</v>
      </c>
      <c r="X6" s="237" t="s">
        <v>296</v>
      </c>
      <c r="Y6" s="238" t="s">
        <v>296</v>
      </c>
    </row>
    <row r="7" spans="1:25">
      <c r="A7" s="230">
        <v>1</v>
      </c>
      <c r="B7" s="231" t="str">
        <f>VLOOKUP(Tabel10[[#This Row],[Locatiecode]],Ruimtegroepen[[Code]:[Ruimte omschrijving]],2,FALSE)</f>
        <v>Magazijnen/bergingen</v>
      </c>
      <c r="C7" s="232" t="s">
        <v>294</v>
      </c>
      <c r="D7" s="231" t="s">
        <v>29</v>
      </c>
      <c r="E7" s="233" t="s">
        <v>103</v>
      </c>
      <c r="F7" s="232" t="s">
        <v>300</v>
      </c>
      <c r="G7" s="281" t="s">
        <v>296</v>
      </c>
      <c r="H7" s="234" t="s">
        <v>296</v>
      </c>
      <c r="I7" s="234" t="s">
        <v>20</v>
      </c>
      <c r="J7" s="235" t="s">
        <v>15</v>
      </c>
      <c r="K7" s="234" t="s">
        <v>262</v>
      </c>
      <c r="L7" s="234" t="s">
        <v>296</v>
      </c>
      <c r="M7" s="234" t="s">
        <v>296</v>
      </c>
      <c r="N7" s="235" t="s">
        <v>2</v>
      </c>
      <c r="O7" s="236" t="s">
        <v>296</v>
      </c>
      <c r="P7" s="236" t="s">
        <v>296</v>
      </c>
      <c r="Q7" s="236" t="s">
        <v>296</v>
      </c>
      <c r="R7" s="236" t="s">
        <v>296</v>
      </c>
      <c r="S7" s="236" t="s">
        <v>2</v>
      </c>
      <c r="T7" s="236" t="s">
        <v>297</v>
      </c>
      <c r="U7" s="236" t="s">
        <v>297</v>
      </c>
      <c r="V7" s="236" t="s">
        <v>2</v>
      </c>
      <c r="W7" s="237" t="s">
        <v>296</v>
      </c>
      <c r="X7" s="237" t="s">
        <v>296</v>
      </c>
      <c r="Y7" s="238" t="s">
        <v>296</v>
      </c>
    </row>
    <row r="8" spans="1:25">
      <c r="A8" s="239">
        <v>1</v>
      </c>
      <c r="B8" s="231" t="str">
        <f>VLOOKUP(Tabel10[[#This Row],[Locatiecode]],Ruimtegroepen[[Code]:[Ruimte omschrijving]],2,FALSE)</f>
        <v>Magazijnen/bergingen</v>
      </c>
      <c r="C8" s="232" t="s">
        <v>294</v>
      </c>
      <c r="D8" s="231" t="s">
        <v>29</v>
      </c>
      <c r="E8" s="233" t="s">
        <v>100</v>
      </c>
      <c r="F8" s="232" t="s">
        <v>298</v>
      </c>
      <c r="G8" s="240" t="s">
        <v>20</v>
      </c>
      <c r="H8" s="240" t="s">
        <v>15</v>
      </c>
      <c r="I8" s="234" t="s">
        <v>296</v>
      </c>
      <c r="J8" s="234" t="s">
        <v>296</v>
      </c>
      <c r="K8" s="234" t="s">
        <v>296</v>
      </c>
      <c r="L8" s="234" t="s">
        <v>296</v>
      </c>
      <c r="M8" s="234" t="s">
        <v>296</v>
      </c>
      <c r="N8" s="240" t="s">
        <v>2</v>
      </c>
      <c r="O8" s="241" t="s">
        <v>296</v>
      </c>
      <c r="P8" s="241" t="s">
        <v>296</v>
      </c>
      <c r="Q8" s="241" t="s">
        <v>296</v>
      </c>
      <c r="R8" s="241" t="s">
        <v>296</v>
      </c>
      <c r="S8" s="241" t="s">
        <v>2</v>
      </c>
      <c r="T8" s="241" t="s">
        <v>297</v>
      </c>
      <c r="U8" s="241" t="s">
        <v>297</v>
      </c>
      <c r="V8" s="241" t="s">
        <v>2</v>
      </c>
      <c r="W8" s="242" t="s">
        <v>296</v>
      </c>
      <c r="X8" s="242" t="s">
        <v>296</v>
      </c>
      <c r="Y8" s="243" t="s">
        <v>296</v>
      </c>
    </row>
    <row r="9" spans="1:25">
      <c r="A9" s="230">
        <v>1</v>
      </c>
      <c r="B9" s="231" t="str">
        <f>VLOOKUP(Tabel10[[#This Row],[Locatiecode]],Ruimtegroepen[[Code]:[Ruimte omschrijving]],2,FALSE)</f>
        <v>Magazijnen/bergingen</v>
      </c>
      <c r="C9" s="232" t="s">
        <v>294</v>
      </c>
      <c r="D9" s="231" t="s">
        <v>29</v>
      </c>
      <c r="E9" s="233" t="s">
        <v>1344</v>
      </c>
      <c r="F9" s="232" t="s">
        <v>1345</v>
      </c>
      <c r="G9" s="234" t="s">
        <v>296</v>
      </c>
      <c r="H9" s="234" t="s">
        <v>296</v>
      </c>
      <c r="I9" s="234" t="s">
        <v>20</v>
      </c>
      <c r="J9" s="234" t="s">
        <v>15</v>
      </c>
      <c r="K9" s="234" t="s">
        <v>262</v>
      </c>
      <c r="L9" s="234" t="s">
        <v>296</v>
      </c>
      <c r="M9" s="234" t="s">
        <v>296</v>
      </c>
      <c r="N9" s="235" t="s">
        <v>2</v>
      </c>
      <c r="O9" s="241" t="s">
        <v>296</v>
      </c>
      <c r="P9" s="241" t="s">
        <v>296</v>
      </c>
      <c r="Q9" s="241" t="s">
        <v>296</v>
      </c>
      <c r="R9" s="241" t="s">
        <v>296</v>
      </c>
      <c r="S9" s="241" t="s">
        <v>2</v>
      </c>
      <c r="T9" s="241" t="s">
        <v>297</v>
      </c>
      <c r="U9" s="241" t="s">
        <v>297</v>
      </c>
      <c r="V9" s="241" t="s">
        <v>2</v>
      </c>
      <c r="W9" s="242" t="s">
        <v>296</v>
      </c>
      <c r="X9" s="242" t="s">
        <v>296</v>
      </c>
      <c r="Y9" s="242" t="s">
        <v>296</v>
      </c>
    </row>
    <row r="10" spans="1:25">
      <c r="A10" s="230">
        <v>1</v>
      </c>
      <c r="B10" s="231" t="str">
        <f>VLOOKUP(Tabel10[[#This Row],[Locatiecode]],Ruimtegroepen[[Code]:[Ruimte omschrijving]],2,FALSE)</f>
        <v>Magazijnen/bergingen</v>
      </c>
      <c r="C10" s="232" t="s">
        <v>301</v>
      </c>
      <c r="D10" s="231" t="s">
        <v>1</v>
      </c>
      <c r="E10" s="233" t="s">
        <v>101</v>
      </c>
      <c r="F10" s="232" t="s">
        <v>302</v>
      </c>
      <c r="G10" s="281" t="s">
        <v>296</v>
      </c>
      <c r="H10" s="234" t="s">
        <v>296</v>
      </c>
      <c r="I10" s="234" t="s">
        <v>20</v>
      </c>
      <c r="J10" s="234" t="s">
        <v>15</v>
      </c>
      <c r="K10" s="234" t="s">
        <v>296</v>
      </c>
      <c r="L10" s="234" t="s">
        <v>296</v>
      </c>
      <c r="M10" s="234" t="s">
        <v>296</v>
      </c>
      <c r="N10" s="235" t="s">
        <v>296</v>
      </c>
      <c r="O10" s="236" t="s">
        <v>296</v>
      </c>
      <c r="P10" s="236" t="s">
        <v>296</v>
      </c>
      <c r="Q10" s="236" t="s">
        <v>296</v>
      </c>
      <c r="R10" s="236" t="s">
        <v>296</v>
      </c>
      <c r="S10" s="236" t="s">
        <v>2</v>
      </c>
      <c r="T10" s="236" t="s">
        <v>297</v>
      </c>
      <c r="U10" s="236" t="s">
        <v>297</v>
      </c>
      <c r="V10" s="236" t="s">
        <v>296</v>
      </c>
      <c r="W10" s="237" t="s">
        <v>296</v>
      </c>
      <c r="X10" s="237" t="s">
        <v>296</v>
      </c>
      <c r="Y10" s="238" t="s">
        <v>296</v>
      </c>
    </row>
    <row r="11" spans="1:25">
      <c r="A11" s="230">
        <v>1</v>
      </c>
      <c r="B11" s="231" t="str">
        <f>VLOOKUP(Tabel10[[#This Row],[Locatiecode]],Ruimtegroepen[[Code]:[Ruimte omschrijving]],2,FALSE)</f>
        <v>Magazijnen/bergingen</v>
      </c>
      <c r="C11" s="232" t="s">
        <v>301</v>
      </c>
      <c r="D11" s="231" t="s">
        <v>1</v>
      </c>
      <c r="E11" s="233" t="s">
        <v>100</v>
      </c>
      <c r="F11" s="232" t="s">
        <v>303</v>
      </c>
      <c r="G11" s="235" t="s">
        <v>20</v>
      </c>
      <c r="H11" s="235" t="s">
        <v>15</v>
      </c>
      <c r="I11" s="234" t="s">
        <v>296</v>
      </c>
      <c r="J11" s="234" t="s">
        <v>296</v>
      </c>
      <c r="K11" s="234" t="s">
        <v>296</v>
      </c>
      <c r="L11" s="234" t="s">
        <v>296</v>
      </c>
      <c r="M11" s="234" t="s">
        <v>296</v>
      </c>
      <c r="N11" s="235" t="s">
        <v>296</v>
      </c>
      <c r="O11" s="236" t="s">
        <v>296</v>
      </c>
      <c r="P11" s="236" t="s">
        <v>296</v>
      </c>
      <c r="Q11" s="236" t="s">
        <v>296</v>
      </c>
      <c r="R11" s="236" t="s">
        <v>296</v>
      </c>
      <c r="S11" s="236" t="s">
        <v>2</v>
      </c>
      <c r="T11" s="236" t="s">
        <v>297</v>
      </c>
      <c r="U11" s="236" t="s">
        <v>297</v>
      </c>
      <c r="V11" s="236" t="s">
        <v>296</v>
      </c>
      <c r="W11" s="237" t="s">
        <v>296</v>
      </c>
      <c r="X11" s="237" t="s">
        <v>296</v>
      </c>
      <c r="Y11" s="238" t="s">
        <v>296</v>
      </c>
    </row>
    <row r="12" spans="1:25">
      <c r="A12" s="230">
        <v>1</v>
      </c>
      <c r="B12" s="231" t="str">
        <f>VLOOKUP(Tabel10[[#This Row],[Locatiecode]],Ruimtegroepen[[Code]:[Ruimte omschrijving]],2,FALSE)</f>
        <v>Magazijnen/bergingen</v>
      </c>
      <c r="C12" s="232" t="s">
        <v>301</v>
      </c>
      <c r="D12" s="231" t="s">
        <v>1</v>
      </c>
      <c r="E12" s="233" t="s">
        <v>102</v>
      </c>
      <c r="F12" s="232" t="s">
        <v>304</v>
      </c>
      <c r="G12" s="281" t="s">
        <v>296</v>
      </c>
      <c r="H12" s="234" t="s">
        <v>296</v>
      </c>
      <c r="I12" s="234" t="s">
        <v>20</v>
      </c>
      <c r="J12" s="234" t="s">
        <v>15</v>
      </c>
      <c r="K12" s="234" t="s">
        <v>262</v>
      </c>
      <c r="L12" s="234" t="s">
        <v>296</v>
      </c>
      <c r="M12" s="234" t="s">
        <v>296</v>
      </c>
      <c r="N12" s="235" t="s">
        <v>296</v>
      </c>
      <c r="O12" s="236" t="s">
        <v>296</v>
      </c>
      <c r="P12" s="236" t="s">
        <v>296</v>
      </c>
      <c r="Q12" s="236" t="s">
        <v>296</v>
      </c>
      <c r="R12" s="236" t="s">
        <v>296</v>
      </c>
      <c r="S12" s="236" t="s">
        <v>2</v>
      </c>
      <c r="T12" s="236" t="s">
        <v>297</v>
      </c>
      <c r="U12" s="236" t="s">
        <v>297</v>
      </c>
      <c r="V12" s="236" t="s">
        <v>296</v>
      </c>
      <c r="W12" s="237" t="s">
        <v>296</v>
      </c>
      <c r="X12" s="237" t="s">
        <v>296</v>
      </c>
      <c r="Y12" s="238" t="s">
        <v>296</v>
      </c>
    </row>
    <row r="13" spans="1:25">
      <c r="A13" s="230">
        <v>1</v>
      </c>
      <c r="B13" s="231" t="str">
        <f>VLOOKUP(Tabel10[[#This Row],[Locatiecode]],Ruimtegroepen[[Code]:[Ruimte omschrijving]],2,FALSE)</f>
        <v>Magazijnen/bergingen</v>
      </c>
      <c r="C13" s="232" t="s">
        <v>301</v>
      </c>
      <c r="D13" s="231" t="s">
        <v>1</v>
      </c>
      <c r="E13" s="233" t="s">
        <v>103</v>
      </c>
      <c r="F13" s="232" t="s">
        <v>305</v>
      </c>
      <c r="G13" s="281" t="s">
        <v>296</v>
      </c>
      <c r="H13" s="234" t="s">
        <v>296</v>
      </c>
      <c r="I13" s="234" t="s">
        <v>20</v>
      </c>
      <c r="J13" s="234" t="s">
        <v>15</v>
      </c>
      <c r="K13" s="234" t="s">
        <v>262</v>
      </c>
      <c r="L13" s="234" t="s">
        <v>296</v>
      </c>
      <c r="M13" s="234" t="s">
        <v>296</v>
      </c>
      <c r="N13" s="235" t="s">
        <v>296</v>
      </c>
      <c r="O13" s="236" t="s">
        <v>296</v>
      </c>
      <c r="P13" s="236" t="s">
        <v>296</v>
      </c>
      <c r="Q13" s="236" t="s">
        <v>296</v>
      </c>
      <c r="R13" s="236" t="s">
        <v>296</v>
      </c>
      <c r="S13" s="236" t="s">
        <v>2</v>
      </c>
      <c r="T13" s="236" t="s">
        <v>297</v>
      </c>
      <c r="U13" s="236" t="s">
        <v>297</v>
      </c>
      <c r="V13" s="236" t="s">
        <v>296</v>
      </c>
      <c r="W13" s="237" t="s">
        <v>296</v>
      </c>
      <c r="X13" s="237" t="s">
        <v>296</v>
      </c>
      <c r="Y13" s="238" t="s">
        <v>296</v>
      </c>
    </row>
    <row r="14" spans="1:25">
      <c r="A14" s="230">
        <v>1</v>
      </c>
      <c r="B14" s="231" t="str">
        <f>VLOOKUP(Tabel10[[#This Row],[Locatiecode]],Ruimtegroepen[[Code]:[Ruimte omschrijving]],2,FALSE)</f>
        <v>Magazijnen/bergingen</v>
      </c>
      <c r="C14" s="232" t="s">
        <v>301</v>
      </c>
      <c r="D14" s="231" t="s">
        <v>1</v>
      </c>
      <c r="E14" s="233" t="s">
        <v>100</v>
      </c>
      <c r="F14" s="232" t="s">
        <v>303</v>
      </c>
      <c r="G14" s="235" t="s">
        <v>20</v>
      </c>
      <c r="H14" s="235" t="s">
        <v>15</v>
      </c>
      <c r="I14" s="234" t="s">
        <v>296</v>
      </c>
      <c r="J14" s="234" t="s">
        <v>296</v>
      </c>
      <c r="K14" s="234" t="s">
        <v>296</v>
      </c>
      <c r="L14" s="234" t="s">
        <v>296</v>
      </c>
      <c r="M14" s="234" t="s">
        <v>296</v>
      </c>
      <c r="N14" s="235" t="s">
        <v>296</v>
      </c>
      <c r="O14" s="236" t="s">
        <v>296</v>
      </c>
      <c r="P14" s="236" t="s">
        <v>296</v>
      </c>
      <c r="Q14" s="236" t="s">
        <v>296</v>
      </c>
      <c r="R14" s="236" t="s">
        <v>296</v>
      </c>
      <c r="S14" s="236" t="s">
        <v>2</v>
      </c>
      <c r="T14" s="236" t="s">
        <v>297</v>
      </c>
      <c r="U14" s="236" t="s">
        <v>297</v>
      </c>
      <c r="V14" s="236" t="s">
        <v>296</v>
      </c>
      <c r="W14" s="237" t="s">
        <v>296</v>
      </c>
      <c r="X14" s="237" t="s">
        <v>296</v>
      </c>
      <c r="Y14" s="238" t="s">
        <v>296</v>
      </c>
    </row>
    <row r="15" spans="1:25">
      <c r="A15" s="230">
        <v>1</v>
      </c>
      <c r="B15" s="231" t="str">
        <f>VLOOKUP(Tabel10[[#This Row],[Locatiecode]],Ruimtegroepen[[Code]:[Ruimte omschrijving]],2,FALSE)</f>
        <v>Magazijnen/bergingen</v>
      </c>
      <c r="C15" s="232" t="s">
        <v>301</v>
      </c>
      <c r="D15" s="231" t="s">
        <v>1</v>
      </c>
      <c r="E15" s="233" t="s">
        <v>1344</v>
      </c>
      <c r="F15" s="232" t="s">
        <v>1346</v>
      </c>
      <c r="G15" s="281" t="s">
        <v>296</v>
      </c>
      <c r="H15" s="234" t="s">
        <v>296</v>
      </c>
      <c r="I15" s="234" t="s">
        <v>20</v>
      </c>
      <c r="J15" s="234" t="s">
        <v>15</v>
      </c>
      <c r="K15" s="234" t="s">
        <v>262</v>
      </c>
      <c r="L15" s="234" t="s">
        <v>296</v>
      </c>
      <c r="M15" s="234" t="s">
        <v>296</v>
      </c>
      <c r="N15" s="235" t="s">
        <v>296</v>
      </c>
      <c r="O15" s="236" t="s">
        <v>296</v>
      </c>
      <c r="P15" s="236" t="s">
        <v>296</v>
      </c>
      <c r="Q15" s="236" t="s">
        <v>296</v>
      </c>
      <c r="R15" s="236" t="s">
        <v>296</v>
      </c>
      <c r="S15" s="236" t="s">
        <v>2</v>
      </c>
      <c r="T15" s="236" t="s">
        <v>297</v>
      </c>
      <c r="U15" s="236" t="s">
        <v>297</v>
      </c>
      <c r="V15" s="236" t="s">
        <v>296</v>
      </c>
      <c r="W15" s="237" t="s">
        <v>296</v>
      </c>
      <c r="X15" s="237" t="s">
        <v>296</v>
      </c>
      <c r="Y15" s="238" t="s">
        <v>296</v>
      </c>
    </row>
    <row r="16" spans="1:25">
      <c r="A16" s="230">
        <v>1</v>
      </c>
      <c r="B16" s="231" t="str">
        <f>VLOOKUP(Tabel10[[#This Row],[Locatiecode]],Ruimtegroepen[[Code]:[Ruimte omschrijving]],2,FALSE)</f>
        <v>Magazijnen/bergingen</v>
      </c>
      <c r="C16" s="232" t="s">
        <v>306</v>
      </c>
      <c r="D16" s="231" t="s">
        <v>21</v>
      </c>
      <c r="E16" s="233" t="s">
        <v>101</v>
      </c>
      <c r="F16" s="232" t="s">
        <v>307</v>
      </c>
      <c r="G16" s="281" t="s">
        <v>296</v>
      </c>
      <c r="H16" s="234" t="s">
        <v>296</v>
      </c>
      <c r="I16" s="234" t="s">
        <v>18</v>
      </c>
      <c r="J16" s="234" t="s">
        <v>15</v>
      </c>
      <c r="K16" s="234" t="s">
        <v>296</v>
      </c>
      <c r="L16" s="234" t="s">
        <v>296</v>
      </c>
      <c r="M16" s="234" t="s">
        <v>296</v>
      </c>
      <c r="N16" s="235" t="s">
        <v>296</v>
      </c>
      <c r="O16" s="236" t="s">
        <v>296</v>
      </c>
      <c r="P16" s="236" t="s">
        <v>296</v>
      </c>
      <c r="Q16" s="236" t="s">
        <v>296</v>
      </c>
      <c r="R16" s="236" t="s">
        <v>296</v>
      </c>
      <c r="S16" s="236" t="s">
        <v>20</v>
      </c>
      <c r="T16" s="236" t="s">
        <v>297</v>
      </c>
      <c r="U16" s="236" t="s">
        <v>297</v>
      </c>
      <c r="V16" s="236" t="s">
        <v>296</v>
      </c>
      <c r="W16" s="237" t="s">
        <v>296</v>
      </c>
      <c r="X16" s="237" t="s">
        <v>296</v>
      </c>
      <c r="Y16" s="238" t="s">
        <v>296</v>
      </c>
    </row>
    <row r="17" spans="1:25">
      <c r="A17" s="230">
        <v>1</v>
      </c>
      <c r="B17" s="231" t="str">
        <f>VLOOKUP(Tabel10[[#This Row],[Locatiecode]],Ruimtegroepen[[Code]:[Ruimte omschrijving]],2,FALSE)</f>
        <v>Magazijnen/bergingen</v>
      </c>
      <c r="C17" s="232" t="s">
        <v>306</v>
      </c>
      <c r="D17" s="231" t="s">
        <v>21</v>
      </c>
      <c r="E17" s="233" t="s">
        <v>100</v>
      </c>
      <c r="F17" s="232" t="s">
        <v>308</v>
      </c>
      <c r="G17" s="235" t="s">
        <v>18</v>
      </c>
      <c r="H17" s="235" t="s">
        <v>15</v>
      </c>
      <c r="I17" s="234" t="s">
        <v>296</v>
      </c>
      <c r="J17" s="234" t="s">
        <v>296</v>
      </c>
      <c r="K17" s="234" t="s">
        <v>296</v>
      </c>
      <c r="L17" s="234" t="s">
        <v>296</v>
      </c>
      <c r="M17" s="234" t="s">
        <v>296</v>
      </c>
      <c r="N17" s="235" t="s">
        <v>296</v>
      </c>
      <c r="O17" s="236" t="s">
        <v>296</v>
      </c>
      <c r="P17" s="236" t="s">
        <v>296</v>
      </c>
      <c r="Q17" s="236" t="s">
        <v>296</v>
      </c>
      <c r="R17" s="236" t="s">
        <v>296</v>
      </c>
      <c r="S17" s="236" t="s">
        <v>20</v>
      </c>
      <c r="T17" s="236" t="s">
        <v>297</v>
      </c>
      <c r="U17" s="236" t="s">
        <v>297</v>
      </c>
      <c r="V17" s="236" t="s">
        <v>296</v>
      </c>
      <c r="W17" s="237" t="s">
        <v>296</v>
      </c>
      <c r="X17" s="237" t="s">
        <v>296</v>
      </c>
      <c r="Y17" s="238" t="s">
        <v>296</v>
      </c>
    </row>
    <row r="18" spans="1:25">
      <c r="A18" s="230">
        <v>1</v>
      </c>
      <c r="B18" s="231" t="str">
        <f>VLOOKUP(Tabel10[[#This Row],[Locatiecode]],Ruimtegroepen[[Code]:[Ruimte omschrijving]],2,FALSE)</f>
        <v>Magazijnen/bergingen</v>
      </c>
      <c r="C18" s="232" t="s">
        <v>306</v>
      </c>
      <c r="D18" s="231" t="s">
        <v>21</v>
      </c>
      <c r="E18" s="233" t="s">
        <v>102</v>
      </c>
      <c r="F18" s="232" t="s">
        <v>309</v>
      </c>
      <c r="G18" s="281" t="s">
        <v>296</v>
      </c>
      <c r="H18" s="234" t="s">
        <v>296</v>
      </c>
      <c r="I18" s="234" t="s">
        <v>18</v>
      </c>
      <c r="J18" s="234" t="s">
        <v>15</v>
      </c>
      <c r="K18" s="234" t="s">
        <v>262</v>
      </c>
      <c r="L18" s="234" t="s">
        <v>296</v>
      </c>
      <c r="M18" s="234" t="s">
        <v>296</v>
      </c>
      <c r="N18" s="235" t="s">
        <v>296</v>
      </c>
      <c r="O18" s="244" t="s">
        <v>296</v>
      </c>
      <c r="P18" s="236" t="s">
        <v>296</v>
      </c>
      <c r="Q18" s="236" t="s">
        <v>296</v>
      </c>
      <c r="R18" s="236" t="s">
        <v>296</v>
      </c>
      <c r="S18" s="236" t="s">
        <v>20</v>
      </c>
      <c r="T18" s="236" t="s">
        <v>297</v>
      </c>
      <c r="U18" s="236" t="s">
        <v>297</v>
      </c>
      <c r="V18" s="236" t="s">
        <v>296</v>
      </c>
      <c r="W18" s="237" t="s">
        <v>296</v>
      </c>
      <c r="X18" s="237" t="s">
        <v>296</v>
      </c>
      <c r="Y18" s="238" t="s">
        <v>296</v>
      </c>
    </row>
    <row r="19" spans="1:25">
      <c r="A19" s="230">
        <v>1</v>
      </c>
      <c r="B19" s="231" t="str">
        <f>VLOOKUP(Tabel10[[#This Row],[Locatiecode]],Ruimtegroepen[[Code]:[Ruimte omschrijving]],2,FALSE)</f>
        <v>Magazijnen/bergingen</v>
      </c>
      <c r="C19" s="232" t="s">
        <v>306</v>
      </c>
      <c r="D19" s="231" t="s">
        <v>21</v>
      </c>
      <c r="E19" s="233" t="s">
        <v>103</v>
      </c>
      <c r="F19" s="232" t="s">
        <v>310</v>
      </c>
      <c r="G19" s="281" t="s">
        <v>296</v>
      </c>
      <c r="H19" s="234" t="s">
        <v>296</v>
      </c>
      <c r="I19" s="234" t="s">
        <v>18</v>
      </c>
      <c r="J19" s="234" t="s">
        <v>15</v>
      </c>
      <c r="K19" s="234" t="s">
        <v>262</v>
      </c>
      <c r="L19" s="234" t="s">
        <v>296</v>
      </c>
      <c r="M19" s="234" t="s">
        <v>296</v>
      </c>
      <c r="N19" s="235" t="s">
        <v>296</v>
      </c>
      <c r="O19" s="236" t="s">
        <v>296</v>
      </c>
      <c r="P19" s="236" t="s">
        <v>296</v>
      </c>
      <c r="Q19" s="236" t="s">
        <v>296</v>
      </c>
      <c r="R19" s="236" t="s">
        <v>296</v>
      </c>
      <c r="S19" s="236" t="s">
        <v>20</v>
      </c>
      <c r="T19" s="236" t="s">
        <v>297</v>
      </c>
      <c r="U19" s="236" t="s">
        <v>297</v>
      </c>
      <c r="V19" s="236" t="s">
        <v>296</v>
      </c>
      <c r="W19" s="237" t="s">
        <v>296</v>
      </c>
      <c r="X19" s="237" t="s">
        <v>296</v>
      </c>
      <c r="Y19" s="238" t="s">
        <v>296</v>
      </c>
    </row>
    <row r="20" spans="1:25">
      <c r="A20" s="230">
        <v>1</v>
      </c>
      <c r="B20" s="231" t="str">
        <f>VLOOKUP(Tabel10[[#This Row],[Locatiecode]],Ruimtegroepen[[Code]:[Ruimte omschrijving]],2,FALSE)</f>
        <v>Magazijnen/bergingen</v>
      </c>
      <c r="C20" s="232" t="s">
        <v>306</v>
      </c>
      <c r="D20" s="231" t="s">
        <v>21</v>
      </c>
      <c r="E20" s="233" t="s">
        <v>100</v>
      </c>
      <c r="F20" s="232" t="s">
        <v>308</v>
      </c>
      <c r="G20" s="235" t="s">
        <v>18</v>
      </c>
      <c r="H20" s="235" t="s">
        <v>15</v>
      </c>
      <c r="I20" s="234" t="s">
        <v>296</v>
      </c>
      <c r="J20" s="234" t="s">
        <v>296</v>
      </c>
      <c r="K20" s="234" t="s">
        <v>296</v>
      </c>
      <c r="L20" s="234" t="s">
        <v>296</v>
      </c>
      <c r="M20" s="234" t="s">
        <v>296</v>
      </c>
      <c r="N20" s="235" t="s">
        <v>296</v>
      </c>
      <c r="O20" s="236" t="s">
        <v>296</v>
      </c>
      <c r="P20" s="236" t="s">
        <v>296</v>
      </c>
      <c r="Q20" s="236" t="s">
        <v>296</v>
      </c>
      <c r="R20" s="236" t="s">
        <v>296</v>
      </c>
      <c r="S20" s="236" t="s">
        <v>20</v>
      </c>
      <c r="T20" s="236" t="s">
        <v>297</v>
      </c>
      <c r="U20" s="236" t="s">
        <v>297</v>
      </c>
      <c r="V20" s="236" t="s">
        <v>296</v>
      </c>
      <c r="W20" s="237" t="s">
        <v>296</v>
      </c>
      <c r="X20" s="237" t="s">
        <v>296</v>
      </c>
      <c r="Y20" s="238" t="s">
        <v>296</v>
      </c>
    </row>
    <row r="21" spans="1:25">
      <c r="A21" s="230">
        <v>1</v>
      </c>
      <c r="B21" s="231" t="str">
        <f>VLOOKUP(Tabel10[[#This Row],[Locatiecode]],Ruimtegroepen[[Code]:[Ruimte omschrijving]],2,FALSE)</f>
        <v>Magazijnen/bergingen</v>
      </c>
      <c r="C21" s="232" t="s">
        <v>306</v>
      </c>
      <c r="D21" s="231" t="s">
        <v>21</v>
      </c>
      <c r="E21" s="233" t="s">
        <v>1344</v>
      </c>
      <c r="F21" s="232" t="s">
        <v>1347</v>
      </c>
      <c r="G21" s="281" t="s">
        <v>296</v>
      </c>
      <c r="H21" s="234" t="s">
        <v>296</v>
      </c>
      <c r="I21" s="234" t="s">
        <v>18</v>
      </c>
      <c r="J21" s="234" t="s">
        <v>15</v>
      </c>
      <c r="K21" s="234" t="s">
        <v>262</v>
      </c>
      <c r="L21" s="234" t="s">
        <v>296</v>
      </c>
      <c r="M21" s="234" t="s">
        <v>296</v>
      </c>
      <c r="N21" s="235" t="s">
        <v>296</v>
      </c>
      <c r="O21" s="236" t="s">
        <v>296</v>
      </c>
      <c r="P21" s="236" t="s">
        <v>296</v>
      </c>
      <c r="Q21" s="236" t="s">
        <v>296</v>
      </c>
      <c r="R21" s="236" t="s">
        <v>296</v>
      </c>
      <c r="S21" s="236" t="s">
        <v>20</v>
      </c>
      <c r="T21" s="236" t="s">
        <v>297</v>
      </c>
      <c r="U21" s="236" t="s">
        <v>297</v>
      </c>
      <c r="V21" s="236" t="s">
        <v>296</v>
      </c>
      <c r="W21" s="237" t="s">
        <v>296</v>
      </c>
      <c r="X21" s="237" t="s">
        <v>296</v>
      </c>
      <c r="Y21" s="238" t="s">
        <v>296</v>
      </c>
    </row>
    <row r="22" spans="1:25">
      <c r="A22" s="230">
        <v>1</v>
      </c>
      <c r="B22" s="231" t="str">
        <f>VLOOKUP(Tabel10[[#This Row],[Locatiecode]],Ruimtegroepen[[Code]:[Ruimte omschrijving]],2,FALSE)</f>
        <v>Magazijnen/bergingen</v>
      </c>
      <c r="C22" s="232" t="s">
        <v>311</v>
      </c>
      <c r="D22" s="231" t="s">
        <v>12</v>
      </c>
      <c r="E22" s="233" t="s">
        <v>101</v>
      </c>
      <c r="F22" s="232" t="s">
        <v>312</v>
      </c>
      <c r="G22" s="281" t="s">
        <v>296</v>
      </c>
      <c r="H22" s="234" t="s">
        <v>296</v>
      </c>
      <c r="I22" s="234" t="s">
        <v>17</v>
      </c>
      <c r="J22" s="234" t="s">
        <v>15</v>
      </c>
      <c r="K22" s="234" t="s">
        <v>296</v>
      </c>
      <c r="L22" s="234" t="s">
        <v>296</v>
      </c>
      <c r="M22" s="234" t="s">
        <v>296</v>
      </c>
      <c r="N22" s="234" t="s">
        <v>296</v>
      </c>
      <c r="O22" s="236" t="s">
        <v>296</v>
      </c>
      <c r="P22" s="236" t="s">
        <v>296</v>
      </c>
      <c r="Q22" s="236" t="s">
        <v>296</v>
      </c>
      <c r="R22" s="236" t="s">
        <v>296</v>
      </c>
      <c r="S22" s="236" t="s">
        <v>18</v>
      </c>
      <c r="T22" s="236" t="s">
        <v>297</v>
      </c>
      <c r="U22" s="236" t="s">
        <v>297</v>
      </c>
      <c r="V22" s="236"/>
      <c r="W22" s="237" t="s">
        <v>296</v>
      </c>
      <c r="X22" s="237" t="s">
        <v>296</v>
      </c>
      <c r="Y22" s="238" t="s">
        <v>296</v>
      </c>
    </row>
    <row r="23" spans="1:25">
      <c r="A23" s="230">
        <v>1</v>
      </c>
      <c r="B23" s="231" t="str">
        <f>VLOOKUP(Tabel10[[#This Row],[Locatiecode]],Ruimtegroepen[[Code]:[Ruimte omschrijving]],2,FALSE)</f>
        <v>Magazijnen/bergingen</v>
      </c>
      <c r="C23" s="232" t="s">
        <v>311</v>
      </c>
      <c r="D23" s="231" t="s">
        <v>12</v>
      </c>
      <c r="E23" s="233" t="s">
        <v>100</v>
      </c>
      <c r="F23" s="232" t="s">
        <v>313</v>
      </c>
      <c r="G23" s="235" t="s">
        <v>17</v>
      </c>
      <c r="H23" s="235" t="s">
        <v>15</v>
      </c>
      <c r="I23" s="234" t="s">
        <v>296</v>
      </c>
      <c r="J23" s="234" t="s">
        <v>296</v>
      </c>
      <c r="K23" s="234" t="s">
        <v>296</v>
      </c>
      <c r="L23" s="234" t="s">
        <v>296</v>
      </c>
      <c r="M23" s="234" t="s">
        <v>296</v>
      </c>
      <c r="N23" s="235" t="s">
        <v>296</v>
      </c>
      <c r="O23" s="236" t="s">
        <v>296</v>
      </c>
      <c r="P23" s="236" t="s">
        <v>296</v>
      </c>
      <c r="Q23" s="236" t="s">
        <v>296</v>
      </c>
      <c r="R23" s="236" t="s">
        <v>296</v>
      </c>
      <c r="S23" s="236" t="s">
        <v>18</v>
      </c>
      <c r="T23" s="236" t="s">
        <v>297</v>
      </c>
      <c r="U23" s="236" t="s">
        <v>297</v>
      </c>
      <c r="V23" s="236" t="s">
        <v>296</v>
      </c>
      <c r="W23" s="237" t="s">
        <v>296</v>
      </c>
      <c r="X23" s="237" t="s">
        <v>296</v>
      </c>
      <c r="Y23" s="238" t="s">
        <v>296</v>
      </c>
    </row>
    <row r="24" spans="1:25">
      <c r="A24" s="230">
        <v>1</v>
      </c>
      <c r="B24" s="231" t="str">
        <f>VLOOKUP(Tabel10[[#This Row],[Locatiecode]],Ruimtegroepen[[Code]:[Ruimte omschrijving]],2,FALSE)</f>
        <v>Magazijnen/bergingen</v>
      </c>
      <c r="C24" s="232" t="s">
        <v>311</v>
      </c>
      <c r="D24" s="231" t="s">
        <v>12</v>
      </c>
      <c r="E24" s="233" t="s">
        <v>102</v>
      </c>
      <c r="F24" s="232" t="s">
        <v>314</v>
      </c>
      <c r="G24" s="281" t="s">
        <v>296</v>
      </c>
      <c r="H24" s="234" t="s">
        <v>296</v>
      </c>
      <c r="I24" s="234" t="s">
        <v>17</v>
      </c>
      <c r="J24" s="234" t="s">
        <v>15</v>
      </c>
      <c r="K24" s="234" t="s">
        <v>262</v>
      </c>
      <c r="L24" s="234" t="s">
        <v>296</v>
      </c>
      <c r="M24" s="234" t="s">
        <v>296</v>
      </c>
      <c r="N24" s="235" t="s">
        <v>296</v>
      </c>
      <c r="O24" s="236" t="s">
        <v>296</v>
      </c>
      <c r="P24" s="236" t="s">
        <v>296</v>
      </c>
      <c r="Q24" s="236" t="s">
        <v>296</v>
      </c>
      <c r="R24" s="236" t="s">
        <v>296</v>
      </c>
      <c r="S24" s="236" t="s">
        <v>18</v>
      </c>
      <c r="T24" s="236" t="s">
        <v>297</v>
      </c>
      <c r="U24" s="236" t="s">
        <v>297</v>
      </c>
      <c r="V24" s="236" t="s">
        <v>296</v>
      </c>
      <c r="W24" s="237" t="s">
        <v>296</v>
      </c>
      <c r="X24" s="237" t="s">
        <v>296</v>
      </c>
      <c r="Y24" s="238" t="s">
        <v>296</v>
      </c>
    </row>
    <row r="25" spans="1:25">
      <c r="A25" s="230">
        <v>1</v>
      </c>
      <c r="B25" s="231" t="str">
        <f>VLOOKUP(Tabel10[[#This Row],[Locatiecode]],Ruimtegroepen[[Code]:[Ruimte omschrijving]],2,FALSE)</f>
        <v>Magazijnen/bergingen</v>
      </c>
      <c r="C25" s="232" t="s">
        <v>311</v>
      </c>
      <c r="D25" s="231" t="s">
        <v>12</v>
      </c>
      <c r="E25" s="233" t="s">
        <v>103</v>
      </c>
      <c r="F25" s="232" t="s">
        <v>315</v>
      </c>
      <c r="G25" s="281" t="s">
        <v>296</v>
      </c>
      <c r="H25" s="234" t="s">
        <v>296</v>
      </c>
      <c r="I25" s="234" t="s">
        <v>17</v>
      </c>
      <c r="J25" s="234" t="s">
        <v>15</v>
      </c>
      <c r="K25" s="234" t="s">
        <v>262</v>
      </c>
      <c r="L25" s="234" t="s">
        <v>296</v>
      </c>
      <c r="M25" s="234" t="s">
        <v>296</v>
      </c>
      <c r="N25" s="235" t="s">
        <v>296</v>
      </c>
      <c r="O25" s="236" t="s">
        <v>296</v>
      </c>
      <c r="P25" s="236" t="s">
        <v>296</v>
      </c>
      <c r="Q25" s="236" t="s">
        <v>296</v>
      </c>
      <c r="R25" s="236" t="s">
        <v>296</v>
      </c>
      <c r="S25" s="236" t="s">
        <v>18</v>
      </c>
      <c r="T25" s="236" t="s">
        <v>297</v>
      </c>
      <c r="U25" s="236" t="s">
        <v>297</v>
      </c>
      <c r="V25" s="236" t="s">
        <v>296</v>
      </c>
      <c r="W25" s="237" t="s">
        <v>296</v>
      </c>
      <c r="X25" s="237" t="s">
        <v>296</v>
      </c>
      <c r="Y25" s="238" t="s">
        <v>296</v>
      </c>
    </row>
    <row r="26" spans="1:25">
      <c r="A26" s="230">
        <v>1</v>
      </c>
      <c r="B26" s="231" t="str">
        <f>VLOOKUP(Tabel10[[#This Row],[Locatiecode]],Ruimtegroepen[[Code]:[Ruimte omschrijving]],2,FALSE)</f>
        <v>Magazijnen/bergingen</v>
      </c>
      <c r="C26" s="232" t="s">
        <v>311</v>
      </c>
      <c r="D26" s="231" t="s">
        <v>12</v>
      </c>
      <c r="E26" s="233" t="s">
        <v>100</v>
      </c>
      <c r="F26" s="232" t="s">
        <v>313</v>
      </c>
      <c r="G26" s="235" t="s">
        <v>17</v>
      </c>
      <c r="H26" s="235" t="s">
        <v>15</v>
      </c>
      <c r="I26" s="234" t="s">
        <v>296</v>
      </c>
      <c r="J26" s="234" t="s">
        <v>296</v>
      </c>
      <c r="K26" s="234" t="s">
        <v>296</v>
      </c>
      <c r="L26" s="234" t="s">
        <v>296</v>
      </c>
      <c r="M26" s="234" t="s">
        <v>296</v>
      </c>
      <c r="N26" s="235" t="s">
        <v>296</v>
      </c>
      <c r="O26" s="236" t="s">
        <v>296</v>
      </c>
      <c r="P26" s="236" t="s">
        <v>296</v>
      </c>
      <c r="Q26" s="236" t="s">
        <v>296</v>
      </c>
      <c r="R26" s="236" t="s">
        <v>296</v>
      </c>
      <c r="S26" s="236" t="s">
        <v>18</v>
      </c>
      <c r="T26" s="236" t="s">
        <v>297</v>
      </c>
      <c r="U26" s="236" t="s">
        <v>297</v>
      </c>
      <c r="V26" s="236" t="s">
        <v>296</v>
      </c>
      <c r="W26" s="237" t="s">
        <v>296</v>
      </c>
      <c r="X26" s="237" t="s">
        <v>296</v>
      </c>
      <c r="Y26" s="238" t="s">
        <v>296</v>
      </c>
    </row>
    <row r="27" spans="1:25">
      <c r="A27" s="230">
        <v>1</v>
      </c>
      <c r="B27" s="231" t="str">
        <f>VLOOKUP(Tabel10[[#This Row],[Locatiecode]],Ruimtegroepen[[Code]:[Ruimte omschrijving]],2,FALSE)</f>
        <v>Magazijnen/bergingen</v>
      </c>
      <c r="C27" s="232" t="s">
        <v>311</v>
      </c>
      <c r="D27" s="231" t="s">
        <v>12</v>
      </c>
      <c r="E27" s="233" t="s">
        <v>1344</v>
      </c>
      <c r="F27" s="232" t="s">
        <v>1348</v>
      </c>
      <c r="G27" s="281" t="s">
        <v>296</v>
      </c>
      <c r="H27" s="234" t="s">
        <v>296</v>
      </c>
      <c r="I27" s="234" t="s">
        <v>17</v>
      </c>
      <c r="J27" s="234" t="s">
        <v>15</v>
      </c>
      <c r="K27" s="234" t="s">
        <v>262</v>
      </c>
      <c r="L27" s="234" t="s">
        <v>296</v>
      </c>
      <c r="M27" s="234" t="s">
        <v>296</v>
      </c>
      <c r="N27" s="235" t="s">
        <v>296</v>
      </c>
      <c r="O27" s="236" t="s">
        <v>296</v>
      </c>
      <c r="P27" s="236" t="s">
        <v>296</v>
      </c>
      <c r="Q27" s="236" t="s">
        <v>296</v>
      </c>
      <c r="R27" s="236" t="s">
        <v>296</v>
      </c>
      <c r="S27" s="236" t="s">
        <v>18</v>
      </c>
      <c r="T27" s="236" t="s">
        <v>297</v>
      </c>
      <c r="U27" s="236" t="s">
        <v>297</v>
      </c>
      <c r="V27" s="236" t="s">
        <v>296</v>
      </c>
      <c r="W27" s="237" t="s">
        <v>296</v>
      </c>
      <c r="X27" s="237" t="s">
        <v>296</v>
      </c>
      <c r="Y27" s="238" t="s">
        <v>296</v>
      </c>
    </row>
    <row r="28" spans="1:25">
      <c r="A28" s="230">
        <v>1</v>
      </c>
      <c r="B28" s="231" t="str">
        <f>VLOOKUP(Tabel10[[#This Row],[Locatiecode]],Ruimtegroepen[[Code]:[Ruimte omschrijving]],2,FALSE)</f>
        <v>Magazijnen/bergingen</v>
      </c>
      <c r="C28" s="232" t="s">
        <v>316</v>
      </c>
      <c r="D28" s="231" t="s">
        <v>14</v>
      </c>
      <c r="E28" s="233" t="s">
        <v>101</v>
      </c>
      <c r="F28" s="232" t="s">
        <v>317</v>
      </c>
      <c r="G28" s="281" t="s">
        <v>296</v>
      </c>
      <c r="H28" s="234" t="s">
        <v>296</v>
      </c>
      <c r="I28" s="234" t="s">
        <v>15</v>
      </c>
      <c r="J28" s="234" t="s">
        <v>15</v>
      </c>
      <c r="K28" s="234" t="s">
        <v>296</v>
      </c>
      <c r="L28" s="234" t="s">
        <v>296</v>
      </c>
      <c r="M28" s="234" t="s">
        <v>296</v>
      </c>
      <c r="N28" s="235" t="s">
        <v>296</v>
      </c>
      <c r="O28" s="236" t="s">
        <v>296</v>
      </c>
      <c r="P28" s="236" t="s">
        <v>296</v>
      </c>
      <c r="Q28" s="236" t="s">
        <v>296</v>
      </c>
      <c r="R28" s="236" t="s">
        <v>296</v>
      </c>
      <c r="S28" s="236" t="s">
        <v>17</v>
      </c>
      <c r="T28" s="236" t="s">
        <v>297</v>
      </c>
      <c r="U28" s="236" t="s">
        <v>297</v>
      </c>
      <c r="V28" s="236" t="s">
        <v>296</v>
      </c>
      <c r="W28" s="237" t="s">
        <v>296</v>
      </c>
      <c r="X28" s="237" t="s">
        <v>296</v>
      </c>
      <c r="Y28" s="238" t="s">
        <v>296</v>
      </c>
    </row>
    <row r="29" spans="1:25">
      <c r="A29" s="230">
        <v>1</v>
      </c>
      <c r="B29" s="231" t="str">
        <f>VLOOKUP(Tabel10[[#This Row],[Locatiecode]],Ruimtegroepen[[Code]:[Ruimte omschrijving]],2,FALSE)</f>
        <v>Magazijnen/bergingen</v>
      </c>
      <c r="C29" s="232" t="s">
        <v>316</v>
      </c>
      <c r="D29" s="231" t="s">
        <v>14</v>
      </c>
      <c r="E29" s="233" t="s">
        <v>100</v>
      </c>
      <c r="F29" s="232" t="s">
        <v>318</v>
      </c>
      <c r="G29" s="235" t="s">
        <v>15</v>
      </c>
      <c r="H29" s="235" t="s">
        <v>15</v>
      </c>
      <c r="I29" s="234" t="s">
        <v>296</v>
      </c>
      <c r="J29" s="234" t="s">
        <v>296</v>
      </c>
      <c r="K29" s="234" t="s">
        <v>296</v>
      </c>
      <c r="L29" s="234" t="s">
        <v>296</v>
      </c>
      <c r="M29" s="234" t="s">
        <v>296</v>
      </c>
      <c r="N29" s="235" t="s">
        <v>296</v>
      </c>
      <c r="O29" s="236" t="s">
        <v>296</v>
      </c>
      <c r="P29" s="236" t="s">
        <v>296</v>
      </c>
      <c r="Q29" s="236" t="s">
        <v>296</v>
      </c>
      <c r="R29" s="236" t="s">
        <v>296</v>
      </c>
      <c r="S29" s="236" t="s">
        <v>17</v>
      </c>
      <c r="T29" s="236" t="s">
        <v>297</v>
      </c>
      <c r="U29" s="236" t="s">
        <v>297</v>
      </c>
      <c r="V29" s="236" t="s">
        <v>296</v>
      </c>
      <c r="W29" s="237" t="s">
        <v>296</v>
      </c>
      <c r="X29" s="237" t="s">
        <v>296</v>
      </c>
      <c r="Y29" s="238" t="s">
        <v>296</v>
      </c>
    </row>
    <row r="30" spans="1:25">
      <c r="A30" s="230">
        <v>1</v>
      </c>
      <c r="B30" s="231" t="str">
        <f>VLOOKUP(Tabel10[[#This Row],[Locatiecode]],Ruimtegroepen[[Code]:[Ruimte omschrijving]],2,FALSE)</f>
        <v>Magazijnen/bergingen</v>
      </c>
      <c r="C30" s="232" t="s">
        <v>316</v>
      </c>
      <c r="D30" s="231" t="s">
        <v>14</v>
      </c>
      <c r="E30" s="233" t="s">
        <v>102</v>
      </c>
      <c r="F30" s="232" t="s">
        <v>319</v>
      </c>
      <c r="G30" s="281" t="s">
        <v>296</v>
      </c>
      <c r="H30" s="234" t="s">
        <v>296</v>
      </c>
      <c r="I30" s="234" t="s">
        <v>15</v>
      </c>
      <c r="J30" s="234" t="s">
        <v>15</v>
      </c>
      <c r="K30" s="234" t="s">
        <v>262</v>
      </c>
      <c r="L30" s="234" t="s">
        <v>296</v>
      </c>
      <c r="M30" s="234" t="s">
        <v>296</v>
      </c>
      <c r="N30" s="235" t="s">
        <v>296</v>
      </c>
      <c r="O30" s="236" t="s">
        <v>296</v>
      </c>
      <c r="P30" s="236" t="s">
        <v>296</v>
      </c>
      <c r="Q30" s="236" t="s">
        <v>296</v>
      </c>
      <c r="R30" s="236" t="s">
        <v>296</v>
      </c>
      <c r="S30" s="236" t="s">
        <v>17</v>
      </c>
      <c r="T30" s="236" t="s">
        <v>297</v>
      </c>
      <c r="U30" s="236" t="s">
        <v>297</v>
      </c>
      <c r="V30" s="236" t="s">
        <v>296</v>
      </c>
      <c r="W30" s="237" t="s">
        <v>296</v>
      </c>
      <c r="X30" s="237" t="s">
        <v>296</v>
      </c>
      <c r="Y30" s="238" t="s">
        <v>296</v>
      </c>
    </row>
    <row r="31" spans="1:25">
      <c r="A31" s="230">
        <v>1</v>
      </c>
      <c r="B31" s="231" t="str">
        <f>VLOOKUP(Tabel10[[#This Row],[Locatiecode]],Ruimtegroepen[[Code]:[Ruimte omschrijving]],2,FALSE)</f>
        <v>Magazijnen/bergingen</v>
      </c>
      <c r="C31" s="232" t="s">
        <v>316</v>
      </c>
      <c r="D31" s="231" t="s">
        <v>14</v>
      </c>
      <c r="E31" s="233" t="s">
        <v>103</v>
      </c>
      <c r="F31" s="232" t="s">
        <v>320</v>
      </c>
      <c r="G31" s="281" t="s">
        <v>296</v>
      </c>
      <c r="H31" s="234" t="s">
        <v>296</v>
      </c>
      <c r="I31" s="234" t="s">
        <v>15</v>
      </c>
      <c r="J31" s="234" t="s">
        <v>15</v>
      </c>
      <c r="K31" s="234" t="s">
        <v>262</v>
      </c>
      <c r="L31" s="234" t="s">
        <v>296</v>
      </c>
      <c r="M31" s="234" t="s">
        <v>296</v>
      </c>
      <c r="N31" s="235" t="s">
        <v>296</v>
      </c>
      <c r="O31" s="236" t="s">
        <v>296</v>
      </c>
      <c r="P31" s="236" t="s">
        <v>296</v>
      </c>
      <c r="Q31" s="236" t="s">
        <v>296</v>
      </c>
      <c r="R31" s="236" t="s">
        <v>296</v>
      </c>
      <c r="S31" s="236" t="s">
        <v>17</v>
      </c>
      <c r="T31" s="236" t="s">
        <v>297</v>
      </c>
      <c r="U31" s="236" t="s">
        <v>297</v>
      </c>
      <c r="V31" s="236" t="s">
        <v>296</v>
      </c>
      <c r="W31" s="237" t="s">
        <v>296</v>
      </c>
      <c r="X31" s="237" t="s">
        <v>296</v>
      </c>
      <c r="Y31" s="238" t="s">
        <v>296</v>
      </c>
    </row>
    <row r="32" spans="1:25">
      <c r="A32" s="230">
        <v>1</v>
      </c>
      <c r="B32" s="231" t="str">
        <f>VLOOKUP(Tabel10[[#This Row],[Locatiecode]],Ruimtegroepen[[Code]:[Ruimte omschrijving]],2,FALSE)</f>
        <v>Magazijnen/bergingen</v>
      </c>
      <c r="C32" s="232" t="s">
        <v>316</v>
      </c>
      <c r="D32" s="231" t="s">
        <v>14</v>
      </c>
      <c r="E32" s="233" t="s">
        <v>100</v>
      </c>
      <c r="F32" s="232" t="s">
        <v>318</v>
      </c>
      <c r="G32" s="235" t="s">
        <v>15</v>
      </c>
      <c r="H32" s="235" t="s">
        <v>15</v>
      </c>
      <c r="I32" s="234" t="s">
        <v>296</v>
      </c>
      <c r="J32" s="234" t="s">
        <v>296</v>
      </c>
      <c r="K32" s="234" t="s">
        <v>296</v>
      </c>
      <c r="L32" s="234" t="s">
        <v>296</v>
      </c>
      <c r="M32" s="234" t="s">
        <v>296</v>
      </c>
      <c r="N32" s="235" t="s">
        <v>296</v>
      </c>
      <c r="O32" s="236" t="s">
        <v>296</v>
      </c>
      <c r="P32" s="236" t="s">
        <v>296</v>
      </c>
      <c r="Q32" s="236" t="s">
        <v>296</v>
      </c>
      <c r="R32" s="236" t="s">
        <v>296</v>
      </c>
      <c r="S32" s="236" t="s">
        <v>17</v>
      </c>
      <c r="T32" s="236" t="s">
        <v>297</v>
      </c>
      <c r="U32" s="236" t="s">
        <v>297</v>
      </c>
      <c r="V32" s="236" t="s">
        <v>296</v>
      </c>
      <c r="W32" s="237" t="s">
        <v>296</v>
      </c>
      <c r="X32" s="237" t="s">
        <v>296</v>
      </c>
      <c r="Y32" s="238" t="s">
        <v>296</v>
      </c>
    </row>
    <row r="33" spans="1:25">
      <c r="A33" s="230">
        <v>1</v>
      </c>
      <c r="B33" s="231" t="str">
        <f>VLOOKUP(Tabel10[[#This Row],[Locatiecode]],Ruimtegroepen[[Code]:[Ruimte omschrijving]],2,FALSE)</f>
        <v>Magazijnen/bergingen</v>
      </c>
      <c r="C33" s="232" t="s">
        <v>316</v>
      </c>
      <c r="D33" s="231" t="s">
        <v>14</v>
      </c>
      <c r="E33" s="233" t="s">
        <v>1344</v>
      </c>
      <c r="F33" s="232" t="s">
        <v>1349</v>
      </c>
      <c r="G33" s="281" t="s">
        <v>296</v>
      </c>
      <c r="H33" s="234" t="s">
        <v>296</v>
      </c>
      <c r="I33" s="234" t="s">
        <v>15</v>
      </c>
      <c r="J33" s="234" t="s">
        <v>15</v>
      </c>
      <c r="K33" s="234" t="s">
        <v>262</v>
      </c>
      <c r="L33" s="234" t="s">
        <v>296</v>
      </c>
      <c r="M33" s="234" t="s">
        <v>296</v>
      </c>
      <c r="N33" s="235" t="s">
        <v>296</v>
      </c>
      <c r="O33" s="236" t="s">
        <v>296</v>
      </c>
      <c r="P33" s="236" t="s">
        <v>296</v>
      </c>
      <c r="Q33" s="236" t="s">
        <v>296</v>
      </c>
      <c r="R33" s="236" t="s">
        <v>296</v>
      </c>
      <c r="S33" s="236" t="s">
        <v>17</v>
      </c>
      <c r="T33" s="236" t="s">
        <v>297</v>
      </c>
      <c r="U33" s="236" t="s">
        <v>297</v>
      </c>
      <c r="V33" s="236" t="s">
        <v>296</v>
      </c>
      <c r="W33" s="237" t="s">
        <v>296</v>
      </c>
      <c r="X33" s="237" t="s">
        <v>296</v>
      </c>
      <c r="Y33" s="238" t="s">
        <v>296</v>
      </c>
    </row>
    <row r="34" spans="1:25">
      <c r="A34" s="230">
        <v>1</v>
      </c>
      <c r="B34" s="231" t="str">
        <f>VLOOKUP(Tabel10[[#This Row],[Locatiecode]],Ruimtegroepen[[Code]:[Ruimte omschrijving]],2,FALSE)</f>
        <v>Magazijnen/bergingen</v>
      </c>
      <c r="C34" s="232" t="s">
        <v>321</v>
      </c>
      <c r="D34" s="231" t="s">
        <v>13</v>
      </c>
      <c r="E34" s="233" t="s">
        <v>101</v>
      </c>
      <c r="F34" s="232" t="s">
        <v>322</v>
      </c>
      <c r="G34" s="281" t="s">
        <v>296</v>
      </c>
      <c r="H34" s="234" t="s">
        <v>296</v>
      </c>
      <c r="I34" s="234" t="s">
        <v>15</v>
      </c>
      <c r="J34" s="234" t="s">
        <v>15</v>
      </c>
      <c r="K34" s="234" t="s">
        <v>296</v>
      </c>
      <c r="L34" s="234" t="s">
        <v>296</v>
      </c>
      <c r="M34" s="234" t="s">
        <v>296</v>
      </c>
      <c r="N34" s="235" t="s">
        <v>296</v>
      </c>
      <c r="O34" s="236" t="s">
        <v>296</v>
      </c>
      <c r="P34" s="236" t="s">
        <v>296</v>
      </c>
      <c r="Q34" s="236" t="s">
        <v>296</v>
      </c>
      <c r="R34" s="236" t="s">
        <v>296</v>
      </c>
      <c r="S34" s="236" t="s">
        <v>15</v>
      </c>
      <c r="T34" s="236" t="s">
        <v>297</v>
      </c>
      <c r="U34" s="236" t="s">
        <v>297</v>
      </c>
      <c r="V34" s="236" t="s">
        <v>296</v>
      </c>
      <c r="W34" s="237" t="s">
        <v>296</v>
      </c>
      <c r="X34" s="237" t="s">
        <v>296</v>
      </c>
      <c r="Y34" s="238" t="s">
        <v>296</v>
      </c>
    </row>
    <row r="35" spans="1:25">
      <c r="A35" s="230">
        <v>1</v>
      </c>
      <c r="B35" s="231" t="str">
        <f>VLOOKUP(Tabel10[[#This Row],[Locatiecode]],Ruimtegroepen[[Code]:[Ruimte omschrijving]],2,FALSE)</f>
        <v>Magazijnen/bergingen</v>
      </c>
      <c r="C35" s="232" t="s">
        <v>321</v>
      </c>
      <c r="D35" s="231" t="s">
        <v>13</v>
      </c>
      <c r="E35" s="233" t="s">
        <v>100</v>
      </c>
      <c r="F35" s="232" t="s">
        <v>323</v>
      </c>
      <c r="G35" s="281" t="s">
        <v>296</v>
      </c>
      <c r="H35" s="235" t="s">
        <v>15</v>
      </c>
      <c r="I35" s="234" t="s">
        <v>296</v>
      </c>
      <c r="J35" s="234" t="s">
        <v>296</v>
      </c>
      <c r="K35" s="234" t="s">
        <v>296</v>
      </c>
      <c r="L35" s="234" t="s">
        <v>296</v>
      </c>
      <c r="M35" s="234" t="s">
        <v>296</v>
      </c>
      <c r="N35" s="235" t="s">
        <v>296</v>
      </c>
      <c r="O35" s="236" t="s">
        <v>296</v>
      </c>
      <c r="P35" s="236" t="s">
        <v>296</v>
      </c>
      <c r="Q35" s="236" t="s">
        <v>296</v>
      </c>
      <c r="R35" s="236" t="s">
        <v>296</v>
      </c>
      <c r="S35" s="236" t="s">
        <v>15</v>
      </c>
      <c r="T35" s="236" t="s">
        <v>297</v>
      </c>
      <c r="U35" s="236" t="s">
        <v>297</v>
      </c>
      <c r="V35" s="236" t="s">
        <v>296</v>
      </c>
      <c r="W35" s="237" t="s">
        <v>296</v>
      </c>
      <c r="X35" s="237" t="s">
        <v>296</v>
      </c>
      <c r="Y35" s="238" t="s">
        <v>296</v>
      </c>
    </row>
    <row r="36" spans="1:25">
      <c r="A36" s="230">
        <v>1</v>
      </c>
      <c r="B36" s="231" t="str">
        <f>VLOOKUP(Tabel10[[#This Row],[Locatiecode]],Ruimtegroepen[[Code]:[Ruimte omschrijving]],2,FALSE)</f>
        <v>Magazijnen/bergingen</v>
      </c>
      <c r="C36" s="232" t="s">
        <v>321</v>
      </c>
      <c r="D36" s="231" t="s">
        <v>13</v>
      </c>
      <c r="E36" s="233" t="s">
        <v>102</v>
      </c>
      <c r="F36" s="232" t="s">
        <v>324</v>
      </c>
      <c r="G36" s="281" t="s">
        <v>296</v>
      </c>
      <c r="H36" s="234" t="s">
        <v>296</v>
      </c>
      <c r="I36" s="234" t="s">
        <v>296</v>
      </c>
      <c r="J36" s="234" t="s">
        <v>15</v>
      </c>
      <c r="K36" s="234" t="s">
        <v>262</v>
      </c>
      <c r="L36" s="234" t="s">
        <v>296</v>
      </c>
      <c r="M36" s="234" t="s">
        <v>296</v>
      </c>
      <c r="N36" s="235" t="s">
        <v>296</v>
      </c>
      <c r="O36" s="236" t="s">
        <v>296</v>
      </c>
      <c r="P36" s="236" t="s">
        <v>296</v>
      </c>
      <c r="Q36" s="236" t="s">
        <v>296</v>
      </c>
      <c r="R36" s="236" t="s">
        <v>296</v>
      </c>
      <c r="S36" s="236" t="s">
        <v>15</v>
      </c>
      <c r="T36" s="236" t="s">
        <v>297</v>
      </c>
      <c r="U36" s="236" t="s">
        <v>297</v>
      </c>
      <c r="V36" s="236" t="s">
        <v>296</v>
      </c>
      <c r="W36" s="237" t="s">
        <v>296</v>
      </c>
      <c r="X36" s="237" t="s">
        <v>296</v>
      </c>
      <c r="Y36" s="238" t="s">
        <v>296</v>
      </c>
    </row>
    <row r="37" spans="1:25">
      <c r="A37" s="230">
        <v>1</v>
      </c>
      <c r="B37" s="231" t="str">
        <f>VLOOKUP(Tabel10[[#This Row],[Locatiecode]],Ruimtegroepen[[Code]:[Ruimte omschrijving]],2,FALSE)</f>
        <v>Magazijnen/bergingen</v>
      </c>
      <c r="C37" s="232" t="s">
        <v>321</v>
      </c>
      <c r="D37" s="231" t="s">
        <v>13</v>
      </c>
      <c r="E37" s="233" t="s">
        <v>103</v>
      </c>
      <c r="F37" s="232" t="s">
        <v>325</v>
      </c>
      <c r="G37" s="281" t="s">
        <v>296</v>
      </c>
      <c r="H37" s="234" t="s">
        <v>296</v>
      </c>
      <c r="I37" s="234" t="s">
        <v>15</v>
      </c>
      <c r="J37" s="234" t="s">
        <v>15</v>
      </c>
      <c r="K37" s="234" t="s">
        <v>262</v>
      </c>
      <c r="L37" s="234" t="s">
        <v>296</v>
      </c>
      <c r="M37" s="234" t="s">
        <v>296</v>
      </c>
      <c r="N37" s="235" t="s">
        <v>296</v>
      </c>
      <c r="O37" s="236" t="s">
        <v>296</v>
      </c>
      <c r="P37" s="236" t="s">
        <v>296</v>
      </c>
      <c r="Q37" s="236" t="s">
        <v>296</v>
      </c>
      <c r="R37" s="236" t="s">
        <v>296</v>
      </c>
      <c r="S37" s="236" t="s">
        <v>15</v>
      </c>
      <c r="T37" s="236" t="s">
        <v>297</v>
      </c>
      <c r="U37" s="236" t="s">
        <v>297</v>
      </c>
      <c r="V37" s="236" t="s">
        <v>296</v>
      </c>
      <c r="W37" s="237" t="s">
        <v>296</v>
      </c>
      <c r="X37" s="237" t="s">
        <v>296</v>
      </c>
      <c r="Y37" s="238" t="s">
        <v>296</v>
      </c>
    </row>
    <row r="38" spans="1:25">
      <c r="A38" s="230">
        <v>1</v>
      </c>
      <c r="B38" s="231" t="str">
        <f>VLOOKUP(Tabel10[[#This Row],[Locatiecode]],Ruimtegroepen[[Code]:[Ruimte omschrijving]],2,FALSE)</f>
        <v>Magazijnen/bergingen</v>
      </c>
      <c r="C38" s="232" t="s">
        <v>321</v>
      </c>
      <c r="D38" s="231" t="s">
        <v>13</v>
      </c>
      <c r="E38" s="233" t="s">
        <v>100</v>
      </c>
      <c r="F38" s="232" t="s">
        <v>323</v>
      </c>
      <c r="G38" s="281" t="s">
        <v>296</v>
      </c>
      <c r="H38" s="235" t="s">
        <v>15</v>
      </c>
      <c r="I38" s="234" t="s">
        <v>296</v>
      </c>
      <c r="J38" s="234" t="s">
        <v>296</v>
      </c>
      <c r="K38" s="234" t="s">
        <v>296</v>
      </c>
      <c r="L38" s="234" t="s">
        <v>296</v>
      </c>
      <c r="M38" s="234" t="s">
        <v>296</v>
      </c>
      <c r="N38" s="235" t="s">
        <v>296</v>
      </c>
      <c r="O38" s="236" t="s">
        <v>296</v>
      </c>
      <c r="P38" s="236" t="s">
        <v>296</v>
      </c>
      <c r="Q38" s="236" t="s">
        <v>296</v>
      </c>
      <c r="R38" s="236" t="s">
        <v>296</v>
      </c>
      <c r="S38" s="236" t="s">
        <v>15</v>
      </c>
      <c r="T38" s="236" t="s">
        <v>297</v>
      </c>
      <c r="U38" s="236" t="s">
        <v>297</v>
      </c>
      <c r="V38" s="236" t="s">
        <v>296</v>
      </c>
      <c r="W38" s="237" t="s">
        <v>296</v>
      </c>
      <c r="X38" s="237" t="s">
        <v>296</v>
      </c>
      <c r="Y38" s="238" t="s">
        <v>296</v>
      </c>
    </row>
    <row r="39" spans="1:25">
      <c r="A39" s="230">
        <v>1</v>
      </c>
      <c r="B39" s="231" t="str">
        <f>VLOOKUP(Tabel10[[#This Row],[Locatiecode]],Ruimtegroepen[[Code]:[Ruimte omschrijving]],2,FALSE)</f>
        <v>Magazijnen/bergingen</v>
      </c>
      <c r="C39" s="232" t="s">
        <v>321</v>
      </c>
      <c r="D39" s="231" t="s">
        <v>13</v>
      </c>
      <c r="E39" s="233" t="s">
        <v>1344</v>
      </c>
      <c r="F39" s="232" t="s">
        <v>1350</v>
      </c>
      <c r="G39" s="281" t="s">
        <v>296</v>
      </c>
      <c r="H39" s="234" t="s">
        <v>296</v>
      </c>
      <c r="I39" s="234" t="s">
        <v>15</v>
      </c>
      <c r="J39" s="234" t="s">
        <v>15</v>
      </c>
      <c r="K39" s="234" t="s">
        <v>262</v>
      </c>
      <c r="L39" s="234" t="s">
        <v>296</v>
      </c>
      <c r="M39" s="234" t="s">
        <v>296</v>
      </c>
      <c r="N39" s="235" t="s">
        <v>296</v>
      </c>
      <c r="O39" s="236" t="s">
        <v>296</v>
      </c>
      <c r="P39" s="236" t="s">
        <v>296</v>
      </c>
      <c r="Q39" s="236" t="s">
        <v>296</v>
      </c>
      <c r="R39" s="236" t="s">
        <v>296</v>
      </c>
      <c r="S39" s="236" t="s">
        <v>15</v>
      </c>
      <c r="T39" s="236" t="s">
        <v>297</v>
      </c>
      <c r="U39" s="236" t="s">
        <v>297</v>
      </c>
      <c r="V39" s="236" t="s">
        <v>296</v>
      </c>
      <c r="W39" s="237" t="s">
        <v>296</v>
      </c>
      <c r="X39" s="237" t="s">
        <v>296</v>
      </c>
      <c r="Y39" s="238" t="s">
        <v>296</v>
      </c>
    </row>
    <row r="40" spans="1:25">
      <c r="A40" s="230">
        <v>1</v>
      </c>
      <c r="B40" s="231" t="str">
        <f>VLOOKUP(Tabel10[[#This Row],[Locatiecode]],Ruimtegroepen[[Code]:[Ruimte omschrijving]],2,FALSE)</f>
        <v>Magazijnen/bergingen</v>
      </c>
      <c r="C40" s="232" t="s">
        <v>326</v>
      </c>
      <c r="D40" s="231" t="s">
        <v>0</v>
      </c>
      <c r="E40" s="233" t="s">
        <v>101</v>
      </c>
      <c r="F40" s="232" t="s">
        <v>327</v>
      </c>
      <c r="G40" s="281" t="s">
        <v>296</v>
      </c>
      <c r="H40" s="234" t="s">
        <v>296</v>
      </c>
      <c r="I40" s="234" t="s">
        <v>16</v>
      </c>
      <c r="J40" s="234" t="s">
        <v>16</v>
      </c>
      <c r="K40" s="234" t="s">
        <v>296</v>
      </c>
      <c r="L40" s="234" t="s">
        <v>296</v>
      </c>
      <c r="M40" s="234" t="s">
        <v>296</v>
      </c>
      <c r="N40" s="235" t="s">
        <v>296</v>
      </c>
      <c r="O40" s="236" t="s">
        <v>296</v>
      </c>
      <c r="P40" s="236" t="s">
        <v>296</v>
      </c>
      <c r="Q40" s="236" t="s">
        <v>296</v>
      </c>
      <c r="R40" s="236" t="s">
        <v>296</v>
      </c>
      <c r="S40" s="236" t="s">
        <v>16</v>
      </c>
      <c r="T40" s="236" t="s">
        <v>297</v>
      </c>
      <c r="U40" s="236" t="s">
        <v>297</v>
      </c>
      <c r="V40" s="236" t="s">
        <v>296</v>
      </c>
      <c r="W40" s="237" t="s">
        <v>296</v>
      </c>
      <c r="X40" s="237" t="s">
        <v>296</v>
      </c>
      <c r="Y40" s="238" t="s">
        <v>296</v>
      </c>
    </row>
    <row r="41" spans="1:25">
      <c r="A41" s="230">
        <v>1</v>
      </c>
      <c r="B41" s="231" t="str">
        <f>VLOOKUP(Tabel10[[#This Row],[Locatiecode]],Ruimtegroepen[[Code]:[Ruimte omschrijving]],2,FALSE)</f>
        <v>Magazijnen/bergingen</v>
      </c>
      <c r="C41" s="232" t="s">
        <v>326</v>
      </c>
      <c r="D41" s="231" t="s">
        <v>0</v>
      </c>
      <c r="E41" s="233" t="s">
        <v>100</v>
      </c>
      <c r="F41" s="232" t="s">
        <v>328</v>
      </c>
      <c r="G41" s="281" t="s">
        <v>296</v>
      </c>
      <c r="H41" s="235" t="s">
        <v>16</v>
      </c>
      <c r="I41" s="234" t="s">
        <v>296</v>
      </c>
      <c r="J41" s="234" t="s">
        <v>296</v>
      </c>
      <c r="K41" s="234" t="s">
        <v>296</v>
      </c>
      <c r="L41" s="234" t="s">
        <v>296</v>
      </c>
      <c r="M41" s="234" t="s">
        <v>296</v>
      </c>
      <c r="N41" s="235" t="s">
        <v>296</v>
      </c>
      <c r="O41" s="236" t="s">
        <v>296</v>
      </c>
      <c r="P41" s="236" t="s">
        <v>296</v>
      </c>
      <c r="Q41" s="236" t="s">
        <v>296</v>
      </c>
      <c r="R41" s="236" t="s">
        <v>296</v>
      </c>
      <c r="S41" s="236" t="s">
        <v>16</v>
      </c>
      <c r="T41" s="236" t="s">
        <v>297</v>
      </c>
      <c r="U41" s="236" t="s">
        <v>297</v>
      </c>
      <c r="V41" s="236" t="s">
        <v>296</v>
      </c>
      <c r="W41" s="237" t="s">
        <v>296</v>
      </c>
      <c r="X41" s="237" t="s">
        <v>296</v>
      </c>
      <c r="Y41" s="238" t="s">
        <v>296</v>
      </c>
    </row>
    <row r="42" spans="1:25">
      <c r="A42" s="230">
        <v>1</v>
      </c>
      <c r="B42" s="231" t="str">
        <f>VLOOKUP(Tabel10[[#This Row],[Locatiecode]],Ruimtegroepen[[Code]:[Ruimte omschrijving]],2,FALSE)</f>
        <v>Magazijnen/bergingen</v>
      </c>
      <c r="C42" s="232" t="s">
        <v>326</v>
      </c>
      <c r="D42" s="231" t="s">
        <v>0</v>
      </c>
      <c r="E42" s="233" t="s">
        <v>102</v>
      </c>
      <c r="F42" s="232" t="s">
        <v>329</v>
      </c>
      <c r="G42" s="281" t="s">
        <v>296</v>
      </c>
      <c r="H42" s="234" t="s">
        <v>296</v>
      </c>
      <c r="I42" s="234" t="s">
        <v>296</v>
      </c>
      <c r="J42" s="234" t="s">
        <v>16</v>
      </c>
      <c r="K42" s="234" t="s">
        <v>262</v>
      </c>
      <c r="L42" s="234" t="s">
        <v>296</v>
      </c>
      <c r="M42" s="234" t="s">
        <v>296</v>
      </c>
      <c r="N42" s="235" t="s">
        <v>296</v>
      </c>
      <c r="O42" s="236" t="s">
        <v>296</v>
      </c>
      <c r="P42" s="236" t="s">
        <v>296</v>
      </c>
      <c r="Q42" s="236" t="s">
        <v>296</v>
      </c>
      <c r="R42" s="236" t="s">
        <v>296</v>
      </c>
      <c r="S42" s="236" t="s">
        <v>16</v>
      </c>
      <c r="T42" s="236" t="s">
        <v>297</v>
      </c>
      <c r="U42" s="236" t="s">
        <v>297</v>
      </c>
      <c r="V42" s="236" t="s">
        <v>296</v>
      </c>
      <c r="W42" s="237" t="s">
        <v>296</v>
      </c>
      <c r="X42" s="237" t="s">
        <v>296</v>
      </c>
      <c r="Y42" s="238" t="s">
        <v>296</v>
      </c>
    </row>
    <row r="43" spans="1:25">
      <c r="A43" s="230">
        <v>1</v>
      </c>
      <c r="B43" s="231" t="str">
        <f>VLOOKUP(Tabel10[[#This Row],[Locatiecode]],Ruimtegroepen[[Code]:[Ruimte omschrijving]],2,FALSE)</f>
        <v>Magazijnen/bergingen</v>
      </c>
      <c r="C43" s="232" t="s">
        <v>326</v>
      </c>
      <c r="D43" s="231" t="s">
        <v>0</v>
      </c>
      <c r="E43" s="233" t="s">
        <v>103</v>
      </c>
      <c r="F43" s="232" t="s">
        <v>330</v>
      </c>
      <c r="G43" s="281" t="s">
        <v>296</v>
      </c>
      <c r="H43" s="234" t="s">
        <v>296</v>
      </c>
      <c r="I43" s="234" t="s">
        <v>16</v>
      </c>
      <c r="J43" s="234" t="s">
        <v>16</v>
      </c>
      <c r="K43" s="234" t="s">
        <v>262</v>
      </c>
      <c r="L43" s="234" t="s">
        <v>296</v>
      </c>
      <c r="M43" s="234" t="s">
        <v>296</v>
      </c>
      <c r="N43" s="235" t="s">
        <v>296</v>
      </c>
      <c r="O43" s="236" t="s">
        <v>296</v>
      </c>
      <c r="P43" s="236" t="s">
        <v>296</v>
      </c>
      <c r="Q43" s="236" t="s">
        <v>296</v>
      </c>
      <c r="R43" s="236" t="s">
        <v>296</v>
      </c>
      <c r="S43" s="236" t="s">
        <v>16</v>
      </c>
      <c r="T43" s="236" t="s">
        <v>297</v>
      </c>
      <c r="U43" s="236" t="s">
        <v>297</v>
      </c>
      <c r="V43" s="236" t="s">
        <v>296</v>
      </c>
      <c r="W43" s="237" t="s">
        <v>296</v>
      </c>
      <c r="X43" s="237" t="s">
        <v>296</v>
      </c>
      <c r="Y43" s="238" t="s">
        <v>296</v>
      </c>
    </row>
    <row r="44" spans="1:25">
      <c r="A44" s="230">
        <v>1</v>
      </c>
      <c r="B44" s="231" t="str">
        <f>VLOOKUP(Tabel10[[#This Row],[Locatiecode]],Ruimtegroepen[[Code]:[Ruimte omschrijving]],2,FALSE)</f>
        <v>Magazijnen/bergingen</v>
      </c>
      <c r="C44" s="232" t="s">
        <v>326</v>
      </c>
      <c r="D44" s="231" t="s">
        <v>0</v>
      </c>
      <c r="E44" s="233" t="s">
        <v>100</v>
      </c>
      <c r="F44" s="232" t="s">
        <v>328</v>
      </c>
      <c r="G44" s="281" t="s">
        <v>296</v>
      </c>
      <c r="H44" s="235" t="s">
        <v>16</v>
      </c>
      <c r="I44" s="234" t="s">
        <v>296</v>
      </c>
      <c r="J44" s="234" t="s">
        <v>296</v>
      </c>
      <c r="K44" s="234" t="s">
        <v>296</v>
      </c>
      <c r="L44" s="234" t="s">
        <v>296</v>
      </c>
      <c r="M44" s="234" t="s">
        <v>296</v>
      </c>
      <c r="N44" s="235" t="s">
        <v>296</v>
      </c>
      <c r="O44" s="236" t="s">
        <v>296</v>
      </c>
      <c r="P44" s="236" t="s">
        <v>296</v>
      </c>
      <c r="Q44" s="236" t="s">
        <v>296</v>
      </c>
      <c r="R44" s="236" t="s">
        <v>296</v>
      </c>
      <c r="S44" s="236" t="s">
        <v>16</v>
      </c>
      <c r="T44" s="236" t="s">
        <v>297</v>
      </c>
      <c r="U44" s="236" t="s">
        <v>297</v>
      </c>
      <c r="V44" s="236" t="s">
        <v>296</v>
      </c>
      <c r="W44" s="237" t="s">
        <v>296</v>
      </c>
      <c r="X44" s="237" t="s">
        <v>296</v>
      </c>
      <c r="Y44" s="238" t="s">
        <v>296</v>
      </c>
    </row>
    <row r="45" spans="1:25">
      <c r="A45" s="230">
        <v>1</v>
      </c>
      <c r="B45" s="231" t="str">
        <f>VLOOKUP(Tabel10[[#This Row],[Locatiecode]],Ruimtegroepen[[Code]:[Ruimte omschrijving]],2,FALSE)</f>
        <v>Magazijnen/bergingen</v>
      </c>
      <c r="C45" s="232" t="s">
        <v>326</v>
      </c>
      <c r="D45" s="231" t="s">
        <v>0</v>
      </c>
      <c r="E45" s="233" t="s">
        <v>1344</v>
      </c>
      <c r="F45" s="232" t="s">
        <v>1351</v>
      </c>
      <c r="G45" s="281" t="s">
        <v>296</v>
      </c>
      <c r="H45" s="234" t="s">
        <v>296</v>
      </c>
      <c r="I45" s="234" t="s">
        <v>16</v>
      </c>
      <c r="J45" s="234" t="s">
        <v>16</v>
      </c>
      <c r="K45" s="234" t="s">
        <v>262</v>
      </c>
      <c r="L45" s="234" t="s">
        <v>296</v>
      </c>
      <c r="M45" s="234" t="s">
        <v>296</v>
      </c>
      <c r="N45" s="235" t="s">
        <v>296</v>
      </c>
      <c r="O45" s="236" t="s">
        <v>296</v>
      </c>
      <c r="P45" s="236" t="s">
        <v>296</v>
      </c>
      <c r="Q45" s="236" t="s">
        <v>296</v>
      </c>
      <c r="R45" s="236" t="s">
        <v>296</v>
      </c>
      <c r="S45" s="236" t="s">
        <v>16</v>
      </c>
      <c r="T45" s="236" t="s">
        <v>297</v>
      </c>
      <c r="U45" s="236" t="s">
        <v>297</v>
      </c>
      <c r="V45" s="236" t="s">
        <v>296</v>
      </c>
      <c r="W45" s="237" t="s">
        <v>296</v>
      </c>
      <c r="X45" s="237" t="s">
        <v>296</v>
      </c>
      <c r="Y45" s="238" t="s">
        <v>296</v>
      </c>
    </row>
    <row r="46" spans="1:25">
      <c r="A46" s="230">
        <v>1</v>
      </c>
      <c r="B46" s="231" t="str">
        <f>VLOOKUP(Tabel10[[#This Row],[Locatiecode]],Ruimtegroepen[[Code]:[Ruimte omschrijving]],2,FALSE)</f>
        <v>Magazijnen/bergingen</v>
      </c>
      <c r="C46" s="232" t="s">
        <v>331</v>
      </c>
      <c r="D46" s="231" t="s">
        <v>27</v>
      </c>
      <c r="E46" s="233" t="s">
        <v>101</v>
      </c>
      <c r="F46" s="232" t="s">
        <v>332</v>
      </c>
      <c r="G46" s="281" t="s">
        <v>296</v>
      </c>
      <c r="H46" s="234" t="s">
        <v>296</v>
      </c>
      <c r="I46" s="234" t="s">
        <v>15</v>
      </c>
      <c r="J46" s="234" t="s">
        <v>15</v>
      </c>
      <c r="K46" s="234" t="s">
        <v>296</v>
      </c>
      <c r="L46" s="234" t="s">
        <v>296</v>
      </c>
      <c r="M46" s="234" t="s">
        <v>296</v>
      </c>
      <c r="N46" s="235" t="s">
        <v>296</v>
      </c>
      <c r="O46" s="236" t="s">
        <v>296</v>
      </c>
      <c r="P46" s="236" t="s">
        <v>296</v>
      </c>
      <c r="Q46" s="236" t="s">
        <v>296</v>
      </c>
      <c r="R46" s="236" t="s">
        <v>296</v>
      </c>
      <c r="S46" s="236" t="s">
        <v>15</v>
      </c>
      <c r="T46" s="236" t="s">
        <v>296</v>
      </c>
      <c r="U46" s="236" t="s">
        <v>296</v>
      </c>
      <c r="V46" s="236" t="s">
        <v>296</v>
      </c>
      <c r="W46" s="237" t="s">
        <v>296</v>
      </c>
      <c r="X46" s="237" t="s">
        <v>296</v>
      </c>
      <c r="Y46" s="238" t="s">
        <v>296</v>
      </c>
    </row>
    <row r="47" spans="1:25">
      <c r="A47" s="230">
        <v>1</v>
      </c>
      <c r="B47" s="231" t="str">
        <f>VLOOKUP(Tabel10[[#This Row],[Locatiecode]],Ruimtegroepen[[Code]:[Ruimte omschrijving]],2,FALSE)</f>
        <v>Magazijnen/bergingen</v>
      </c>
      <c r="C47" s="232" t="s">
        <v>331</v>
      </c>
      <c r="D47" s="231" t="s">
        <v>27</v>
      </c>
      <c r="E47" s="233" t="s">
        <v>100</v>
      </c>
      <c r="F47" s="232" t="s">
        <v>333</v>
      </c>
      <c r="G47" s="281" t="s">
        <v>296</v>
      </c>
      <c r="H47" s="235" t="s">
        <v>15</v>
      </c>
      <c r="I47" s="234" t="s">
        <v>296</v>
      </c>
      <c r="J47" s="234" t="s">
        <v>296</v>
      </c>
      <c r="K47" s="234" t="s">
        <v>296</v>
      </c>
      <c r="L47" s="234" t="s">
        <v>296</v>
      </c>
      <c r="M47" s="234" t="s">
        <v>296</v>
      </c>
      <c r="N47" s="235" t="s">
        <v>296</v>
      </c>
      <c r="O47" s="236" t="s">
        <v>296</v>
      </c>
      <c r="P47" s="236" t="s">
        <v>296</v>
      </c>
      <c r="Q47" s="236" t="s">
        <v>296</v>
      </c>
      <c r="R47" s="236" t="s">
        <v>296</v>
      </c>
      <c r="S47" s="236" t="s">
        <v>15</v>
      </c>
      <c r="T47" s="236" t="s">
        <v>296</v>
      </c>
      <c r="U47" s="236" t="s">
        <v>296</v>
      </c>
      <c r="V47" s="236" t="s">
        <v>296</v>
      </c>
      <c r="W47" s="237" t="s">
        <v>296</v>
      </c>
      <c r="X47" s="237" t="s">
        <v>296</v>
      </c>
      <c r="Y47" s="238" t="s">
        <v>296</v>
      </c>
    </row>
    <row r="48" spans="1:25">
      <c r="A48" s="230">
        <v>1</v>
      </c>
      <c r="B48" s="231" t="str">
        <f>VLOOKUP(Tabel10[[#This Row],[Locatiecode]],Ruimtegroepen[[Code]:[Ruimte omschrijving]],2,FALSE)</f>
        <v>Magazijnen/bergingen</v>
      </c>
      <c r="C48" s="232" t="s">
        <v>331</v>
      </c>
      <c r="D48" s="231" t="s">
        <v>27</v>
      </c>
      <c r="E48" s="233" t="s">
        <v>102</v>
      </c>
      <c r="F48" s="232" t="s">
        <v>334</v>
      </c>
      <c r="G48" s="281" t="s">
        <v>296</v>
      </c>
      <c r="H48" s="234" t="s">
        <v>296</v>
      </c>
      <c r="I48" s="234" t="s">
        <v>15</v>
      </c>
      <c r="J48" s="234" t="s">
        <v>296</v>
      </c>
      <c r="K48" s="234" t="s">
        <v>296</v>
      </c>
      <c r="L48" s="234" t="s">
        <v>296</v>
      </c>
      <c r="M48" s="234" t="s">
        <v>296</v>
      </c>
      <c r="N48" s="235" t="s">
        <v>296</v>
      </c>
      <c r="O48" s="236" t="s">
        <v>296</v>
      </c>
      <c r="P48" s="236" t="s">
        <v>296</v>
      </c>
      <c r="Q48" s="236" t="s">
        <v>296</v>
      </c>
      <c r="R48" s="236" t="s">
        <v>296</v>
      </c>
      <c r="S48" s="236" t="s">
        <v>15</v>
      </c>
      <c r="T48" s="236" t="s">
        <v>296</v>
      </c>
      <c r="U48" s="236" t="s">
        <v>296</v>
      </c>
      <c r="V48" s="236" t="s">
        <v>296</v>
      </c>
      <c r="W48" s="237" t="s">
        <v>296</v>
      </c>
      <c r="X48" s="237" t="s">
        <v>296</v>
      </c>
      <c r="Y48" s="238" t="s">
        <v>296</v>
      </c>
    </row>
    <row r="49" spans="1:25">
      <c r="A49" s="230">
        <v>1</v>
      </c>
      <c r="B49" s="231" t="str">
        <f>VLOOKUP(Tabel10[[#This Row],[Locatiecode]],Ruimtegroepen[[Code]:[Ruimte omschrijving]],2,FALSE)</f>
        <v>Magazijnen/bergingen</v>
      </c>
      <c r="C49" s="232" t="s">
        <v>331</v>
      </c>
      <c r="D49" s="231" t="s">
        <v>27</v>
      </c>
      <c r="E49" s="233" t="s">
        <v>103</v>
      </c>
      <c r="F49" s="232" t="s">
        <v>335</v>
      </c>
      <c r="G49" s="281" t="s">
        <v>296</v>
      </c>
      <c r="H49" s="234" t="s">
        <v>296</v>
      </c>
      <c r="I49" s="234" t="s">
        <v>15</v>
      </c>
      <c r="J49" s="234" t="s">
        <v>296</v>
      </c>
      <c r="K49" s="234" t="s">
        <v>296</v>
      </c>
      <c r="L49" s="234" t="s">
        <v>296</v>
      </c>
      <c r="M49" s="234" t="s">
        <v>296</v>
      </c>
      <c r="N49" s="235" t="s">
        <v>296</v>
      </c>
      <c r="O49" s="236" t="s">
        <v>296</v>
      </c>
      <c r="P49" s="236" t="s">
        <v>296</v>
      </c>
      <c r="Q49" s="236" t="s">
        <v>296</v>
      </c>
      <c r="R49" s="236" t="s">
        <v>296</v>
      </c>
      <c r="S49" s="236" t="s">
        <v>15</v>
      </c>
      <c r="T49" s="236" t="s">
        <v>296</v>
      </c>
      <c r="U49" s="236" t="s">
        <v>296</v>
      </c>
      <c r="V49" s="236" t="s">
        <v>296</v>
      </c>
      <c r="W49" s="237" t="s">
        <v>296</v>
      </c>
      <c r="X49" s="237" t="s">
        <v>296</v>
      </c>
      <c r="Y49" s="238" t="s">
        <v>296</v>
      </c>
    </row>
    <row r="50" spans="1:25">
      <c r="A50" s="230">
        <v>1</v>
      </c>
      <c r="B50" s="231" t="str">
        <f>VLOOKUP(Tabel10[[#This Row],[Locatiecode]],Ruimtegroepen[[Code]:[Ruimte omschrijving]],2,FALSE)</f>
        <v>Magazijnen/bergingen</v>
      </c>
      <c r="C50" s="232" t="s">
        <v>331</v>
      </c>
      <c r="D50" s="231" t="s">
        <v>27</v>
      </c>
      <c r="E50" s="233" t="s">
        <v>100</v>
      </c>
      <c r="F50" s="232" t="s">
        <v>333</v>
      </c>
      <c r="G50" s="281" t="s">
        <v>296</v>
      </c>
      <c r="H50" s="235" t="s">
        <v>15</v>
      </c>
      <c r="I50" s="234" t="s">
        <v>296</v>
      </c>
      <c r="J50" s="234" t="s">
        <v>296</v>
      </c>
      <c r="K50" s="234" t="s">
        <v>296</v>
      </c>
      <c r="L50" s="234" t="s">
        <v>296</v>
      </c>
      <c r="M50" s="234" t="s">
        <v>296</v>
      </c>
      <c r="N50" s="235" t="s">
        <v>296</v>
      </c>
      <c r="O50" s="236" t="s">
        <v>296</v>
      </c>
      <c r="P50" s="236" t="s">
        <v>296</v>
      </c>
      <c r="Q50" s="236" t="s">
        <v>296</v>
      </c>
      <c r="R50" s="236" t="s">
        <v>296</v>
      </c>
      <c r="S50" s="236" t="s">
        <v>15</v>
      </c>
      <c r="T50" s="236" t="s">
        <v>296</v>
      </c>
      <c r="U50" s="236" t="s">
        <v>296</v>
      </c>
      <c r="V50" s="236" t="s">
        <v>296</v>
      </c>
      <c r="W50" s="237" t="s">
        <v>296</v>
      </c>
      <c r="X50" s="237" t="s">
        <v>296</v>
      </c>
      <c r="Y50" s="238" t="s">
        <v>296</v>
      </c>
    </row>
    <row r="51" spans="1:25">
      <c r="A51" s="230">
        <v>1</v>
      </c>
      <c r="B51" s="231" t="str">
        <f>VLOOKUP(Tabel10[[#This Row],[Locatiecode]],Ruimtegroepen[[Code]:[Ruimte omschrijving]],2,FALSE)</f>
        <v>Magazijnen/bergingen</v>
      </c>
      <c r="C51" s="232" t="s">
        <v>331</v>
      </c>
      <c r="D51" s="231" t="s">
        <v>27</v>
      </c>
      <c r="E51" s="233" t="s">
        <v>1344</v>
      </c>
      <c r="F51" s="232" t="s">
        <v>1352</v>
      </c>
      <c r="G51" s="281" t="s">
        <v>296</v>
      </c>
      <c r="H51" s="234" t="s">
        <v>296</v>
      </c>
      <c r="I51" s="234" t="s">
        <v>15</v>
      </c>
      <c r="J51" s="234" t="s">
        <v>296</v>
      </c>
      <c r="K51" s="234" t="s">
        <v>296</v>
      </c>
      <c r="L51" s="234" t="s">
        <v>296</v>
      </c>
      <c r="M51" s="234" t="s">
        <v>296</v>
      </c>
      <c r="N51" s="235" t="s">
        <v>296</v>
      </c>
      <c r="O51" s="236" t="s">
        <v>296</v>
      </c>
      <c r="P51" s="236" t="s">
        <v>296</v>
      </c>
      <c r="Q51" s="236" t="s">
        <v>296</v>
      </c>
      <c r="R51" s="236" t="s">
        <v>296</v>
      </c>
      <c r="S51" s="236" t="s">
        <v>15</v>
      </c>
      <c r="T51" s="236" t="s">
        <v>296</v>
      </c>
      <c r="U51" s="236" t="s">
        <v>296</v>
      </c>
      <c r="V51" s="236" t="s">
        <v>296</v>
      </c>
      <c r="W51" s="237" t="s">
        <v>296</v>
      </c>
      <c r="X51" s="237" t="s">
        <v>296</v>
      </c>
      <c r="Y51" s="238" t="s">
        <v>296</v>
      </c>
    </row>
    <row r="52" spans="1:25">
      <c r="A52" s="230">
        <v>1</v>
      </c>
      <c r="B52" s="231" t="str">
        <f>VLOOKUP(Tabel10[[#This Row],[Locatiecode]],Ruimtegroepen[[Code]:[Ruimte omschrijving]],2,FALSE)</f>
        <v>Magazijnen/bergingen</v>
      </c>
      <c r="C52" s="232" t="s">
        <v>336</v>
      </c>
      <c r="D52" s="231" t="s">
        <v>28</v>
      </c>
      <c r="E52" s="233" t="s">
        <v>101</v>
      </c>
      <c r="F52" s="232" t="s">
        <v>337</v>
      </c>
      <c r="G52" s="281" t="s">
        <v>296</v>
      </c>
      <c r="H52" s="234" t="s">
        <v>296</v>
      </c>
      <c r="I52" s="234" t="s">
        <v>17</v>
      </c>
      <c r="J52" s="234" t="s">
        <v>296</v>
      </c>
      <c r="K52" s="234" t="s">
        <v>296</v>
      </c>
      <c r="L52" s="234" t="s">
        <v>296</v>
      </c>
      <c r="M52" s="234" t="s">
        <v>296</v>
      </c>
      <c r="N52" s="235" t="s">
        <v>296</v>
      </c>
      <c r="O52" s="236" t="s">
        <v>296</v>
      </c>
      <c r="P52" s="236" t="s">
        <v>296</v>
      </c>
      <c r="Q52" s="236" t="s">
        <v>296</v>
      </c>
      <c r="R52" s="236" t="s">
        <v>296</v>
      </c>
      <c r="S52" s="236" t="s">
        <v>15</v>
      </c>
      <c r="T52" s="236" t="s">
        <v>296</v>
      </c>
      <c r="U52" s="236" t="s">
        <v>296</v>
      </c>
      <c r="V52" s="236" t="s">
        <v>296</v>
      </c>
      <c r="W52" s="237" t="s">
        <v>296</v>
      </c>
      <c r="X52" s="237" t="s">
        <v>296</v>
      </c>
      <c r="Y52" s="238" t="s">
        <v>296</v>
      </c>
    </row>
    <row r="53" spans="1:25">
      <c r="A53" s="230">
        <v>1</v>
      </c>
      <c r="B53" s="231" t="str">
        <f>VLOOKUP(Tabel10[[#This Row],[Locatiecode]],Ruimtegroepen[[Code]:[Ruimte omschrijving]],2,FALSE)</f>
        <v>Magazijnen/bergingen</v>
      </c>
      <c r="C53" s="232" t="s">
        <v>336</v>
      </c>
      <c r="D53" s="231" t="s">
        <v>28</v>
      </c>
      <c r="E53" s="233" t="s">
        <v>100</v>
      </c>
      <c r="F53" s="232" t="s">
        <v>338</v>
      </c>
      <c r="G53" s="281" t="s">
        <v>296</v>
      </c>
      <c r="H53" s="235" t="s">
        <v>17</v>
      </c>
      <c r="I53" s="234" t="s">
        <v>296</v>
      </c>
      <c r="J53" s="234" t="s">
        <v>296</v>
      </c>
      <c r="K53" s="234" t="s">
        <v>296</v>
      </c>
      <c r="L53" s="234" t="s">
        <v>296</v>
      </c>
      <c r="M53" s="234" t="s">
        <v>296</v>
      </c>
      <c r="N53" s="235" t="s">
        <v>296</v>
      </c>
      <c r="O53" s="236" t="s">
        <v>296</v>
      </c>
      <c r="P53" s="236" t="s">
        <v>296</v>
      </c>
      <c r="Q53" s="236" t="s">
        <v>296</v>
      </c>
      <c r="R53" s="236" t="s">
        <v>296</v>
      </c>
      <c r="S53" s="236" t="s">
        <v>15</v>
      </c>
      <c r="T53" s="236" t="s">
        <v>296</v>
      </c>
      <c r="U53" s="236" t="s">
        <v>296</v>
      </c>
      <c r="V53" s="236" t="s">
        <v>296</v>
      </c>
      <c r="W53" s="237" t="s">
        <v>296</v>
      </c>
      <c r="X53" s="237" t="s">
        <v>296</v>
      </c>
      <c r="Y53" s="238" t="s">
        <v>296</v>
      </c>
    </row>
    <row r="54" spans="1:25">
      <c r="A54" s="230">
        <v>1</v>
      </c>
      <c r="B54" s="231" t="str">
        <f>VLOOKUP(Tabel10[[#This Row],[Locatiecode]],Ruimtegroepen[[Code]:[Ruimte omschrijving]],2,FALSE)</f>
        <v>Magazijnen/bergingen</v>
      </c>
      <c r="C54" s="232" t="s">
        <v>336</v>
      </c>
      <c r="D54" s="231" t="s">
        <v>28</v>
      </c>
      <c r="E54" s="233" t="s">
        <v>102</v>
      </c>
      <c r="F54" s="232" t="s">
        <v>339</v>
      </c>
      <c r="G54" s="281" t="s">
        <v>296</v>
      </c>
      <c r="H54" s="234" t="s">
        <v>296</v>
      </c>
      <c r="I54" s="234" t="s">
        <v>17</v>
      </c>
      <c r="J54" s="234" t="s">
        <v>296</v>
      </c>
      <c r="K54" s="234" t="s">
        <v>296</v>
      </c>
      <c r="L54" s="234" t="s">
        <v>296</v>
      </c>
      <c r="M54" s="234" t="s">
        <v>296</v>
      </c>
      <c r="N54" s="235" t="s">
        <v>296</v>
      </c>
      <c r="O54" s="236" t="s">
        <v>296</v>
      </c>
      <c r="P54" s="236" t="s">
        <v>296</v>
      </c>
      <c r="Q54" s="236" t="s">
        <v>296</v>
      </c>
      <c r="R54" s="236" t="s">
        <v>296</v>
      </c>
      <c r="S54" s="236" t="s">
        <v>15</v>
      </c>
      <c r="T54" s="236" t="s">
        <v>296</v>
      </c>
      <c r="U54" s="236" t="s">
        <v>296</v>
      </c>
      <c r="V54" s="236" t="s">
        <v>296</v>
      </c>
      <c r="W54" s="237" t="s">
        <v>296</v>
      </c>
      <c r="X54" s="237" t="s">
        <v>296</v>
      </c>
      <c r="Y54" s="238" t="s">
        <v>296</v>
      </c>
    </row>
    <row r="55" spans="1:25">
      <c r="A55" s="230">
        <v>1</v>
      </c>
      <c r="B55" s="231" t="str">
        <f>VLOOKUP(Tabel10[[#This Row],[Locatiecode]],Ruimtegroepen[[Code]:[Ruimte omschrijving]],2,FALSE)</f>
        <v>Magazijnen/bergingen</v>
      </c>
      <c r="C55" s="232" t="s">
        <v>336</v>
      </c>
      <c r="D55" s="231" t="s">
        <v>28</v>
      </c>
      <c r="E55" s="233" t="s">
        <v>103</v>
      </c>
      <c r="F55" s="232" t="s">
        <v>340</v>
      </c>
      <c r="G55" s="281" t="s">
        <v>296</v>
      </c>
      <c r="H55" s="234" t="s">
        <v>296</v>
      </c>
      <c r="I55" s="234" t="s">
        <v>17</v>
      </c>
      <c r="J55" s="234" t="s">
        <v>296</v>
      </c>
      <c r="K55" s="234" t="s">
        <v>296</v>
      </c>
      <c r="L55" s="234" t="s">
        <v>296</v>
      </c>
      <c r="M55" s="234" t="s">
        <v>296</v>
      </c>
      <c r="N55" s="235" t="s">
        <v>296</v>
      </c>
      <c r="O55" s="236" t="s">
        <v>296</v>
      </c>
      <c r="P55" s="236" t="s">
        <v>296</v>
      </c>
      <c r="Q55" s="236" t="s">
        <v>296</v>
      </c>
      <c r="R55" s="236" t="s">
        <v>296</v>
      </c>
      <c r="S55" s="236" t="s">
        <v>15</v>
      </c>
      <c r="T55" s="236" t="s">
        <v>296</v>
      </c>
      <c r="U55" s="236" t="s">
        <v>296</v>
      </c>
      <c r="V55" s="236" t="s">
        <v>296</v>
      </c>
      <c r="W55" s="237" t="s">
        <v>296</v>
      </c>
      <c r="X55" s="237" t="s">
        <v>296</v>
      </c>
      <c r="Y55" s="238" t="s">
        <v>296</v>
      </c>
    </row>
    <row r="56" spans="1:25">
      <c r="A56" s="230">
        <v>1</v>
      </c>
      <c r="B56" s="231" t="str">
        <f>VLOOKUP(Tabel10[[#This Row],[Locatiecode]],Ruimtegroepen[[Code]:[Ruimte omschrijving]],2,FALSE)</f>
        <v>Magazijnen/bergingen</v>
      </c>
      <c r="C56" s="232" t="s">
        <v>336</v>
      </c>
      <c r="D56" s="231" t="s">
        <v>28</v>
      </c>
      <c r="E56" s="233" t="s">
        <v>100</v>
      </c>
      <c r="F56" s="232" t="s">
        <v>338</v>
      </c>
      <c r="G56" s="281" t="s">
        <v>296</v>
      </c>
      <c r="H56" s="235" t="s">
        <v>17</v>
      </c>
      <c r="I56" s="234" t="s">
        <v>296</v>
      </c>
      <c r="J56" s="234" t="s">
        <v>296</v>
      </c>
      <c r="K56" s="234" t="s">
        <v>296</v>
      </c>
      <c r="L56" s="234" t="s">
        <v>296</v>
      </c>
      <c r="M56" s="234" t="s">
        <v>296</v>
      </c>
      <c r="N56" s="235" t="s">
        <v>296</v>
      </c>
      <c r="O56" s="236" t="s">
        <v>296</v>
      </c>
      <c r="P56" s="236" t="s">
        <v>296</v>
      </c>
      <c r="Q56" s="236" t="s">
        <v>296</v>
      </c>
      <c r="R56" s="236" t="s">
        <v>296</v>
      </c>
      <c r="S56" s="236" t="s">
        <v>15</v>
      </c>
      <c r="T56" s="236" t="s">
        <v>296</v>
      </c>
      <c r="U56" s="236" t="s">
        <v>296</v>
      </c>
      <c r="V56" s="236" t="s">
        <v>296</v>
      </c>
      <c r="W56" s="237" t="s">
        <v>296</v>
      </c>
      <c r="X56" s="237" t="s">
        <v>296</v>
      </c>
      <c r="Y56" s="238" t="s">
        <v>296</v>
      </c>
    </row>
    <row r="57" spans="1:25">
      <c r="A57" s="230">
        <v>1</v>
      </c>
      <c r="B57" s="231" t="str">
        <f>VLOOKUP(Tabel10[[#This Row],[Locatiecode]],Ruimtegroepen[[Code]:[Ruimte omschrijving]],2,FALSE)</f>
        <v>Magazijnen/bergingen</v>
      </c>
      <c r="C57" s="232" t="s">
        <v>336</v>
      </c>
      <c r="D57" s="231" t="s">
        <v>28</v>
      </c>
      <c r="E57" s="233" t="s">
        <v>1344</v>
      </c>
      <c r="F57" s="232" t="s">
        <v>1353</v>
      </c>
      <c r="G57" s="281" t="s">
        <v>296</v>
      </c>
      <c r="H57" s="234" t="s">
        <v>296</v>
      </c>
      <c r="I57" s="234" t="s">
        <v>17</v>
      </c>
      <c r="J57" s="234" t="s">
        <v>296</v>
      </c>
      <c r="K57" s="234" t="s">
        <v>296</v>
      </c>
      <c r="L57" s="234" t="s">
        <v>296</v>
      </c>
      <c r="M57" s="234" t="s">
        <v>296</v>
      </c>
      <c r="N57" s="235" t="s">
        <v>296</v>
      </c>
      <c r="O57" s="236" t="s">
        <v>296</v>
      </c>
      <c r="P57" s="236" t="s">
        <v>296</v>
      </c>
      <c r="Q57" s="236" t="s">
        <v>296</v>
      </c>
      <c r="R57" s="236" t="s">
        <v>296</v>
      </c>
      <c r="S57" s="236" t="s">
        <v>15</v>
      </c>
      <c r="T57" s="236" t="s">
        <v>296</v>
      </c>
      <c r="U57" s="236" t="s">
        <v>296</v>
      </c>
      <c r="V57" s="236" t="s">
        <v>296</v>
      </c>
      <c r="W57" s="237" t="s">
        <v>296</v>
      </c>
      <c r="X57" s="237" t="s">
        <v>296</v>
      </c>
      <c r="Y57" s="238" t="s">
        <v>296</v>
      </c>
    </row>
    <row r="58" spans="1:25">
      <c r="A58" s="230">
        <v>2</v>
      </c>
      <c r="B58" s="231" t="str">
        <f>VLOOKUP(Tabel10[[#This Row],[Locatiecode]],Ruimtegroepen[[Code]:[Ruimte omschrijving]],2,FALSE)</f>
        <v>Kantoren</v>
      </c>
      <c r="C58" s="232" t="s">
        <v>341</v>
      </c>
      <c r="D58" s="231" t="s">
        <v>29</v>
      </c>
      <c r="E58" s="233" t="s">
        <v>101</v>
      </c>
      <c r="F58" s="232" t="s">
        <v>342</v>
      </c>
      <c r="G58" s="281" t="s">
        <v>296</v>
      </c>
      <c r="H58" s="234" t="s">
        <v>296</v>
      </c>
      <c r="I58" s="234" t="s">
        <v>20</v>
      </c>
      <c r="J58" s="234" t="s">
        <v>15</v>
      </c>
      <c r="K58" s="234" t="s">
        <v>296</v>
      </c>
      <c r="L58" s="234" t="s">
        <v>296</v>
      </c>
      <c r="M58" s="234" t="s">
        <v>296</v>
      </c>
      <c r="N58" s="235" t="s">
        <v>2</v>
      </c>
      <c r="O58" s="236" t="s">
        <v>2</v>
      </c>
      <c r="P58" s="236" t="s">
        <v>2</v>
      </c>
      <c r="Q58" s="236" t="s">
        <v>15</v>
      </c>
      <c r="R58" s="236" t="s">
        <v>15</v>
      </c>
      <c r="S58" s="236" t="s">
        <v>16</v>
      </c>
      <c r="T58" s="236" t="s">
        <v>343</v>
      </c>
      <c r="U58" s="236" t="s">
        <v>262</v>
      </c>
      <c r="V58" s="236" t="s">
        <v>2</v>
      </c>
      <c r="W58" s="237" t="s">
        <v>296</v>
      </c>
      <c r="X58" s="237" t="s">
        <v>296</v>
      </c>
      <c r="Y58" s="238" t="s">
        <v>296</v>
      </c>
    </row>
    <row r="59" spans="1:25">
      <c r="A59" s="230">
        <v>2</v>
      </c>
      <c r="B59" s="231" t="str">
        <f>VLOOKUP(Tabel10[[#This Row],[Locatiecode]],Ruimtegroepen[[Code]:[Ruimte omschrijving]],2,FALSE)</f>
        <v>Kantoren</v>
      </c>
      <c r="C59" s="232" t="s">
        <v>341</v>
      </c>
      <c r="D59" s="231" t="s">
        <v>29</v>
      </c>
      <c r="E59" s="233" t="s">
        <v>100</v>
      </c>
      <c r="F59" s="232" t="s">
        <v>344</v>
      </c>
      <c r="G59" s="235" t="s">
        <v>20</v>
      </c>
      <c r="H59" s="235" t="s">
        <v>15</v>
      </c>
      <c r="I59" s="234" t="s">
        <v>296</v>
      </c>
      <c r="J59" s="234" t="s">
        <v>296</v>
      </c>
      <c r="K59" s="234" t="s">
        <v>296</v>
      </c>
      <c r="L59" s="234" t="s">
        <v>296</v>
      </c>
      <c r="M59" s="234" t="s">
        <v>296</v>
      </c>
      <c r="N59" s="235" t="s">
        <v>2</v>
      </c>
      <c r="O59" s="236" t="s">
        <v>2</v>
      </c>
      <c r="P59" s="236" t="s">
        <v>2</v>
      </c>
      <c r="Q59" s="236" t="s">
        <v>15</v>
      </c>
      <c r="R59" s="236" t="s">
        <v>15</v>
      </c>
      <c r="S59" s="236" t="s">
        <v>16</v>
      </c>
      <c r="T59" s="236" t="s">
        <v>343</v>
      </c>
      <c r="U59" s="236" t="s">
        <v>262</v>
      </c>
      <c r="V59" s="236" t="s">
        <v>2</v>
      </c>
      <c r="W59" s="237" t="s">
        <v>296</v>
      </c>
      <c r="X59" s="237" t="s">
        <v>296</v>
      </c>
      <c r="Y59" s="238" t="s">
        <v>296</v>
      </c>
    </row>
    <row r="60" spans="1:25">
      <c r="A60" s="230">
        <v>2</v>
      </c>
      <c r="B60" s="231" t="str">
        <f>VLOOKUP(Tabel10[[#This Row],[Locatiecode]],Ruimtegroepen[[Code]:[Ruimte omschrijving]],2,FALSE)</f>
        <v>Kantoren</v>
      </c>
      <c r="C60" s="232" t="s">
        <v>341</v>
      </c>
      <c r="D60" s="231" t="s">
        <v>29</v>
      </c>
      <c r="E60" s="233" t="s">
        <v>102</v>
      </c>
      <c r="F60" s="232" t="s">
        <v>345</v>
      </c>
      <c r="G60" s="281" t="s">
        <v>296</v>
      </c>
      <c r="H60" s="234" t="s">
        <v>296</v>
      </c>
      <c r="I60" s="234" t="s">
        <v>20</v>
      </c>
      <c r="J60" s="234" t="s">
        <v>15</v>
      </c>
      <c r="K60" s="234" t="s">
        <v>262</v>
      </c>
      <c r="L60" s="234" t="s">
        <v>296</v>
      </c>
      <c r="M60" s="234" t="s">
        <v>296</v>
      </c>
      <c r="N60" s="235" t="s">
        <v>2</v>
      </c>
      <c r="O60" s="236" t="s">
        <v>2</v>
      </c>
      <c r="P60" s="236" t="s">
        <v>2</v>
      </c>
      <c r="Q60" s="236" t="s">
        <v>15</v>
      </c>
      <c r="R60" s="236" t="s">
        <v>15</v>
      </c>
      <c r="S60" s="236" t="s">
        <v>16</v>
      </c>
      <c r="T60" s="236" t="s">
        <v>343</v>
      </c>
      <c r="U60" s="236" t="s">
        <v>262</v>
      </c>
      <c r="V60" s="236" t="s">
        <v>2</v>
      </c>
      <c r="W60" s="237" t="s">
        <v>296</v>
      </c>
      <c r="X60" s="237" t="s">
        <v>296</v>
      </c>
      <c r="Y60" s="238" t="s">
        <v>296</v>
      </c>
    </row>
    <row r="61" spans="1:25">
      <c r="A61" s="230">
        <v>2</v>
      </c>
      <c r="B61" s="231" t="str">
        <f>VLOOKUP(Tabel10[[#This Row],[Locatiecode]],Ruimtegroepen[[Code]:[Ruimte omschrijving]],2,FALSE)</f>
        <v>Kantoren</v>
      </c>
      <c r="C61" s="232" t="s">
        <v>341</v>
      </c>
      <c r="D61" s="231" t="s">
        <v>29</v>
      </c>
      <c r="E61" s="233" t="s">
        <v>103</v>
      </c>
      <c r="F61" s="232" t="s">
        <v>346</v>
      </c>
      <c r="G61" s="281" t="s">
        <v>296</v>
      </c>
      <c r="H61" s="234" t="s">
        <v>296</v>
      </c>
      <c r="I61" s="234" t="s">
        <v>20</v>
      </c>
      <c r="J61" s="234" t="s">
        <v>15</v>
      </c>
      <c r="K61" s="234" t="s">
        <v>262</v>
      </c>
      <c r="L61" s="234" t="s">
        <v>296</v>
      </c>
      <c r="M61" s="234" t="s">
        <v>296</v>
      </c>
      <c r="N61" s="235" t="s">
        <v>2</v>
      </c>
      <c r="O61" s="236" t="s">
        <v>2</v>
      </c>
      <c r="P61" s="236" t="s">
        <v>2</v>
      </c>
      <c r="Q61" s="236" t="s">
        <v>15</v>
      </c>
      <c r="R61" s="236" t="s">
        <v>15</v>
      </c>
      <c r="S61" s="236" t="s">
        <v>16</v>
      </c>
      <c r="T61" s="236" t="s">
        <v>343</v>
      </c>
      <c r="U61" s="236" t="s">
        <v>262</v>
      </c>
      <c r="V61" s="236" t="s">
        <v>2</v>
      </c>
      <c r="W61" s="237" t="s">
        <v>296</v>
      </c>
      <c r="X61" s="237" t="s">
        <v>296</v>
      </c>
      <c r="Y61" s="238" t="s">
        <v>296</v>
      </c>
    </row>
    <row r="62" spans="1:25">
      <c r="A62" s="230">
        <v>2</v>
      </c>
      <c r="B62" s="231" t="str">
        <f>VLOOKUP(Tabel10[[#This Row],[Locatiecode]],Ruimtegroepen[[Code]:[Ruimte omschrijving]],2,FALSE)</f>
        <v>Kantoren</v>
      </c>
      <c r="C62" s="232" t="s">
        <v>341</v>
      </c>
      <c r="D62" s="231" t="s">
        <v>29</v>
      </c>
      <c r="E62" s="233" t="s">
        <v>100</v>
      </c>
      <c r="F62" s="232" t="s">
        <v>344</v>
      </c>
      <c r="G62" s="235" t="s">
        <v>20</v>
      </c>
      <c r="H62" s="235" t="s">
        <v>15</v>
      </c>
      <c r="I62" s="234" t="s">
        <v>296</v>
      </c>
      <c r="J62" s="234" t="s">
        <v>296</v>
      </c>
      <c r="K62" s="234" t="s">
        <v>296</v>
      </c>
      <c r="L62" s="234" t="s">
        <v>296</v>
      </c>
      <c r="M62" s="234" t="s">
        <v>296</v>
      </c>
      <c r="N62" s="235" t="s">
        <v>2</v>
      </c>
      <c r="O62" s="236" t="s">
        <v>2</v>
      </c>
      <c r="P62" s="236" t="s">
        <v>2</v>
      </c>
      <c r="Q62" s="236" t="s">
        <v>15</v>
      </c>
      <c r="R62" s="236" t="s">
        <v>15</v>
      </c>
      <c r="S62" s="236" t="s">
        <v>16</v>
      </c>
      <c r="T62" s="236" t="s">
        <v>343</v>
      </c>
      <c r="U62" s="236" t="s">
        <v>262</v>
      </c>
      <c r="V62" s="236" t="s">
        <v>2</v>
      </c>
      <c r="W62" s="237" t="s">
        <v>296</v>
      </c>
      <c r="X62" s="237" t="s">
        <v>296</v>
      </c>
      <c r="Y62" s="238" t="s">
        <v>296</v>
      </c>
    </row>
    <row r="63" spans="1:25">
      <c r="A63" s="230">
        <v>2</v>
      </c>
      <c r="B63" s="231" t="str">
        <f>VLOOKUP(Tabel10[[#This Row],[Locatiecode]],Ruimtegroepen[[Code]:[Ruimte omschrijving]],2,FALSE)</f>
        <v>Kantoren</v>
      </c>
      <c r="C63" s="232" t="s">
        <v>341</v>
      </c>
      <c r="D63" s="231" t="s">
        <v>29</v>
      </c>
      <c r="E63" s="233" t="s">
        <v>1344</v>
      </c>
      <c r="F63" s="232" t="s">
        <v>1363</v>
      </c>
      <c r="G63" s="281" t="s">
        <v>296</v>
      </c>
      <c r="H63" s="234" t="s">
        <v>296</v>
      </c>
      <c r="I63" s="234" t="s">
        <v>20</v>
      </c>
      <c r="J63" s="234" t="s">
        <v>15</v>
      </c>
      <c r="K63" s="234" t="s">
        <v>262</v>
      </c>
      <c r="L63" s="234" t="s">
        <v>296</v>
      </c>
      <c r="M63" s="234" t="s">
        <v>296</v>
      </c>
      <c r="N63" s="235" t="s">
        <v>2</v>
      </c>
      <c r="O63" s="236" t="s">
        <v>2</v>
      </c>
      <c r="P63" s="236" t="s">
        <v>2</v>
      </c>
      <c r="Q63" s="236" t="s">
        <v>15</v>
      </c>
      <c r="R63" s="236" t="s">
        <v>15</v>
      </c>
      <c r="S63" s="236" t="s">
        <v>16</v>
      </c>
      <c r="T63" s="236" t="s">
        <v>343</v>
      </c>
      <c r="U63" s="236" t="s">
        <v>262</v>
      </c>
      <c r="V63" s="236" t="s">
        <v>2</v>
      </c>
      <c r="W63" s="237" t="s">
        <v>296</v>
      </c>
      <c r="X63" s="237" t="s">
        <v>296</v>
      </c>
      <c r="Y63" s="238" t="s">
        <v>296</v>
      </c>
    </row>
    <row r="64" spans="1:25">
      <c r="A64" s="230">
        <v>2</v>
      </c>
      <c r="B64" s="231" t="str">
        <f>VLOOKUP(Tabel10[[#This Row],[Locatiecode]],Ruimtegroepen[[Code]:[Ruimte omschrijving]],2,FALSE)</f>
        <v>Kantoren</v>
      </c>
      <c r="C64" s="232" t="s">
        <v>347</v>
      </c>
      <c r="D64" s="231" t="s">
        <v>1</v>
      </c>
      <c r="E64" s="233" t="s">
        <v>101</v>
      </c>
      <c r="F64" s="232" t="s">
        <v>348</v>
      </c>
      <c r="G64" s="281" t="s">
        <v>296</v>
      </c>
      <c r="H64" s="234" t="s">
        <v>296</v>
      </c>
      <c r="I64" s="234" t="s">
        <v>20</v>
      </c>
      <c r="J64" s="234" t="s">
        <v>15</v>
      </c>
      <c r="K64" s="234" t="s">
        <v>296</v>
      </c>
      <c r="L64" s="234" t="s">
        <v>296</v>
      </c>
      <c r="M64" s="234" t="s">
        <v>296</v>
      </c>
      <c r="N64" s="235" t="s">
        <v>296</v>
      </c>
      <c r="O64" s="236" t="s">
        <v>2</v>
      </c>
      <c r="P64" s="236" t="s">
        <v>2</v>
      </c>
      <c r="Q64" s="236" t="s">
        <v>15</v>
      </c>
      <c r="R64" s="236" t="s">
        <v>15</v>
      </c>
      <c r="S64" s="236" t="s">
        <v>16</v>
      </c>
      <c r="T64" s="236" t="s">
        <v>343</v>
      </c>
      <c r="U64" s="236" t="s">
        <v>262</v>
      </c>
      <c r="V64" s="236" t="s">
        <v>296</v>
      </c>
      <c r="W64" s="237" t="s">
        <v>296</v>
      </c>
      <c r="X64" s="237" t="s">
        <v>296</v>
      </c>
      <c r="Y64" s="238" t="s">
        <v>296</v>
      </c>
    </row>
    <row r="65" spans="1:25">
      <c r="A65" s="230">
        <v>2</v>
      </c>
      <c r="B65" s="231" t="str">
        <f>VLOOKUP(Tabel10[[#This Row],[Locatiecode]],Ruimtegroepen[[Code]:[Ruimte omschrijving]],2,FALSE)</f>
        <v>Kantoren</v>
      </c>
      <c r="C65" s="232" t="s">
        <v>347</v>
      </c>
      <c r="D65" s="231" t="s">
        <v>1</v>
      </c>
      <c r="E65" s="233" t="s">
        <v>100</v>
      </c>
      <c r="F65" s="232" t="s">
        <v>349</v>
      </c>
      <c r="G65" s="235" t="s">
        <v>20</v>
      </c>
      <c r="H65" s="235" t="s">
        <v>15</v>
      </c>
      <c r="I65" s="234" t="s">
        <v>296</v>
      </c>
      <c r="J65" s="234" t="s">
        <v>296</v>
      </c>
      <c r="K65" s="234" t="s">
        <v>296</v>
      </c>
      <c r="L65" s="234" t="s">
        <v>296</v>
      </c>
      <c r="M65" s="234" t="s">
        <v>296</v>
      </c>
      <c r="N65" s="235" t="s">
        <v>296</v>
      </c>
      <c r="O65" s="236" t="s">
        <v>2</v>
      </c>
      <c r="P65" s="236" t="s">
        <v>2</v>
      </c>
      <c r="Q65" s="236" t="s">
        <v>15</v>
      </c>
      <c r="R65" s="236" t="s">
        <v>15</v>
      </c>
      <c r="S65" s="236" t="s">
        <v>16</v>
      </c>
      <c r="T65" s="236" t="s">
        <v>343</v>
      </c>
      <c r="U65" s="236" t="s">
        <v>262</v>
      </c>
      <c r="V65" s="236" t="s">
        <v>296</v>
      </c>
      <c r="W65" s="237" t="s">
        <v>296</v>
      </c>
      <c r="X65" s="237" t="s">
        <v>296</v>
      </c>
      <c r="Y65" s="238" t="s">
        <v>296</v>
      </c>
    </row>
    <row r="66" spans="1:25">
      <c r="A66" s="230">
        <v>2</v>
      </c>
      <c r="B66" s="231" t="str">
        <f>VLOOKUP(Tabel10[[#This Row],[Locatiecode]],Ruimtegroepen[[Code]:[Ruimte omschrijving]],2,FALSE)</f>
        <v>Kantoren</v>
      </c>
      <c r="C66" s="232" t="s">
        <v>347</v>
      </c>
      <c r="D66" s="231" t="s">
        <v>1</v>
      </c>
      <c r="E66" s="233" t="s">
        <v>102</v>
      </c>
      <c r="F66" s="232" t="s">
        <v>350</v>
      </c>
      <c r="G66" s="281" t="s">
        <v>296</v>
      </c>
      <c r="H66" s="234" t="s">
        <v>296</v>
      </c>
      <c r="I66" s="234" t="s">
        <v>20</v>
      </c>
      <c r="J66" s="234" t="s">
        <v>15</v>
      </c>
      <c r="K66" s="234" t="s">
        <v>262</v>
      </c>
      <c r="L66" s="234" t="s">
        <v>296</v>
      </c>
      <c r="M66" s="234" t="s">
        <v>296</v>
      </c>
      <c r="N66" s="235" t="s">
        <v>296</v>
      </c>
      <c r="O66" s="236" t="s">
        <v>2</v>
      </c>
      <c r="P66" s="236" t="s">
        <v>2</v>
      </c>
      <c r="Q66" s="236" t="s">
        <v>15</v>
      </c>
      <c r="R66" s="236" t="s">
        <v>15</v>
      </c>
      <c r="S66" s="236" t="s">
        <v>16</v>
      </c>
      <c r="T66" s="236" t="s">
        <v>343</v>
      </c>
      <c r="U66" s="236" t="s">
        <v>262</v>
      </c>
      <c r="V66" s="236" t="s">
        <v>296</v>
      </c>
      <c r="W66" s="237" t="s">
        <v>296</v>
      </c>
      <c r="X66" s="237" t="s">
        <v>296</v>
      </c>
      <c r="Y66" s="238" t="s">
        <v>296</v>
      </c>
    </row>
    <row r="67" spans="1:25">
      <c r="A67" s="230">
        <v>2</v>
      </c>
      <c r="B67" s="231" t="str">
        <f>VLOOKUP(Tabel10[[#This Row],[Locatiecode]],Ruimtegroepen[[Code]:[Ruimte omschrijving]],2,FALSE)</f>
        <v>Kantoren</v>
      </c>
      <c r="C67" s="232" t="s">
        <v>347</v>
      </c>
      <c r="D67" s="231" t="s">
        <v>1</v>
      </c>
      <c r="E67" s="233" t="s">
        <v>103</v>
      </c>
      <c r="F67" s="232" t="s">
        <v>351</v>
      </c>
      <c r="G67" s="281" t="s">
        <v>296</v>
      </c>
      <c r="H67" s="234" t="s">
        <v>296</v>
      </c>
      <c r="I67" s="234" t="s">
        <v>20</v>
      </c>
      <c r="J67" s="234" t="s">
        <v>15</v>
      </c>
      <c r="K67" s="234" t="s">
        <v>262</v>
      </c>
      <c r="L67" s="234" t="s">
        <v>296</v>
      </c>
      <c r="M67" s="234" t="s">
        <v>296</v>
      </c>
      <c r="N67" s="235" t="s">
        <v>296</v>
      </c>
      <c r="O67" s="236" t="s">
        <v>2</v>
      </c>
      <c r="P67" s="236" t="s">
        <v>2</v>
      </c>
      <c r="Q67" s="236" t="s">
        <v>15</v>
      </c>
      <c r="R67" s="236" t="s">
        <v>15</v>
      </c>
      <c r="S67" s="236" t="s">
        <v>16</v>
      </c>
      <c r="T67" s="236" t="s">
        <v>343</v>
      </c>
      <c r="U67" s="236" t="s">
        <v>262</v>
      </c>
      <c r="V67" s="236" t="s">
        <v>296</v>
      </c>
      <c r="W67" s="237" t="s">
        <v>296</v>
      </c>
      <c r="X67" s="237" t="s">
        <v>296</v>
      </c>
      <c r="Y67" s="238" t="s">
        <v>296</v>
      </c>
    </row>
    <row r="68" spans="1:25">
      <c r="A68" s="230">
        <v>2</v>
      </c>
      <c r="B68" s="231" t="str">
        <f>VLOOKUP(Tabel10[[#This Row],[Locatiecode]],Ruimtegroepen[[Code]:[Ruimte omschrijving]],2,FALSE)</f>
        <v>Kantoren</v>
      </c>
      <c r="C68" s="232" t="s">
        <v>347</v>
      </c>
      <c r="D68" s="231" t="s">
        <v>1</v>
      </c>
      <c r="E68" s="233" t="s">
        <v>100</v>
      </c>
      <c r="F68" s="232" t="s">
        <v>349</v>
      </c>
      <c r="G68" s="235" t="s">
        <v>20</v>
      </c>
      <c r="H68" s="235" t="s">
        <v>15</v>
      </c>
      <c r="I68" s="234" t="s">
        <v>296</v>
      </c>
      <c r="J68" s="234" t="s">
        <v>296</v>
      </c>
      <c r="K68" s="234" t="s">
        <v>296</v>
      </c>
      <c r="L68" s="234" t="s">
        <v>296</v>
      </c>
      <c r="M68" s="234" t="s">
        <v>296</v>
      </c>
      <c r="N68" s="235" t="s">
        <v>296</v>
      </c>
      <c r="O68" s="236" t="s">
        <v>2</v>
      </c>
      <c r="P68" s="236" t="s">
        <v>2</v>
      </c>
      <c r="Q68" s="236" t="s">
        <v>15</v>
      </c>
      <c r="R68" s="236" t="s">
        <v>15</v>
      </c>
      <c r="S68" s="236" t="s">
        <v>16</v>
      </c>
      <c r="T68" s="236" t="s">
        <v>343</v>
      </c>
      <c r="U68" s="236" t="s">
        <v>262</v>
      </c>
      <c r="V68" s="236" t="s">
        <v>296</v>
      </c>
      <c r="W68" s="237" t="s">
        <v>296</v>
      </c>
      <c r="X68" s="237" t="s">
        <v>296</v>
      </c>
      <c r="Y68" s="238" t="s">
        <v>296</v>
      </c>
    </row>
    <row r="69" spans="1:25">
      <c r="A69" s="230">
        <v>2</v>
      </c>
      <c r="B69" s="231" t="str">
        <f>VLOOKUP(Tabel10[[#This Row],[Locatiecode]],Ruimtegroepen[[Code]:[Ruimte omschrijving]],2,FALSE)</f>
        <v>Kantoren</v>
      </c>
      <c r="C69" s="232" t="s">
        <v>347</v>
      </c>
      <c r="D69" s="231" t="s">
        <v>1</v>
      </c>
      <c r="E69" s="233" t="s">
        <v>1344</v>
      </c>
      <c r="F69" s="232" t="s">
        <v>1364</v>
      </c>
      <c r="G69" s="281" t="s">
        <v>296</v>
      </c>
      <c r="H69" s="234" t="s">
        <v>296</v>
      </c>
      <c r="I69" s="234" t="s">
        <v>20</v>
      </c>
      <c r="J69" s="234" t="s">
        <v>15</v>
      </c>
      <c r="K69" s="234" t="s">
        <v>262</v>
      </c>
      <c r="L69" s="234" t="s">
        <v>296</v>
      </c>
      <c r="M69" s="234" t="s">
        <v>296</v>
      </c>
      <c r="N69" s="235" t="s">
        <v>296</v>
      </c>
      <c r="O69" s="236" t="s">
        <v>2</v>
      </c>
      <c r="P69" s="236" t="s">
        <v>2</v>
      </c>
      <c r="Q69" s="236" t="s">
        <v>15</v>
      </c>
      <c r="R69" s="236" t="s">
        <v>15</v>
      </c>
      <c r="S69" s="236" t="s">
        <v>16</v>
      </c>
      <c r="T69" s="236" t="s">
        <v>343</v>
      </c>
      <c r="U69" s="236" t="s">
        <v>262</v>
      </c>
      <c r="V69" s="236" t="s">
        <v>296</v>
      </c>
      <c r="W69" s="237" t="s">
        <v>296</v>
      </c>
      <c r="X69" s="237" t="s">
        <v>296</v>
      </c>
      <c r="Y69" s="238" t="s">
        <v>296</v>
      </c>
    </row>
    <row r="70" spans="1:25">
      <c r="A70" s="230">
        <v>2</v>
      </c>
      <c r="B70" s="231" t="str">
        <f>VLOOKUP(Tabel10[[#This Row],[Locatiecode]],Ruimtegroepen[[Code]:[Ruimte omschrijving]],2,FALSE)</f>
        <v>Kantoren</v>
      </c>
      <c r="C70" s="232" t="s">
        <v>352</v>
      </c>
      <c r="D70" s="231" t="s">
        <v>21</v>
      </c>
      <c r="E70" s="233" t="s">
        <v>101</v>
      </c>
      <c r="F70" s="232" t="s">
        <v>353</v>
      </c>
      <c r="G70" s="281" t="s">
        <v>296</v>
      </c>
      <c r="H70" s="234" t="s">
        <v>296</v>
      </c>
      <c r="I70" s="234" t="s">
        <v>18</v>
      </c>
      <c r="J70" s="234" t="s">
        <v>15</v>
      </c>
      <c r="K70" s="234" t="s">
        <v>296</v>
      </c>
      <c r="L70" s="234" t="s">
        <v>296</v>
      </c>
      <c r="M70" s="234" t="s">
        <v>296</v>
      </c>
      <c r="N70" s="235" t="s">
        <v>296</v>
      </c>
      <c r="O70" s="236" t="s">
        <v>20</v>
      </c>
      <c r="P70" s="236" t="s">
        <v>20</v>
      </c>
      <c r="Q70" s="236" t="s">
        <v>15</v>
      </c>
      <c r="R70" s="236" t="s">
        <v>15</v>
      </c>
      <c r="S70" s="236" t="s">
        <v>16</v>
      </c>
      <c r="T70" s="236" t="s">
        <v>343</v>
      </c>
      <c r="U70" s="236" t="s">
        <v>262</v>
      </c>
      <c r="V70" s="236" t="s">
        <v>296</v>
      </c>
      <c r="W70" s="237" t="s">
        <v>296</v>
      </c>
      <c r="X70" s="237" t="s">
        <v>296</v>
      </c>
      <c r="Y70" s="238" t="s">
        <v>296</v>
      </c>
    </row>
    <row r="71" spans="1:25">
      <c r="A71" s="230">
        <v>2</v>
      </c>
      <c r="B71" s="231" t="str">
        <f>VLOOKUP(Tabel10[[#This Row],[Locatiecode]],Ruimtegroepen[[Code]:[Ruimte omschrijving]],2,FALSE)</f>
        <v>Kantoren</v>
      </c>
      <c r="C71" s="232" t="s">
        <v>352</v>
      </c>
      <c r="D71" s="231" t="s">
        <v>21</v>
      </c>
      <c r="E71" s="233" t="s">
        <v>100</v>
      </c>
      <c r="F71" s="232" t="s">
        <v>354</v>
      </c>
      <c r="G71" s="235" t="s">
        <v>18</v>
      </c>
      <c r="H71" s="235" t="s">
        <v>15</v>
      </c>
      <c r="I71" s="234" t="s">
        <v>296</v>
      </c>
      <c r="J71" s="234" t="s">
        <v>296</v>
      </c>
      <c r="K71" s="234" t="s">
        <v>296</v>
      </c>
      <c r="L71" s="234" t="s">
        <v>296</v>
      </c>
      <c r="M71" s="234" t="s">
        <v>296</v>
      </c>
      <c r="N71" s="235" t="s">
        <v>296</v>
      </c>
      <c r="O71" s="236" t="s">
        <v>20</v>
      </c>
      <c r="P71" s="236" t="s">
        <v>20</v>
      </c>
      <c r="Q71" s="236" t="s">
        <v>15</v>
      </c>
      <c r="R71" s="236" t="s">
        <v>15</v>
      </c>
      <c r="S71" s="236" t="s">
        <v>16</v>
      </c>
      <c r="T71" s="236" t="s">
        <v>343</v>
      </c>
      <c r="U71" s="236" t="s">
        <v>262</v>
      </c>
      <c r="V71" s="236" t="s">
        <v>296</v>
      </c>
      <c r="W71" s="237" t="s">
        <v>296</v>
      </c>
      <c r="X71" s="237" t="s">
        <v>296</v>
      </c>
      <c r="Y71" s="238" t="s">
        <v>296</v>
      </c>
    </row>
    <row r="72" spans="1:25">
      <c r="A72" s="230">
        <v>2</v>
      </c>
      <c r="B72" s="231" t="str">
        <f>VLOOKUP(Tabel10[[#This Row],[Locatiecode]],Ruimtegroepen[[Code]:[Ruimte omschrijving]],2,FALSE)</f>
        <v>Kantoren</v>
      </c>
      <c r="C72" s="232" t="s">
        <v>352</v>
      </c>
      <c r="D72" s="231" t="s">
        <v>21</v>
      </c>
      <c r="E72" s="233" t="s">
        <v>102</v>
      </c>
      <c r="F72" s="232" t="s">
        <v>355</v>
      </c>
      <c r="G72" s="281" t="s">
        <v>296</v>
      </c>
      <c r="H72" s="234" t="s">
        <v>296</v>
      </c>
      <c r="I72" s="234" t="s">
        <v>18</v>
      </c>
      <c r="J72" s="234" t="s">
        <v>15</v>
      </c>
      <c r="K72" s="234" t="s">
        <v>262</v>
      </c>
      <c r="L72" s="234" t="s">
        <v>296</v>
      </c>
      <c r="M72" s="234" t="s">
        <v>296</v>
      </c>
      <c r="N72" s="235" t="s">
        <v>296</v>
      </c>
      <c r="O72" s="236" t="s">
        <v>20</v>
      </c>
      <c r="P72" s="236" t="s">
        <v>20</v>
      </c>
      <c r="Q72" s="236" t="s">
        <v>15</v>
      </c>
      <c r="R72" s="236" t="s">
        <v>15</v>
      </c>
      <c r="S72" s="236" t="s">
        <v>16</v>
      </c>
      <c r="T72" s="236" t="s">
        <v>343</v>
      </c>
      <c r="U72" s="236" t="s">
        <v>262</v>
      </c>
      <c r="V72" s="236" t="s">
        <v>296</v>
      </c>
      <c r="W72" s="237" t="s">
        <v>296</v>
      </c>
      <c r="X72" s="237" t="s">
        <v>296</v>
      </c>
      <c r="Y72" s="238" t="s">
        <v>296</v>
      </c>
    </row>
    <row r="73" spans="1:25">
      <c r="A73" s="230">
        <v>2</v>
      </c>
      <c r="B73" s="231" t="str">
        <f>VLOOKUP(Tabel10[[#This Row],[Locatiecode]],Ruimtegroepen[[Code]:[Ruimte omschrijving]],2,FALSE)</f>
        <v>Kantoren</v>
      </c>
      <c r="C73" s="232" t="s">
        <v>352</v>
      </c>
      <c r="D73" s="231" t="s">
        <v>21</v>
      </c>
      <c r="E73" s="233" t="s">
        <v>103</v>
      </c>
      <c r="F73" s="232" t="s">
        <v>356</v>
      </c>
      <c r="G73" s="281" t="s">
        <v>296</v>
      </c>
      <c r="H73" s="234" t="s">
        <v>296</v>
      </c>
      <c r="I73" s="234" t="s">
        <v>18</v>
      </c>
      <c r="J73" s="234" t="s">
        <v>15</v>
      </c>
      <c r="K73" s="234" t="s">
        <v>262</v>
      </c>
      <c r="L73" s="234" t="s">
        <v>296</v>
      </c>
      <c r="M73" s="234" t="s">
        <v>296</v>
      </c>
      <c r="N73" s="235" t="s">
        <v>296</v>
      </c>
      <c r="O73" s="236" t="s">
        <v>20</v>
      </c>
      <c r="P73" s="236" t="s">
        <v>20</v>
      </c>
      <c r="Q73" s="236" t="s">
        <v>15</v>
      </c>
      <c r="R73" s="236" t="s">
        <v>15</v>
      </c>
      <c r="S73" s="236" t="s">
        <v>16</v>
      </c>
      <c r="T73" s="236" t="s">
        <v>343</v>
      </c>
      <c r="U73" s="236" t="s">
        <v>262</v>
      </c>
      <c r="V73" s="236" t="s">
        <v>296</v>
      </c>
      <c r="W73" s="237" t="s">
        <v>296</v>
      </c>
      <c r="X73" s="237" t="s">
        <v>296</v>
      </c>
      <c r="Y73" s="238" t="s">
        <v>296</v>
      </c>
    </row>
    <row r="74" spans="1:25">
      <c r="A74" s="230">
        <v>2</v>
      </c>
      <c r="B74" s="231" t="str">
        <f>VLOOKUP(Tabel10[[#This Row],[Locatiecode]],Ruimtegroepen[[Code]:[Ruimte omschrijving]],2,FALSE)</f>
        <v>Kantoren</v>
      </c>
      <c r="C74" s="232" t="s">
        <v>352</v>
      </c>
      <c r="D74" s="231" t="s">
        <v>21</v>
      </c>
      <c r="E74" s="233" t="s">
        <v>100</v>
      </c>
      <c r="F74" s="232" t="s">
        <v>354</v>
      </c>
      <c r="G74" s="235" t="s">
        <v>18</v>
      </c>
      <c r="H74" s="235" t="s">
        <v>15</v>
      </c>
      <c r="I74" s="234" t="s">
        <v>296</v>
      </c>
      <c r="J74" s="234" t="s">
        <v>296</v>
      </c>
      <c r="K74" s="234" t="s">
        <v>296</v>
      </c>
      <c r="L74" s="234" t="s">
        <v>296</v>
      </c>
      <c r="M74" s="234" t="s">
        <v>296</v>
      </c>
      <c r="N74" s="235" t="s">
        <v>296</v>
      </c>
      <c r="O74" s="236" t="s">
        <v>20</v>
      </c>
      <c r="P74" s="236" t="s">
        <v>20</v>
      </c>
      <c r="Q74" s="236" t="s">
        <v>15</v>
      </c>
      <c r="R74" s="236" t="s">
        <v>15</v>
      </c>
      <c r="S74" s="236" t="s">
        <v>16</v>
      </c>
      <c r="T74" s="236" t="s">
        <v>343</v>
      </c>
      <c r="U74" s="236" t="s">
        <v>262</v>
      </c>
      <c r="V74" s="236" t="s">
        <v>296</v>
      </c>
      <c r="W74" s="237" t="s">
        <v>296</v>
      </c>
      <c r="X74" s="237" t="s">
        <v>296</v>
      </c>
      <c r="Y74" s="238" t="s">
        <v>296</v>
      </c>
    </row>
    <row r="75" spans="1:25">
      <c r="A75" s="230">
        <v>2</v>
      </c>
      <c r="B75" s="231" t="str">
        <f>VLOOKUP(Tabel10[[#This Row],[Locatiecode]],Ruimtegroepen[[Code]:[Ruimte omschrijving]],2,FALSE)</f>
        <v>Kantoren</v>
      </c>
      <c r="C75" s="232" t="s">
        <v>357</v>
      </c>
      <c r="D75" s="231" t="s">
        <v>12</v>
      </c>
      <c r="E75" s="233" t="s">
        <v>1344</v>
      </c>
      <c r="F75" s="232" t="s">
        <v>1366</v>
      </c>
      <c r="G75" s="281" t="s">
        <v>296</v>
      </c>
      <c r="H75" s="234" t="s">
        <v>296</v>
      </c>
      <c r="I75" s="234" t="s">
        <v>18</v>
      </c>
      <c r="J75" s="234" t="s">
        <v>15</v>
      </c>
      <c r="K75" s="234" t="s">
        <v>262</v>
      </c>
      <c r="L75" s="234" t="s">
        <v>296</v>
      </c>
      <c r="M75" s="234" t="s">
        <v>296</v>
      </c>
      <c r="N75" s="235" t="s">
        <v>296</v>
      </c>
      <c r="O75" s="236" t="s">
        <v>20</v>
      </c>
      <c r="P75" s="236" t="s">
        <v>20</v>
      </c>
      <c r="Q75" s="236" t="s">
        <v>15</v>
      </c>
      <c r="R75" s="236" t="s">
        <v>15</v>
      </c>
      <c r="S75" s="236" t="s">
        <v>16</v>
      </c>
      <c r="T75" s="236" t="s">
        <v>343</v>
      </c>
      <c r="U75" s="236" t="s">
        <v>262</v>
      </c>
      <c r="V75" s="236" t="s">
        <v>296</v>
      </c>
      <c r="W75" s="237" t="s">
        <v>296</v>
      </c>
      <c r="X75" s="237" t="s">
        <v>296</v>
      </c>
      <c r="Y75" s="238" t="s">
        <v>296</v>
      </c>
    </row>
    <row r="76" spans="1:25">
      <c r="A76" s="230">
        <v>2</v>
      </c>
      <c r="B76" s="231" t="str">
        <f>VLOOKUP(Tabel10[[#This Row],[Locatiecode]],Ruimtegroepen[[Code]:[Ruimte omschrijving]],2,FALSE)</f>
        <v>Kantoren</v>
      </c>
      <c r="C76" s="232" t="s">
        <v>357</v>
      </c>
      <c r="D76" s="231" t="s">
        <v>12</v>
      </c>
      <c r="E76" s="233" t="s">
        <v>101</v>
      </c>
      <c r="F76" s="232" t="s">
        <v>358</v>
      </c>
      <c r="G76" s="281" t="s">
        <v>296</v>
      </c>
      <c r="H76" s="234" t="s">
        <v>296</v>
      </c>
      <c r="I76" s="234" t="s">
        <v>17</v>
      </c>
      <c r="J76" s="234" t="s">
        <v>15</v>
      </c>
      <c r="K76" s="234" t="s">
        <v>296</v>
      </c>
      <c r="L76" s="234" t="s">
        <v>296</v>
      </c>
      <c r="M76" s="234" t="s">
        <v>296</v>
      </c>
      <c r="N76" s="235" t="s">
        <v>296</v>
      </c>
      <c r="O76" s="236" t="s">
        <v>18</v>
      </c>
      <c r="P76" s="236" t="s">
        <v>18</v>
      </c>
      <c r="Q76" s="236" t="s">
        <v>15</v>
      </c>
      <c r="R76" s="236" t="s">
        <v>15</v>
      </c>
      <c r="S76" s="236" t="s">
        <v>16</v>
      </c>
      <c r="T76" s="236" t="s">
        <v>343</v>
      </c>
      <c r="U76" s="236" t="s">
        <v>262</v>
      </c>
      <c r="V76" s="236" t="s">
        <v>296</v>
      </c>
      <c r="W76" s="237" t="s">
        <v>296</v>
      </c>
      <c r="X76" s="237" t="s">
        <v>296</v>
      </c>
      <c r="Y76" s="238" t="s">
        <v>296</v>
      </c>
    </row>
    <row r="77" spans="1:25">
      <c r="A77" s="230">
        <v>2</v>
      </c>
      <c r="B77" s="231" t="str">
        <f>VLOOKUP(Tabel10[[#This Row],[Locatiecode]],Ruimtegroepen[[Code]:[Ruimte omschrijving]],2,FALSE)</f>
        <v>Kantoren</v>
      </c>
      <c r="C77" s="232" t="s">
        <v>357</v>
      </c>
      <c r="D77" s="231" t="s">
        <v>12</v>
      </c>
      <c r="E77" s="233" t="s">
        <v>100</v>
      </c>
      <c r="F77" s="232" t="s">
        <v>359</v>
      </c>
      <c r="G77" s="235" t="s">
        <v>17</v>
      </c>
      <c r="H77" s="235" t="s">
        <v>15</v>
      </c>
      <c r="I77" s="234" t="s">
        <v>296</v>
      </c>
      <c r="J77" s="234" t="s">
        <v>296</v>
      </c>
      <c r="K77" s="234" t="s">
        <v>296</v>
      </c>
      <c r="L77" s="234" t="s">
        <v>296</v>
      </c>
      <c r="M77" s="234" t="s">
        <v>296</v>
      </c>
      <c r="N77" s="235" t="s">
        <v>296</v>
      </c>
      <c r="O77" s="236" t="s">
        <v>18</v>
      </c>
      <c r="P77" s="236" t="s">
        <v>18</v>
      </c>
      <c r="Q77" s="236" t="s">
        <v>15</v>
      </c>
      <c r="R77" s="236" t="s">
        <v>15</v>
      </c>
      <c r="S77" s="236" t="s">
        <v>16</v>
      </c>
      <c r="T77" s="236" t="s">
        <v>343</v>
      </c>
      <c r="U77" s="236" t="s">
        <v>262</v>
      </c>
      <c r="V77" s="236" t="s">
        <v>296</v>
      </c>
      <c r="W77" s="237" t="s">
        <v>296</v>
      </c>
      <c r="X77" s="237" t="s">
        <v>296</v>
      </c>
      <c r="Y77" s="238" t="s">
        <v>296</v>
      </c>
    </row>
    <row r="78" spans="1:25">
      <c r="A78" s="230">
        <v>2</v>
      </c>
      <c r="B78" s="231" t="str">
        <f>VLOOKUP(Tabel10[[#This Row],[Locatiecode]],Ruimtegroepen[[Code]:[Ruimte omschrijving]],2,FALSE)</f>
        <v>Kantoren</v>
      </c>
      <c r="C78" s="232" t="s">
        <v>357</v>
      </c>
      <c r="D78" s="231" t="s">
        <v>12</v>
      </c>
      <c r="E78" s="233" t="s">
        <v>102</v>
      </c>
      <c r="F78" s="232" t="s">
        <v>360</v>
      </c>
      <c r="G78" s="281" t="s">
        <v>296</v>
      </c>
      <c r="H78" s="234" t="s">
        <v>296</v>
      </c>
      <c r="I78" s="234" t="s">
        <v>17</v>
      </c>
      <c r="J78" s="234" t="s">
        <v>15</v>
      </c>
      <c r="K78" s="234" t="s">
        <v>262</v>
      </c>
      <c r="L78" s="234" t="s">
        <v>296</v>
      </c>
      <c r="M78" s="234" t="s">
        <v>296</v>
      </c>
      <c r="N78" s="235" t="s">
        <v>296</v>
      </c>
      <c r="O78" s="236" t="s">
        <v>18</v>
      </c>
      <c r="P78" s="236" t="s">
        <v>18</v>
      </c>
      <c r="Q78" s="236" t="s">
        <v>15</v>
      </c>
      <c r="R78" s="236" t="s">
        <v>15</v>
      </c>
      <c r="S78" s="236" t="s">
        <v>16</v>
      </c>
      <c r="T78" s="236" t="s">
        <v>343</v>
      </c>
      <c r="U78" s="236" t="s">
        <v>262</v>
      </c>
      <c r="V78" s="236" t="s">
        <v>296</v>
      </c>
      <c r="W78" s="237" t="s">
        <v>296</v>
      </c>
      <c r="X78" s="237" t="s">
        <v>296</v>
      </c>
      <c r="Y78" s="238" t="s">
        <v>296</v>
      </c>
    </row>
    <row r="79" spans="1:25">
      <c r="A79" s="230">
        <v>2</v>
      </c>
      <c r="B79" s="231" t="str">
        <f>VLOOKUP(Tabel10[[#This Row],[Locatiecode]],Ruimtegroepen[[Code]:[Ruimte omschrijving]],2,FALSE)</f>
        <v>Kantoren</v>
      </c>
      <c r="C79" s="232" t="s">
        <v>357</v>
      </c>
      <c r="D79" s="231" t="s">
        <v>12</v>
      </c>
      <c r="E79" s="233" t="s">
        <v>103</v>
      </c>
      <c r="F79" s="232" t="s">
        <v>361</v>
      </c>
      <c r="G79" s="281" t="s">
        <v>296</v>
      </c>
      <c r="H79" s="234" t="s">
        <v>296</v>
      </c>
      <c r="I79" s="234" t="s">
        <v>17</v>
      </c>
      <c r="J79" s="234" t="s">
        <v>15</v>
      </c>
      <c r="K79" s="234" t="s">
        <v>262</v>
      </c>
      <c r="L79" s="234" t="s">
        <v>296</v>
      </c>
      <c r="M79" s="234" t="s">
        <v>296</v>
      </c>
      <c r="N79" s="235" t="s">
        <v>296</v>
      </c>
      <c r="O79" s="236" t="s">
        <v>18</v>
      </c>
      <c r="P79" s="236" t="s">
        <v>18</v>
      </c>
      <c r="Q79" s="236" t="s">
        <v>15</v>
      </c>
      <c r="R79" s="236" t="s">
        <v>15</v>
      </c>
      <c r="S79" s="236" t="s">
        <v>16</v>
      </c>
      <c r="T79" s="236" t="s">
        <v>343</v>
      </c>
      <c r="U79" s="236" t="s">
        <v>262</v>
      </c>
      <c r="V79" s="236" t="s">
        <v>296</v>
      </c>
      <c r="W79" s="237" t="s">
        <v>296</v>
      </c>
      <c r="X79" s="237" t="s">
        <v>296</v>
      </c>
      <c r="Y79" s="238" t="s">
        <v>296</v>
      </c>
    </row>
    <row r="80" spans="1:25">
      <c r="A80" s="230">
        <v>2</v>
      </c>
      <c r="B80" s="231" t="str">
        <f>VLOOKUP(Tabel10[[#This Row],[Locatiecode]],Ruimtegroepen[[Code]:[Ruimte omschrijving]],2,FALSE)</f>
        <v>Kantoren</v>
      </c>
      <c r="C80" s="232" t="s">
        <v>357</v>
      </c>
      <c r="D80" s="231" t="s">
        <v>12</v>
      </c>
      <c r="E80" s="233" t="s">
        <v>100</v>
      </c>
      <c r="F80" s="232" t="s">
        <v>359</v>
      </c>
      <c r="G80" s="235" t="s">
        <v>17</v>
      </c>
      <c r="H80" s="235" t="s">
        <v>15</v>
      </c>
      <c r="I80" s="234" t="s">
        <v>296</v>
      </c>
      <c r="J80" s="234" t="s">
        <v>296</v>
      </c>
      <c r="K80" s="234" t="s">
        <v>296</v>
      </c>
      <c r="L80" s="234" t="s">
        <v>296</v>
      </c>
      <c r="M80" s="234" t="s">
        <v>296</v>
      </c>
      <c r="N80" s="235" t="s">
        <v>296</v>
      </c>
      <c r="O80" s="236" t="s">
        <v>18</v>
      </c>
      <c r="P80" s="236" t="s">
        <v>18</v>
      </c>
      <c r="Q80" s="236" t="s">
        <v>15</v>
      </c>
      <c r="R80" s="236" t="s">
        <v>15</v>
      </c>
      <c r="S80" s="236" t="s">
        <v>16</v>
      </c>
      <c r="T80" s="236" t="s">
        <v>343</v>
      </c>
      <c r="U80" s="236" t="s">
        <v>262</v>
      </c>
      <c r="V80" s="236" t="s">
        <v>296</v>
      </c>
      <c r="W80" s="237" t="s">
        <v>296</v>
      </c>
      <c r="X80" s="237" t="s">
        <v>296</v>
      </c>
      <c r="Y80" s="238" t="s">
        <v>296</v>
      </c>
    </row>
    <row r="81" spans="1:25">
      <c r="A81" s="230">
        <v>2</v>
      </c>
      <c r="B81" s="231" t="str">
        <f>VLOOKUP(Tabel10[[#This Row],[Locatiecode]],Ruimtegroepen[[Code]:[Ruimte omschrijving]],2,FALSE)</f>
        <v>Kantoren</v>
      </c>
      <c r="C81" s="232" t="s">
        <v>357</v>
      </c>
      <c r="D81" s="231" t="s">
        <v>12</v>
      </c>
      <c r="E81" s="233" t="s">
        <v>1344</v>
      </c>
      <c r="F81" s="232" t="s">
        <v>1365</v>
      </c>
      <c r="G81" s="281" t="s">
        <v>296</v>
      </c>
      <c r="H81" s="234" t="s">
        <v>296</v>
      </c>
      <c r="I81" s="234" t="s">
        <v>17</v>
      </c>
      <c r="J81" s="234" t="s">
        <v>15</v>
      </c>
      <c r="K81" s="234" t="s">
        <v>262</v>
      </c>
      <c r="L81" s="234" t="s">
        <v>296</v>
      </c>
      <c r="M81" s="234" t="s">
        <v>296</v>
      </c>
      <c r="N81" s="235" t="s">
        <v>296</v>
      </c>
      <c r="O81" s="236" t="s">
        <v>18</v>
      </c>
      <c r="P81" s="236" t="s">
        <v>18</v>
      </c>
      <c r="Q81" s="236" t="s">
        <v>15</v>
      </c>
      <c r="R81" s="236" t="s">
        <v>15</v>
      </c>
      <c r="S81" s="236" t="s">
        <v>16</v>
      </c>
      <c r="T81" s="236" t="s">
        <v>343</v>
      </c>
      <c r="U81" s="236" t="s">
        <v>262</v>
      </c>
      <c r="V81" s="236" t="s">
        <v>296</v>
      </c>
      <c r="W81" s="237" t="s">
        <v>296</v>
      </c>
      <c r="X81" s="237" t="s">
        <v>296</v>
      </c>
      <c r="Y81" s="238" t="s">
        <v>296</v>
      </c>
    </row>
    <row r="82" spans="1:25">
      <c r="A82" s="230">
        <v>2</v>
      </c>
      <c r="B82" s="231" t="str">
        <f>VLOOKUP(Tabel10[[#This Row],[Locatiecode]],Ruimtegroepen[[Code]:[Ruimte omschrijving]],2,FALSE)</f>
        <v>Kantoren</v>
      </c>
      <c r="C82" s="232" t="s">
        <v>362</v>
      </c>
      <c r="D82" s="231" t="s">
        <v>14</v>
      </c>
      <c r="E82" s="233" t="s">
        <v>101</v>
      </c>
      <c r="F82" s="232" t="s">
        <v>363</v>
      </c>
      <c r="G82" s="281" t="s">
        <v>296</v>
      </c>
      <c r="H82" s="234" t="s">
        <v>296</v>
      </c>
      <c r="I82" s="234" t="s">
        <v>15</v>
      </c>
      <c r="J82" s="234" t="s">
        <v>15</v>
      </c>
      <c r="K82" s="234" t="s">
        <v>296</v>
      </c>
      <c r="L82" s="234" t="s">
        <v>296</v>
      </c>
      <c r="M82" s="234" t="s">
        <v>296</v>
      </c>
      <c r="N82" s="235" t="s">
        <v>296</v>
      </c>
      <c r="O82" s="236" t="s">
        <v>17</v>
      </c>
      <c r="P82" s="236" t="s">
        <v>17</v>
      </c>
      <c r="Q82" s="236" t="s">
        <v>15</v>
      </c>
      <c r="R82" s="236" t="s">
        <v>15</v>
      </c>
      <c r="S82" s="236" t="s">
        <v>16</v>
      </c>
      <c r="T82" s="236" t="s">
        <v>343</v>
      </c>
      <c r="U82" s="236" t="s">
        <v>262</v>
      </c>
      <c r="V82" s="236" t="s">
        <v>296</v>
      </c>
      <c r="W82" s="237" t="s">
        <v>296</v>
      </c>
      <c r="X82" s="237" t="s">
        <v>296</v>
      </c>
      <c r="Y82" s="238" t="s">
        <v>296</v>
      </c>
    </row>
    <row r="83" spans="1:25">
      <c r="A83" s="230">
        <v>2</v>
      </c>
      <c r="B83" s="231" t="str">
        <f>VLOOKUP(Tabel10[[#This Row],[Locatiecode]],Ruimtegroepen[[Code]:[Ruimte omschrijving]],2,FALSE)</f>
        <v>Kantoren</v>
      </c>
      <c r="C83" s="232" t="s">
        <v>362</v>
      </c>
      <c r="D83" s="231" t="s">
        <v>14</v>
      </c>
      <c r="E83" s="233" t="s">
        <v>100</v>
      </c>
      <c r="F83" s="232" t="s">
        <v>364</v>
      </c>
      <c r="G83" s="235" t="s">
        <v>15</v>
      </c>
      <c r="H83" s="235" t="s">
        <v>15</v>
      </c>
      <c r="I83" s="234" t="s">
        <v>296</v>
      </c>
      <c r="J83" s="234" t="s">
        <v>296</v>
      </c>
      <c r="K83" s="234" t="s">
        <v>296</v>
      </c>
      <c r="L83" s="234" t="s">
        <v>296</v>
      </c>
      <c r="M83" s="234" t="s">
        <v>296</v>
      </c>
      <c r="N83" s="235" t="s">
        <v>296</v>
      </c>
      <c r="O83" s="236" t="s">
        <v>17</v>
      </c>
      <c r="P83" s="236" t="s">
        <v>17</v>
      </c>
      <c r="Q83" s="236" t="s">
        <v>15</v>
      </c>
      <c r="R83" s="236" t="s">
        <v>15</v>
      </c>
      <c r="S83" s="236" t="s">
        <v>16</v>
      </c>
      <c r="T83" s="236" t="s">
        <v>343</v>
      </c>
      <c r="U83" s="236" t="s">
        <v>262</v>
      </c>
      <c r="V83" s="236" t="s">
        <v>296</v>
      </c>
      <c r="W83" s="237" t="s">
        <v>296</v>
      </c>
      <c r="X83" s="237" t="s">
        <v>296</v>
      </c>
      <c r="Y83" s="238" t="s">
        <v>296</v>
      </c>
    </row>
    <row r="84" spans="1:25">
      <c r="A84" s="230">
        <v>2</v>
      </c>
      <c r="B84" s="231" t="str">
        <f>VLOOKUP(Tabel10[[#This Row],[Locatiecode]],Ruimtegroepen[[Code]:[Ruimte omschrijving]],2,FALSE)</f>
        <v>Kantoren</v>
      </c>
      <c r="C84" s="232" t="s">
        <v>362</v>
      </c>
      <c r="D84" s="231" t="s">
        <v>14</v>
      </c>
      <c r="E84" s="233" t="s">
        <v>102</v>
      </c>
      <c r="F84" s="232" t="s">
        <v>365</v>
      </c>
      <c r="G84" s="281" t="s">
        <v>296</v>
      </c>
      <c r="H84" s="234" t="s">
        <v>296</v>
      </c>
      <c r="I84" s="234" t="s">
        <v>15</v>
      </c>
      <c r="J84" s="234" t="s">
        <v>15</v>
      </c>
      <c r="K84" s="234" t="s">
        <v>262</v>
      </c>
      <c r="L84" s="234" t="s">
        <v>296</v>
      </c>
      <c r="M84" s="234" t="s">
        <v>296</v>
      </c>
      <c r="N84" s="235" t="s">
        <v>296</v>
      </c>
      <c r="O84" s="236" t="s">
        <v>17</v>
      </c>
      <c r="P84" s="236" t="s">
        <v>17</v>
      </c>
      <c r="Q84" s="236" t="s">
        <v>15</v>
      </c>
      <c r="R84" s="236" t="s">
        <v>15</v>
      </c>
      <c r="S84" s="236" t="s">
        <v>16</v>
      </c>
      <c r="T84" s="236" t="s">
        <v>343</v>
      </c>
      <c r="U84" s="236" t="s">
        <v>262</v>
      </c>
      <c r="V84" s="236" t="s">
        <v>296</v>
      </c>
      <c r="W84" s="237" t="s">
        <v>296</v>
      </c>
      <c r="X84" s="237" t="s">
        <v>296</v>
      </c>
      <c r="Y84" s="238" t="s">
        <v>296</v>
      </c>
    </row>
    <row r="85" spans="1:25">
      <c r="A85" s="230">
        <v>2</v>
      </c>
      <c r="B85" s="231" t="str">
        <f>VLOOKUP(Tabel10[[#This Row],[Locatiecode]],Ruimtegroepen[[Code]:[Ruimte omschrijving]],2,FALSE)</f>
        <v>Kantoren</v>
      </c>
      <c r="C85" s="232" t="s">
        <v>362</v>
      </c>
      <c r="D85" s="231" t="s">
        <v>14</v>
      </c>
      <c r="E85" s="233" t="s">
        <v>103</v>
      </c>
      <c r="F85" s="232" t="s">
        <v>366</v>
      </c>
      <c r="G85" s="281" t="s">
        <v>296</v>
      </c>
      <c r="H85" s="234" t="s">
        <v>296</v>
      </c>
      <c r="I85" s="234" t="s">
        <v>15</v>
      </c>
      <c r="J85" s="234" t="s">
        <v>15</v>
      </c>
      <c r="K85" s="234" t="s">
        <v>262</v>
      </c>
      <c r="L85" s="234" t="s">
        <v>296</v>
      </c>
      <c r="M85" s="234" t="s">
        <v>296</v>
      </c>
      <c r="N85" s="235" t="s">
        <v>296</v>
      </c>
      <c r="O85" s="236" t="s">
        <v>17</v>
      </c>
      <c r="P85" s="236" t="s">
        <v>17</v>
      </c>
      <c r="Q85" s="236" t="s">
        <v>15</v>
      </c>
      <c r="R85" s="236" t="s">
        <v>15</v>
      </c>
      <c r="S85" s="236" t="s">
        <v>16</v>
      </c>
      <c r="T85" s="236" t="s">
        <v>343</v>
      </c>
      <c r="U85" s="236" t="s">
        <v>262</v>
      </c>
      <c r="V85" s="236" t="s">
        <v>296</v>
      </c>
      <c r="W85" s="237" t="s">
        <v>296</v>
      </c>
      <c r="X85" s="237" t="s">
        <v>296</v>
      </c>
      <c r="Y85" s="238" t="s">
        <v>296</v>
      </c>
    </row>
    <row r="86" spans="1:25">
      <c r="A86" s="230">
        <v>2</v>
      </c>
      <c r="B86" s="231" t="str">
        <f>VLOOKUP(Tabel10[[#This Row],[Locatiecode]],Ruimtegroepen[[Code]:[Ruimte omschrijving]],2,FALSE)</f>
        <v>Kantoren</v>
      </c>
      <c r="C86" s="232" t="s">
        <v>362</v>
      </c>
      <c r="D86" s="231" t="s">
        <v>14</v>
      </c>
      <c r="E86" s="233" t="s">
        <v>100</v>
      </c>
      <c r="F86" s="232" t="s">
        <v>364</v>
      </c>
      <c r="G86" s="235" t="s">
        <v>15</v>
      </c>
      <c r="H86" s="235" t="s">
        <v>15</v>
      </c>
      <c r="I86" s="234" t="s">
        <v>296</v>
      </c>
      <c r="J86" s="234" t="s">
        <v>296</v>
      </c>
      <c r="K86" s="234" t="s">
        <v>296</v>
      </c>
      <c r="L86" s="234" t="s">
        <v>296</v>
      </c>
      <c r="M86" s="234" t="s">
        <v>296</v>
      </c>
      <c r="N86" s="235" t="s">
        <v>296</v>
      </c>
      <c r="O86" s="236" t="s">
        <v>17</v>
      </c>
      <c r="P86" s="236" t="s">
        <v>17</v>
      </c>
      <c r="Q86" s="236" t="s">
        <v>15</v>
      </c>
      <c r="R86" s="236" t="s">
        <v>15</v>
      </c>
      <c r="S86" s="236" t="s">
        <v>16</v>
      </c>
      <c r="T86" s="236" t="s">
        <v>343</v>
      </c>
      <c r="U86" s="236" t="s">
        <v>262</v>
      </c>
      <c r="V86" s="236" t="s">
        <v>296</v>
      </c>
      <c r="W86" s="237" t="s">
        <v>296</v>
      </c>
      <c r="X86" s="237" t="s">
        <v>296</v>
      </c>
      <c r="Y86" s="238" t="s">
        <v>296</v>
      </c>
    </row>
    <row r="87" spans="1:25">
      <c r="A87" s="230">
        <v>2</v>
      </c>
      <c r="B87" s="231" t="str">
        <f>VLOOKUP(Tabel10[[#This Row],[Locatiecode]],Ruimtegroepen[[Code]:[Ruimte omschrijving]],2,FALSE)</f>
        <v>Kantoren</v>
      </c>
      <c r="C87" s="232" t="s">
        <v>362</v>
      </c>
      <c r="D87" s="231" t="s">
        <v>14</v>
      </c>
      <c r="E87" s="233" t="s">
        <v>1344</v>
      </c>
      <c r="F87" s="232" t="s">
        <v>1367</v>
      </c>
      <c r="G87" s="281" t="s">
        <v>296</v>
      </c>
      <c r="H87" s="234" t="s">
        <v>296</v>
      </c>
      <c r="I87" s="234" t="s">
        <v>15</v>
      </c>
      <c r="J87" s="234" t="s">
        <v>15</v>
      </c>
      <c r="K87" s="234" t="s">
        <v>262</v>
      </c>
      <c r="L87" s="234" t="s">
        <v>296</v>
      </c>
      <c r="M87" s="234" t="s">
        <v>296</v>
      </c>
      <c r="N87" s="235" t="s">
        <v>296</v>
      </c>
      <c r="O87" s="236" t="s">
        <v>17</v>
      </c>
      <c r="P87" s="236" t="s">
        <v>17</v>
      </c>
      <c r="Q87" s="236" t="s">
        <v>15</v>
      </c>
      <c r="R87" s="236" t="s">
        <v>15</v>
      </c>
      <c r="S87" s="236" t="s">
        <v>16</v>
      </c>
      <c r="T87" s="236" t="s">
        <v>343</v>
      </c>
      <c r="U87" s="236" t="s">
        <v>262</v>
      </c>
      <c r="V87" s="236" t="s">
        <v>296</v>
      </c>
      <c r="W87" s="237" t="s">
        <v>296</v>
      </c>
      <c r="X87" s="237" t="s">
        <v>296</v>
      </c>
      <c r="Y87" s="238" t="s">
        <v>296</v>
      </c>
    </row>
    <row r="88" spans="1:25">
      <c r="A88" s="230">
        <v>2</v>
      </c>
      <c r="B88" s="231" t="str">
        <f>VLOOKUP(Tabel10[[#This Row],[Locatiecode]],Ruimtegroepen[[Code]:[Ruimte omschrijving]],2,FALSE)</f>
        <v>Kantoren</v>
      </c>
      <c r="C88" s="232" t="s">
        <v>367</v>
      </c>
      <c r="D88" s="231" t="s">
        <v>13</v>
      </c>
      <c r="E88" s="233" t="s">
        <v>101</v>
      </c>
      <c r="F88" s="232" t="s">
        <v>368</v>
      </c>
      <c r="G88" s="281" t="s">
        <v>296</v>
      </c>
      <c r="H88" s="234" t="s">
        <v>296</v>
      </c>
      <c r="I88" s="234" t="s">
        <v>296</v>
      </c>
      <c r="J88" s="234" t="s">
        <v>15</v>
      </c>
      <c r="K88" s="234" t="s">
        <v>296</v>
      </c>
      <c r="L88" s="234" t="s">
        <v>296</v>
      </c>
      <c r="M88" s="234" t="s">
        <v>296</v>
      </c>
      <c r="N88" s="235" t="s">
        <v>296</v>
      </c>
      <c r="O88" s="236" t="s">
        <v>15</v>
      </c>
      <c r="P88" s="236" t="s">
        <v>15</v>
      </c>
      <c r="Q88" s="236" t="s">
        <v>15</v>
      </c>
      <c r="R88" s="236" t="s">
        <v>15</v>
      </c>
      <c r="S88" s="236" t="s">
        <v>16</v>
      </c>
      <c r="T88" s="236" t="s">
        <v>343</v>
      </c>
      <c r="U88" s="236" t="s">
        <v>262</v>
      </c>
      <c r="V88" s="236" t="s">
        <v>296</v>
      </c>
      <c r="W88" s="237" t="s">
        <v>296</v>
      </c>
      <c r="X88" s="237" t="s">
        <v>296</v>
      </c>
      <c r="Y88" s="238" t="s">
        <v>296</v>
      </c>
    </row>
    <row r="89" spans="1:25">
      <c r="A89" s="230">
        <v>2</v>
      </c>
      <c r="B89" s="231" t="str">
        <f>VLOOKUP(Tabel10[[#This Row],[Locatiecode]],Ruimtegroepen[[Code]:[Ruimte omschrijving]],2,FALSE)</f>
        <v>Kantoren</v>
      </c>
      <c r="C89" s="232" t="s">
        <v>367</v>
      </c>
      <c r="D89" s="231" t="s">
        <v>13</v>
      </c>
      <c r="E89" s="233" t="s">
        <v>100</v>
      </c>
      <c r="F89" s="232" t="s">
        <v>369</v>
      </c>
      <c r="G89" s="281" t="s">
        <v>296</v>
      </c>
      <c r="H89" s="235" t="s">
        <v>15</v>
      </c>
      <c r="I89" s="234" t="s">
        <v>296</v>
      </c>
      <c r="J89" s="234" t="s">
        <v>296</v>
      </c>
      <c r="K89" s="234" t="s">
        <v>296</v>
      </c>
      <c r="L89" s="234" t="s">
        <v>296</v>
      </c>
      <c r="M89" s="234" t="s">
        <v>296</v>
      </c>
      <c r="N89" s="235" t="s">
        <v>296</v>
      </c>
      <c r="O89" s="236" t="s">
        <v>15</v>
      </c>
      <c r="P89" s="236" t="s">
        <v>15</v>
      </c>
      <c r="Q89" s="236" t="s">
        <v>15</v>
      </c>
      <c r="R89" s="236" t="s">
        <v>15</v>
      </c>
      <c r="S89" s="236" t="s">
        <v>16</v>
      </c>
      <c r="T89" s="236" t="s">
        <v>343</v>
      </c>
      <c r="U89" s="236" t="s">
        <v>262</v>
      </c>
      <c r="V89" s="236" t="s">
        <v>296</v>
      </c>
      <c r="W89" s="237" t="s">
        <v>296</v>
      </c>
      <c r="X89" s="237" t="s">
        <v>296</v>
      </c>
      <c r="Y89" s="238" t="s">
        <v>296</v>
      </c>
    </row>
    <row r="90" spans="1:25">
      <c r="A90" s="230">
        <v>2</v>
      </c>
      <c r="B90" s="231" t="str">
        <f>VLOOKUP(Tabel10[[#This Row],[Locatiecode]],Ruimtegroepen[[Code]:[Ruimte omschrijving]],2,FALSE)</f>
        <v>Kantoren</v>
      </c>
      <c r="C90" s="232" t="s">
        <v>367</v>
      </c>
      <c r="D90" s="231" t="s">
        <v>13</v>
      </c>
      <c r="E90" s="233" t="s">
        <v>102</v>
      </c>
      <c r="F90" s="232" t="s">
        <v>370</v>
      </c>
      <c r="G90" s="281" t="s">
        <v>296</v>
      </c>
      <c r="H90" s="234" t="s">
        <v>296</v>
      </c>
      <c r="I90" s="234" t="s">
        <v>296</v>
      </c>
      <c r="J90" s="234" t="s">
        <v>15</v>
      </c>
      <c r="K90" s="234" t="s">
        <v>262</v>
      </c>
      <c r="L90" s="234" t="s">
        <v>296</v>
      </c>
      <c r="M90" s="234" t="s">
        <v>296</v>
      </c>
      <c r="N90" s="235" t="s">
        <v>296</v>
      </c>
      <c r="O90" s="236" t="s">
        <v>15</v>
      </c>
      <c r="P90" s="236" t="s">
        <v>15</v>
      </c>
      <c r="Q90" s="236" t="s">
        <v>15</v>
      </c>
      <c r="R90" s="236" t="s">
        <v>15</v>
      </c>
      <c r="S90" s="236" t="s">
        <v>16</v>
      </c>
      <c r="T90" s="236" t="s">
        <v>343</v>
      </c>
      <c r="U90" s="236" t="s">
        <v>262</v>
      </c>
      <c r="V90" s="236" t="s">
        <v>296</v>
      </c>
      <c r="W90" s="237" t="s">
        <v>296</v>
      </c>
      <c r="X90" s="237" t="s">
        <v>296</v>
      </c>
      <c r="Y90" s="238" t="s">
        <v>296</v>
      </c>
    </row>
    <row r="91" spans="1:25">
      <c r="A91" s="230">
        <v>2</v>
      </c>
      <c r="B91" s="231" t="str">
        <f>VLOOKUP(Tabel10[[#This Row],[Locatiecode]],Ruimtegroepen[[Code]:[Ruimte omschrijving]],2,FALSE)</f>
        <v>Kantoren</v>
      </c>
      <c r="C91" s="232" t="s">
        <v>367</v>
      </c>
      <c r="D91" s="231" t="s">
        <v>13</v>
      </c>
      <c r="E91" s="233" t="s">
        <v>103</v>
      </c>
      <c r="F91" s="232" t="s">
        <v>371</v>
      </c>
      <c r="G91" s="281" t="s">
        <v>296</v>
      </c>
      <c r="H91" s="234" t="s">
        <v>296</v>
      </c>
      <c r="I91" s="234" t="s">
        <v>296</v>
      </c>
      <c r="J91" s="234" t="s">
        <v>15</v>
      </c>
      <c r="K91" s="234" t="s">
        <v>262</v>
      </c>
      <c r="L91" s="234" t="s">
        <v>296</v>
      </c>
      <c r="M91" s="234" t="s">
        <v>296</v>
      </c>
      <c r="N91" s="235" t="s">
        <v>296</v>
      </c>
      <c r="O91" s="236" t="s">
        <v>15</v>
      </c>
      <c r="P91" s="236" t="s">
        <v>15</v>
      </c>
      <c r="Q91" s="236" t="s">
        <v>15</v>
      </c>
      <c r="R91" s="236" t="s">
        <v>15</v>
      </c>
      <c r="S91" s="236" t="s">
        <v>16</v>
      </c>
      <c r="T91" s="236" t="s">
        <v>343</v>
      </c>
      <c r="U91" s="236" t="s">
        <v>262</v>
      </c>
      <c r="V91" s="236" t="s">
        <v>296</v>
      </c>
      <c r="W91" s="237" t="s">
        <v>296</v>
      </c>
      <c r="X91" s="237" t="s">
        <v>296</v>
      </c>
      <c r="Y91" s="238" t="s">
        <v>296</v>
      </c>
    </row>
    <row r="92" spans="1:25">
      <c r="A92" s="230">
        <v>2</v>
      </c>
      <c r="B92" s="231" t="str">
        <f>VLOOKUP(Tabel10[[#This Row],[Locatiecode]],Ruimtegroepen[[Code]:[Ruimte omschrijving]],2,FALSE)</f>
        <v>Kantoren</v>
      </c>
      <c r="C92" s="232" t="s">
        <v>367</v>
      </c>
      <c r="D92" s="231" t="s">
        <v>13</v>
      </c>
      <c r="E92" s="233" t="s">
        <v>100</v>
      </c>
      <c r="F92" s="232" t="s">
        <v>369</v>
      </c>
      <c r="G92" s="281" t="s">
        <v>296</v>
      </c>
      <c r="H92" s="235" t="s">
        <v>15</v>
      </c>
      <c r="I92" s="234" t="s">
        <v>296</v>
      </c>
      <c r="J92" s="234" t="s">
        <v>296</v>
      </c>
      <c r="K92" s="234" t="s">
        <v>296</v>
      </c>
      <c r="L92" s="234" t="s">
        <v>296</v>
      </c>
      <c r="M92" s="234" t="s">
        <v>296</v>
      </c>
      <c r="N92" s="235" t="s">
        <v>296</v>
      </c>
      <c r="O92" s="236" t="s">
        <v>15</v>
      </c>
      <c r="P92" s="236" t="s">
        <v>15</v>
      </c>
      <c r="Q92" s="236" t="s">
        <v>15</v>
      </c>
      <c r="R92" s="236" t="s">
        <v>15</v>
      </c>
      <c r="S92" s="236" t="s">
        <v>16</v>
      </c>
      <c r="T92" s="236" t="s">
        <v>343</v>
      </c>
      <c r="U92" s="236" t="s">
        <v>262</v>
      </c>
      <c r="V92" s="236" t="s">
        <v>296</v>
      </c>
      <c r="W92" s="237" t="s">
        <v>296</v>
      </c>
      <c r="X92" s="237" t="s">
        <v>296</v>
      </c>
      <c r="Y92" s="238" t="s">
        <v>296</v>
      </c>
    </row>
    <row r="93" spans="1:25">
      <c r="A93" s="230">
        <v>2</v>
      </c>
      <c r="B93" s="231" t="str">
        <f>VLOOKUP(Tabel10[[#This Row],[Locatiecode]],Ruimtegroepen[[Code]:[Ruimte omschrijving]],2,FALSE)</f>
        <v>Kantoren</v>
      </c>
      <c r="C93" s="232" t="s">
        <v>367</v>
      </c>
      <c r="D93" s="231" t="s">
        <v>13</v>
      </c>
      <c r="E93" s="233" t="s">
        <v>1344</v>
      </c>
      <c r="F93" s="232" t="s">
        <v>1368</v>
      </c>
      <c r="G93" s="281" t="s">
        <v>296</v>
      </c>
      <c r="H93" s="234" t="s">
        <v>296</v>
      </c>
      <c r="I93" s="234" t="s">
        <v>296</v>
      </c>
      <c r="J93" s="234" t="s">
        <v>15</v>
      </c>
      <c r="K93" s="234" t="s">
        <v>262</v>
      </c>
      <c r="L93" s="234" t="s">
        <v>296</v>
      </c>
      <c r="M93" s="234" t="s">
        <v>296</v>
      </c>
      <c r="N93" s="235" t="s">
        <v>296</v>
      </c>
      <c r="O93" s="236" t="s">
        <v>15</v>
      </c>
      <c r="P93" s="236" t="s">
        <v>15</v>
      </c>
      <c r="Q93" s="236" t="s">
        <v>15</v>
      </c>
      <c r="R93" s="236" t="s">
        <v>15</v>
      </c>
      <c r="S93" s="236" t="s">
        <v>16</v>
      </c>
      <c r="T93" s="236" t="s">
        <v>343</v>
      </c>
      <c r="U93" s="236" t="s">
        <v>262</v>
      </c>
      <c r="V93" s="236" t="s">
        <v>296</v>
      </c>
      <c r="W93" s="237" t="s">
        <v>296</v>
      </c>
      <c r="X93" s="237" t="s">
        <v>296</v>
      </c>
      <c r="Y93" s="238" t="s">
        <v>296</v>
      </c>
    </row>
    <row r="94" spans="1:25">
      <c r="A94" s="230">
        <v>2</v>
      </c>
      <c r="B94" s="231" t="str">
        <f>VLOOKUP(Tabel10[[#This Row],[Locatiecode]],Ruimtegroepen[[Code]:[Ruimte omschrijving]],2,FALSE)</f>
        <v>Kantoren</v>
      </c>
      <c r="C94" s="232" t="s">
        <v>372</v>
      </c>
      <c r="D94" s="231" t="s">
        <v>0</v>
      </c>
      <c r="E94" s="233" t="s">
        <v>101</v>
      </c>
      <c r="F94" s="232" t="s">
        <v>373</v>
      </c>
      <c r="G94" s="281" t="s">
        <v>296</v>
      </c>
      <c r="H94" s="234" t="s">
        <v>296</v>
      </c>
      <c r="I94" s="234" t="s">
        <v>16</v>
      </c>
      <c r="J94" s="234" t="s">
        <v>296</v>
      </c>
      <c r="K94" s="234" t="s">
        <v>296</v>
      </c>
      <c r="L94" s="234" t="s">
        <v>296</v>
      </c>
      <c r="M94" s="234" t="s">
        <v>296</v>
      </c>
      <c r="N94" s="235" t="s">
        <v>296</v>
      </c>
      <c r="O94" s="236" t="s">
        <v>16</v>
      </c>
      <c r="P94" s="236" t="s">
        <v>16</v>
      </c>
      <c r="Q94" s="236" t="s">
        <v>16</v>
      </c>
      <c r="R94" s="236" t="s">
        <v>16</v>
      </c>
      <c r="S94" s="236" t="s">
        <v>16</v>
      </c>
      <c r="T94" s="236" t="s">
        <v>343</v>
      </c>
      <c r="U94" s="236" t="s">
        <v>262</v>
      </c>
      <c r="V94" s="236" t="s">
        <v>296</v>
      </c>
      <c r="W94" s="237" t="s">
        <v>296</v>
      </c>
      <c r="X94" s="237" t="s">
        <v>296</v>
      </c>
      <c r="Y94" s="238" t="s">
        <v>296</v>
      </c>
    </row>
    <row r="95" spans="1:25">
      <c r="A95" s="230">
        <v>2</v>
      </c>
      <c r="B95" s="231" t="str">
        <f>VLOOKUP(Tabel10[[#This Row],[Locatiecode]],Ruimtegroepen[[Code]:[Ruimte omschrijving]],2,FALSE)</f>
        <v>Kantoren</v>
      </c>
      <c r="C95" s="232" t="s">
        <v>372</v>
      </c>
      <c r="D95" s="231" t="s">
        <v>0</v>
      </c>
      <c r="E95" s="233" t="s">
        <v>100</v>
      </c>
      <c r="F95" s="232" t="s">
        <v>374</v>
      </c>
      <c r="G95" s="281" t="s">
        <v>296</v>
      </c>
      <c r="H95" s="235" t="s">
        <v>16</v>
      </c>
      <c r="I95" s="234" t="s">
        <v>296</v>
      </c>
      <c r="J95" s="234" t="s">
        <v>296</v>
      </c>
      <c r="K95" s="234" t="s">
        <v>296</v>
      </c>
      <c r="L95" s="234" t="s">
        <v>296</v>
      </c>
      <c r="M95" s="234" t="s">
        <v>296</v>
      </c>
      <c r="N95" s="235" t="s">
        <v>296</v>
      </c>
      <c r="O95" s="236" t="s">
        <v>16</v>
      </c>
      <c r="P95" s="236" t="s">
        <v>16</v>
      </c>
      <c r="Q95" s="236" t="s">
        <v>16</v>
      </c>
      <c r="R95" s="236" t="s">
        <v>16</v>
      </c>
      <c r="S95" s="236" t="s">
        <v>16</v>
      </c>
      <c r="T95" s="236" t="s">
        <v>343</v>
      </c>
      <c r="U95" s="236" t="s">
        <v>262</v>
      </c>
      <c r="V95" s="236" t="s">
        <v>296</v>
      </c>
      <c r="W95" s="237" t="s">
        <v>296</v>
      </c>
      <c r="X95" s="237" t="s">
        <v>296</v>
      </c>
      <c r="Y95" s="238" t="s">
        <v>296</v>
      </c>
    </row>
    <row r="96" spans="1:25">
      <c r="A96" s="230">
        <v>2</v>
      </c>
      <c r="B96" s="231" t="str">
        <f>VLOOKUP(Tabel10[[#This Row],[Locatiecode]],Ruimtegroepen[[Code]:[Ruimte omschrijving]],2,FALSE)</f>
        <v>Kantoren</v>
      </c>
      <c r="C96" s="232" t="s">
        <v>372</v>
      </c>
      <c r="D96" s="231" t="s">
        <v>0</v>
      </c>
      <c r="E96" s="233" t="s">
        <v>102</v>
      </c>
      <c r="F96" s="232" t="s">
        <v>376</v>
      </c>
      <c r="G96" s="281" t="s">
        <v>296</v>
      </c>
      <c r="H96" s="234" t="s">
        <v>296</v>
      </c>
      <c r="I96" s="234" t="s">
        <v>296</v>
      </c>
      <c r="J96" s="234" t="s">
        <v>16</v>
      </c>
      <c r="K96" s="234" t="s">
        <v>262</v>
      </c>
      <c r="L96" s="234" t="s">
        <v>296</v>
      </c>
      <c r="M96" s="234" t="s">
        <v>296</v>
      </c>
      <c r="N96" s="235" t="s">
        <v>296</v>
      </c>
      <c r="O96" s="236" t="s">
        <v>16</v>
      </c>
      <c r="P96" s="236" t="s">
        <v>16</v>
      </c>
      <c r="Q96" s="236" t="s">
        <v>16</v>
      </c>
      <c r="R96" s="236" t="s">
        <v>16</v>
      </c>
      <c r="S96" s="236" t="s">
        <v>16</v>
      </c>
      <c r="T96" s="236" t="s">
        <v>343</v>
      </c>
      <c r="U96" s="236" t="s">
        <v>262</v>
      </c>
      <c r="V96" s="236" t="s">
        <v>296</v>
      </c>
      <c r="W96" s="237" t="s">
        <v>296</v>
      </c>
      <c r="X96" s="237" t="s">
        <v>296</v>
      </c>
      <c r="Y96" s="238" t="s">
        <v>296</v>
      </c>
    </row>
    <row r="97" spans="1:25">
      <c r="A97" s="230">
        <v>2</v>
      </c>
      <c r="B97" s="231" t="str">
        <f>VLOOKUP(Tabel10[[#This Row],[Locatiecode]],Ruimtegroepen[[Code]:[Ruimte omschrijving]],2,FALSE)</f>
        <v>Kantoren</v>
      </c>
      <c r="C97" s="232" t="s">
        <v>372</v>
      </c>
      <c r="D97" s="231" t="s">
        <v>0</v>
      </c>
      <c r="E97" s="233" t="s">
        <v>103</v>
      </c>
      <c r="F97" s="232" t="s">
        <v>377</v>
      </c>
      <c r="G97" s="281" t="s">
        <v>296</v>
      </c>
      <c r="H97" s="234" t="s">
        <v>296</v>
      </c>
      <c r="I97" s="234" t="s">
        <v>16</v>
      </c>
      <c r="J97" s="234" t="s">
        <v>296</v>
      </c>
      <c r="K97" s="234" t="s">
        <v>262</v>
      </c>
      <c r="L97" s="234" t="s">
        <v>296</v>
      </c>
      <c r="M97" s="234" t="s">
        <v>296</v>
      </c>
      <c r="N97" s="235" t="s">
        <v>296</v>
      </c>
      <c r="O97" s="236" t="s">
        <v>16</v>
      </c>
      <c r="P97" s="236" t="s">
        <v>16</v>
      </c>
      <c r="Q97" s="236" t="s">
        <v>16</v>
      </c>
      <c r="R97" s="236" t="s">
        <v>16</v>
      </c>
      <c r="S97" s="236" t="s">
        <v>16</v>
      </c>
      <c r="T97" s="236" t="s">
        <v>343</v>
      </c>
      <c r="U97" s="236" t="s">
        <v>262</v>
      </c>
      <c r="V97" s="236" t="s">
        <v>296</v>
      </c>
      <c r="W97" s="237" t="s">
        <v>296</v>
      </c>
      <c r="X97" s="237" t="s">
        <v>296</v>
      </c>
      <c r="Y97" s="238" t="s">
        <v>296</v>
      </c>
    </row>
    <row r="98" spans="1:25">
      <c r="A98" s="230">
        <v>2</v>
      </c>
      <c r="B98" s="231" t="str">
        <f>VLOOKUP(Tabel10[[#This Row],[Locatiecode]],Ruimtegroepen[[Code]:[Ruimte omschrijving]],2,FALSE)</f>
        <v>Kantoren</v>
      </c>
      <c r="C98" s="232" t="s">
        <v>372</v>
      </c>
      <c r="D98" s="231" t="s">
        <v>0</v>
      </c>
      <c r="E98" s="233" t="s">
        <v>100</v>
      </c>
      <c r="F98" s="232" t="s">
        <v>374</v>
      </c>
      <c r="G98" s="281" t="s">
        <v>296</v>
      </c>
      <c r="H98" s="235" t="s">
        <v>16</v>
      </c>
      <c r="I98" s="234" t="s">
        <v>296</v>
      </c>
      <c r="J98" s="234" t="s">
        <v>296</v>
      </c>
      <c r="K98" s="234" t="s">
        <v>296</v>
      </c>
      <c r="L98" s="234" t="s">
        <v>296</v>
      </c>
      <c r="M98" s="234" t="s">
        <v>296</v>
      </c>
      <c r="N98" s="235" t="s">
        <v>296</v>
      </c>
      <c r="O98" s="236" t="s">
        <v>16</v>
      </c>
      <c r="P98" s="236" t="s">
        <v>16</v>
      </c>
      <c r="Q98" s="236" t="s">
        <v>16</v>
      </c>
      <c r="R98" s="236" t="s">
        <v>16</v>
      </c>
      <c r="S98" s="236" t="s">
        <v>16</v>
      </c>
      <c r="T98" s="236" t="s">
        <v>343</v>
      </c>
      <c r="U98" s="236" t="s">
        <v>262</v>
      </c>
      <c r="V98" s="236" t="s">
        <v>296</v>
      </c>
      <c r="W98" s="237" t="s">
        <v>296</v>
      </c>
      <c r="X98" s="237" t="s">
        <v>296</v>
      </c>
      <c r="Y98" s="238" t="s">
        <v>296</v>
      </c>
    </row>
    <row r="99" spans="1:25">
      <c r="A99" s="230">
        <v>2</v>
      </c>
      <c r="B99" s="231" t="str">
        <f>VLOOKUP(Tabel10[[#This Row],[Locatiecode]],Ruimtegroepen[[Code]:[Ruimte omschrijving]],2,FALSE)</f>
        <v>Kantoren</v>
      </c>
      <c r="C99" s="232" t="s">
        <v>372</v>
      </c>
      <c r="D99" s="231" t="s">
        <v>0</v>
      </c>
      <c r="E99" s="233" t="s">
        <v>1344</v>
      </c>
      <c r="F99" s="232" t="s">
        <v>1369</v>
      </c>
      <c r="G99" s="281" t="s">
        <v>296</v>
      </c>
      <c r="H99" s="234" t="s">
        <v>296</v>
      </c>
      <c r="I99" s="234" t="s">
        <v>16</v>
      </c>
      <c r="J99" s="234" t="s">
        <v>296</v>
      </c>
      <c r="K99" s="234" t="s">
        <v>262</v>
      </c>
      <c r="L99" s="234" t="s">
        <v>296</v>
      </c>
      <c r="M99" s="234" t="s">
        <v>296</v>
      </c>
      <c r="N99" s="235" t="s">
        <v>296</v>
      </c>
      <c r="O99" s="236" t="s">
        <v>16</v>
      </c>
      <c r="P99" s="236" t="s">
        <v>16</v>
      </c>
      <c r="Q99" s="236" t="s">
        <v>16</v>
      </c>
      <c r="R99" s="236" t="s">
        <v>16</v>
      </c>
      <c r="S99" s="236" t="s">
        <v>16</v>
      </c>
      <c r="T99" s="236" t="s">
        <v>343</v>
      </c>
      <c r="U99" s="236" t="s">
        <v>262</v>
      </c>
      <c r="V99" s="236" t="s">
        <v>296</v>
      </c>
      <c r="W99" s="237" t="s">
        <v>296</v>
      </c>
      <c r="X99" s="237" t="s">
        <v>296</v>
      </c>
      <c r="Y99" s="238" t="s">
        <v>296</v>
      </c>
    </row>
    <row r="100" spans="1:25">
      <c r="A100" s="230">
        <v>2</v>
      </c>
      <c r="B100" s="231" t="str">
        <f>VLOOKUP(Tabel10[[#This Row],[Locatiecode]],Ruimtegroepen[[Code]:[Ruimte omschrijving]],2,FALSE)</f>
        <v>Kantoren</v>
      </c>
      <c r="C100" s="232" t="s">
        <v>378</v>
      </c>
      <c r="D100" s="231" t="s">
        <v>27</v>
      </c>
      <c r="E100" s="233" t="s">
        <v>101</v>
      </c>
      <c r="F100" s="232" t="s">
        <v>379</v>
      </c>
      <c r="G100" s="281" t="s">
        <v>296</v>
      </c>
      <c r="H100" s="234" t="s">
        <v>296</v>
      </c>
      <c r="I100" s="234" t="s">
        <v>15</v>
      </c>
      <c r="J100" s="234" t="s">
        <v>296</v>
      </c>
      <c r="K100" s="234" t="s">
        <v>296</v>
      </c>
      <c r="L100" s="234" t="s">
        <v>296</v>
      </c>
      <c r="M100" s="234" t="s">
        <v>296</v>
      </c>
      <c r="N100" s="235" t="s">
        <v>296</v>
      </c>
      <c r="O100" s="236" t="s">
        <v>15</v>
      </c>
      <c r="P100" s="236" t="s">
        <v>15</v>
      </c>
      <c r="Q100" s="236" t="s">
        <v>15</v>
      </c>
      <c r="R100" s="236" t="s">
        <v>296</v>
      </c>
      <c r="S100" s="236" t="s">
        <v>296</v>
      </c>
      <c r="T100" s="236" t="s">
        <v>296</v>
      </c>
      <c r="U100" s="236" t="s">
        <v>296</v>
      </c>
      <c r="V100" s="236" t="s">
        <v>296</v>
      </c>
      <c r="W100" s="237" t="s">
        <v>296</v>
      </c>
      <c r="X100" s="237" t="s">
        <v>296</v>
      </c>
      <c r="Y100" s="238" t="s">
        <v>296</v>
      </c>
    </row>
    <row r="101" spans="1:25">
      <c r="A101" s="230">
        <v>2</v>
      </c>
      <c r="B101" s="231" t="str">
        <f>VLOOKUP(Tabel10[[#This Row],[Locatiecode]],Ruimtegroepen[[Code]:[Ruimte omschrijving]],2,FALSE)</f>
        <v>Kantoren</v>
      </c>
      <c r="C101" s="232" t="s">
        <v>378</v>
      </c>
      <c r="D101" s="231" t="s">
        <v>27</v>
      </c>
      <c r="E101" s="233" t="s">
        <v>100</v>
      </c>
      <c r="F101" s="232" t="s">
        <v>380</v>
      </c>
      <c r="G101" s="281" t="s">
        <v>296</v>
      </c>
      <c r="H101" s="235" t="s">
        <v>15</v>
      </c>
      <c r="I101" s="234" t="s">
        <v>296</v>
      </c>
      <c r="J101" s="234" t="s">
        <v>296</v>
      </c>
      <c r="K101" s="234" t="s">
        <v>296</v>
      </c>
      <c r="L101" s="234" t="s">
        <v>296</v>
      </c>
      <c r="M101" s="234" t="s">
        <v>296</v>
      </c>
      <c r="N101" s="235" t="s">
        <v>296</v>
      </c>
      <c r="O101" s="236" t="s">
        <v>15</v>
      </c>
      <c r="P101" s="236" t="s">
        <v>15</v>
      </c>
      <c r="Q101" s="236" t="s">
        <v>15</v>
      </c>
      <c r="R101" s="236" t="s">
        <v>296</v>
      </c>
      <c r="S101" s="236" t="s">
        <v>296</v>
      </c>
      <c r="T101" s="236" t="s">
        <v>296</v>
      </c>
      <c r="U101" s="236" t="s">
        <v>296</v>
      </c>
      <c r="V101" s="236" t="s">
        <v>296</v>
      </c>
      <c r="W101" s="237" t="s">
        <v>296</v>
      </c>
      <c r="X101" s="237" t="s">
        <v>296</v>
      </c>
      <c r="Y101" s="238" t="s">
        <v>296</v>
      </c>
    </row>
    <row r="102" spans="1:25">
      <c r="A102" s="230">
        <v>2</v>
      </c>
      <c r="B102" s="231" t="str">
        <f>VLOOKUP(Tabel10[[#This Row],[Locatiecode]],Ruimtegroepen[[Code]:[Ruimte omschrijving]],2,FALSE)</f>
        <v>Kantoren</v>
      </c>
      <c r="C102" s="232" t="s">
        <v>378</v>
      </c>
      <c r="D102" s="231" t="s">
        <v>27</v>
      </c>
      <c r="E102" s="233" t="s">
        <v>102</v>
      </c>
      <c r="F102" s="232" t="s">
        <v>381</v>
      </c>
      <c r="G102" s="281" t="s">
        <v>296</v>
      </c>
      <c r="H102" s="234" t="s">
        <v>296</v>
      </c>
      <c r="I102" s="234" t="s">
        <v>15</v>
      </c>
      <c r="J102" s="234" t="s">
        <v>296</v>
      </c>
      <c r="K102" s="234" t="s">
        <v>296</v>
      </c>
      <c r="L102" s="234" t="s">
        <v>296</v>
      </c>
      <c r="M102" s="234" t="s">
        <v>296</v>
      </c>
      <c r="N102" s="235" t="s">
        <v>296</v>
      </c>
      <c r="O102" s="236" t="s">
        <v>15</v>
      </c>
      <c r="P102" s="236" t="s">
        <v>15</v>
      </c>
      <c r="Q102" s="236" t="s">
        <v>15</v>
      </c>
      <c r="R102" s="236" t="s">
        <v>296</v>
      </c>
      <c r="S102" s="236" t="s">
        <v>296</v>
      </c>
      <c r="T102" s="236" t="s">
        <v>296</v>
      </c>
      <c r="U102" s="236" t="s">
        <v>296</v>
      </c>
      <c r="V102" s="236" t="s">
        <v>296</v>
      </c>
      <c r="W102" s="237" t="s">
        <v>296</v>
      </c>
      <c r="X102" s="237" t="s">
        <v>296</v>
      </c>
      <c r="Y102" s="238" t="s">
        <v>296</v>
      </c>
    </row>
    <row r="103" spans="1:25">
      <c r="A103" s="230">
        <v>2</v>
      </c>
      <c r="B103" s="231" t="str">
        <f>VLOOKUP(Tabel10[[#This Row],[Locatiecode]],Ruimtegroepen[[Code]:[Ruimte omschrijving]],2,FALSE)</f>
        <v>Kantoren</v>
      </c>
      <c r="C103" s="232" t="s">
        <v>378</v>
      </c>
      <c r="D103" s="231" t="s">
        <v>27</v>
      </c>
      <c r="E103" s="233" t="s">
        <v>103</v>
      </c>
      <c r="F103" s="232" t="s">
        <v>382</v>
      </c>
      <c r="G103" s="281" t="s">
        <v>296</v>
      </c>
      <c r="H103" s="234" t="s">
        <v>296</v>
      </c>
      <c r="I103" s="234" t="s">
        <v>15</v>
      </c>
      <c r="J103" s="234" t="s">
        <v>296</v>
      </c>
      <c r="K103" s="234" t="s">
        <v>296</v>
      </c>
      <c r="L103" s="234" t="s">
        <v>296</v>
      </c>
      <c r="M103" s="234" t="s">
        <v>296</v>
      </c>
      <c r="N103" s="235" t="s">
        <v>296</v>
      </c>
      <c r="O103" s="236" t="s">
        <v>15</v>
      </c>
      <c r="P103" s="236" t="s">
        <v>15</v>
      </c>
      <c r="Q103" s="236" t="s">
        <v>15</v>
      </c>
      <c r="R103" s="236" t="s">
        <v>296</v>
      </c>
      <c r="S103" s="236" t="s">
        <v>296</v>
      </c>
      <c r="T103" s="236" t="s">
        <v>296</v>
      </c>
      <c r="U103" s="236" t="s">
        <v>296</v>
      </c>
      <c r="V103" s="236" t="s">
        <v>296</v>
      </c>
      <c r="W103" s="237" t="s">
        <v>296</v>
      </c>
      <c r="X103" s="237" t="s">
        <v>296</v>
      </c>
      <c r="Y103" s="238" t="s">
        <v>296</v>
      </c>
    </row>
    <row r="104" spans="1:25">
      <c r="A104" s="230">
        <v>2</v>
      </c>
      <c r="B104" s="231" t="str">
        <f>VLOOKUP(Tabel10[[#This Row],[Locatiecode]],Ruimtegroepen[[Code]:[Ruimte omschrijving]],2,FALSE)</f>
        <v>Kantoren</v>
      </c>
      <c r="C104" s="232" t="s">
        <v>378</v>
      </c>
      <c r="D104" s="231" t="s">
        <v>27</v>
      </c>
      <c r="E104" s="233" t="s">
        <v>100</v>
      </c>
      <c r="F104" s="232" t="s">
        <v>380</v>
      </c>
      <c r="G104" s="281" t="s">
        <v>296</v>
      </c>
      <c r="H104" s="235" t="s">
        <v>15</v>
      </c>
      <c r="I104" s="234" t="s">
        <v>296</v>
      </c>
      <c r="J104" s="234" t="s">
        <v>296</v>
      </c>
      <c r="K104" s="234" t="s">
        <v>296</v>
      </c>
      <c r="L104" s="234" t="s">
        <v>296</v>
      </c>
      <c r="M104" s="234" t="s">
        <v>296</v>
      </c>
      <c r="N104" s="235" t="s">
        <v>296</v>
      </c>
      <c r="O104" s="236" t="s">
        <v>15</v>
      </c>
      <c r="P104" s="236" t="s">
        <v>15</v>
      </c>
      <c r="Q104" s="236" t="s">
        <v>15</v>
      </c>
      <c r="R104" s="236" t="s">
        <v>296</v>
      </c>
      <c r="S104" s="236" t="s">
        <v>296</v>
      </c>
      <c r="T104" s="236" t="s">
        <v>296</v>
      </c>
      <c r="U104" s="236" t="s">
        <v>296</v>
      </c>
      <c r="V104" s="236" t="s">
        <v>296</v>
      </c>
      <c r="W104" s="237" t="s">
        <v>296</v>
      </c>
      <c r="X104" s="237" t="s">
        <v>296</v>
      </c>
      <c r="Y104" s="238" t="s">
        <v>296</v>
      </c>
    </row>
    <row r="105" spans="1:25">
      <c r="A105" s="230">
        <v>2</v>
      </c>
      <c r="B105" s="231" t="str">
        <f>VLOOKUP(Tabel10[[#This Row],[Locatiecode]],Ruimtegroepen[[Code]:[Ruimte omschrijving]],2,FALSE)</f>
        <v>Kantoren</v>
      </c>
      <c r="C105" s="232" t="s">
        <v>378</v>
      </c>
      <c r="D105" s="231" t="s">
        <v>27</v>
      </c>
      <c r="E105" s="233" t="s">
        <v>1344</v>
      </c>
      <c r="F105" s="232" t="s">
        <v>1370</v>
      </c>
      <c r="G105" s="281" t="s">
        <v>296</v>
      </c>
      <c r="H105" s="234" t="s">
        <v>296</v>
      </c>
      <c r="I105" s="234" t="s">
        <v>15</v>
      </c>
      <c r="J105" s="234" t="s">
        <v>296</v>
      </c>
      <c r="K105" s="234" t="s">
        <v>296</v>
      </c>
      <c r="L105" s="234" t="s">
        <v>296</v>
      </c>
      <c r="M105" s="234" t="s">
        <v>296</v>
      </c>
      <c r="N105" s="235" t="s">
        <v>296</v>
      </c>
      <c r="O105" s="236" t="s">
        <v>15</v>
      </c>
      <c r="P105" s="236" t="s">
        <v>15</v>
      </c>
      <c r="Q105" s="236" t="s">
        <v>15</v>
      </c>
      <c r="R105" s="236" t="s">
        <v>296</v>
      </c>
      <c r="S105" s="236" t="s">
        <v>296</v>
      </c>
      <c r="T105" s="236" t="s">
        <v>296</v>
      </c>
      <c r="U105" s="236" t="s">
        <v>296</v>
      </c>
      <c r="V105" s="236" t="s">
        <v>296</v>
      </c>
      <c r="W105" s="237" t="s">
        <v>296</v>
      </c>
      <c r="X105" s="237" t="s">
        <v>296</v>
      </c>
      <c r="Y105" s="238" t="s">
        <v>296</v>
      </c>
    </row>
    <row r="106" spans="1:25">
      <c r="A106" s="230">
        <v>2</v>
      </c>
      <c r="B106" s="231" t="str">
        <f>VLOOKUP(Tabel10[[#This Row],[Locatiecode]],Ruimtegroepen[[Code]:[Ruimte omschrijving]],2,FALSE)</f>
        <v>Kantoren</v>
      </c>
      <c r="C106" s="232" t="s">
        <v>383</v>
      </c>
      <c r="D106" s="231" t="s">
        <v>28</v>
      </c>
      <c r="E106" s="233" t="s">
        <v>101</v>
      </c>
      <c r="F106" s="232" t="s">
        <v>384</v>
      </c>
      <c r="G106" s="281" t="s">
        <v>296</v>
      </c>
      <c r="H106" s="234" t="s">
        <v>296</v>
      </c>
      <c r="I106" s="234" t="s">
        <v>17</v>
      </c>
      <c r="J106" s="234" t="s">
        <v>296</v>
      </c>
      <c r="K106" s="234" t="s">
        <v>296</v>
      </c>
      <c r="L106" s="234" t="s">
        <v>296</v>
      </c>
      <c r="M106" s="234" t="s">
        <v>296</v>
      </c>
      <c r="N106" s="235" t="s">
        <v>296</v>
      </c>
      <c r="O106" s="236" t="s">
        <v>17</v>
      </c>
      <c r="P106" s="236" t="s">
        <v>17</v>
      </c>
      <c r="Q106" s="236" t="s">
        <v>15</v>
      </c>
      <c r="R106" s="236" t="s">
        <v>296</v>
      </c>
      <c r="S106" s="236" t="s">
        <v>296</v>
      </c>
      <c r="T106" s="236" t="s">
        <v>296</v>
      </c>
      <c r="U106" s="236" t="s">
        <v>296</v>
      </c>
      <c r="V106" s="236" t="s">
        <v>296</v>
      </c>
      <c r="W106" s="237" t="s">
        <v>296</v>
      </c>
      <c r="X106" s="237" t="s">
        <v>296</v>
      </c>
      <c r="Y106" s="238" t="s">
        <v>296</v>
      </c>
    </row>
    <row r="107" spans="1:25">
      <c r="A107" s="230">
        <v>2</v>
      </c>
      <c r="B107" s="231" t="str">
        <f>VLOOKUP(Tabel10[[#This Row],[Locatiecode]],Ruimtegroepen[[Code]:[Ruimte omschrijving]],2,FALSE)</f>
        <v>Kantoren</v>
      </c>
      <c r="C107" s="232" t="s">
        <v>383</v>
      </c>
      <c r="D107" s="231" t="s">
        <v>28</v>
      </c>
      <c r="E107" s="233" t="s">
        <v>100</v>
      </c>
      <c r="F107" s="232" t="s">
        <v>385</v>
      </c>
      <c r="G107" s="281" t="s">
        <v>296</v>
      </c>
      <c r="H107" s="235" t="s">
        <v>17</v>
      </c>
      <c r="I107" s="234" t="s">
        <v>296</v>
      </c>
      <c r="J107" s="234" t="s">
        <v>296</v>
      </c>
      <c r="K107" s="234" t="s">
        <v>296</v>
      </c>
      <c r="L107" s="234" t="s">
        <v>296</v>
      </c>
      <c r="M107" s="234" t="s">
        <v>296</v>
      </c>
      <c r="N107" s="235" t="s">
        <v>296</v>
      </c>
      <c r="O107" s="236" t="s">
        <v>17</v>
      </c>
      <c r="P107" s="236" t="s">
        <v>17</v>
      </c>
      <c r="Q107" s="236" t="s">
        <v>15</v>
      </c>
      <c r="R107" s="236" t="s">
        <v>296</v>
      </c>
      <c r="S107" s="236" t="s">
        <v>296</v>
      </c>
      <c r="T107" s="236" t="s">
        <v>296</v>
      </c>
      <c r="U107" s="236" t="s">
        <v>296</v>
      </c>
      <c r="V107" s="236" t="s">
        <v>296</v>
      </c>
      <c r="W107" s="237" t="s">
        <v>296</v>
      </c>
      <c r="X107" s="237" t="s">
        <v>296</v>
      </c>
      <c r="Y107" s="238" t="s">
        <v>296</v>
      </c>
    </row>
    <row r="108" spans="1:25">
      <c r="A108" s="230">
        <v>2</v>
      </c>
      <c r="B108" s="231" t="str">
        <f>VLOOKUP(Tabel10[[#This Row],[Locatiecode]],Ruimtegroepen[[Code]:[Ruimte omschrijving]],2,FALSE)</f>
        <v>Kantoren</v>
      </c>
      <c r="C108" s="232" t="s">
        <v>383</v>
      </c>
      <c r="D108" s="231" t="s">
        <v>28</v>
      </c>
      <c r="E108" s="233" t="s">
        <v>102</v>
      </c>
      <c r="F108" s="232" t="s">
        <v>386</v>
      </c>
      <c r="G108" s="281" t="s">
        <v>296</v>
      </c>
      <c r="H108" s="234" t="s">
        <v>296</v>
      </c>
      <c r="I108" s="234" t="s">
        <v>17</v>
      </c>
      <c r="J108" s="234" t="s">
        <v>296</v>
      </c>
      <c r="K108" s="234" t="s">
        <v>296</v>
      </c>
      <c r="L108" s="234" t="s">
        <v>296</v>
      </c>
      <c r="M108" s="234" t="s">
        <v>296</v>
      </c>
      <c r="N108" s="235" t="s">
        <v>296</v>
      </c>
      <c r="O108" s="236" t="s">
        <v>17</v>
      </c>
      <c r="P108" s="236" t="s">
        <v>17</v>
      </c>
      <c r="Q108" s="236" t="s">
        <v>15</v>
      </c>
      <c r="R108" s="236" t="s">
        <v>296</v>
      </c>
      <c r="S108" s="236" t="s">
        <v>296</v>
      </c>
      <c r="T108" s="236" t="s">
        <v>296</v>
      </c>
      <c r="U108" s="236" t="s">
        <v>296</v>
      </c>
      <c r="V108" s="236" t="s">
        <v>296</v>
      </c>
      <c r="W108" s="237" t="s">
        <v>296</v>
      </c>
      <c r="X108" s="237" t="s">
        <v>296</v>
      </c>
      <c r="Y108" s="238" t="s">
        <v>296</v>
      </c>
    </row>
    <row r="109" spans="1:25">
      <c r="A109" s="230">
        <v>2</v>
      </c>
      <c r="B109" s="231" t="str">
        <f>VLOOKUP(Tabel10[[#This Row],[Locatiecode]],Ruimtegroepen[[Code]:[Ruimte omschrijving]],2,FALSE)</f>
        <v>Kantoren</v>
      </c>
      <c r="C109" s="232" t="s">
        <v>383</v>
      </c>
      <c r="D109" s="231" t="s">
        <v>28</v>
      </c>
      <c r="E109" s="233" t="s">
        <v>103</v>
      </c>
      <c r="F109" s="232" t="s">
        <v>387</v>
      </c>
      <c r="G109" s="281" t="s">
        <v>296</v>
      </c>
      <c r="H109" s="234" t="s">
        <v>296</v>
      </c>
      <c r="I109" s="234" t="s">
        <v>17</v>
      </c>
      <c r="J109" s="234" t="s">
        <v>296</v>
      </c>
      <c r="K109" s="234" t="s">
        <v>296</v>
      </c>
      <c r="L109" s="234" t="s">
        <v>296</v>
      </c>
      <c r="M109" s="234" t="s">
        <v>296</v>
      </c>
      <c r="N109" s="235" t="s">
        <v>296</v>
      </c>
      <c r="O109" s="236" t="s">
        <v>17</v>
      </c>
      <c r="P109" s="236" t="s">
        <v>17</v>
      </c>
      <c r="Q109" s="236" t="s">
        <v>15</v>
      </c>
      <c r="R109" s="236" t="s">
        <v>296</v>
      </c>
      <c r="S109" s="236" t="s">
        <v>296</v>
      </c>
      <c r="T109" s="236" t="s">
        <v>296</v>
      </c>
      <c r="U109" s="236" t="s">
        <v>296</v>
      </c>
      <c r="V109" s="236" t="s">
        <v>296</v>
      </c>
      <c r="W109" s="237" t="s">
        <v>296</v>
      </c>
      <c r="X109" s="237" t="s">
        <v>296</v>
      </c>
      <c r="Y109" s="238" t="s">
        <v>296</v>
      </c>
    </row>
    <row r="110" spans="1:25">
      <c r="A110" s="230">
        <v>2</v>
      </c>
      <c r="B110" s="231" t="str">
        <f>VLOOKUP(Tabel10[[#This Row],[Locatiecode]],Ruimtegroepen[[Code]:[Ruimte omschrijving]],2,FALSE)</f>
        <v>Kantoren</v>
      </c>
      <c r="C110" s="232" t="s">
        <v>383</v>
      </c>
      <c r="D110" s="231" t="s">
        <v>28</v>
      </c>
      <c r="E110" s="233" t="s">
        <v>100</v>
      </c>
      <c r="F110" s="232" t="s">
        <v>385</v>
      </c>
      <c r="G110" s="281" t="s">
        <v>296</v>
      </c>
      <c r="H110" s="235" t="s">
        <v>17</v>
      </c>
      <c r="I110" s="234" t="s">
        <v>296</v>
      </c>
      <c r="J110" s="234" t="s">
        <v>296</v>
      </c>
      <c r="K110" s="234" t="s">
        <v>296</v>
      </c>
      <c r="L110" s="234" t="s">
        <v>296</v>
      </c>
      <c r="M110" s="234" t="s">
        <v>296</v>
      </c>
      <c r="N110" s="235" t="s">
        <v>296</v>
      </c>
      <c r="O110" s="236" t="s">
        <v>17</v>
      </c>
      <c r="P110" s="236" t="s">
        <v>17</v>
      </c>
      <c r="Q110" s="236" t="s">
        <v>15</v>
      </c>
      <c r="R110" s="236" t="s">
        <v>296</v>
      </c>
      <c r="S110" s="236" t="s">
        <v>296</v>
      </c>
      <c r="T110" s="236" t="s">
        <v>296</v>
      </c>
      <c r="U110" s="236" t="s">
        <v>296</v>
      </c>
      <c r="V110" s="236" t="s">
        <v>296</v>
      </c>
      <c r="W110" s="237" t="s">
        <v>296</v>
      </c>
      <c r="X110" s="237" t="s">
        <v>296</v>
      </c>
      <c r="Y110" s="238" t="s">
        <v>296</v>
      </c>
    </row>
    <row r="111" spans="1:25">
      <c r="A111" s="230">
        <v>2</v>
      </c>
      <c r="B111" s="231" t="str">
        <f>VLOOKUP(Tabel10[[#This Row],[Locatiecode]],Ruimtegroepen[[Code]:[Ruimte omschrijving]],2,FALSE)</f>
        <v>Kantoren</v>
      </c>
      <c r="C111" s="232" t="s">
        <v>383</v>
      </c>
      <c r="D111" s="231" t="s">
        <v>28</v>
      </c>
      <c r="E111" s="233" t="s">
        <v>1344</v>
      </c>
      <c r="F111" s="232" t="s">
        <v>1371</v>
      </c>
      <c r="G111" s="281" t="s">
        <v>296</v>
      </c>
      <c r="H111" s="234" t="s">
        <v>296</v>
      </c>
      <c r="I111" s="234" t="s">
        <v>17</v>
      </c>
      <c r="J111" s="234" t="s">
        <v>296</v>
      </c>
      <c r="K111" s="234" t="s">
        <v>296</v>
      </c>
      <c r="L111" s="234" t="s">
        <v>296</v>
      </c>
      <c r="M111" s="234" t="s">
        <v>296</v>
      </c>
      <c r="N111" s="235" t="s">
        <v>296</v>
      </c>
      <c r="O111" s="236" t="s">
        <v>17</v>
      </c>
      <c r="P111" s="236" t="s">
        <v>17</v>
      </c>
      <c r="Q111" s="236" t="s">
        <v>15</v>
      </c>
      <c r="R111" s="236" t="s">
        <v>296</v>
      </c>
      <c r="S111" s="236" t="s">
        <v>296</v>
      </c>
      <c r="T111" s="236" t="s">
        <v>296</v>
      </c>
      <c r="U111" s="236" t="s">
        <v>296</v>
      </c>
      <c r="V111" s="236" t="s">
        <v>296</v>
      </c>
      <c r="W111" s="237" t="s">
        <v>296</v>
      </c>
      <c r="X111" s="237" t="s">
        <v>296</v>
      </c>
      <c r="Y111" s="238" t="s">
        <v>296</v>
      </c>
    </row>
    <row r="112" spans="1:25">
      <c r="A112" s="230">
        <v>3</v>
      </c>
      <c r="B112" s="231" t="str">
        <f>VLOOKUP(Tabel10[[#This Row],[Locatiecode]],Ruimtegroepen[[Code]:[Ruimte omschrijving]],2,FALSE)</f>
        <v>Reproruimte</v>
      </c>
      <c r="C112" s="232" t="s">
        <v>388</v>
      </c>
      <c r="D112" s="231" t="s">
        <v>29</v>
      </c>
      <c r="E112" s="233" t="s">
        <v>101</v>
      </c>
      <c r="F112" s="232" t="s">
        <v>389</v>
      </c>
      <c r="G112" s="281" t="s">
        <v>296</v>
      </c>
      <c r="H112" s="234" t="s">
        <v>296</v>
      </c>
      <c r="I112" s="234" t="s">
        <v>20</v>
      </c>
      <c r="J112" s="234" t="s">
        <v>15</v>
      </c>
      <c r="K112" s="234" t="s">
        <v>296</v>
      </c>
      <c r="L112" s="234" t="s">
        <v>296</v>
      </c>
      <c r="M112" s="234" t="s">
        <v>296</v>
      </c>
      <c r="N112" s="235" t="s">
        <v>2</v>
      </c>
      <c r="O112" s="236" t="s">
        <v>2</v>
      </c>
      <c r="P112" s="236" t="s">
        <v>2</v>
      </c>
      <c r="Q112" s="236" t="s">
        <v>15</v>
      </c>
      <c r="R112" s="236" t="s">
        <v>15</v>
      </c>
      <c r="S112" s="236" t="s">
        <v>16</v>
      </c>
      <c r="T112" s="236" t="s">
        <v>297</v>
      </c>
      <c r="U112" s="236" t="s">
        <v>262</v>
      </c>
      <c r="V112" s="236" t="s">
        <v>2</v>
      </c>
      <c r="W112" s="237" t="s">
        <v>296</v>
      </c>
      <c r="X112" s="237" t="s">
        <v>296</v>
      </c>
      <c r="Y112" s="238" t="s">
        <v>296</v>
      </c>
    </row>
    <row r="113" spans="1:25">
      <c r="A113" s="230">
        <v>3</v>
      </c>
      <c r="B113" s="231" t="str">
        <f>VLOOKUP(Tabel10[[#This Row],[Locatiecode]],Ruimtegroepen[[Code]:[Ruimte omschrijving]],2,FALSE)</f>
        <v>Reproruimte</v>
      </c>
      <c r="C113" s="232" t="s">
        <v>388</v>
      </c>
      <c r="D113" s="231" t="s">
        <v>29</v>
      </c>
      <c r="E113" s="233" t="s">
        <v>100</v>
      </c>
      <c r="F113" s="232" t="s">
        <v>390</v>
      </c>
      <c r="G113" s="235" t="s">
        <v>20</v>
      </c>
      <c r="H113" s="235" t="s">
        <v>15</v>
      </c>
      <c r="I113" s="234" t="s">
        <v>296</v>
      </c>
      <c r="J113" s="234" t="s">
        <v>296</v>
      </c>
      <c r="K113" s="234" t="s">
        <v>296</v>
      </c>
      <c r="L113" s="234" t="s">
        <v>296</v>
      </c>
      <c r="M113" s="234" t="s">
        <v>296</v>
      </c>
      <c r="N113" s="235" t="s">
        <v>2</v>
      </c>
      <c r="O113" s="236" t="s">
        <v>2</v>
      </c>
      <c r="P113" s="236" t="s">
        <v>2</v>
      </c>
      <c r="Q113" s="236" t="s">
        <v>15</v>
      </c>
      <c r="R113" s="236" t="s">
        <v>15</v>
      </c>
      <c r="S113" s="236" t="s">
        <v>16</v>
      </c>
      <c r="T113" s="236" t="s">
        <v>297</v>
      </c>
      <c r="U113" s="236" t="s">
        <v>262</v>
      </c>
      <c r="V113" s="236" t="s">
        <v>2</v>
      </c>
      <c r="W113" s="237" t="s">
        <v>296</v>
      </c>
      <c r="X113" s="237" t="s">
        <v>296</v>
      </c>
      <c r="Y113" s="238" t="s">
        <v>296</v>
      </c>
    </row>
    <row r="114" spans="1:25">
      <c r="A114" s="230">
        <v>3</v>
      </c>
      <c r="B114" s="231" t="str">
        <f>VLOOKUP(Tabel10[[#This Row],[Locatiecode]],Ruimtegroepen[[Code]:[Ruimte omschrijving]],2,FALSE)</f>
        <v>Reproruimte</v>
      </c>
      <c r="C114" s="232" t="s">
        <v>388</v>
      </c>
      <c r="D114" s="231" t="s">
        <v>29</v>
      </c>
      <c r="E114" s="233" t="s">
        <v>102</v>
      </c>
      <c r="F114" s="232" t="s">
        <v>391</v>
      </c>
      <c r="G114" s="281" t="s">
        <v>296</v>
      </c>
      <c r="H114" s="234" t="s">
        <v>296</v>
      </c>
      <c r="I114" s="234" t="s">
        <v>20</v>
      </c>
      <c r="J114" s="234" t="s">
        <v>15</v>
      </c>
      <c r="K114" s="234" t="s">
        <v>343</v>
      </c>
      <c r="L114" s="234" t="s">
        <v>296</v>
      </c>
      <c r="M114" s="234" t="s">
        <v>296</v>
      </c>
      <c r="N114" s="235" t="s">
        <v>2</v>
      </c>
      <c r="O114" s="236" t="s">
        <v>2</v>
      </c>
      <c r="P114" s="236" t="s">
        <v>2</v>
      </c>
      <c r="Q114" s="236" t="s">
        <v>15</v>
      </c>
      <c r="R114" s="236" t="s">
        <v>15</v>
      </c>
      <c r="S114" s="236" t="s">
        <v>16</v>
      </c>
      <c r="T114" s="236" t="s">
        <v>297</v>
      </c>
      <c r="U114" s="236" t="s">
        <v>262</v>
      </c>
      <c r="V114" s="236" t="s">
        <v>2</v>
      </c>
      <c r="W114" s="237" t="s">
        <v>296</v>
      </c>
      <c r="X114" s="237" t="s">
        <v>296</v>
      </c>
      <c r="Y114" s="238" t="s">
        <v>296</v>
      </c>
    </row>
    <row r="115" spans="1:25">
      <c r="A115" s="230">
        <v>3</v>
      </c>
      <c r="B115" s="231" t="str">
        <f>VLOOKUP(Tabel10[[#This Row],[Locatiecode]],Ruimtegroepen[[Code]:[Ruimte omschrijving]],2,FALSE)</f>
        <v>Reproruimte</v>
      </c>
      <c r="C115" s="232" t="s">
        <v>388</v>
      </c>
      <c r="D115" s="231" t="s">
        <v>29</v>
      </c>
      <c r="E115" s="233" t="s">
        <v>103</v>
      </c>
      <c r="F115" s="232" t="s">
        <v>392</v>
      </c>
      <c r="G115" s="281" t="s">
        <v>296</v>
      </c>
      <c r="H115" s="234" t="s">
        <v>296</v>
      </c>
      <c r="I115" s="234" t="s">
        <v>20</v>
      </c>
      <c r="J115" s="234" t="s">
        <v>15</v>
      </c>
      <c r="K115" s="234" t="s">
        <v>343</v>
      </c>
      <c r="L115" s="234" t="s">
        <v>296</v>
      </c>
      <c r="M115" s="234" t="s">
        <v>296</v>
      </c>
      <c r="N115" s="235" t="s">
        <v>2</v>
      </c>
      <c r="O115" s="236" t="s">
        <v>2</v>
      </c>
      <c r="P115" s="236" t="s">
        <v>2</v>
      </c>
      <c r="Q115" s="236" t="s">
        <v>15</v>
      </c>
      <c r="R115" s="236" t="s">
        <v>15</v>
      </c>
      <c r="S115" s="236" t="s">
        <v>16</v>
      </c>
      <c r="T115" s="236" t="s">
        <v>297</v>
      </c>
      <c r="U115" s="236" t="s">
        <v>262</v>
      </c>
      <c r="V115" s="236" t="s">
        <v>2</v>
      </c>
      <c r="W115" s="237" t="s">
        <v>296</v>
      </c>
      <c r="X115" s="237" t="s">
        <v>296</v>
      </c>
      <c r="Y115" s="238" t="s">
        <v>296</v>
      </c>
    </row>
    <row r="116" spans="1:25">
      <c r="A116" s="230">
        <v>3</v>
      </c>
      <c r="B116" s="231" t="str">
        <f>VLOOKUP(Tabel10[[#This Row],[Locatiecode]],Ruimtegroepen[[Code]:[Ruimte omschrijving]],2,FALSE)</f>
        <v>Reproruimte</v>
      </c>
      <c r="C116" s="232" t="s">
        <v>388</v>
      </c>
      <c r="D116" s="231" t="s">
        <v>29</v>
      </c>
      <c r="E116" s="233" t="s">
        <v>100</v>
      </c>
      <c r="F116" s="232" t="s">
        <v>390</v>
      </c>
      <c r="G116" s="235" t="s">
        <v>20</v>
      </c>
      <c r="H116" s="235" t="s">
        <v>15</v>
      </c>
      <c r="I116" s="234" t="s">
        <v>296</v>
      </c>
      <c r="J116" s="234" t="s">
        <v>296</v>
      </c>
      <c r="K116" s="234" t="s">
        <v>296</v>
      </c>
      <c r="L116" s="234" t="s">
        <v>296</v>
      </c>
      <c r="M116" s="234" t="s">
        <v>296</v>
      </c>
      <c r="N116" s="235" t="s">
        <v>296</v>
      </c>
      <c r="O116" s="236" t="s">
        <v>296</v>
      </c>
      <c r="P116" s="236" t="s">
        <v>296</v>
      </c>
      <c r="Q116" s="236" t="s">
        <v>296</v>
      </c>
      <c r="R116" s="236" t="s">
        <v>296</v>
      </c>
      <c r="S116" s="236" t="s">
        <v>296</v>
      </c>
      <c r="T116" s="236" t="s">
        <v>296</v>
      </c>
      <c r="U116" s="236" t="s">
        <v>296</v>
      </c>
      <c r="V116" s="236" t="s">
        <v>296</v>
      </c>
      <c r="W116" s="237" t="s">
        <v>296</v>
      </c>
      <c r="X116" s="237" t="s">
        <v>296</v>
      </c>
      <c r="Y116" s="238" t="s">
        <v>296</v>
      </c>
    </row>
    <row r="117" spans="1:25">
      <c r="A117" s="230">
        <v>3</v>
      </c>
      <c r="B117" s="231" t="str">
        <f>VLOOKUP(Tabel10[[#This Row],[Locatiecode]],Ruimtegroepen[[Code]:[Ruimte omschrijving]],2,FALSE)</f>
        <v>Reproruimte</v>
      </c>
      <c r="C117" s="232" t="s">
        <v>388</v>
      </c>
      <c r="D117" s="231" t="s">
        <v>29</v>
      </c>
      <c r="E117" s="233" t="s">
        <v>1344</v>
      </c>
      <c r="F117" s="232" t="s">
        <v>1372</v>
      </c>
      <c r="G117" s="281" t="s">
        <v>296</v>
      </c>
      <c r="H117" s="234" t="s">
        <v>296</v>
      </c>
      <c r="I117" s="234" t="s">
        <v>20</v>
      </c>
      <c r="J117" s="234" t="s">
        <v>15</v>
      </c>
      <c r="K117" s="234" t="s">
        <v>343</v>
      </c>
      <c r="L117" s="234" t="s">
        <v>296</v>
      </c>
      <c r="M117" s="234" t="s">
        <v>296</v>
      </c>
      <c r="N117" s="235" t="s">
        <v>2</v>
      </c>
      <c r="O117" s="236" t="s">
        <v>2</v>
      </c>
      <c r="P117" s="236" t="s">
        <v>2</v>
      </c>
      <c r="Q117" s="236" t="s">
        <v>15</v>
      </c>
      <c r="R117" s="236" t="s">
        <v>15</v>
      </c>
      <c r="S117" s="236" t="s">
        <v>16</v>
      </c>
      <c r="T117" s="236" t="s">
        <v>297</v>
      </c>
      <c r="U117" s="236" t="s">
        <v>262</v>
      </c>
      <c r="V117" s="236" t="s">
        <v>2</v>
      </c>
      <c r="W117" s="237" t="s">
        <v>296</v>
      </c>
      <c r="X117" s="237" t="s">
        <v>296</v>
      </c>
      <c r="Y117" s="238" t="s">
        <v>296</v>
      </c>
    </row>
    <row r="118" spans="1:25">
      <c r="A118" s="230">
        <v>3</v>
      </c>
      <c r="B118" s="231" t="str">
        <f>VLOOKUP(Tabel10[[#This Row],[Locatiecode]],Ruimtegroepen[[Code]:[Ruimte omschrijving]],2,FALSE)</f>
        <v>Reproruimte</v>
      </c>
      <c r="C118" s="232" t="s">
        <v>393</v>
      </c>
      <c r="D118" s="231" t="s">
        <v>1</v>
      </c>
      <c r="E118" s="233" t="s">
        <v>101</v>
      </c>
      <c r="F118" s="232" t="s">
        <v>394</v>
      </c>
      <c r="G118" s="281" t="s">
        <v>296</v>
      </c>
      <c r="H118" s="234" t="s">
        <v>296</v>
      </c>
      <c r="I118" s="234" t="s">
        <v>20</v>
      </c>
      <c r="J118" s="234" t="s">
        <v>15</v>
      </c>
      <c r="K118" s="234" t="s">
        <v>296</v>
      </c>
      <c r="L118" s="234" t="s">
        <v>296</v>
      </c>
      <c r="M118" s="234" t="s">
        <v>296</v>
      </c>
      <c r="N118" s="235" t="s">
        <v>296</v>
      </c>
      <c r="O118" s="236" t="s">
        <v>2</v>
      </c>
      <c r="P118" s="236" t="s">
        <v>2</v>
      </c>
      <c r="Q118" s="236" t="s">
        <v>15</v>
      </c>
      <c r="R118" s="236" t="s">
        <v>15</v>
      </c>
      <c r="S118" s="236" t="s">
        <v>16</v>
      </c>
      <c r="T118" s="236" t="s">
        <v>297</v>
      </c>
      <c r="U118" s="236" t="s">
        <v>262</v>
      </c>
      <c r="V118" s="236" t="s">
        <v>296</v>
      </c>
      <c r="W118" s="237" t="s">
        <v>296</v>
      </c>
      <c r="X118" s="237" t="s">
        <v>296</v>
      </c>
      <c r="Y118" s="238" t="s">
        <v>296</v>
      </c>
    </row>
    <row r="119" spans="1:25">
      <c r="A119" s="230">
        <v>3</v>
      </c>
      <c r="B119" s="231" t="str">
        <f>VLOOKUP(Tabel10[[#This Row],[Locatiecode]],Ruimtegroepen[[Code]:[Ruimte omschrijving]],2,FALSE)</f>
        <v>Reproruimte</v>
      </c>
      <c r="C119" s="232" t="s">
        <v>393</v>
      </c>
      <c r="D119" s="231" t="s">
        <v>1</v>
      </c>
      <c r="E119" s="233" t="s">
        <v>100</v>
      </c>
      <c r="F119" s="232" t="s">
        <v>395</v>
      </c>
      <c r="G119" s="235" t="s">
        <v>20</v>
      </c>
      <c r="H119" s="235" t="s">
        <v>15</v>
      </c>
      <c r="I119" s="234" t="s">
        <v>296</v>
      </c>
      <c r="J119" s="234" t="s">
        <v>296</v>
      </c>
      <c r="K119" s="234" t="s">
        <v>296</v>
      </c>
      <c r="L119" s="234" t="s">
        <v>296</v>
      </c>
      <c r="M119" s="234" t="s">
        <v>296</v>
      </c>
      <c r="N119" s="235" t="s">
        <v>296</v>
      </c>
      <c r="O119" s="236" t="s">
        <v>2</v>
      </c>
      <c r="P119" s="236" t="s">
        <v>2</v>
      </c>
      <c r="Q119" s="236" t="s">
        <v>15</v>
      </c>
      <c r="R119" s="236" t="s">
        <v>15</v>
      </c>
      <c r="S119" s="236" t="s">
        <v>16</v>
      </c>
      <c r="T119" s="236" t="s">
        <v>297</v>
      </c>
      <c r="U119" s="236" t="s">
        <v>262</v>
      </c>
      <c r="V119" s="236" t="s">
        <v>296</v>
      </c>
      <c r="W119" s="237" t="s">
        <v>296</v>
      </c>
      <c r="X119" s="237" t="s">
        <v>296</v>
      </c>
      <c r="Y119" s="238" t="s">
        <v>296</v>
      </c>
    </row>
    <row r="120" spans="1:25">
      <c r="A120" s="230">
        <v>3</v>
      </c>
      <c r="B120" s="231" t="str">
        <f>VLOOKUP(Tabel10[[#This Row],[Locatiecode]],Ruimtegroepen[[Code]:[Ruimte omschrijving]],2,FALSE)</f>
        <v>Reproruimte</v>
      </c>
      <c r="C120" s="232" t="s">
        <v>393</v>
      </c>
      <c r="D120" s="231" t="s">
        <v>1</v>
      </c>
      <c r="E120" s="233" t="s">
        <v>102</v>
      </c>
      <c r="F120" s="232" t="s">
        <v>396</v>
      </c>
      <c r="G120" s="281" t="s">
        <v>296</v>
      </c>
      <c r="H120" s="234" t="s">
        <v>296</v>
      </c>
      <c r="I120" s="234" t="s">
        <v>20</v>
      </c>
      <c r="J120" s="234" t="s">
        <v>15</v>
      </c>
      <c r="K120" s="234" t="s">
        <v>343</v>
      </c>
      <c r="L120" s="234" t="s">
        <v>296</v>
      </c>
      <c r="M120" s="234" t="s">
        <v>296</v>
      </c>
      <c r="N120" s="235" t="s">
        <v>296</v>
      </c>
      <c r="O120" s="236" t="s">
        <v>2</v>
      </c>
      <c r="P120" s="236" t="s">
        <v>2</v>
      </c>
      <c r="Q120" s="236" t="s">
        <v>15</v>
      </c>
      <c r="R120" s="236" t="s">
        <v>15</v>
      </c>
      <c r="S120" s="236" t="s">
        <v>16</v>
      </c>
      <c r="T120" s="236" t="s">
        <v>297</v>
      </c>
      <c r="U120" s="236" t="s">
        <v>262</v>
      </c>
      <c r="V120" s="236" t="s">
        <v>296</v>
      </c>
      <c r="W120" s="237" t="s">
        <v>296</v>
      </c>
      <c r="X120" s="237" t="s">
        <v>296</v>
      </c>
      <c r="Y120" s="238" t="s">
        <v>296</v>
      </c>
    </row>
    <row r="121" spans="1:25">
      <c r="A121" s="230">
        <v>3</v>
      </c>
      <c r="B121" s="231" t="str">
        <f>VLOOKUP(Tabel10[[#This Row],[Locatiecode]],Ruimtegroepen[[Code]:[Ruimte omschrijving]],2,FALSE)</f>
        <v>Reproruimte</v>
      </c>
      <c r="C121" s="232" t="s">
        <v>393</v>
      </c>
      <c r="D121" s="231" t="s">
        <v>1</v>
      </c>
      <c r="E121" s="233" t="s">
        <v>103</v>
      </c>
      <c r="F121" s="232" t="s">
        <v>397</v>
      </c>
      <c r="G121" s="281" t="s">
        <v>296</v>
      </c>
      <c r="H121" s="234" t="s">
        <v>296</v>
      </c>
      <c r="I121" s="234" t="s">
        <v>20</v>
      </c>
      <c r="J121" s="234" t="s">
        <v>15</v>
      </c>
      <c r="K121" s="234" t="s">
        <v>343</v>
      </c>
      <c r="L121" s="234" t="s">
        <v>296</v>
      </c>
      <c r="M121" s="234" t="s">
        <v>296</v>
      </c>
      <c r="N121" s="235" t="s">
        <v>296</v>
      </c>
      <c r="O121" s="236" t="s">
        <v>2</v>
      </c>
      <c r="P121" s="236" t="s">
        <v>2</v>
      </c>
      <c r="Q121" s="236" t="s">
        <v>15</v>
      </c>
      <c r="R121" s="236" t="s">
        <v>15</v>
      </c>
      <c r="S121" s="236" t="s">
        <v>16</v>
      </c>
      <c r="T121" s="236" t="s">
        <v>297</v>
      </c>
      <c r="U121" s="236" t="s">
        <v>262</v>
      </c>
      <c r="V121" s="236" t="s">
        <v>296</v>
      </c>
      <c r="W121" s="237" t="s">
        <v>296</v>
      </c>
      <c r="X121" s="237" t="s">
        <v>296</v>
      </c>
      <c r="Y121" s="238" t="s">
        <v>296</v>
      </c>
    </row>
    <row r="122" spans="1:25">
      <c r="A122" s="230">
        <v>3</v>
      </c>
      <c r="B122" s="231" t="str">
        <f>VLOOKUP(Tabel10[[#This Row],[Locatiecode]],Ruimtegroepen[[Code]:[Ruimte omschrijving]],2,FALSE)</f>
        <v>Reproruimte</v>
      </c>
      <c r="C122" s="232" t="s">
        <v>393</v>
      </c>
      <c r="D122" s="231" t="s">
        <v>1</v>
      </c>
      <c r="E122" s="233" t="s">
        <v>100</v>
      </c>
      <c r="F122" s="232" t="s">
        <v>395</v>
      </c>
      <c r="G122" s="235" t="s">
        <v>20</v>
      </c>
      <c r="H122" s="235" t="s">
        <v>15</v>
      </c>
      <c r="I122" s="234" t="s">
        <v>296</v>
      </c>
      <c r="J122" s="234" t="s">
        <v>296</v>
      </c>
      <c r="K122" s="234" t="s">
        <v>296</v>
      </c>
      <c r="L122" s="234" t="s">
        <v>296</v>
      </c>
      <c r="M122" s="234" t="s">
        <v>296</v>
      </c>
      <c r="N122" s="235" t="s">
        <v>296</v>
      </c>
      <c r="O122" s="236" t="s">
        <v>296</v>
      </c>
      <c r="P122" s="236" t="s">
        <v>296</v>
      </c>
      <c r="Q122" s="236" t="s">
        <v>296</v>
      </c>
      <c r="R122" s="236" t="s">
        <v>296</v>
      </c>
      <c r="S122" s="236" t="s">
        <v>296</v>
      </c>
      <c r="T122" s="236" t="s">
        <v>296</v>
      </c>
      <c r="U122" s="236" t="s">
        <v>296</v>
      </c>
      <c r="V122" s="236" t="s">
        <v>296</v>
      </c>
      <c r="W122" s="237" t="s">
        <v>296</v>
      </c>
      <c r="X122" s="237" t="s">
        <v>296</v>
      </c>
      <c r="Y122" s="238" t="s">
        <v>296</v>
      </c>
    </row>
    <row r="123" spans="1:25">
      <c r="A123" s="230">
        <v>3</v>
      </c>
      <c r="B123" s="231" t="str">
        <f>VLOOKUP(Tabel10[[#This Row],[Locatiecode]],Ruimtegroepen[[Code]:[Ruimte omschrijving]],2,FALSE)</f>
        <v>Reproruimte</v>
      </c>
      <c r="C123" s="232" t="s">
        <v>393</v>
      </c>
      <c r="D123" s="231" t="s">
        <v>1</v>
      </c>
      <c r="E123" s="233" t="s">
        <v>1344</v>
      </c>
      <c r="F123" s="232" t="s">
        <v>1373</v>
      </c>
      <c r="G123" s="281" t="s">
        <v>296</v>
      </c>
      <c r="H123" s="234" t="s">
        <v>296</v>
      </c>
      <c r="I123" s="234" t="s">
        <v>20</v>
      </c>
      <c r="J123" s="234" t="s">
        <v>15</v>
      </c>
      <c r="K123" s="234" t="s">
        <v>343</v>
      </c>
      <c r="L123" s="234" t="s">
        <v>296</v>
      </c>
      <c r="M123" s="234" t="s">
        <v>296</v>
      </c>
      <c r="N123" s="235" t="s">
        <v>296</v>
      </c>
      <c r="O123" s="236" t="s">
        <v>2</v>
      </c>
      <c r="P123" s="236" t="s">
        <v>2</v>
      </c>
      <c r="Q123" s="236" t="s">
        <v>15</v>
      </c>
      <c r="R123" s="236" t="s">
        <v>15</v>
      </c>
      <c r="S123" s="236" t="s">
        <v>16</v>
      </c>
      <c r="T123" s="236" t="s">
        <v>297</v>
      </c>
      <c r="U123" s="236" t="s">
        <v>262</v>
      </c>
      <c r="V123" s="236" t="s">
        <v>296</v>
      </c>
      <c r="W123" s="237" t="s">
        <v>296</v>
      </c>
      <c r="X123" s="237" t="s">
        <v>296</v>
      </c>
      <c r="Y123" s="238" t="s">
        <v>296</v>
      </c>
    </row>
    <row r="124" spans="1:25">
      <c r="A124" s="230">
        <v>3</v>
      </c>
      <c r="B124" s="231" t="str">
        <f>VLOOKUP(Tabel10[[#This Row],[Locatiecode]],Ruimtegroepen[[Code]:[Ruimte omschrijving]],2,FALSE)</f>
        <v>Reproruimte</v>
      </c>
      <c r="C124" s="232" t="s">
        <v>398</v>
      </c>
      <c r="D124" s="231" t="s">
        <v>21</v>
      </c>
      <c r="E124" s="233" t="s">
        <v>101</v>
      </c>
      <c r="F124" s="232" t="s">
        <v>399</v>
      </c>
      <c r="G124" s="281" t="s">
        <v>296</v>
      </c>
      <c r="H124" s="234" t="s">
        <v>296</v>
      </c>
      <c r="I124" s="234" t="s">
        <v>18</v>
      </c>
      <c r="J124" s="234" t="s">
        <v>15</v>
      </c>
      <c r="K124" s="234" t="s">
        <v>296</v>
      </c>
      <c r="L124" s="234" t="s">
        <v>296</v>
      </c>
      <c r="M124" s="234" t="s">
        <v>296</v>
      </c>
      <c r="N124" s="235" t="s">
        <v>296</v>
      </c>
      <c r="O124" s="236" t="s">
        <v>20</v>
      </c>
      <c r="P124" s="236" t="s">
        <v>20</v>
      </c>
      <c r="Q124" s="236" t="s">
        <v>15</v>
      </c>
      <c r="R124" s="236" t="s">
        <v>15</v>
      </c>
      <c r="S124" s="236" t="s">
        <v>16</v>
      </c>
      <c r="T124" s="236" t="s">
        <v>297</v>
      </c>
      <c r="U124" s="236" t="s">
        <v>262</v>
      </c>
      <c r="V124" s="236" t="s">
        <v>296</v>
      </c>
      <c r="W124" s="237" t="s">
        <v>296</v>
      </c>
      <c r="X124" s="237" t="s">
        <v>296</v>
      </c>
      <c r="Y124" s="238" t="s">
        <v>296</v>
      </c>
    </row>
    <row r="125" spans="1:25">
      <c r="A125" s="230">
        <v>3</v>
      </c>
      <c r="B125" s="231" t="str">
        <f>VLOOKUP(Tabel10[[#This Row],[Locatiecode]],Ruimtegroepen[[Code]:[Ruimte omschrijving]],2,FALSE)</f>
        <v>Reproruimte</v>
      </c>
      <c r="C125" s="232" t="s">
        <v>398</v>
      </c>
      <c r="D125" s="231" t="s">
        <v>21</v>
      </c>
      <c r="E125" s="233" t="s">
        <v>100</v>
      </c>
      <c r="F125" s="232" t="s">
        <v>400</v>
      </c>
      <c r="G125" s="235" t="s">
        <v>18</v>
      </c>
      <c r="H125" s="235" t="s">
        <v>15</v>
      </c>
      <c r="I125" s="234" t="s">
        <v>296</v>
      </c>
      <c r="J125" s="234" t="s">
        <v>296</v>
      </c>
      <c r="K125" s="234" t="s">
        <v>296</v>
      </c>
      <c r="L125" s="234" t="s">
        <v>296</v>
      </c>
      <c r="M125" s="234" t="s">
        <v>296</v>
      </c>
      <c r="N125" s="235" t="s">
        <v>296</v>
      </c>
      <c r="O125" s="236" t="s">
        <v>20</v>
      </c>
      <c r="P125" s="236" t="s">
        <v>20</v>
      </c>
      <c r="Q125" s="236" t="s">
        <v>15</v>
      </c>
      <c r="R125" s="236" t="s">
        <v>15</v>
      </c>
      <c r="S125" s="236" t="s">
        <v>16</v>
      </c>
      <c r="T125" s="236" t="s">
        <v>297</v>
      </c>
      <c r="U125" s="236" t="s">
        <v>262</v>
      </c>
      <c r="V125" s="236" t="s">
        <v>296</v>
      </c>
      <c r="W125" s="237" t="s">
        <v>296</v>
      </c>
      <c r="X125" s="237" t="s">
        <v>296</v>
      </c>
      <c r="Y125" s="238" t="s">
        <v>296</v>
      </c>
    </row>
    <row r="126" spans="1:25">
      <c r="A126" s="230">
        <v>3</v>
      </c>
      <c r="B126" s="231" t="str">
        <f>VLOOKUP(Tabel10[[#This Row],[Locatiecode]],Ruimtegroepen[[Code]:[Ruimte omschrijving]],2,FALSE)</f>
        <v>Reproruimte</v>
      </c>
      <c r="C126" s="232" t="s">
        <v>398</v>
      </c>
      <c r="D126" s="231" t="s">
        <v>21</v>
      </c>
      <c r="E126" s="233" t="s">
        <v>102</v>
      </c>
      <c r="F126" s="232" t="s">
        <v>401</v>
      </c>
      <c r="G126" s="281" t="s">
        <v>296</v>
      </c>
      <c r="H126" s="234" t="s">
        <v>296</v>
      </c>
      <c r="I126" s="234" t="s">
        <v>18</v>
      </c>
      <c r="J126" s="234" t="s">
        <v>15</v>
      </c>
      <c r="K126" s="234" t="s">
        <v>343</v>
      </c>
      <c r="L126" s="234" t="s">
        <v>296</v>
      </c>
      <c r="M126" s="234" t="s">
        <v>296</v>
      </c>
      <c r="N126" s="235" t="s">
        <v>296</v>
      </c>
      <c r="O126" s="236" t="s">
        <v>20</v>
      </c>
      <c r="P126" s="236" t="s">
        <v>20</v>
      </c>
      <c r="Q126" s="236" t="s">
        <v>15</v>
      </c>
      <c r="R126" s="236" t="s">
        <v>15</v>
      </c>
      <c r="S126" s="236" t="s">
        <v>16</v>
      </c>
      <c r="T126" s="236" t="s">
        <v>297</v>
      </c>
      <c r="U126" s="236" t="s">
        <v>262</v>
      </c>
      <c r="V126" s="236" t="s">
        <v>296</v>
      </c>
      <c r="W126" s="237" t="s">
        <v>296</v>
      </c>
      <c r="X126" s="237" t="s">
        <v>296</v>
      </c>
      <c r="Y126" s="238" t="s">
        <v>296</v>
      </c>
    </row>
    <row r="127" spans="1:25">
      <c r="A127" s="230">
        <v>3</v>
      </c>
      <c r="B127" s="231" t="str">
        <f>VLOOKUP(Tabel10[[#This Row],[Locatiecode]],Ruimtegroepen[[Code]:[Ruimte omschrijving]],2,FALSE)</f>
        <v>Reproruimte</v>
      </c>
      <c r="C127" s="232" t="s">
        <v>398</v>
      </c>
      <c r="D127" s="231" t="s">
        <v>21</v>
      </c>
      <c r="E127" s="233" t="s">
        <v>103</v>
      </c>
      <c r="F127" s="232" t="s">
        <v>402</v>
      </c>
      <c r="G127" s="281" t="s">
        <v>296</v>
      </c>
      <c r="H127" s="234" t="s">
        <v>296</v>
      </c>
      <c r="I127" s="234" t="s">
        <v>18</v>
      </c>
      <c r="J127" s="234" t="s">
        <v>15</v>
      </c>
      <c r="K127" s="234" t="s">
        <v>343</v>
      </c>
      <c r="L127" s="234" t="s">
        <v>296</v>
      </c>
      <c r="M127" s="234" t="s">
        <v>296</v>
      </c>
      <c r="N127" s="235" t="s">
        <v>296</v>
      </c>
      <c r="O127" s="236" t="s">
        <v>20</v>
      </c>
      <c r="P127" s="236" t="s">
        <v>20</v>
      </c>
      <c r="Q127" s="236" t="s">
        <v>15</v>
      </c>
      <c r="R127" s="236" t="s">
        <v>15</v>
      </c>
      <c r="S127" s="236" t="s">
        <v>16</v>
      </c>
      <c r="T127" s="236" t="s">
        <v>297</v>
      </c>
      <c r="U127" s="236" t="s">
        <v>262</v>
      </c>
      <c r="V127" s="236" t="s">
        <v>296</v>
      </c>
      <c r="W127" s="237" t="s">
        <v>296</v>
      </c>
      <c r="X127" s="237" t="s">
        <v>296</v>
      </c>
      <c r="Y127" s="238" t="s">
        <v>296</v>
      </c>
    </row>
    <row r="128" spans="1:25">
      <c r="A128" s="230">
        <v>3</v>
      </c>
      <c r="B128" s="231" t="str">
        <f>VLOOKUP(Tabel10[[#This Row],[Locatiecode]],Ruimtegroepen[[Code]:[Ruimte omschrijving]],2,FALSE)</f>
        <v>Reproruimte</v>
      </c>
      <c r="C128" s="232" t="s">
        <v>398</v>
      </c>
      <c r="D128" s="231" t="s">
        <v>21</v>
      </c>
      <c r="E128" s="233" t="s">
        <v>100</v>
      </c>
      <c r="F128" s="232" t="s">
        <v>400</v>
      </c>
      <c r="G128" s="235" t="s">
        <v>18</v>
      </c>
      <c r="H128" s="235" t="s">
        <v>15</v>
      </c>
      <c r="I128" s="234" t="s">
        <v>296</v>
      </c>
      <c r="J128" s="234" t="s">
        <v>296</v>
      </c>
      <c r="K128" s="234" t="s">
        <v>296</v>
      </c>
      <c r="L128" s="234" t="s">
        <v>296</v>
      </c>
      <c r="M128" s="234" t="s">
        <v>296</v>
      </c>
      <c r="N128" s="235" t="s">
        <v>296</v>
      </c>
      <c r="O128" s="236" t="s">
        <v>296</v>
      </c>
      <c r="P128" s="236" t="s">
        <v>296</v>
      </c>
      <c r="Q128" s="236" t="s">
        <v>296</v>
      </c>
      <c r="R128" s="236" t="s">
        <v>296</v>
      </c>
      <c r="S128" s="236" t="s">
        <v>296</v>
      </c>
      <c r="T128" s="236" t="s">
        <v>296</v>
      </c>
      <c r="U128" s="236" t="s">
        <v>296</v>
      </c>
      <c r="V128" s="236" t="s">
        <v>296</v>
      </c>
      <c r="W128" s="237" t="s">
        <v>296</v>
      </c>
      <c r="X128" s="237" t="s">
        <v>296</v>
      </c>
      <c r="Y128" s="238" t="s">
        <v>296</v>
      </c>
    </row>
    <row r="129" spans="1:25">
      <c r="A129" s="230">
        <v>3</v>
      </c>
      <c r="B129" s="231" t="str">
        <f>VLOOKUP(Tabel10[[#This Row],[Locatiecode]],Ruimtegroepen[[Code]:[Ruimte omschrijving]],2,FALSE)</f>
        <v>Reproruimte</v>
      </c>
      <c r="C129" s="232" t="s">
        <v>398</v>
      </c>
      <c r="D129" s="231" t="s">
        <v>21</v>
      </c>
      <c r="E129" s="233" t="s">
        <v>1344</v>
      </c>
      <c r="F129" s="232" t="s">
        <v>1374</v>
      </c>
      <c r="G129" s="281" t="s">
        <v>296</v>
      </c>
      <c r="H129" s="234" t="s">
        <v>296</v>
      </c>
      <c r="I129" s="234" t="s">
        <v>18</v>
      </c>
      <c r="J129" s="234" t="s">
        <v>15</v>
      </c>
      <c r="K129" s="234" t="s">
        <v>343</v>
      </c>
      <c r="L129" s="234" t="s">
        <v>296</v>
      </c>
      <c r="M129" s="234" t="s">
        <v>296</v>
      </c>
      <c r="N129" s="235" t="s">
        <v>296</v>
      </c>
      <c r="O129" s="236" t="s">
        <v>20</v>
      </c>
      <c r="P129" s="236" t="s">
        <v>20</v>
      </c>
      <c r="Q129" s="236" t="s">
        <v>15</v>
      </c>
      <c r="R129" s="236" t="s">
        <v>15</v>
      </c>
      <c r="S129" s="236" t="s">
        <v>16</v>
      </c>
      <c r="T129" s="236" t="s">
        <v>297</v>
      </c>
      <c r="U129" s="236" t="s">
        <v>262</v>
      </c>
      <c r="V129" s="236" t="s">
        <v>296</v>
      </c>
      <c r="W129" s="237" t="s">
        <v>296</v>
      </c>
      <c r="X129" s="237" t="s">
        <v>296</v>
      </c>
      <c r="Y129" s="238" t="s">
        <v>296</v>
      </c>
    </row>
    <row r="130" spans="1:25">
      <c r="A130" s="230">
        <v>3</v>
      </c>
      <c r="B130" s="231" t="str">
        <f>VLOOKUP(Tabel10[[#This Row],[Locatiecode]],Ruimtegroepen[[Code]:[Ruimte omschrijving]],2,FALSE)</f>
        <v>Reproruimte</v>
      </c>
      <c r="C130" s="232" t="s">
        <v>403</v>
      </c>
      <c r="D130" s="231" t="s">
        <v>12</v>
      </c>
      <c r="E130" s="233" t="s">
        <v>101</v>
      </c>
      <c r="F130" s="232" t="s">
        <v>404</v>
      </c>
      <c r="G130" s="281" t="s">
        <v>296</v>
      </c>
      <c r="H130" s="234" t="s">
        <v>296</v>
      </c>
      <c r="I130" s="234" t="s">
        <v>17</v>
      </c>
      <c r="J130" s="234" t="s">
        <v>15</v>
      </c>
      <c r="K130" s="234" t="s">
        <v>296</v>
      </c>
      <c r="L130" s="234" t="s">
        <v>296</v>
      </c>
      <c r="M130" s="234" t="s">
        <v>296</v>
      </c>
      <c r="N130" s="235" t="s">
        <v>296</v>
      </c>
      <c r="O130" s="236" t="s">
        <v>18</v>
      </c>
      <c r="P130" s="236" t="s">
        <v>18</v>
      </c>
      <c r="Q130" s="236" t="s">
        <v>15</v>
      </c>
      <c r="R130" s="236" t="s">
        <v>15</v>
      </c>
      <c r="S130" s="236" t="s">
        <v>16</v>
      </c>
      <c r="T130" s="236" t="s">
        <v>297</v>
      </c>
      <c r="U130" s="236" t="s">
        <v>262</v>
      </c>
      <c r="V130" s="236" t="s">
        <v>296</v>
      </c>
      <c r="W130" s="237" t="s">
        <v>296</v>
      </c>
      <c r="X130" s="237" t="s">
        <v>296</v>
      </c>
      <c r="Y130" s="238" t="s">
        <v>296</v>
      </c>
    </row>
    <row r="131" spans="1:25">
      <c r="A131" s="230">
        <v>3</v>
      </c>
      <c r="B131" s="231" t="str">
        <f>VLOOKUP(Tabel10[[#This Row],[Locatiecode]],Ruimtegroepen[[Code]:[Ruimte omschrijving]],2,FALSE)</f>
        <v>Reproruimte</v>
      </c>
      <c r="C131" s="232" t="s">
        <v>403</v>
      </c>
      <c r="D131" s="231" t="s">
        <v>12</v>
      </c>
      <c r="E131" s="233" t="s">
        <v>100</v>
      </c>
      <c r="F131" s="232" t="s">
        <v>405</v>
      </c>
      <c r="G131" s="235" t="s">
        <v>17</v>
      </c>
      <c r="H131" s="235" t="s">
        <v>15</v>
      </c>
      <c r="I131" s="234" t="s">
        <v>296</v>
      </c>
      <c r="J131" s="234" t="s">
        <v>296</v>
      </c>
      <c r="K131" s="234" t="s">
        <v>296</v>
      </c>
      <c r="L131" s="234" t="s">
        <v>296</v>
      </c>
      <c r="M131" s="234" t="s">
        <v>296</v>
      </c>
      <c r="N131" s="235" t="s">
        <v>296</v>
      </c>
      <c r="O131" s="236" t="s">
        <v>18</v>
      </c>
      <c r="P131" s="236" t="s">
        <v>18</v>
      </c>
      <c r="Q131" s="236" t="s">
        <v>15</v>
      </c>
      <c r="R131" s="236" t="s">
        <v>15</v>
      </c>
      <c r="S131" s="236" t="s">
        <v>16</v>
      </c>
      <c r="T131" s="236" t="s">
        <v>297</v>
      </c>
      <c r="U131" s="236" t="s">
        <v>262</v>
      </c>
      <c r="V131" s="236" t="s">
        <v>296</v>
      </c>
      <c r="W131" s="237" t="s">
        <v>296</v>
      </c>
      <c r="X131" s="237" t="s">
        <v>296</v>
      </c>
      <c r="Y131" s="238" t="s">
        <v>296</v>
      </c>
    </row>
    <row r="132" spans="1:25">
      <c r="A132" s="230">
        <v>3</v>
      </c>
      <c r="B132" s="231" t="str">
        <f>VLOOKUP(Tabel10[[#This Row],[Locatiecode]],Ruimtegroepen[[Code]:[Ruimte omschrijving]],2,FALSE)</f>
        <v>Reproruimte</v>
      </c>
      <c r="C132" s="232" t="s">
        <v>403</v>
      </c>
      <c r="D132" s="231" t="s">
        <v>12</v>
      </c>
      <c r="E132" s="233" t="s">
        <v>102</v>
      </c>
      <c r="F132" s="232" t="s">
        <v>406</v>
      </c>
      <c r="G132" s="281" t="s">
        <v>296</v>
      </c>
      <c r="H132" s="234" t="s">
        <v>296</v>
      </c>
      <c r="I132" s="234" t="s">
        <v>17</v>
      </c>
      <c r="J132" s="234" t="s">
        <v>15</v>
      </c>
      <c r="K132" s="234" t="s">
        <v>343</v>
      </c>
      <c r="L132" s="234" t="s">
        <v>296</v>
      </c>
      <c r="M132" s="234" t="s">
        <v>296</v>
      </c>
      <c r="N132" s="235" t="s">
        <v>296</v>
      </c>
      <c r="O132" s="236" t="s">
        <v>18</v>
      </c>
      <c r="P132" s="236" t="s">
        <v>18</v>
      </c>
      <c r="Q132" s="236" t="s">
        <v>15</v>
      </c>
      <c r="R132" s="236" t="s">
        <v>15</v>
      </c>
      <c r="S132" s="236" t="s">
        <v>16</v>
      </c>
      <c r="T132" s="236" t="s">
        <v>297</v>
      </c>
      <c r="U132" s="236" t="s">
        <v>262</v>
      </c>
      <c r="V132" s="236" t="s">
        <v>296</v>
      </c>
      <c r="W132" s="237" t="s">
        <v>296</v>
      </c>
      <c r="X132" s="237" t="s">
        <v>296</v>
      </c>
      <c r="Y132" s="238" t="s">
        <v>296</v>
      </c>
    </row>
    <row r="133" spans="1:25">
      <c r="A133" s="230">
        <v>3</v>
      </c>
      <c r="B133" s="231" t="str">
        <f>VLOOKUP(Tabel10[[#This Row],[Locatiecode]],Ruimtegroepen[[Code]:[Ruimte omschrijving]],2,FALSE)</f>
        <v>Reproruimte</v>
      </c>
      <c r="C133" s="232" t="s">
        <v>403</v>
      </c>
      <c r="D133" s="231" t="s">
        <v>12</v>
      </c>
      <c r="E133" s="233" t="s">
        <v>103</v>
      </c>
      <c r="F133" s="232" t="s">
        <v>407</v>
      </c>
      <c r="G133" s="281" t="s">
        <v>296</v>
      </c>
      <c r="H133" s="234" t="s">
        <v>296</v>
      </c>
      <c r="I133" s="234" t="s">
        <v>17</v>
      </c>
      <c r="J133" s="234" t="s">
        <v>15</v>
      </c>
      <c r="K133" s="234" t="s">
        <v>343</v>
      </c>
      <c r="L133" s="234" t="s">
        <v>296</v>
      </c>
      <c r="M133" s="234" t="s">
        <v>296</v>
      </c>
      <c r="N133" s="235" t="s">
        <v>296</v>
      </c>
      <c r="O133" s="236" t="s">
        <v>18</v>
      </c>
      <c r="P133" s="236" t="s">
        <v>18</v>
      </c>
      <c r="Q133" s="236" t="s">
        <v>15</v>
      </c>
      <c r="R133" s="236" t="s">
        <v>15</v>
      </c>
      <c r="S133" s="236" t="s">
        <v>16</v>
      </c>
      <c r="T133" s="236" t="s">
        <v>297</v>
      </c>
      <c r="U133" s="236" t="s">
        <v>262</v>
      </c>
      <c r="V133" s="236" t="s">
        <v>296</v>
      </c>
      <c r="W133" s="237" t="s">
        <v>296</v>
      </c>
      <c r="X133" s="237" t="s">
        <v>296</v>
      </c>
      <c r="Y133" s="238" t="s">
        <v>296</v>
      </c>
    </row>
    <row r="134" spans="1:25">
      <c r="A134" s="230">
        <v>3</v>
      </c>
      <c r="B134" s="231" t="str">
        <f>VLOOKUP(Tabel10[[#This Row],[Locatiecode]],Ruimtegroepen[[Code]:[Ruimte omschrijving]],2,FALSE)</f>
        <v>Reproruimte</v>
      </c>
      <c r="C134" s="232" t="s">
        <v>403</v>
      </c>
      <c r="D134" s="231" t="s">
        <v>12</v>
      </c>
      <c r="E134" s="233" t="s">
        <v>100</v>
      </c>
      <c r="F134" s="232" t="s">
        <v>405</v>
      </c>
      <c r="G134" s="235" t="s">
        <v>17</v>
      </c>
      <c r="H134" s="235" t="s">
        <v>15</v>
      </c>
      <c r="I134" s="234" t="s">
        <v>296</v>
      </c>
      <c r="J134" s="234" t="s">
        <v>296</v>
      </c>
      <c r="K134" s="234" t="s">
        <v>296</v>
      </c>
      <c r="L134" s="234" t="s">
        <v>296</v>
      </c>
      <c r="M134" s="234" t="s">
        <v>296</v>
      </c>
      <c r="N134" s="235" t="s">
        <v>296</v>
      </c>
      <c r="O134" s="236" t="s">
        <v>296</v>
      </c>
      <c r="P134" s="236" t="s">
        <v>296</v>
      </c>
      <c r="Q134" s="236" t="s">
        <v>296</v>
      </c>
      <c r="R134" s="236" t="s">
        <v>296</v>
      </c>
      <c r="S134" s="236" t="s">
        <v>296</v>
      </c>
      <c r="T134" s="236" t="s">
        <v>296</v>
      </c>
      <c r="U134" s="236" t="s">
        <v>296</v>
      </c>
      <c r="V134" s="236" t="s">
        <v>296</v>
      </c>
      <c r="W134" s="237" t="s">
        <v>296</v>
      </c>
      <c r="X134" s="237" t="s">
        <v>296</v>
      </c>
      <c r="Y134" s="238" t="s">
        <v>296</v>
      </c>
    </row>
    <row r="135" spans="1:25">
      <c r="A135" s="230">
        <v>3</v>
      </c>
      <c r="B135" s="231" t="str">
        <f>VLOOKUP(Tabel10[[#This Row],[Locatiecode]],Ruimtegroepen[[Code]:[Ruimte omschrijving]],2,FALSE)</f>
        <v>Reproruimte</v>
      </c>
      <c r="C135" s="232" t="s">
        <v>403</v>
      </c>
      <c r="D135" s="231" t="s">
        <v>12</v>
      </c>
      <c r="E135" s="233" t="s">
        <v>1344</v>
      </c>
      <c r="F135" s="232" t="s">
        <v>1375</v>
      </c>
      <c r="G135" s="281" t="s">
        <v>296</v>
      </c>
      <c r="H135" s="234" t="s">
        <v>296</v>
      </c>
      <c r="I135" s="234" t="s">
        <v>17</v>
      </c>
      <c r="J135" s="234" t="s">
        <v>15</v>
      </c>
      <c r="K135" s="234" t="s">
        <v>343</v>
      </c>
      <c r="L135" s="234" t="s">
        <v>296</v>
      </c>
      <c r="M135" s="234" t="s">
        <v>296</v>
      </c>
      <c r="N135" s="235" t="s">
        <v>296</v>
      </c>
      <c r="O135" s="236" t="s">
        <v>18</v>
      </c>
      <c r="P135" s="236" t="s">
        <v>18</v>
      </c>
      <c r="Q135" s="236" t="s">
        <v>15</v>
      </c>
      <c r="R135" s="236" t="s">
        <v>15</v>
      </c>
      <c r="S135" s="236" t="s">
        <v>16</v>
      </c>
      <c r="T135" s="236" t="s">
        <v>297</v>
      </c>
      <c r="U135" s="236" t="s">
        <v>262</v>
      </c>
      <c r="V135" s="236" t="s">
        <v>296</v>
      </c>
      <c r="W135" s="237" t="s">
        <v>296</v>
      </c>
      <c r="X135" s="237" t="s">
        <v>296</v>
      </c>
      <c r="Y135" s="238" t="s">
        <v>296</v>
      </c>
    </row>
    <row r="136" spans="1:25">
      <c r="A136" s="230">
        <v>3</v>
      </c>
      <c r="B136" s="231" t="str">
        <f>VLOOKUP(Tabel10[[#This Row],[Locatiecode]],Ruimtegroepen[[Code]:[Ruimte omschrijving]],2,FALSE)</f>
        <v>Reproruimte</v>
      </c>
      <c r="C136" s="232" t="s">
        <v>408</v>
      </c>
      <c r="D136" s="231" t="s">
        <v>14</v>
      </c>
      <c r="E136" s="233" t="s">
        <v>101</v>
      </c>
      <c r="F136" s="232" t="s">
        <v>409</v>
      </c>
      <c r="G136" s="281" t="s">
        <v>296</v>
      </c>
      <c r="H136" s="234" t="s">
        <v>296</v>
      </c>
      <c r="I136" s="234" t="s">
        <v>15</v>
      </c>
      <c r="J136" s="234" t="s">
        <v>15</v>
      </c>
      <c r="K136" s="234" t="s">
        <v>296</v>
      </c>
      <c r="L136" s="234" t="s">
        <v>296</v>
      </c>
      <c r="M136" s="234" t="s">
        <v>296</v>
      </c>
      <c r="N136" s="235" t="s">
        <v>296</v>
      </c>
      <c r="O136" s="236" t="s">
        <v>17</v>
      </c>
      <c r="P136" s="236" t="s">
        <v>17</v>
      </c>
      <c r="Q136" s="236" t="s">
        <v>15</v>
      </c>
      <c r="R136" s="236" t="s">
        <v>15</v>
      </c>
      <c r="S136" s="236" t="s">
        <v>16</v>
      </c>
      <c r="T136" s="236" t="s">
        <v>297</v>
      </c>
      <c r="U136" s="236" t="s">
        <v>262</v>
      </c>
      <c r="V136" s="236" t="s">
        <v>296</v>
      </c>
      <c r="W136" s="237" t="s">
        <v>296</v>
      </c>
      <c r="X136" s="237" t="s">
        <v>296</v>
      </c>
      <c r="Y136" s="238" t="s">
        <v>296</v>
      </c>
    </row>
    <row r="137" spans="1:25">
      <c r="A137" s="230">
        <v>3</v>
      </c>
      <c r="B137" s="231" t="str">
        <f>VLOOKUP(Tabel10[[#This Row],[Locatiecode]],Ruimtegroepen[[Code]:[Ruimte omschrijving]],2,FALSE)</f>
        <v>Reproruimte</v>
      </c>
      <c r="C137" s="232" t="s">
        <v>408</v>
      </c>
      <c r="D137" s="231" t="s">
        <v>14</v>
      </c>
      <c r="E137" s="233" t="s">
        <v>100</v>
      </c>
      <c r="F137" s="232" t="s">
        <v>410</v>
      </c>
      <c r="G137" s="235" t="s">
        <v>15</v>
      </c>
      <c r="H137" s="235" t="s">
        <v>15</v>
      </c>
      <c r="I137" s="234" t="s">
        <v>296</v>
      </c>
      <c r="J137" s="234" t="s">
        <v>296</v>
      </c>
      <c r="K137" s="234" t="s">
        <v>296</v>
      </c>
      <c r="L137" s="234" t="s">
        <v>296</v>
      </c>
      <c r="M137" s="234" t="s">
        <v>296</v>
      </c>
      <c r="N137" s="235" t="s">
        <v>296</v>
      </c>
      <c r="O137" s="236" t="s">
        <v>17</v>
      </c>
      <c r="P137" s="236" t="s">
        <v>17</v>
      </c>
      <c r="Q137" s="236" t="s">
        <v>15</v>
      </c>
      <c r="R137" s="236" t="s">
        <v>15</v>
      </c>
      <c r="S137" s="236" t="s">
        <v>16</v>
      </c>
      <c r="T137" s="236" t="s">
        <v>297</v>
      </c>
      <c r="U137" s="236" t="s">
        <v>262</v>
      </c>
      <c r="V137" s="236" t="s">
        <v>296</v>
      </c>
      <c r="W137" s="237" t="s">
        <v>296</v>
      </c>
      <c r="X137" s="237" t="s">
        <v>296</v>
      </c>
      <c r="Y137" s="238" t="s">
        <v>296</v>
      </c>
    </row>
    <row r="138" spans="1:25">
      <c r="A138" s="230">
        <v>3</v>
      </c>
      <c r="B138" s="231" t="str">
        <f>VLOOKUP(Tabel10[[#This Row],[Locatiecode]],Ruimtegroepen[[Code]:[Ruimte omschrijving]],2,FALSE)</f>
        <v>Reproruimte</v>
      </c>
      <c r="C138" s="232" t="s">
        <v>408</v>
      </c>
      <c r="D138" s="231" t="s">
        <v>14</v>
      </c>
      <c r="E138" s="233" t="s">
        <v>102</v>
      </c>
      <c r="F138" s="232" t="s">
        <v>411</v>
      </c>
      <c r="G138" s="281" t="s">
        <v>296</v>
      </c>
      <c r="H138" s="234" t="s">
        <v>296</v>
      </c>
      <c r="I138" s="234" t="s">
        <v>15</v>
      </c>
      <c r="J138" s="234" t="s">
        <v>15</v>
      </c>
      <c r="K138" s="234" t="s">
        <v>343</v>
      </c>
      <c r="L138" s="234" t="s">
        <v>296</v>
      </c>
      <c r="M138" s="234" t="s">
        <v>296</v>
      </c>
      <c r="N138" s="235" t="s">
        <v>296</v>
      </c>
      <c r="O138" s="236" t="s">
        <v>17</v>
      </c>
      <c r="P138" s="236" t="s">
        <v>17</v>
      </c>
      <c r="Q138" s="236" t="s">
        <v>15</v>
      </c>
      <c r="R138" s="236" t="s">
        <v>15</v>
      </c>
      <c r="S138" s="236" t="s">
        <v>16</v>
      </c>
      <c r="T138" s="236" t="s">
        <v>297</v>
      </c>
      <c r="U138" s="236" t="s">
        <v>262</v>
      </c>
      <c r="V138" s="236" t="s">
        <v>296</v>
      </c>
      <c r="W138" s="237" t="s">
        <v>296</v>
      </c>
      <c r="X138" s="237" t="s">
        <v>296</v>
      </c>
      <c r="Y138" s="238" t="s">
        <v>296</v>
      </c>
    </row>
    <row r="139" spans="1:25">
      <c r="A139" s="230">
        <v>3</v>
      </c>
      <c r="B139" s="231" t="str">
        <f>VLOOKUP(Tabel10[[#This Row],[Locatiecode]],Ruimtegroepen[[Code]:[Ruimte omschrijving]],2,FALSE)</f>
        <v>Reproruimte</v>
      </c>
      <c r="C139" s="232" t="s">
        <v>408</v>
      </c>
      <c r="D139" s="231" t="s">
        <v>14</v>
      </c>
      <c r="E139" s="233" t="s">
        <v>103</v>
      </c>
      <c r="F139" s="232" t="s">
        <v>412</v>
      </c>
      <c r="G139" s="281" t="s">
        <v>296</v>
      </c>
      <c r="H139" s="234" t="s">
        <v>296</v>
      </c>
      <c r="I139" s="234" t="s">
        <v>15</v>
      </c>
      <c r="J139" s="234" t="s">
        <v>15</v>
      </c>
      <c r="K139" s="234" t="s">
        <v>343</v>
      </c>
      <c r="L139" s="234" t="s">
        <v>296</v>
      </c>
      <c r="M139" s="234" t="s">
        <v>296</v>
      </c>
      <c r="N139" s="235" t="s">
        <v>296</v>
      </c>
      <c r="O139" s="236" t="s">
        <v>17</v>
      </c>
      <c r="P139" s="236" t="s">
        <v>17</v>
      </c>
      <c r="Q139" s="236" t="s">
        <v>15</v>
      </c>
      <c r="R139" s="236" t="s">
        <v>15</v>
      </c>
      <c r="S139" s="236" t="s">
        <v>16</v>
      </c>
      <c r="T139" s="236" t="s">
        <v>297</v>
      </c>
      <c r="U139" s="236" t="s">
        <v>262</v>
      </c>
      <c r="V139" s="236" t="s">
        <v>296</v>
      </c>
      <c r="W139" s="237" t="s">
        <v>296</v>
      </c>
      <c r="X139" s="237" t="s">
        <v>296</v>
      </c>
      <c r="Y139" s="238" t="s">
        <v>296</v>
      </c>
    </row>
    <row r="140" spans="1:25">
      <c r="A140" s="230">
        <v>3</v>
      </c>
      <c r="B140" s="231" t="str">
        <f>VLOOKUP(Tabel10[[#This Row],[Locatiecode]],Ruimtegroepen[[Code]:[Ruimte omschrijving]],2,FALSE)</f>
        <v>Reproruimte</v>
      </c>
      <c r="C140" s="232" t="s">
        <v>408</v>
      </c>
      <c r="D140" s="231" t="s">
        <v>14</v>
      </c>
      <c r="E140" s="233" t="s">
        <v>100</v>
      </c>
      <c r="F140" s="232" t="s">
        <v>410</v>
      </c>
      <c r="G140" s="235" t="s">
        <v>15</v>
      </c>
      <c r="H140" s="235" t="s">
        <v>15</v>
      </c>
      <c r="I140" s="234" t="s">
        <v>296</v>
      </c>
      <c r="J140" s="234" t="s">
        <v>296</v>
      </c>
      <c r="K140" s="234" t="s">
        <v>296</v>
      </c>
      <c r="L140" s="234" t="s">
        <v>296</v>
      </c>
      <c r="M140" s="234" t="s">
        <v>296</v>
      </c>
      <c r="N140" s="235" t="s">
        <v>296</v>
      </c>
      <c r="O140" s="236" t="s">
        <v>296</v>
      </c>
      <c r="P140" s="236" t="s">
        <v>296</v>
      </c>
      <c r="Q140" s="236" t="s">
        <v>296</v>
      </c>
      <c r="R140" s="236" t="s">
        <v>296</v>
      </c>
      <c r="S140" s="236" t="s">
        <v>296</v>
      </c>
      <c r="T140" s="236" t="s">
        <v>296</v>
      </c>
      <c r="U140" s="236" t="s">
        <v>296</v>
      </c>
      <c r="V140" s="236" t="s">
        <v>296</v>
      </c>
      <c r="W140" s="237" t="s">
        <v>296</v>
      </c>
      <c r="X140" s="237" t="s">
        <v>296</v>
      </c>
      <c r="Y140" s="238" t="s">
        <v>296</v>
      </c>
    </row>
    <row r="141" spans="1:25">
      <c r="A141" s="230">
        <v>3</v>
      </c>
      <c r="B141" s="231" t="str">
        <f>VLOOKUP(Tabel10[[#This Row],[Locatiecode]],Ruimtegroepen[[Code]:[Ruimte omschrijving]],2,FALSE)</f>
        <v>Reproruimte</v>
      </c>
      <c r="C141" s="232" t="s">
        <v>408</v>
      </c>
      <c r="D141" s="231" t="s">
        <v>14</v>
      </c>
      <c r="E141" s="233" t="s">
        <v>1344</v>
      </c>
      <c r="F141" s="232" t="s">
        <v>1376</v>
      </c>
      <c r="G141" s="281" t="s">
        <v>296</v>
      </c>
      <c r="H141" s="234" t="s">
        <v>296</v>
      </c>
      <c r="I141" s="234" t="s">
        <v>15</v>
      </c>
      <c r="J141" s="234" t="s">
        <v>15</v>
      </c>
      <c r="K141" s="234" t="s">
        <v>343</v>
      </c>
      <c r="L141" s="234" t="s">
        <v>296</v>
      </c>
      <c r="M141" s="234" t="s">
        <v>296</v>
      </c>
      <c r="N141" s="235" t="s">
        <v>296</v>
      </c>
      <c r="O141" s="236" t="s">
        <v>17</v>
      </c>
      <c r="P141" s="236" t="s">
        <v>17</v>
      </c>
      <c r="Q141" s="236" t="s">
        <v>15</v>
      </c>
      <c r="R141" s="236" t="s">
        <v>15</v>
      </c>
      <c r="S141" s="236" t="s">
        <v>16</v>
      </c>
      <c r="T141" s="236" t="s">
        <v>297</v>
      </c>
      <c r="U141" s="236" t="s">
        <v>262</v>
      </c>
      <c r="V141" s="236" t="s">
        <v>296</v>
      </c>
      <c r="W141" s="237" t="s">
        <v>296</v>
      </c>
      <c r="X141" s="237" t="s">
        <v>296</v>
      </c>
      <c r="Y141" s="238" t="s">
        <v>296</v>
      </c>
    </row>
    <row r="142" spans="1:25">
      <c r="A142" s="230">
        <v>3</v>
      </c>
      <c r="B142" s="231" t="str">
        <f>VLOOKUP(Tabel10[[#This Row],[Locatiecode]],Ruimtegroepen[[Code]:[Ruimte omschrijving]],2,FALSE)</f>
        <v>Reproruimte</v>
      </c>
      <c r="C142" s="232" t="s">
        <v>413</v>
      </c>
      <c r="D142" s="231" t="s">
        <v>13</v>
      </c>
      <c r="E142" s="233" t="s">
        <v>101</v>
      </c>
      <c r="F142" s="232" t="s">
        <v>414</v>
      </c>
      <c r="G142" s="281" t="s">
        <v>296</v>
      </c>
      <c r="H142" s="234" t="s">
        <v>296</v>
      </c>
      <c r="I142" s="234" t="s">
        <v>296</v>
      </c>
      <c r="J142" s="234" t="s">
        <v>15</v>
      </c>
      <c r="K142" s="234" t="s">
        <v>296</v>
      </c>
      <c r="L142" s="234" t="s">
        <v>296</v>
      </c>
      <c r="M142" s="234" t="s">
        <v>296</v>
      </c>
      <c r="N142" s="235" t="s">
        <v>296</v>
      </c>
      <c r="O142" s="236" t="s">
        <v>15</v>
      </c>
      <c r="P142" s="236" t="s">
        <v>15</v>
      </c>
      <c r="Q142" s="236" t="s">
        <v>15</v>
      </c>
      <c r="R142" s="236" t="s">
        <v>15</v>
      </c>
      <c r="S142" s="236" t="s">
        <v>16</v>
      </c>
      <c r="T142" s="236" t="s">
        <v>297</v>
      </c>
      <c r="U142" s="236" t="s">
        <v>262</v>
      </c>
      <c r="V142" s="236" t="s">
        <v>296</v>
      </c>
      <c r="W142" s="237" t="s">
        <v>296</v>
      </c>
      <c r="X142" s="237" t="s">
        <v>296</v>
      </c>
      <c r="Y142" s="238" t="s">
        <v>296</v>
      </c>
    </row>
    <row r="143" spans="1:25">
      <c r="A143" s="230">
        <v>3</v>
      </c>
      <c r="B143" s="231" t="str">
        <f>VLOOKUP(Tabel10[[#This Row],[Locatiecode]],Ruimtegroepen[[Code]:[Ruimte omschrijving]],2,FALSE)</f>
        <v>Reproruimte</v>
      </c>
      <c r="C143" s="232" t="s">
        <v>413</v>
      </c>
      <c r="D143" s="231" t="s">
        <v>13</v>
      </c>
      <c r="E143" s="233" t="s">
        <v>100</v>
      </c>
      <c r="F143" s="232" t="s">
        <v>415</v>
      </c>
      <c r="G143" s="281" t="s">
        <v>296</v>
      </c>
      <c r="H143" s="235" t="s">
        <v>15</v>
      </c>
      <c r="I143" s="234" t="s">
        <v>296</v>
      </c>
      <c r="J143" s="234" t="s">
        <v>296</v>
      </c>
      <c r="K143" s="234" t="s">
        <v>296</v>
      </c>
      <c r="L143" s="234" t="s">
        <v>296</v>
      </c>
      <c r="M143" s="234" t="s">
        <v>296</v>
      </c>
      <c r="N143" s="235" t="s">
        <v>296</v>
      </c>
      <c r="O143" s="236" t="s">
        <v>15</v>
      </c>
      <c r="P143" s="236" t="s">
        <v>15</v>
      </c>
      <c r="Q143" s="236" t="s">
        <v>15</v>
      </c>
      <c r="R143" s="236" t="s">
        <v>15</v>
      </c>
      <c r="S143" s="236" t="s">
        <v>16</v>
      </c>
      <c r="T143" s="236" t="s">
        <v>297</v>
      </c>
      <c r="U143" s="236" t="s">
        <v>262</v>
      </c>
      <c r="V143" s="236" t="s">
        <v>296</v>
      </c>
      <c r="W143" s="237" t="s">
        <v>296</v>
      </c>
      <c r="X143" s="237" t="s">
        <v>296</v>
      </c>
      <c r="Y143" s="238" t="s">
        <v>296</v>
      </c>
    </row>
    <row r="144" spans="1:25">
      <c r="A144" s="230">
        <v>3</v>
      </c>
      <c r="B144" s="231" t="str">
        <f>VLOOKUP(Tabel10[[#This Row],[Locatiecode]],Ruimtegroepen[[Code]:[Ruimte omschrijving]],2,FALSE)</f>
        <v>Reproruimte</v>
      </c>
      <c r="C144" s="232" t="s">
        <v>413</v>
      </c>
      <c r="D144" s="231" t="s">
        <v>13</v>
      </c>
      <c r="E144" s="233" t="s">
        <v>102</v>
      </c>
      <c r="F144" s="232" t="s">
        <v>416</v>
      </c>
      <c r="G144" s="281" t="s">
        <v>296</v>
      </c>
      <c r="H144" s="234" t="s">
        <v>296</v>
      </c>
      <c r="I144" s="234" t="s">
        <v>296</v>
      </c>
      <c r="J144" s="234" t="s">
        <v>15</v>
      </c>
      <c r="K144" s="234" t="s">
        <v>343</v>
      </c>
      <c r="L144" s="234" t="s">
        <v>296</v>
      </c>
      <c r="M144" s="234" t="s">
        <v>296</v>
      </c>
      <c r="N144" s="235" t="s">
        <v>296</v>
      </c>
      <c r="O144" s="236" t="s">
        <v>15</v>
      </c>
      <c r="P144" s="236" t="s">
        <v>15</v>
      </c>
      <c r="Q144" s="236" t="s">
        <v>15</v>
      </c>
      <c r="R144" s="236" t="s">
        <v>15</v>
      </c>
      <c r="S144" s="236" t="s">
        <v>16</v>
      </c>
      <c r="T144" s="236" t="s">
        <v>297</v>
      </c>
      <c r="U144" s="236" t="s">
        <v>262</v>
      </c>
      <c r="V144" s="236" t="s">
        <v>296</v>
      </c>
      <c r="W144" s="237" t="s">
        <v>296</v>
      </c>
      <c r="X144" s="237" t="s">
        <v>296</v>
      </c>
      <c r="Y144" s="238" t="s">
        <v>296</v>
      </c>
    </row>
    <row r="145" spans="1:25">
      <c r="A145" s="230">
        <v>3</v>
      </c>
      <c r="B145" s="231" t="str">
        <f>VLOOKUP(Tabel10[[#This Row],[Locatiecode]],Ruimtegroepen[[Code]:[Ruimte omschrijving]],2,FALSE)</f>
        <v>Reproruimte</v>
      </c>
      <c r="C145" s="232" t="s">
        <v>413</v>
      </c>
      <c r="D145" s="231" t="s">
        <v>13</v>
      </c>
      <c r="E145" s="233" t="s">
        <v>103</v>
      </c>
      <c r="F145" s="232" t="s">
        <v>417</v>
      </c>
      <c r="G145" s="281" t="s">
        <v>296</v>
      </c>
      <c r="H145" s="234" t="s">
        <v>296</v>
      </c>
      <c r="I145" s="234" t="s">
        <v>296</v>
      </c>
      <c r="J145" s="234" t="s">
        <v>15</v>
      </c>
      <c r="K145" s="234" t="s">
        <v>343</v>
      </c>
      <c r="L145" s="234" t="s">
        <v>296</v>
      </c>
      <c r="M145" s="234" t="s">
        <v>296</v>
      </c>
      <c r="N145" s="235" t="s">
        <v>296</v>
      </c>
      <c r="O145" s="236" t="s">
        <v>15</v>
      </c>
      <c r="P145" s="236" t="s">
        <v>15</v>
      </c>
      <c r="Q145" s="236" t="s">
        <v>15</v>
      </c>
      <c r="R145" s="236" t="s">
        <v>15</v>
      </c>
      <c r="S145" s="236" t="s">
        <v>16</v>
      </c>
      <c r="T145" s="236" t="s">
        <v>297</v>
      </c>
      <c r="U145" s="236" t="s">
        <v>262</v>
      </c>
      <c r="V145" s="236" t="s">
        <v>296</v>
      </c>
      <c r="W145" s="237" t="s">
        <v>296</v>
      </c>
      <c r="X145" s="237" t="s">
        <v>296</v>
      </c>
      <c r="Y145" s="238" t="s">
        <v>296</v>
      </c>
    </row>
    <row r="146" spans="1:25">
      <c r="A146" s="230">
        <v>3</v>
      </c>
      <c r="B146" s="231" t="str">
        <f>VLOOKUP(Tabel10[[#This Row],[Locatiecode]],Ruimtegroepen[[Code]:[Ruimte omschrijving]],2,FALSE)</f>
        <v>Reproruimte</v>
      </c>
      <c r="C146" s="232" t="s">
        <v>413</v>
      </c>
      <c r="D146" s="231" t="s">
        <v>13</v>
      </c>
      <c r="E146" s="233" t="s">
        <v>100</v>
      </c>
      <c r="F146" s="232" t="s">
        <v>415</v>
      </c>
      <c r="G146" s="281" t="s">
        <v>296</v>
      </c>
      <c r="H146" s="235" t="s">
        <v>15</v>
      </c>
      <c r="I146" s="234" t="s">
        <v>296</v>
      </c>
      <c r="J146" s="234" t="s">
        <v>296</v>
      </c>
      <c r="K146" s="234" t="s">
        <v>296</v>
      </c>
      <c r="L146" s="234" t="s">
        <v>296</v>
      </c>
      <c r="M146" s="234" t="s">
        <v>296</v>
      </c>
      <c r="N146" s="235" t="s">
        <v>296</v>
      </c>
      <c r="O146" s="236" t="s">
        <v>296</v>
      </c>
      <c r="P146" s="236" t="s">
        <v>296</v>
      </c>
      <c r="Q146" s="236" t="s">
        <v>296</v>
      </c>
      <c r="R146" s="236" t="s">
        <v>296</v>
      </c>
      <c r="S146" s="236" t="s">
        <v>296</v>
      </c>
      <c r="T146" s="236" t="s">
        <v>296</v>
      </c>
      <c r="U146" s="236" t="s">
        <v>296</v>
      </c>
      <c r="V146" s="236" t="s">
        <v>296</v>
      </c>
      <c r="W146" s="237" t="s">
        <v>296</v>
      </c>
      <c r="X146" s="237" t="s">
        <v>296</v>
      </c>
      <c r="Y146" s="238" t="s">
        <v>296</v>
      </c>
    </row>
    <row r="147" spans="1:25">
      <c r="A147" s="230">
        <v>3</v>
      </c>
      <c r="B147" s="231" t="str">
        <f>VLOOKUP(Tabel10[[#This Row],[Locatiecode]],Ruimtegroepen[[Code]:[Ruimte omschrijving]],2,FALSE)</f>
        <v>Reproruimte</v>
      </c>
      <c r="C147" s="232" t="s">
        <v>413</v>
      </c>
      <c r="D147" s="231" t="s">
        <v>13</v>
      </c>
      <c r="E147" s="233" t="s">
        <v>1344</v>
      </c>
      <c r="F147" s="232" t="s">
        <v>1377</v>
      </c>
      <c r="G147" s="281" t="s">
        <v>296</v>
      </c>
      <c r="H147" s="234" t="s">
        <v>296</v>
      </c>
      <c r="I147" s="234" t="s">
        <v>296</v>
      </c>
      <c r="J147" s="234" t="s">
        <v>15</v>
      </c>
      <c r="K147" s="234" t="s">
        <v>343</v>
      </c>
      <c r="L147" s="234" t="s">
        <v>296</v>
      </c>
      <c r="M147" s="234" t="s">
        <v>296</v>
      </c>
      <c r="N147" s="235" t="s">
        <v>296</v>
      </c>
      <c r="O147" s="236" t="s">
        <v>15</v>
      </c>
      <c r="P147" s="236" t="s">
        <v>15</v>
      </c>
      <c r="Q147" s="236" t="s">
        <v>15</v>
      </c>
      <c r="R147" s="236" t="s">
        <v>15</v>
      </c>
      <c r="S147" s="236" t="s">
        <v>16</v>
      </c>
      <c r="T147" s="236" t="s">
        <v>297</v>
      </c>
      <c r="U147" s="236" t="s">
        <v>262</v>
      </c>
      <c r="V147" s="236" t="s">
        <v>296</v>
      </c>
      <c r="W147" s="237" t="s">
        <v>296</v>
      </c>
      <c r="X147" s="237" t="s">
        <v>296</v>
      </c>
      <c r="Y147" s="238" t="s">
        <v>296</v>
      </c>
    </row>
    <row r="148" spans="1:25">
      <c r="A148" s="230">
        <v>3</v>
      </c>
      <c r="B148" s="231" t="str">
        <f>VLOOKUP(Tabel10[[#This Row],[Locatiecode]],Ruimtegroepen[[Code]:[Ruimte omschrijving]],2,FALSE)</f>
        <v>Reproruimte</v>
      </c>
      <c r="C148" s="232" t="s">
        <v>418</v>
      </c>
      <c r="D148" s="231" t="s">
        <v>0</v>
      </c>
      <c r="E148" s="233" t="s">
        <v>101</v>
      </c>
      <c r="F148" s="232" t="s">
        <v>419</v>
      </c>
      <c r="G148" s="281" t="s">
        <v>296</v>
      </c>
      <c r="H148" s="234" t="s">
        <v>296</v>
      </c>
      <c r="I148" s="234" t="s">
        <v>16</v>
      </c>
      <c r="J148" s="234" t="s">
        <v>296</v>
      </c>
      <c r="K148" s="234" t="s">
        <v>296</v>
      </c>
      <c r="L148" s="234" t="s">
        <v>296</v>
      </c>
      <c r="M148" s="234" t="s">
        <v>296</v>
      </c>
      <c r="N148" s="235" t="s">
        <v>296</v>
      </c>
      <c r="O148" s="236" t="s">
        <v>16</v>
      </c>
      <c r="P148" s="236" t="s">
        <v>16</v>
      </c>
      <c r="Q148" s="236" t="s">
        <v>16</v>
      </c>
      <c r="R148" s="236" t="s">
        <v>16</v>
      </c>
      <c r="S148" s="236" t="s">
        <v>16</v>
      </c>
      <c r="T148" s="236" t="s">
        <v>297</v>
      </c>
      <c r="U148" s="236" t="s">
        <v>262</v>
      </c>
      <c r="V148" s="236" t="s">
        <v>296</v>
      </c>
      <c r="W148" s="237" t="s">
        <v>296</v>
      </c>
      <c r="X148" s="237" t="s">
        <v>296</v>
      </c>
      <c r="Y148" s="238" t="s">
        <v>296</v>
      </c>
    </row>
    <row r="149" spans="1:25">
      <c r="A149" s="230">
        <v>3</v>
      </c>
      <c r="B149" s="231" t="str">
        <f>VLOOKUP(Tabel10[[#This Row],[Locatiecode]],Ruimtegroepen[[Code]:[Ruimte omschrijving]],2,FALSE)</f>
        <v>Reproruimte</v>
      </c>
      <c r="C149" s="232" t="s">
        <v>418</v>
      </c>
      <c r="D149" s="231" t="s">
        <v>0</v>
      </c>
      <c r="E149" s="233" t="s">
        <v>100</v>
      </c>
      <c r="F149" s="232" t="s">
        <v>420</v>
      </c>
      <c r="G149" s="281" t="s">
        <v>296</v>
      </c>
      <c r="H149" s="235" t="s">
        <v>16</v>
      </c>
      <c r="I149" s="234" t="s">
        <v>296</v>
      </c>
      <c r="J149" s="234" t="s">
        <v>296</v>
      </c>
      <c r="K149" s="234" t="s">
        <v>296</v>
      </c>
      <c r="L149" s="234" t="s">
        <v>296</v>
      </c>
      <c r="M149" s="234" t="s">
        <v>296</v>
      </c>
      <c r="N149" s="235" t="s">
        <v>296</v>
      </c>
      <c r="O149" s="236" t="s">
        <v>16</v>
      </c>
      <c r="P149" s="236" t="s">
        <v>16</v>
      </c>
      <c r="Q149" s="236" t="s">
        <v>16</v>
      </c>
      <c r="R149" s="236" t="s">
        <v>16</v>
      </c>
      <c r="S149" s="236" t="s">
        <v>16</v>
      </c>
      <c r="T149" s="236" t="s">
        <v>297</v>
      </c>
      <c r="U149" s="236" t="s">
        <v>262</v>
      </c>
      <c r="V149" s="236" t="s">
        <v>296</v>
      </c>
      <c r="W149" s="237" t="s">
        <v>296</v>
      </c>
      <c r="X149" s="237" t="s">
        <v>296</v>
      </c>
      <c r="Y149" s="238" t="s">
        <v>296</v>
      </c>
    </row>
    <row r="150" spans="1:25">
      <c r="A150" s="230">
        <v>3</v>
      </c>
      <c r="B150" s="231" t="str">
        <f>VLOOKUP(Tabel10[[#This Row],[Locatiecode]],Ruimtegroepen[[Code]:[Ruimte omschrijving]],2,FALSE)</f>
        <v>Reproruimte</v>
      </c>
      <c r="C150" s="232" t="s">
        <v>418</v>
      </c>
      <c r="D150" s="231" t="s">
        <v>0</v>
      </c>
      <c r="E150" s="233" t="s">
        <v>102</v>
      </c>
      <c r="F150" s="232" t="s">
        <v>421</v>
      </c>
      <c r="G150" s="281" t="s">
        <v>296</v>
      </c>
      <c r="H150" s="234" t="s">
        <v>296</v>
      </c>
      <c r="I150" s="234" t="s">
        <v>296</v>
      </c>
      <c r="J150" s="234" t="s">
        <v>16</v>
      </c>
      <c r="K150" s="234" t="s">
        <v>343</v>
      </c>
      <c r="L150" s="234" t="s">
        <v>296</v>
      </c>
      <c r="M150" s="234" t="s">
        <v>296</v>
      </c>
      <c r="N150" s="235" t="s">
        <v>296</v>
      </c>
      <c r="O150" s="236" t="s">
        <v>16</v>
      </c>
      <c r="P150" s="236" t="s">
        <v>16</v>
      </c>
      <c r="Q150" s="236" t="s">
        <v>16</v>
      </c>
      <c r="R150" s="236" t="s">
        <v>16</v>
      </c>
      <c r="S150" s="236" t="s">
        <v>16</v>
      </c>
      <c r="T150" s="236" t="s">
        <v>297</v>
      </c>
      <c r="U150" s="236" t="s">
        <v>262</v>
      </c>
      <c r="V150" s="236" t="s">
        <v>296</v>
      </c>
      <c r="W150" s="237" t="s">
        <v>296</v>
      </c>
      <c r="X150" s="237" t="s">
        <v>296</v>
      </c>
      <c r="Y150" s="238" t="s">
        <v>296</v>
      </c>
    </row>
    <row r="151" spans="1:25">
      <c r="A151" s="230">
        <v>3</v>
      </c>
      <c r="B151" s="231" t="str">
        <f>VLOOKUP(Tabel10[[#This Row],[Locatiecode]],Ruimtegroepen[[Code]:[Ruimte omschrijving]],2,FALSE)</f>
        <v>Reproruimte</v>
      </c>
      <c r="C151" s="232" t="s">
        <v>418</v>
      </c>
      <c r="D151" s="231" t="s">
        <v>0</v>
      </c>
      <c r="E151" s="233" t="s">
        <v>103</v>
      </c>
      <c r="F151" s="232" t="s">
        <v>422</v>
      </c>
      <c r="G151" s="281" t="s">
        <v>296</v>
      </c>
      <c r="H151" s="234" t="s">
        <v>296</v>
      </c>
      <c r="I151" s="234" t="s">
        <v>16</v>
      </c>
      <c r="J151" s="234" t="s">
        <v>296</v>
      </c>
      <c r="K151" s="234" t="s">
        <v>343</v>
      </c>
      <c r="L151" s="234" t="s">
        <v>296</v>
      </c>
      <c r="M151" s="234" t="s">
        <v>296</v>
      </c>
      <c r="N151" s="235" t="s">
        <v>296</v>
      </c>
      <c r="O151" s="236" t="s">
        <v>16</v>
      </c>
      <c r="P151" s="236" t="s">
        <v>16</v>
      </c>
      <c r="Q151" s="236" t="s">
        <v>16</v>
      </c>
      <c r="R151" s="236" t="s">
        <v>16</v>
      </c>
      <c r="S151" s="236" t="s">
        <v>16</v>
      </c>
      <c r="T151" s="236" t="s">
        <v>297</v>
      </c>
      <c r="U151" s="236" t="s">
        <v>262</v>
      </c>
      <c r="V151" s="236" t="s">
        <v>296</v>
      </c>
      <c r="W151" s="237" t="s">
        <v>296</v>
      </c>
      <c r="X151" s="237" t="s">
        <v>296</v>
      </c>
      <c r="Y151" s="238" t="s">
        <v>296</v>
      </c>
    </row>
    <row r="152" spans="1:25">
      <c r="A152" s="230">
        <v>3</v>
      </c>
      <c r="B152" s="231" t="str">
        <f>VLOOKUP(Tabel10[[#This Row],[Locatiecode]],Ruimtegroepen[[Code]:[Ruimte omschrijving]],2,FALSE)</f>
        <v>Reproruimte</v>
      </c>
      <c r="C152" s="232" t="s">
        <v>418</v>
      </c>
      <c r="D152" s="231" t="s">
        <v>0</v>
      </c>
      <c r="E152" s="233" t="s">
        <v>100</v>
      </c>
      <c r="F152" s="232" t="s">
        <v>420</v>
      </c>
      <c r="G152" s="281" t="s">
        <v>296</v>
      </c>
      <c r="H152" s="235" t="s">
        <v>16</v>
      </c>
      <c r="I152" s="234" t="s">
        <v>296</v>
      </c>
      <c r="J152" s="234" t="s">
        <v>296</v>
      </c>
      <c r="K152" s="234" t="s">
        <v>296</v>
      </c>
      <c r="L152" s="234" t="s">
        <v>296</v>
      </c>
      <c r="M152" s="234" t="s">
        <v>296</v>
      </c>
      <c r="N152" s="235" t="s">
        <v>296</v>
      </c>
      <c r="O152" s="236" t="s">
        <v>296</v>
      </c>
      <c r="P152" s="236" t="s">
        <v>296</v>
      </c>
      <c r="Q152" s="236" t="s">
        <v>296</v>
      </c>
      <c r="R152" s="236" t="s">
        <v>296</v>
      </c>
      <c r="S152" s="236" t="s">
        <v>296</v>
      </c>
      <c r="T152" s="236" t="s">
        <v>296</v>
      </c>
      <c r="U152" s="236" t="s">
        <v>296</v>
      </c>
      <c r="V152" s="236" t="s">
        <v>296</v>
      </c>
      <c r="W152" s="237" t="s">
        <v>296</v>
      </c>
      <c r="X152" s="237" t="s">
        <v>296</v>
      </c>
      <c r="Y152" s="238" t="s">
        <v>296</v>
      </c>
    </row>
    <row r="153" spans="1:25">
      <c r="A153" s="230">
        <v>3</v>
      </c>
      <c r="B153" s="231" t="str">
        <f>VLOOKUP(Tabel10[[#This Row],[Locatiecode]],Ruimtegroepen[[Code]:[Ruimte omschrijving]],2,FALSE)</f>
        <v>Reproruimte</v>
      </c>
      <c r="C153" s="232" t="s">
        <v>418</v>
      </c>
      <c r="D153" s="231" t="s">
        <v>0</v>
      </c>
      <c r="E153" s="233" t="s">
        <v>1344</v>
      </c>
      <c r="F153" s="232" t="s">
        <v>1378</v>
      </c>
      <c r="G153" s="281" t="s">
        <v>296</v>
      </c>
      <c r="H153" s="234" t="s">
        <v>296</v>
      </c>
      <c r="I153" s="234" t="s">
        <v>16</v>
      </c>
      <c r="J153" s="234" t="s">
        <v>296</v>
      </c>
      <c r="K153" s="234" t="s">
        <v>343</v>
      </c>
      <c r="L153" s="234" t="s">
        <v>296</v>
      </c>
      <c r="M153" s="234" t="s">
        <v>296</v>
      </c>
      <c r="N153" s="235" t="s">
        <v>296</v>
      </c>
      <c r="O153" s="236" t="s">
        <v>16</v>
      </c>
      <c r="P153" s="236" t="s">
        <v>16</v>
      </c>
      <c r="Q153" s="236" t="s">
        <v>16</v>
      </c>
      <c r="R153" s="236" t="s">
        <v>16</v>
      </c>
      <c r="S153" s="236" t="s">
        <v>16</v>
      </c>
      <c r="T153" s="236" t="s">
        <v>297</v>
      </c>
      <c r="U153" s="236" t="s">
        <v>262</v>
      </c>
      <c r="V153" s="236" t="s">
        <v>296</v>
      </c>
      <c r="W153" s="237" t="s">
        <v>296</v>
      </c>
      <c r="X153" s="237" t="s">
        <v>296</v>
      </c>
      <c r="Y153" s="238" t="s">
        <v>296</v>
      </c>
    </row>
    <row r="154" spans="1:25">
      <c r="A154" s="230">
        <v>3</v>
      </c>
      <c r="B154" s="231" t="str">
        <f>VLOOKUP(Tabel10[[#This Row],[Locatiecode]],Ruimtegroepen[[Code]:[Ruimte omschrijving]],2,FALSE)</f>
        <v>Reproruimte</v>
      </c>
      <c r="C154" s="232" t="s">
        <v>423</v>
      </c>
      <c r="D154" s="231" t="s">
        <v>27</v>
      </c>
      <c r="E154" s="233" t="s">
        <v>101</v>
      </c>
      <c r="F154" s="232" t="s">
        <v>424</v>
      </c>
      <c r="G154" s="281" t="s">
        <v>296</v>
      </c>
      <c r="H154" s="234" t="s">
        <v>296</v>
      </c>
      <c r="I154" s="234" t="s">
        <v>296</v>
      </c>
      <c r="J154" s="234" t="s">
        <v>15</v>
      </c>
      <c r="K154" s="234" t="s">
        <v>296</v>
      </c>
      <c r="L154" s="234" t="s">
        <v>296</v>
      </c>
      <c r="M154" s="234" t="s">
        <v>296</v>
      </c>
      <c r="N154" s="235" t="s">
        <v>296</v>
      </c>
      <c r="O154" s="236" t="s">
        <v>15</v>
      </c>
      <c r="P154" s="236" t="s">
        <v>15</v>
      </c>
      <c r="Q154" s="236" t="s">
        <v>15</v>
      </c>
      <c r="R154" s="236" t="s">
        <v>296</v>
      </c>
      <c r="S154" s="236" t="s">
        <v>296</v>
      </c>
      <c r="T154" s="236" t="s">
        <v>296</v>
      </c>
      <c r="U154" s="236" t="s">
        <v>296</v>
      </c>
      <c r="V154" s="236" t="s">
        <v>296</v>
      </c>
      <c r="W154" s="237" t="s">
        <v>296</v>
      </c>
      <c r="X154" s="237" t="s">
        <v>296</v>
      </c>
      <c r="Y154" s="238" t="s">
        <v>296</v>
      </c>
    </row>
    <row r="155" spans="1:25">
      <c r="A155" s="230">
        <v>3</v>
      </c>
      <c r="B155" s="231" t="str">
        <f>VLOOKUP(Tabel10[[#This Row],[Locatiecode]],Ruimtegroepen[[Code]:[Ruimte omschrijving]],2,FALSE)</f>
        <v>Reproruimte</v>
      </c>
      <c r="C155" s="232" t="s">
        <v>423</v>
      </c>
      <c r="D155" s="231" t="s">
        <v>27</v>
      </c>
      <c r="E155" s="233" t="s">
        <v>100</v>
      </c>
      <c r="F155" s="232" t="s">
        <v>425</v>
      </c>
      <c r="G155" s="281" t="s">
        <v>296</v>
      </c>
      <c r="H155" s="235" t="s">
        <v>15</v>
      </c>
      <c r="I155" s="234" t="s">
        <v>296</v>
      </c>
      <c r="J155" s="234" t="s">
        <v>296</v>
      </c>
      <c r="K155" s="234" t="s">
        <v>296</v>
      </c>
      <c r="L155" s="234" t="s">
        <v>296</v>
      </c>
      <c r="M155" s="234" t="s">
        <v>296</v>
      </c>
      <c r="N155" s="235" t="s">
        <v>296</v>
      </c>
      <c r="O155" s="236" t="s">
        <v>15</v>
      </c>
      <c r="P155" s="236" t="s">
        <v>15</v>
      </c>
      <c r="Q155" s="236" t="s">
        <v>15</v>
      </c>
      <c r="R155" s="236" t="s">
        <v>296</v>
      </c>
      <c r="S155" s="236" t="s">
        <v>296</v>
      </c>
      <c r="T155" s="236" t="s">
        <v>296</v>
      </c>
      <c r="U155" s="236" t="s">
        <v>296</v>
      </c>
      <c r="V155" s="236" t="s">
        <v>296</v>
      </c>
      <c r="W155" s="237" t="s">
        <v>296</v>
      </c>
      <c r="X155" s="237" t="s">
        <v>296</v>
      </c>
      <c r="Y155" s="238" t="s">
        <v>296</v>
      </c>
    </row>
    <row r="156" spans="1:25">
      <c r="A156" s="230">
        <v>3</v>
      </c>
      <c r="B156" s="231" t="str">
        <f>VLOOKUP(Tabel10[[#This Row],[Locatiecode]],Ruimtegroepen[[Code]:[Ruimte omschrijving]],2,FALSE)</f>
        <v>Reproruimte</v>
      </c>
      <c r="C156" s="232" t="s">
        <v>423</v>
      </c>
      <c r="D156" s="231" t="s">
        <v>27</v>
      </c>
      <c r="E156" s="233" t="s">
        <v>102</v>
      </c>
      <c r="F156" s="232" t="s">
        <v>426</v>
      </c>
      <c r="G156" s="281" t="s">
        <v>296</v>
      </c>
      <c r="H156" s="234" t="s">
        <v>296</v>
      </c>
      <c r="I156" s="234" t="s">
        <v>296</v>
      </c>
      <c r="J156" s="234" t="s">
        <v>15</v>
      </c>
      <c r="K156" s="234" t="s">
        <v>296</v>
      </c>
      <c r="L156" s="234" t="s">
        <v>296</v>
      </c>
      <c r="M156" s="234" t="s">
        <v>296</v>
      </c>
      <c r="N156" s="235" t="s">
        <v>296</v>
      </c>
      <c r="O156" s="236" t="s">
        <v>15</v>
      </c>
      <c r="P156" s="236" t="s">
        <v>15</v>
      </c>
      <c r="Q156" s="236" t="s">
        <v>15</v>
      </c>
      <c r="R156" s="236" t="s">
        <v>296</v>
      </c>
      <c r="S156" s="236" t="s">
        <v>296</v>
      </c>
      <c r="T156" s="236" t="s">
        <v>296</v>
      </c>
      <c r="U156" s="236" t="s">
        <v>296</v>
      </c>
      <c r="V156" s="236" t="s">
        <v>296</v>
      </c>
      <c r="W156" s="237" t="s">
        <v>296</v>
      </c>
      <c r="X156" s="237" t="s">
        <v>296</v>
      </c>
      <c r="Y156" s="238" t="s">
        <v>296</v>
      </c>
    </row>
    <row r="157" spans="1:25">
      <c r="A157" s="230">
        <v>3</v>
      </c>
      <c r="B157" s="231" t="str">
        <f>VLOOKUP(Tabel10[[#This Row],[Locatiecode]],Ruimtegroepen[[Code]:[Ruimte omschrijving]],2,FALSE)</f>
        <v>Reproruimte</v>
      </c>
      <c r="C157" s="232" t="s">
        <v>423</v>
      </c>
      <c r="D157" s="231" t="s">
        <v>27</v>
      </c>
      <c r="E157" s="233" t="s">
        <v>103</v>
      </c>
      <c r="F157" s="232" t="s">
        <v>427</v>
      </c>
      <c r="G157" s="281" t="s">
        <v>296</v>
      </c>
      <c r="H157" s="234" t="s">
        <v>296</v>
      </c>
      <c r="I157" s="234" t="s">
        <v>296</v>
      </c>
      <c r="J157" s="234" t="s">
        <v>15</v>
      </c>
      <c r="K157" s="234" t="s">
        <v>296</v>
      </c>
      <c r="L157" s="234" t="s">
        <v>296</v>
      </c>
      <c r="M157" s="234" t="s">
        <v>296</v>
      </c>
      <c r="N157" s="235" t="s">
        <v>296</v>
      </c>
      <c r="O157" s="236" t="s">
        <v>15</v>
      </c>
      <c r="P157" s="236" t="s">
        <v>15</v>
      </c>
      <c r="Q157" s="236" t="s">
        <v>15</v>
      </c>
      <c r="R157" s="236" t="s">
        <v>296</v>
      </c>
      <c r="S157" s="236" t="s">
        <v>296</v>
      </c>
      <c r="T157" s="236" t="s">
        <v>296</v>
      </c>
      <c r="U157" s="236" t="s">
        <v>296</v>
      </c>
      <c r="V157" s="236" t="s">
        <v>296</v>
      </c>
      <c r="W157" s="237" t="s">
        <v>296</v>
      </c>
      <c r="X157" s="237" t="s">
        <v>296</v>
      </c>
      <c r="Y157" s="238" t="s">
        <v>296</v>
      </c>
    </row>
    <row r="158" spans="1:25">
      <c r="A158" s="230">
        <v>3</v>
      </c>
      <c r="B158" s="231" t="str">
        <f>VLOOKUP(Tabel10[[#This Row],[Locatiecode]],Ruimtegroepen[[Code]:[Ruimte omschrijving]],2,FALSE)</f>
        <v>Reproruimte</v>
      </c>
      <c r="C158" s="232" t="s">
        <v>423</v>
      </c>
      <c r="D158" s="231" t="s">
        <v>27</v>
      </c>
      <c r="E158" s="233" t="s">
        <v>100</v>
      </c>
      <c r="F158" s="232" t="s">
        <v>425</v>
      </c>
      <c r="G158" s="281" t="s">
        <v>296</v>
      </c>
      <c r="H158" s="235" t="s">
        <v>15</v>
      </c>
      <c r="I158" s="234" t="s">
        <v>296</v>
      </c>
      <c r="J158" s="234" t="s">
        <v>296</v>
      </c>
      <c r="K158" s="234" t="s">
        <v>296</v>
      </c>
      <c r="L158" s="234" t="s">
        <v>296</v>
      </c>
      <c r="M158" s="234" t="s">
        <v>296</v>
      </c>
      <c r="N158" s="235" t="s">
        <v>296</v>
      </c>
      <c r="O158" s="236" t="s">
        <v>15</v>
      </c>
      <c r="P158" s="236" t="s">
        <v>15</v>
      </c>
      <c r="Q158" s="236" t="s">
        <v>15</v>
      </c>
      <c r="R158" s="236" t="s">
        <v>296</v>
      </c>
      <c r="S158" s="236" t="s">
        <v>296</v>
      </c>
      <c r="T158" s="236" t="s">
        <v>296</v>
      </c>
      <c r="U158" s="236" t="s">
        <v>296</v>
      </c>
      <c r="V158" s="236" t="s">
        <v>296</v>
      </c>
      <c r="W158" s="237" t="s">
        <v>296</v>
      </c>
      <c r="X158" s="237" t="s">
        <v>296</v>
      </c>
      <c r="Y158" s="238" t="s">
        <v>296</v>
      </c>
    </row>
    <row r="159" spans="1:25">
      <c r="A159" s="230">
        <v>3</v>
      </c>
      <c r="B159" s="231" t="str">
        <f>VLOOKUP(Tabel10[[#This Row],[Locatiecode]],Ruimtegroepen[[Code]:[Ruimte omschrijving]],2,FALSE)</f>
        <v>Reproruimte</v>
      </c>
      <c r="C159" s="232" t="s">
        <v>423</v>
      </c>
      <c r="D159" s="231" t="s">
        <v>27</v>
      </c>
      <c r="E159" s="233" t="s">
        <v>1344</v>
      </c>
      <c r="F159" s="232" t="s">
        <v>1411</v>
      </c>
      <c r="G159" s="281" t="s">
        <v>296</v>
      </c>
      <c r="H159" s="234" t="s">
        <v>296</v>
      </c>
      <c r="I159" s="234" t="s">
        <v>296</v>
      </c>
      <c r="J159" s="234" t="s">
        <v>15</v>
      </c>
      <c r="K159" s="234" t="s">
        <v>296</v>
      </c>
      <c r="L159" s="234" t="s">
        <v>296</v>
      </c>
      <c r="M159" s="234" t="s">
        <v>296</v>
      </c>
      <c r="N159" s="235" t="s">
        <v>296</v>
      </c>
      <c r="O159" s="236" t="s">
        <v>15</v>
      </c>
      <c r="P159" s="236" t="s">
        <v>15</v>
      </c>
      <c r="Q159" s="236" t="s">
        <v>15</v>
      </c>
      <c r="R159" s="236" t="s">
        <v>296</v>
      </c>
      <c r="S159" s="236" t="s">
        <v>296</v>
      </c>
      <c r="T159" s="236" t="s">
        <v>296</v>
      </c>
      <c r="U159" s="236" t="s">
        <v>296</v>
      </c>
      <c r="V159" s="236" t="s">
        <v>296</v>
      </c>
      <c r="W159" s="237" t="s">
        <v>296</v>
      </c>
      <c r="X159" s="237" t="s">
        <v>296</v>
      </c>
      <c r="Y159" s="238" t="s">
        <v>296</v>
      </c>
    </row>
    <row r="160" spans="1:25">
      <c r="A160" s="230">
        <v>3</v>
      </c>
      <c r="B160" s="231" t="str">
        <f>VLOOKUP(Tabel10[[#This Row],[Locatiecode]],Ruimtegroepen[[Code]:[Ruimte omschrijving]],2,FALSE)</f>
        <v>Reproruimte</v>
      </c>
      <c r="C160" s="232" t="s">
        <v>428</v>
      </c>
      <c r="D160" s="231" t="s">
        <v>28</v>
      </c>
      <c r="E160" s="233" t="s">
        <v>101</v>
      </c>
      <c r="F160" s="232" t="s">
        <v>429</v>
      </c>
      <c r="G160" s="281" t="s">
        <v>296</v>
      </c>
      <c r="H160" s="234" t="s">
        <v>296</v>
      </c>
      <c r="I160" s="234" t="s">
        <v>17</v>
      </c>
      <c r="J160" s="234" t="s">
        <v>296</v>
      </c>
      <c r="K160" s="234" t="s">
        <v>296</v>
      </c>
      <c r="L160" s="234" t="s">
        <v>296</v>
      </c>
      <c r="M160" s="234" t="s">
        <v>296</v>
      </c>
      <c r="N160" s="235" t="s">
        <v>296</v>
      </c>
      <c r="O160" s="236" t="s">
        <v>17</v>
      </c>
      <c r="P160" s="236" t="s">
        <v>17</v>
      </c>
      <c r="Q160" s="236" t="s">
        <v>15</v>
      </c>
      <c r="R160" s="236" t="s">
        <v>296</v>
      </c>
      <c r="S160" s="236" t="s">
        <v>296</v>
      </c>
      <c r="T160" s="236" t="s">
        <v>296</v>
      </c>
      <c r="U160" s="236" t="s">
        <v>296</v>
      </c>
      <c r="V160" s="236" t="s">
        <v>296</v>
      </c>
      <c r="W160" s="237" t="s">
        <v>296</v>
      </c>
      <c r="X160" s="237" t="s">
        <v>296</v>
      </c>
      <c r="Y160" s="238" t="s">
        <v>296</v>
      </c>
    </row>
    <row r="161" spans="1:25">
      <c r="A161" s="230">
        <v>3</v>
      </c>
      <c r="B161" s="231" t="str">
        <f>VLOOKUP(Tabel10[[#This Row],[Locatiecode]],Ruimtegroepen[[Code]:[Ruimte omschrijving]],2,FALSE)</f>
        <v>Reproruimte</v>
      </c>
      <c r="C161" s="232" t="s">
        <v>428</v>
      </c>
      <c r="D161" s="231" t="s">
        <v>28</v>
      </c>
      <c r="E161" s="233" t="s">
        <v>100</v>
      </c>
      <c r="F161" s="232" t="s">
        <v>430</v>
      </c>
      <c r="G161" s="281" t="s">
        <v>296</v>
      </c>
      <c r="H161" s="235" t="s">
        <v>17</v>
      </c>
      <c r="I161" s="234" t="s">
        <v>296</v>
      </c>
      <c r="J161" s="234" t="s">
        <v>296</v>
      </c>
      <c r="K161" s="234" t="s">
        <v>296</v>
      </c>
      <c r="L161" s="234" t="s">
        <v>296</v>
      </c>
      <c r="M161" s="234" t="s">
        <v>296</v>
      </c>
      <c r="N161" s="235" t="s">
        <v>296</v>
      </c>
      <c r="O161" s="236" t="s">
        <v>17</v>
      </c>
      <c r="P161" s="236" t="s">
        <v>17</v>
      </c>
      <c r="Q161" s="236" t="s">
        <v>15</v>
      </c>
      <c r="R161" s="236" t="s">
        <v>296</v>
      </c>
      <c r="S161" s="236" t="s">
        <v>296</v>
      </c>
      <c r="T161" s="236" t="s">
        <v>296</v>
      </c>
      <c r="U161" s="236" t="s">
        <v>296</v>
      </c>
      <c r="V161" s="236" t="s">
        <v>296</v>
      </c>
      <c r="W161" s="237" t="s">
        <v>296</v>
      </c>
      <c r="X161" s="237" t="s">
        <v>296</v>
      </c>
      <c r="Y161" s="238" t="s">
        <v>296</v>
      </c>
    </row>
    <row r="162" spans="1:25">
      <c r="A162" s="230">
        <v>3</v>
      </c>
      <c r="B162" s="231" t="str">
        <f>VLOOKUP(Tabel10[[#This Row],[Locatiecode]],Ruimtegroepen[[Code]:[Ruimte omschrijving]],2,FALSE)</f>
        <v>Reproruimte</v>
      </c>
      <c r="C162" s="232" t="s">
        <v>428</v>
      </c>
      <c r="D162" s="231" t="s">
        <v>28</v>
      </c>
      <c r="E162" s="233" t="s">
        <v>102</v>
      </c>
      <c r="F162" s="232" t="s">
        <v>431</v>
      </c>
      <c r="G162" s="281" t="s">
        <v>296</v>
      </c>
      <c r="H162" s="234" t="s">
        <v>296</v>
      </c>
      <c r="I162" s="234" t="s">
        <v>17</v>
      </c>
      <c r="J162" s="234" t="s">
        <v>296</v>
      </c>
      <c r="K162" s="234" t="s">
        <v>296</v>
      </c>
      <c r="L162" s="234" t="s">
        <v>296</v>
      </c>
      <c r="M162" s="234" t="s">
        <v>296</v>
      </c>
      <c r="N162" s="235" t="s">
        <v>296</v>
      </c>
      <c r="O162" s="236" t="s">
        <v>17</v>
      </c>
      <c r="P162" s="236" t="s">
        <v>17</v>
      </c>
      <c r="Q162" s="236" t="s">
        <v>15</v>
      </c>
      <c r="R162" s="236" t="s">
        <v>296</v>
      </c>
      <c r="S162" s="236" t="s">
        <v>296</v>
      </c>
      <c r="T162" s="236" t="s">
        <v>296</v>
      </c>
      <c r="U162" s="236" t="s">
        <v>296</v>
      </c>
      <c r="V162" s="236" t="s">
        <v>296</v>
      </c>
      <c r="W162" s="237" t="s">
        <v>296</v>
      </c>
      <c r="X162" s="237" t="s">
        <v>296</v>
      </c>
      <c r="Y162" s="238" t="s">
        <v>296</v>
      </c>
    </row>
    <row r="163" spans="1:25">
      <c r="A163" s="230">
        <v>3</v>
      </c>
      <c r="B163" s="231" t="str">
        <f>VLOOKUP(Tabel10[[#This Row],[Locatiecode]],Ruimtegroepen[[Code]:[Ruimte omschrijving]],2,FALSE)</f>
        <v>Reproruimte</v>
      </c>
      <c r="C163" s="232" t="s">
        <v>428</v>
      </c>
      <c r="D163" s="231" t="s">
        <v>28</v>
      </c>
      <c r="E163" s="233" t="s">
        <v>103</v>
      </c>
      <c r="F163" s="232" t="s">
        <v>432</v>
      </c>
      <c r="G163" s="281" t="s">
        <v>296</v>
      </c>
      <c r="H163" s="234" t="s">
        <v>296</v>
      </c>
      <c r="I163" s="234" t="s">
        <v>17</v>
      </c>
      <c r="J163" s="234" t="s">
        <v>296</v>
      </c>
      <c r="K163" s="234" t="s">
        <v>296</v>
      </c>
      <c r="L163" s="234" t="s">
        <v>296</v>
      </c>
      <c r="M163" s="234" t="s">
        <v>296</v>
      </c>
      <c r="N163" s="235" t="s">
        <v>296</v>
      </c>
      <c r="O163" s="236" t="s">
        <v>17</v>
      </c>
      <c r="P163" s="236" t="s">
        <v>17</v>
      </c>
      <c r="Q163" s="236" t="s">
        <v>15</v>
      </c>
      <c r="R163" s="236" t="s">
        <v>296</v>
      </c>
      <c r="S163" s="236" t="s">
        <v>296</v>
      </c>
      <c r="T163" s="236" t="s">
        <v>296</v>
      </c>
      <c r="U163" s="236" t="s">
        <v>296</v>
      </c>
      <c r="V163" s="236" t="s">
        <v>296</v>
      </c>
      <c r="W163" s="237" t="s">
        <v>296</v>
      </c>
      <c r="X163" s="237" t="s">
        <v>296</v>
      </c>
      <c r="Y163" s="238" t="s">
        <v>296</v>
      </c>
    </row>
    <row r="164" spans="1:25">
      <c r="A164" s="230">
        <v>3</v>
      </c>
      <c r="B164" s="231" t="str">
        <f>VLOOKUP(Tabel10[[#This Row],[Locatiecode]],Ruimtegroepen[[Code]:[Ruimte omschrijving]],2,FALSE)</f>
        <v>Reproruimte</v>
      </c>
      <c r="C164" s="232" t="s">
        <v>428</v>
      </c>
      <c r="D164" s="231" t="s">
        <v>28</v>
      </c>
      <c r="E164" s="233" t="s">
        <v>100</v>
      </c>
      <c r="F164" s="232" t="s">
        <v>430</v>
      </c>
      <c r="G164" s="281" t="s">
        <v>296</v>
      </c>
      <c r="H164" s="235" t="s">
        <v>17</v>
      </c>
      <c r="I164" s="234" t="s">
        <v>296</v>
      </c>
      <c r="J164" s="234" t="s">
        <v>296</v>
      </c>
      <c r="K164" s="234" t="s">
        <v>296</v>
      </c>
      <c r="L164" s="234" t="s">
        <v>296</v>
      </c>
      <c r="M164" s="234" t="s">
        <v>296</v>
      </c>
      <c r="N164" s="235" t="s">
        <v>296</v>
      </c>
      <c r="O164" s="236" t="s">
        <v>17</v>
      </c>
      <c r="P164" s="236" t="s">
        <v>17</v>
      </c>
      <c r="Q164" s="236" t="s">
        <v>15</v>
      </c>
      <c r="R164" s="236" t="s">
        <v>296</v>
      </c>
      <c r="S164" s="236" t="s">
        <v>296</v>
      </c>
      <c r="T164" s="236" t="s">
        <v>296</v>
      </c>
      <c r="U164" s="236" t="s">
        <v>296</v>
      </c>
      <c r="V164" s="236" t="s">
        <v>296</v>
      </c>
      <c r="W164" s="237" t="s">
        <v>296</v>
      </c>
      <c r="X164" s="237" t="s">
        <v>296</v>
      </c>
      <c r="Y164" s="238" t="s">
        <v>296</v>
      </c>
    </row>
    <row r="165" spans="1:25">
      <c r="A165" s="230">
        <v>3</v>
      </c>
      <c r="B165" s="231" t="str">
        <f>VLOOKUP(Tabel10[[#This Row],[Locatiecode]],Ruimtegroepen[[Code]:[Ruimte omschrijving]],2,FALSE)</f>
        <v>Reproruimte</v>
      </c>
      <c r="C165" s="232" t="s">
        <v>428</v>
      </c>
      <c r="D165" s="231" t="s">
        <v>28</v>
      </c>
      <c r="E165" s="233" t="s">
        <v>1344</v>
      </c>
      <c r="F165" s="232" t="s">
        <v>1444</v>
      </c>
      <c r="G165" s="281" t="s">
        <v>296</v>
      </c>
      <c r="H165" s="234" t="s">
        <v>296</v>
      </c>
      <c r="I165" s="234" t="s">
        <v>17</v>
      </c>
      <c r="J165" s="234" t="s">
        <v>296</v>
      </c>
      <c r="K165" s="234" t="s">
        <v>296</v>
      </c>
      <c r="L165" s="234" t="s">
        <v>296</v>
      </c>
      <c r="M165" s="234" t="s">
        <v>296</v>
      </c>
      <c r="N165" s="235" t="s">
        <v>296</v>
      </c>
      <c r="O165" s="236" t="s">
        <v>17</v>
      </c>
      <c r="P165" s="236" t="s">
        <v>17</v>
      </c>
      <c r="Q165" s="236" t="s">
        <v>15</v>
      </c>
      <c r="R165" s="236" t="s">
        <v>296</v>
      </c>
      <c r="S165" s="236" t="s">
        <v>296</v>
      </c>
      <c r="T165" s="236" t="s">
        <v>296</v>
      </c>
      <c r="U165" s="236" t="s">
        <v>296</v>
      </c>
      <c r="V165" s="236" t="s">
        <v>296</v>
      </c>
      <c r="W165" s="237" t="s">
        <v>296</v>
      </c>
      <c r="X165" s="237" t="s">
        <v>296</v>
      </c>
      <c r="Y165" s="238" t="s">
        <v>296</v>
      </c>
    </row>
    <row r="166" spans="1:25">
      <c r="A166" s="230">
        <v>4</v>
      </c>
      <c r="B166" s="231" t="str">
        <f>VLOOKUP(Tabel10[[#This Row],[Locatiecode]],Ruimtegroepen[[Code]:[Ruimte omschrijving]],2,FALSE)</f>
        <v>Vergader/spreekkamers</v>
      </c>
      <c r="C166" s="232" t="s">
        <v>433</v>
      </c>
      <c r="D166" s="231" t="s">
        <v>29</v>
      </c>
      <c r="E166" s="233" t="s">
        <v>101</v>
      </c>
      <c r="F166" s="232" t="s">
        <v>434</v>
      </c>
      <c r="G166" s="281" t="s">
        <v>296</v>
      </c>
      <c r="H166" s="234" t="s">
        <v>296</v>
      </c>
      <c r="I166" s="234" t="s">
        <v>20</v>
      </c>
      <c r="J166" s="234" t="s">
        <v>15</v>
      </c>
      <c r="K166" s="234" t="s">
        <v>296</v>
      </c>
      <c r="L166" s="234" t="s">
        <v>296</v>
      </c>
      <c r="M166" s="234" t="s">
        <v>296</v>
      </c>
      <c r="N166" s="235" t="s">
        <v>2</v>
      </c>
      <c r="O166" s="236" t="s">
        <v>2</v>
      </c>
      <c r="P166" s="236" t="s">
        <v>2</v>
      </c>
      <c r="Q166" s="236" t="s">
        <v>15</v>
      </c>
      <c r="R166" s="236" t="s">
        <v>15</v>
      </c>
      <c r="S166" s="236" t="s">
        <v>16</v>
      </c>
      <c r="T166" s="236" t="s">
        <v>343</v>
      </c>
      <c r="U166" s="236" t="s">
        <v>262</v>
      </c>
      <c r="V166" s="236" t="s">
        <v>2</v>
      </c>
      <c r="W166" s="237" t="s">
        <v>296</v>
      </c>
      <c r="X166" s="237" t="s">
        <v>296</v>
      </c>
      <c r="Y166" s="238" t="s">
        <v>296</v>
      </c>
    </row>
    <row r="167" spans="1:25">
      <c r="A167" s="230">
        <v>4</v>
      </c>
      <c r="B167" s="231" t="str">
        <f>VLOOKUP(Tabel10[[#This Row],[Locatiecode]],Ruimtegroepen[[Code]:[Ruimte omschrijving]],2,FALSE)</f>
        <v>Vergader/spreekkamers</v>
      </c>
      <c r="C167" s="232" t="s">
        <v>433</v>
      </c>
      <c r="D167" s="231" t="s">
        <v>29</v>
      </c>
      <c r="E167" s="233" t="s">
        <v>100</v>
      </c>
      <c r="F167" s="232" t="s">
        <v>435</v>
      </c>
      <c r="G167" s="235" t="s">
        <v>20</v>
      </c>
      <c r="H167" s="235" t="s">
        <v>15</v>
      </c>
      <c r="I167" s="234" t="s">
        <v>296</v>
      </c>
      <c r="J167" s="234" t="s">
        <v>296</v>
      </c>
      <c r="K167" s="234" t="s">
        <v>296</v>
      </c>
      <c r="L167" s="234" t="s">
        <v>296</v>
      </c>
      <c r="M167" s="234" t="s">
        <v>296</v>
      </c>
      <c r="N167" s="235" t="s">
        <v>2</v>
      </c>
      <c r="O167" s="236" t="s">
        <v>2</v>
      </c>
      <c r="P167" s="236" t="s">
        <v>2</v>
      </c>
      <c r="Q167" s="236" t="s">
        <v>15</v>
      </c>
      <c r="R167" s="236" t="s">
        <v>15</v>
      </c>
      <c r="S167" s="236" t="s">
        <v>16</v>
      </c>
      <c r="T167" s="236" t="s">
        <v>343</v>
      </c>
      <c r="U167" s="236" t="s">
        <v>262</v>
      </c>
      <c r="V167" s="236" t="s">
        <v>2</v>
      </c>
      <c r="W167" s="237" t="s">
        <v>296</v>
      </c>
      <c r="X167" s="237" t="s">
        <v>296</v>
      </c>
      <c r="Y167" s="238" t="s">
        <v>296</v>
      </c>
    </row>
    <row r="168" spans="1:25">
      <c r="A168" s="230">
        <v>4</v>
      </c>
      <c r="B168" s="231" t="str">
        <f>VLOOKUP(Tabel10[[#This Row],[Locatiecode]],Ruimtegroepen[[Code]:[Ruimte omschrijving]],2,FALSE)</f>
        <v>Vergader/spreekkamers</v>
      </c>
      <c r="C168" s="232" t="s">
        <v>433</v>
      </c>
      <c r="D168" s="231" t="s">
        <v>29</v>
      </c>
      <c r="E168" s="233" t="s">
        <v>102</v>
      </c>
      <c r="F168" s="232" t="s">
        <v>436</v>
      </c>
      <c r="G168" s="281" t="s">
        <v>296</v>
      </c>
      <c r="H168" s="234" t="s">
        <v>296</v>
      </c>
      <c r="I168" s="234" t="s">
        <v>20</v>
      </c>
      <c r="J168" s="234" t="s">
        <v>15</v>
      </c>
      <c r="K168" s="234" t="s">
        <v>343</v>
      </c>
      <c r="L168" s="234" t="s">
        <v>296</v>
      </c>
      <c r="M168" s="234" t="s">
        <v>296</v>
      </c>
      <c r="N168" s="235" t="s">
        <v>2</v>
      </c>
      <c r="O168" s="236" t="s">
        <v>2</v>
      </c>
      <c r="P168" s="236" t="s">
        <v>2</v>
      </c>
      <c r="Q168" s="236" t="s">
        <v>15</v>
      </c>
      <c r="R168" s="236" t="s">
        <v>15</v>
      </c>
      <c r="S168" s="236" t="s">
        <v>16</v>
      </c>
      <c r="T168" s="236" t="s">
        <v>343</v>
      </c>
      <c r="U168" s="236" t="s">
        <v>262</v>
      </c>
      <c r="V168" s="236" t="s">
        <v>2</v>
      </c>
      <c r="W168" s="237" t="s">
        <v>296</v>
      </c>
      <c r="X168" s="237" t="s">
        <v>296</v>
      </c>
      <c r="Y168" s="238" t="s">
        <v>296</v>
      </c>
    </row>
    <row r="169" spans="1:25">
      <c r="A169" s="230">
        <v>4</v>
      </c>
      <c r="B169" s="231" t="str">
        <f>VLOOKUP(Tabel10[[#This Row],[Locatiecode]],Ruimtegroepen[[Code]:[Ruimte omschrijving]],2,FALSE)</f>
        <v>Vergader/spreekkamers</v>
      </c>
      <c r="C169" s="232" t="s">
        <v>433</v>
      </c>
      <c r="D169" s="231" t="s">
        <v>29</v>
      </c>
      <c r="E169" s="233" t="s">
        <v>103</v>
      </c>
      <c r="F169" s="232" t="s">
        <v>437</v>
      </c>
      <c r="G169" s="281" t="s">
        <v>296</v>
      </c>
      <c r="H169" s="234" t="s">
        <v>296</v>
      </c>
      <c r="I169" s="234" t="s">
        <v>20</v>
      </c>
      <c r="J169" s="234" t="s">
        <v>15</v>
      </c>
      <c r="K169" s="234" t="s">
        <v>343</v>
      </c>
      <c r="L169" s="234" t="s">
        <v>296</v>
      </c>
      <c r="M169" s="234" t="s">
        <v>296</v>
      </c>
      <c r="N169" s="235" t="s">
        <v>2</v>
      </c>
      <c r="O169" s="236" t="s">
        <v>2</v>
      </c>
      <c r="P169" s="236" t="s">
        <v>2</v>
      </c>
      <c r="Q169" s="236" t="s">
        <v>15</v>
      </c>
      <c r="R169" s="236" t="s">
        <v>15</v>
      </c>
      <c r="S169" s="236" t="s">
        <v>16</v>
      </c>
      <c r="T169" s="236" t="s">
        <v>343</v>
      </c>
      <c r="U169" s="236" t="s">
        <v>262</v>
      </c>
      <c r="V169" s="236" t="s">
        <v>2</v>
      </c>
      <c r="W169" s="237" t="s">
        <v>296</v>
      </c>
      <c r="X169" s="237" t="s">
        <v>296</v>
      </c>
      <c r="Y169" s="238" t="s">
        <v>296</v>
      </c>
    </row>
    <row r="170" spans="1:25">
      <c r="A170" s="230">
        <v>4</v>
      </c>
      <c r="B170" s="231" t="str">
        <f>VLOOKUP(Tabel10[[#This Row],[Locatiecode]],Ruimtegroepen[[Code]:[Ruimte omschrijving]],2,FALSE)</f>
        <v>Vergader/spreekkamers</v>
      </c>
      <c r="C170" s="232" t="s">
        <v>433</v>
      </c>
      <c r="D170" s="231" t="s">
        <v>29</v>
      </c>
      <c r="E170" s="233" t="s">
        <v>100</v>
      </c>
      <c r="F170" s="232" t="s">
        <v>435</v>
      </c>
      <c r="G170" s="235" t="s">
        <v>20</v>
      </c>
      <c r="H170" s="235" t="s">
        <v>15</v>
      </c>
      <c r="I170" s="234" t="s">
        <v>296</v>
      </c>
      <c r="J170" s="234" t="s">
        <v>296</v>
      </c>
      <c r="K170" s="234" t="s">
        <v>296</v>
      </c>
      <c r="L170" s="234" t="s">
        <v>296</v>
      </c>
      <c r="M170" s="234" t="s">
        <v>296</v>
      </c>
      <c r="N170" s="235" t="s">
        <v>2</v>
      </c>
      <c r="O170" s="236" t="s">
        <v>2</v>
      </c>
      <c r="P170" s="236" t="s">
        <v>2</v>
      </c>
      <c r="Q170" s="236" t="s">
        <v>15</v>
      </c>
      <c r="R170" s="236" t="s">
        <v>15</v>
      </c>
      <c r="S170" s="236" t="s">
        <v>16</v>
      </c>
      <c r="T170" s="236" t="s">
        <v>343</v>
      </c>
      <c r="U170" s="236" t="s">
        <v>262</v>
      </c>
      <c r="V170" s="236" t="s">
        <v>2</v>
      </c>
      <c r="W170" s="237" t="s">
        <v>296</v>
      </c>
      <c r="X170" s="237" t="s">
        <v>296</v>
      </c>
      <c r="Y170" s="238" t="s">
        <v>296</v>
      </c>
    </row>
    <row r="171" spans="1:25">
      <c r="A171" s="230">
        <v>4</v>
      </c>
      <c r="B171" s="231" t="str">
        <f>VLOOKUP(Tabel10[[#This Row],[Locatiecode]],Ruimtegroepen[[Code]:[Ruimte omschrijving]],2,FALSE)</f>
        <v>Vergader/spreekkamers</v>
      </c>
      <c r="C171" s="232" t="s">
        <v>433</v>
      </c>
      <c r="D171" s="231" t="s">
        <v>29</v>
      </c>
      <c r="E171" s="233" t="s">
        <v>1344</v>
      </c>
      <c r="F171" s="232" t="s">
        <v>1512</v>
      </c>
      <c r="G171" s="281" t="s">
        <v>296</v>
      </c>
      <c r="H171" s="234" t="s">
        <v>296</v>
      </c>
      <c r="I171" s="234" t="s">
        <v>20</v>
      </c>
      <c r="J171" s="234" t="s">
        <v>15</v>
      </c>
      <c r="K171" s="234" t="s">
        <v>343</v>
      </c>
      <c r="L171" s="234" t="s">
        <v>296</v>
      </c>
      <c r="M171" s="234" t="s">
        <v>296</v>
      </c>
      <c r="N171" s="235" t="s">
        <v>2</v>
      </c>
      <c r="O171" s="236" t="s">
        <v>2</v>
      </c>
      <c r="P171" s="236" t="s">
        <v>2</v>
      </c>
      <c r="Q171" s="236" t="s">
        <v>15</v>
      </c>
      <c r="R171" s="236" t="s">
        <v>15</v>
      </c>
      <c r="S171" s="236" t="s">
        <v>16</v>
      </c>
      <c r="T171" s="236" t="s">
        <v>343</v>
      </c>
      <c r="U171" s="236" t="s">
        <v>262</v>
      </c>
      <c r="V171" s="236" t="s">
        <v>2</v>
      </c>
      <c r="W171" s="237" t="s">
        <v>296</v>
      </c>
      <c r="X171" s="237" t="s">
        <v>296</v>
      </c>
      <c r="Y171" s="238" t="s">
        <v>296</v>
      </c>
    </row>
    <row r="172" spans="1:25">
      <c r="A172" s="230">
        <v>4</v>
      </c>
      <c r="B172" s="231" t="str">
        <f>VLOOKUP(Tabel10[[#This Row],[Locatiecode]],Ruimtegroepen[[Code]:[Ruimte omschrijving]],2,FALSE)</f>
        <v>Vergader/spreekkamers</v>
      </c>
      <c r="C172" s="232" t="s">
        <v>438</v>
      </c>
      <c r="D172" s="231" t="s">
        <v>1</v>
      </c>
      <c r="E172" s="233" t="s">
        <v>101</v>
      </c>
      <c r="F172" s="232" t="s">
        <v>439</v>
      </c>
      <c r="G172" s="281" t="s">
        <v>296</v>
      </c>
      <c r="H172" s="234" t="s">
        <v>296</v>
      </c>
      <c r="I172" s="234" t="s">
        <v>20</v>
      </c>
      <c r="J172" s="234" t="s">
        <v>15</v>
      </c>
      <c r="K172" s="234" t="s">
        <v>296</v>
      </c>
      <c r="L172" s="234" t="s">
        <v>296</v>
      </c>
      <c r="M172" s="234" t="s">
        <v>296</v>
      </c>
      <c r="N172" s="235" t="s">
        <v>296</v>
      </c>
      <c r="O172" s="236" t="s">
        <v>2</v>
      </c>
      <c r="P172" s="236" t="s">
        <v>2</v>
      </c>
      <c r="Q172" s="236" t="s">
        <v>15</v>
      </c>
      <c r="R172" s="236" t="s">
        <v>15</v>
      </c>
      <c r="S172" s="236" t="s">
        <v>16</v>
      </c>
      <c r="T172" s="236" t="s">
        <v>343</v>
      </c>
      <c r="U172" s="236" t="s">
        <v>262</v>
      </c>
      <c r="V172" s="236" t="s">
        <v>296</v>
      </c>
      <c r="W172" s="237" t="s">
        <v>296</v>
      </c>
      <c r="X172" s="237" t="s">
        <v>296</v>
      </c>
      <c r="Y172" s="238" t="s">
        <v>296</v>
      </c>
    </row>
    <row r="173" spans="1:25">
      <c r="A173" s="230">
        <v>4</v>
      </c>
      <c r="B173" s="231" t="str">
        <f>VLOOKUP(Tabel10[[#This Row],[Locatiecode]],Ruimtegroepen[[Code]:[Ruimte omschrijving]],2,FALSE)</f>
        <v>Vergader/spreekkamers</v>
      </c>
      <c r="C173" s="232" t="s">
        <v>438</v>
      </c>
      <c r="D173" s="231" t="s">
        <v>1</v>
      </c>
      <c r="E173" s="233" t="s">
        <v>100</v>
      </c>
      <c r="F173" s="232" t="s">
        <v>440</v>
      </c>
      <c r="G173" s="235" t="s">
        <v>20</v>
      </c>
      <c r="H173" s="235" t="s">
        <v>15</v>
      </c>
      <c r="I173" s="234" t="s">
        <v>296</v>
      </c>
      <c r="J173" s="234" t="s">
        <v>296</v>
      </c>
      <c r="K173" s="234" t="s">
        <v>296</v>
      </c>
      <c r="L173" s="234" t="s">
        <v>296</v>
      </c>
      <c r="M173" s="234" t="s">
        <v>296</v>
      </c>
      <c r="N173" s="235" t="s">
        <v>296</v>
      </c>
      <c r="O173" s="236" t="s">
        <v>2</v>
      </c>
      <c r="P173" s="236" t="s">
        <v>2</v>
      </c>
      <c r="Q173" s="236" t="s">
        <v>15</v>
      </c>
      <c r="R173" s="236" t="s">
        <v>15</v>
      </c>
      <c r="S173" s="236" t="s">
        <v>16</v>
      </c>
      <c r="T173" s="236" t="s">
        <v>343</v>
      </c>
      <c r="U173" s="236" t="s">
        <v>262</v>
      </c>
      <c r="V173" s="236" t="s">
        <v>296</v>
      </c>
      <c r="W173" s="237" t="s">
        <v>296</v>
      </c>
      <c r="X173" s="237" t="s">
        <v>296</v>
      </c>
      <c r="Y173" s="238" t="s">
        <v>296</v>
      </c>
    </row>
    <row r="174" spans="1:25">
      <c r="A174" s="230">
        <v>4</v>
      </c>
      <c r="B174" s="231" t="str">
        <f>VLOOKUP(Tabel10[[#This Row],[Locatiecode]],Ruimtegroepen[[Code]:[Ruimte omschrijving]],2,FALSE)</f>
        <v>Vergader/spreekkamers</v>
      </c>
      <c r="C174" s="232" t="s">
        <v>438</v>
      </c>
      <c r="D174" s="231" t="s">
        <v>1</v>
      </c>
      <c r="E174" s="233" t="s">
        <v>102</v>
      </c>
      <c r="F174" s="232" t="s">
        <v>441</v>
      </c>
      <c r="G174" s="281" t="s">
        <v>296</v>
      </c>
      <c r="H174" s="234" t="s">
        <v>296</v>
      </c>
      <c r="I174" s="234" t="s">
        <v>20</v>
      </c>
      <c r="J174" s="234" t="s">
        <v>15</v>
      </c>
      <c r="K174" s="234" t="s">
        <v>343</v>
      </c>
      <c r="L174" s="234" t="s">
        <v>296</v>
      </c>
      <c r="M174" s="234" t="s">
        <v>296</v>
      </c>
      <c r="N174" s="235" t="s">
        <v>296</v>
      </c>
      <c r="O174" s="236" t="s">
        <v>2</v>
      </c>
      <c r="P174" s="236" t="s">
        <v>2</v>
      </c>
      <c r="Q174" s="236" t="s">
        <v>15</v>
      </c>
      <c r="R174" s="236" t="s">
        <v>15</v>
      </c>
      <c r="S174" s="236" t="s">
        <v>16</v>
      </c>
      <c r="T174" s="236" t="s">
        <v>343</v>
      </c>
      <c r="U174" s="236" t="s">
        <v>262</v>
      </c>
      <c r="V174" s="236" t="s">
        <v>296</v>
      </c>
      <c r="W174" s="237" t="s">
        <v>296</v>
      </c>
      <c r="X174" s="237" t="s">
        <v>296</v>
      </c>
      <c r="Y174" s="238" t="s">
        <v>296</v>
      </c>
    </row>
    <row r="175" spans="1:25">
      <c r="A175" s="230">
        <v>4</v>
      </c>
      <c r="B175" s="231" t="str">
        <f>VLOOKUP(Tabel10[[#This Row],[Locatiecode]],Ruimtegroepen[[Code]:[Ruimte omschrijving]],2,FALSE)</f>
        <v>Vergader/spreekkamers</v>
      </c>
      <c r="C175" s="232" t="s">
        <v>438</v>
      </c>
      <c r="D175" s="231" t="s">
        <v>1</v>
      </c>
      <c r="E175" s="233" t="s">
        <v>103</v>
      </c>
      <c r="F175" s="232" t="s">
        <v>442</v>
      </c>
      <c r="G175" s="281" t="s">
        <v>296</v>
      </c>
      <c r="H175" s="234" t="s">
        <v>296</v>
      </c>
      <c r="I175" s="234" t="s">
        <v>20</v>
      </c>
      <c r="J175" s="234" t="s">
        <v>15</v>
      </c>
      <c r="K175" s="234" t="s">
        <v>343</v>
      </c>
      <c r="L175" s="234" t="s">
        <v>296</v>
      </c>
      <c r="M175" s="234" t="s">
        <v>296</v>
      </c>
      <c r="N175" s="235" t="s">
        <v>296</v>
      </c>
      <c r="O175" s="236" t="s">
        <v>2</v>
      </c>
      <c r="P175" s="236" t="s">
        <v>2</v>
      </c>
      <c r="Q175" s="236" t="s">
        <v>15</v>
      </c>
      <c r="R175" s="236" t="s">
        <v>15</v>
      </c>
      <c r="S175" s="236" t="s">
        <v>16</v>
      </c>
      <c r="T175" s="236" t="s">
        <v>343</v>
      </c>
      <c r="U175" s="236" t="s">
        <v>262</v>
      </c>
      <c r="V175" s="236" t="s">
        <v>296</v>
      </c>
      <c r="W175" s="237" t="s">
        <v>296</v>
      </c>
      <c r="X175" s="237" t="s">
        <v>296</v>
      </c>
      <c r="Y175" s="238" t="s">
        <v>296</v>
      </c>
    </row>
    <row r="176" spans="1:25">
      <c r="A176" s="230">
        <v>4</v>
      </c>
      <c r="B176" s="231" t="str">
        <f>VLOOKUP(Tabel10[[#This Row],[Locatiecode]],Ruimtegroepen[[Code]:[Ruimte omschrijving]],2,FALSE)</f>
        <v>Vergader/spreekkamers</v>
      </c>
      <c r="C176" s="232" t="s">
        <v>438</v>
      </c>
      <c r="D176" s="231" t="s">
        <v>1</v>
      </c>
      <c r="E176" s="233" t="s">
        <v>100</v>
      </c>
      <c r="F176" s="232" t="s">
        <v>440</v>
      </c>
      <c r="G176" s="235" t="s">
        <v>20</v>
      </c>
      <c r="H176" s="235" t="s">
        <v>15</v>
      </c>
      <c r="I176" s="234" t="s">
        <v>296</v>
      </c>
      <c r="J176" s="234" t="s">
        <v>296</v>
      </c>
      <c r="K176" s="234" t="s">
        <v>296</v>
      </c>
      <c r="L176" s="234" t="s">
        <v>296</v>
      </c>
      <c r="M176" s="234" t="s">
        <v>296</v>
      </c>
      <c r="N176" s="235" t="s">
        <v>296</v>
      </c>
      <c r="O176" s="236" t="s">
        <v>2</v>
      </c>
      <c r="P176" s="236" t="s">
        <v>2</v>
      </c>
      <c r="Q176" s="236" t="s">
        <v>15</v>
      </c>
      <c r="R176" s="236" t="s">
        <v>15</v>
      </c>
      <c r="S176" s="236" t="s">
        <v>16</v>
      </c>
      <c r="T176" s="236" t="s">
        <v>343</v>
      </c>
      <c r="U176" s="236" t="s">
        <v>262</v>
      </c>
      <c r="V176" s="236" t="s">
        <v>296</v>
      </c>
      <c r="W176" s="237" t="s">
        <v>296</v>
      </c>
      <c r="X176" s="237" t="s">
        <v>296</v>
      </c>
      <c r="Y176" s="238" t="s">
        <v>296</v>
      </c>
    </row>
    <row r="177" spans="1:25">
      <c r="A177" s="230">
        <v>4</v>
      </c>
      <c r="B177" s="231" t="str">
        <f>VLOOKUP(Tabel10[[#This Row],[Locatiecode]],Ruimtegroepen[[Code]:[Ruimte omschrijving]],2,FALSE)</f>
        <v>Vergader/spreekkamers</v>
      </c>
      <c r="C177" s="232" t="s">
        <v>438</v>
      </c>
      <c r="D177" s="231" t="s">
        <v>1</v>
      </c>
      <c r="E177" s="233" t="s">
        <v>1344</v>
      </c>
      <c r="F177" s="232" t="s">
        <v>1497</v>
      </c>
      <c r="G177" s="281" t="s">
        <v>296</v>
      </c>
      <c r="H177" s="234" t="s">
        <v>296</v>
      </c>
      <c r="I177" s="234" t="s">
        <v>20</v>
      </c>
      <c r="J177" s="234" t="s">
        <v>15</v>
      </c>
      <c r="K177" s="234" t="s">
        <v>343</v>
      </c>
      <c r="L177" s="234" t="s">
        <v>296</v>
      </c>
      <c r="M177" s="234" t="s">
        <v>296</v>
      </c>
      <c r="N177" s="235" t="s">
        <v>296</v>
      </c>
      <c r="O177" s="236" t="s">
        <v>2</v>
      </c>
      <c r="P177" s="236" t="s">
        <v>2</v>
      </c>
      <c r="Q177" s="236" t="s">
        <v>15</v>
      </c>
      <c r="R177" s="236" t="s">
        <v>15</v>
      </c>
      <c r="S177" s="236" t="s">
        <v>16</v>
      </c>
      <c r="T177" s="236" t="s">
        <v>343</v>
      </c>
      <c r="U177" s="236" t="s">
        <v>262</v>
      </c>
      <c r="V177" s="236" t="s">
        <v>296</v>
      </c>
      <c r="W177" s="237" t="s">
        <v>296</v>
      </c>
      <c r="X177" s="237" t="s">
        <v>296</v>
      </c>
      <c r="Y177" s="238" t="s">
        <v>296</v>
      </c>
    </row>
    <row r="178" spans="1:25">
      <c r="A178" s="230">
        <v>4</v>
      </c>
      <c r="B178" s="231" t="str">
        <f>VLOOKUP(Tabel10[[#This Row],[Locatiecode]],Ruimtegroepen[[Code]:[Ruimte omschrijving]],2,FALSE)</f>
        <v>Vergader/spreekkamers</v>
      </c>
      <c r="C178" s="232" t="s">
        <v>443</v>
      </c>
      <c r="D178" s="231" t="s">
        <v>21</v>
      </c>
      <c r="E178" s="233" t="s">
        <v>101</v>
      </c>
      <c r="F178" s="232" t="s">
        <v>444</v>
      </c>
      <c r="G178" s="281" t="s">
        <v>296</v>
      </c>
      <c r="H178" s="234" t="s">
        <v>296</v>
      </c>
      <c r="I178" s="234" t="s">
        <v>18</v>
      </c>
      <c r="J178" s="234" t="s">
        <v>15</v>
      </c>
      <c r="K178" s="234" t="s">
        <v>296</v>
      </c>
      <c r="L178" s="234" t="s">
        <v>296</v>
      </c>
      <c r="M178" s="234" t="s">
        <v>296</v>
      </c>
      <c r="N178" s="235" t="s">
        <v>296</v>
      </c>
      <c r="O178" s="236" t="s">
        <v>20</v>
      </c>
      <c r="P178" s="236" t="s">
        <v>20</v>
      </c>
      <c r="Q178" s="236" t="s">
        <v>15</v>
      </c>
      <c r="R178" s="236" t="s">
        <v>15</v>
      </c>
      <c r="S178" s="236" t="s">
        <v>16</v>
      </c>
      <c r="T178" s="236" t="s">
        <v>343</v>
      </c>
      <c r="U178" s="236" t="s">
        <v>262</v>
      </c>
      <c r="V178" s="236" t="s">
        <v>296</v>
      </c>
      <c r="W178" s="237" t="s">
        <v>296</v>
      </c>
      <c r="X178" s="237" t="s">
        <v>296</v>
      </c>
      <c r="Y178" s="238" t="s">
        <v>296</v>
      </c>
    </row>
    <row r="179" spans="1:25">
      <c r="A179" s="230">
        <v>4</v>
      </c>
      <c r="B179" s="231" t="str">
        <f>VLOOKUP(Tabel10[[#This Row],[Locatiecode]],Ruimtegroepen[[Code]:[Ruimte omschrijving]],2,FALSE)</f>
        <v>Vergader/spreekkamers</v>
      </c>
      <c r="C179" s="232" t="s">
        <v>443</v>
      </c>
      <c r="D179" s="231" t="s">
        <v>21</v>
      </c>
      <c r="E179" s="233" t="s">
        <v>100</v>
      </c>
      <c r="F179" s="232" t="s">
        <v>445</v>
      </c>
      <c r="G179" s="235" t="s">
        <v>18</v>
      </c>
      <c r="H179" s="235" t="s">
        <v>15</v>
      </c>
      <c r="I179" s="234" t="s">
        <v>296</v>
      </c>
      <c r="J179" s="234" t="s">
        <v>296</v>
      </c>
      <c r="K179" s="234" t="s">
        <v>296</v>
      </c>
      <c r="L179" s="234" t="s">
        <v>296</v>
      </c>
      <c r="M179" s="234" t="s">
        <v>296</v>
      </c>
      <c r="N179" s="235" t="s">
        <v>296</v>
      </c>
      <c r="O179" s="236" t="s">
        <v>20</v>
      </c>
      <c r="P179" s="236" t="s">
        <v>20</v>
      </c>
      <c r="Q179" s="236" t="s">
        <v>15</v>
      </c>
      <c r="R179" s="236" t="s">
        <v>15</v>
      </c>
      <c r="S179" s="236" t="s">
        <v>16</v>
      </c>
      <c r="T179" s="236" t="s">
        <v>343</v>
      </c>
      <c r="U179" s="236" t="s">
        <v>262</v>
      </c>
      <c r="V179" s="236" t="s">
        <v>296</v>
      </c>
      <c r="W179" s="237" t="s">
        <v>296</v>
      </c>
      <c r="X179" s="237" t="s">
        <v>296</v>
      </c>
      <c r="Y179" s="238" t="s">
        <v>296</v>
      </c>
    </row>
    <row r="180" spans="1:25">
      <c r="A180" s="230">
        <v>4</v>
      </c>
      <c r="B180" s="231" t="str">
        <f>VLOOKUP(Tabel10[[#This Row],[Locatiecode]],Ruimtegroepen[[Code]:[Ruimte omschrijving]],2,FALSE)</f>
        <v>Vergader/spreekkamers</v>
      </c>
      <c r="C180" s="232" t="s">
        <v>443</v>
      </c>
      <c r="D180" s="231" t="s">
        <v>21</v>
      </c>
      <c r="E180" s="233" t="s">
        <v>102</v>
      </c>
      <c r="F180" s="232" t="s">
        <v>446</v>
      </c>
      <c r="G180" s="281" t="s">
        <v>296</v>
      </c>
      <c r="H180" s="234" t="s">
        <v>296</v>
      </c>
      <c r="I180" s="234" t="s">
        <v>18</v>
      </c>
      <c r="J180" s="234" t="s">
        <v>15</v>
      </c>
      <c r="K180" s="234" t="s">
        <v>343</v>
      </c>
      <c r="L180" s="234" t="s">
        <v>296</v>
      </c>
      <c r="M180" s="234" t="s">
        <v>296</v>
      </c>
      <c r="N180" s="235" t="s">
        <v>296</v>
      </c>
      <c r="O180" s="236" t="s">
        <v>20</v>
      </c>
      <c r="P180" s="236" t="s">
        <v>20</v>
      </c>
      <c r="Q180" s="236" t="s">
        <v>15</v>
      </c>
      <c r="R180" s="236" t="s">
        <v>15</v>
      </c>
      <c r="S180" s="236" t="s">
        <v>16</v>
      </c>
      <c r="T180" s="236" t="s">
        <v>343</v>
      </c>
      <c r="U180" s="236" t="s">
        <v>262</v>
      </c>
      <c r="V180" s="236" t="s">
        <v>296</v>
      </c>
      <c r="W180" s="237" t="s">
        <v>296</v>
      </c>
      <c r="X180" s="237" t="s">
        <v>296</v>
      </c>
      <c r="Y180" s="238" t="s">
        <v>296</v>
      </c>
    </row>
    <row r="181" spans="1:25">
      <c r="A181" s="230">
        <v>4</v>
      </c>
      <c r="B181" s="231" t="str">
        <f>VLOOKUP(Tabel10[[#This Row],[Locatiecode]],Ruimtegroepen[[Code]:[Ruimte omschrijving]],2,FALSE)</f>
        <v>Vergader/spreekkamers</v>
      </c>
      <c r="C181" s="232" t="s">
        <v>443</v>
      </c>
      <c r="D181" s="231" t="s">
        <v>21</v>
      </c>
      <c r="E181" s="233" t="s">
        <v>103</v>
      </c>
      <c r="F181" s="232" t="s">
        <v>447</v>
      </c>
      <c r="G181" s="281" t="s">
        <v>296</v>
      </c>
      <c r="H181" s="234" t="s">
        <v>296</v>
      </c>
      <c r="I181" s="234" t="s">
        <v>18</v>
      </c>
      <c r="J181" s="234" t="s">
        <v>15</v>
      </c>
      <c r="K181" s="234" t="s">
        <v>343</v>
      </c>
      <c r="L181" s="234" t="s">
        <v>296</v>
      </c>
      <c r="M181" s="234" t="s">
        <v>296</v>
      </c>
      <c r="N181" s="235" t="s">
        <v>296</v>
      </c>
      <c r="O181" s="236" t="s">
        <v>20</v>
      </c>
      <c r="P181" s="236" t="s">
        <v>20</v>
      </c>
      <c r="Q181" s="236" t="s">
        <v>15</v>
      </c>
      <c r="R181" s="236" t="s">
        <v>15</v>
      </c>
      <c r="S181" s="236" t="s">
        <v>16</v>
      </c>
      <c r="T181" s="236" t="s">
        <v>343</v>
      </c>
      <c r="U181" s="236" t="s">
        <v>262</v>
      </c>
      <c r="V181" s="236" t="s">
        <v>296</v>
      </c>
      <c r="W181" s="237" t="s">
        <v>296</v>
      </c>
      <c r="X181" s="237" t="s">
        <v>296</v>
      </c>
      <c r="Y181" s="238" t="s">
        <v>296</v>
      </c>
    </row>
    <row r="182" spans="1:25">
      <c r="A182" s="230">
        <v>4</v>
      </c>
      <c r="B182" s="231" t="str">
        <f>VLOOKUP(Tabel10[[#This Row],[Locatiecode]],Ruimtegroepen[[Code]:[Ruimte omschrijving]],2,FALSE)</f>
        <v>Vergader/spreekkamers</v>
      </c>
      <c r="C182" s="232" t="s">
        <v>443</v>
      </c>
      <c r="D182" s="231" t="s">
        <v>21</v>
      </c>
      <c r="E182" s="233" t="s">
        <v>100</v>
      </c>
      <c r="F182" s="232" t="s">
        <v>445</v>
      </c>
      <c r="G182" s="235" t="s">
        <v>18</v>
      </c>
      <c r="H182" s="235" t="s">
        <v>15</v>
      </c>
      <c r="I182" s="234" t="s">
        <v>296</v>
      </c>
      <c r="J182" s="234" t="s">
        <v>296</v>
      </c>
      <c r="K182" s="234" t="s">
        <v>296</v>
      </c>
      <c r="L182" s="234" t="s">
        <v>296</v>
      </c>
      <c r="M182" s="234" t="s">
        <v>296</v>
      </c>
      <c r="N182" s="235" t="s">
        <v>296</v>
      </c>
      <c r="O182" s="236" t="s">
        <v>20</v>
      </c>
      <c r="P182" s="236" t="s">
        <v>20</v>
      </c>
      <c r="Q182" s="236" t="s">
        <v>15</v>
      </c>
      <c r="R182" s="236" t="s">
        <v>15</v>
      </c>
      <c r="S182" s="236" t="s">
        <v>16</v>
      </c>
      <c r="T182" s="236" t="s">
        <v>343</v>
      </c>
      <c r="U182" s="236" t="s">
        <v>262</v>
      </c>
      <c r="V182" s="236" t="s">
        <v>296</v>
      </c>
      <c r="W182" s="237" t="s">
        <v>296</v>
      </c>
      <c r="X182" s="237" t="s">
        <v>296</v>
      </c>
      <c r="Y182" s="238" t="s">
        <v>296</v>
      </c>
    </row>
    <row r="183" spans="1:25">
      <c r="A183" s="230">
        <v>4</v>
      </c>
      <c r="B183" s="231" t="str">
        <f>VLOOKUP(Tabel10[[#This Row],[Locatiecode]],Ruimtegroepen[[Code]:[Ruimte omschrijving]],2,FALSE)</f>
        <v>Vergader/spreekkamers</v>
      </c>
      <c r="C183" s="232" t="s">
        <v>443</v>
      </c>
      <c r="D183" s="231" t="s">
        <v>21</v>
      </c>
      <c r="E183" s="233" t="s">
        <v>1344</v>
      </c>
      <c r="F183" s="232" t="s">
        <v>1478</v>
      </c>
      <c r="G183" s="281" t="s">
        <v>296</v>
      </c>
      <c r="H183" s="234" t="s">
        <v>296</v>
      </c>
      <c r="I183" s="234" t="s">
        <v>18</v>
      </c>
      <c r="J183" s="234" t="s">
        <v>15</v>
      </c>
      <c r="K183" s="234" t="s">
        <v>343</v>
      </c>
      <c r="L183" s="234" t="s">
        <v>296</v>
      </c>
      <c r="M183" s="234" t="s">
        <v>296</v>
      </c>
      <c r="N183" s="235" t="s">
        <v>296</v>
      </c>
      <c r="O183" s="236" t="s">
        <v>20</v>
      </c>
      <c r="P183" s="236" t="s">
        <v>20</v>
      </c>
      <c r="Q183" s="236" t="s">
        <v>15</v>
      </c>
      <c r="R183" s="236" t="s">
        <v>15</v>
      </c>
      <c r="S183" s="236" t="s">
        <v>16</v>
      </c>
      <c r="T183" s="236" t="s">
        <v>343</v>
      </c>
      <c r="U183" s="236" t="s">
        <v>262</v>
      </c>
      <c r="V183" s="236" t="s">
        <v>296</v>
      </c>
      <c r="W183" s="237" t="s">
        <v>296</v>
      </c>
      <c r="X183" s="237" t="s">
        <v>296</v>
      </c>
      <c r="Y183" s="238" t="s">
        <v>296</v>
      </c>
    </row>
    <row r="184" spans="1:25">
      <c r="A184" s="230">
        <v>4</v>
      </c>
      <c r="B184" s="231" t="str">
        <f>VLOOKUP(Tabel10[[#This Row],[Locatiecode]],Ruimtegroepen[[Code]:[Ruimte omschrijving]],2,FALSE)</f>
        <v>Vergader/spreekkamers</v>
      </c>
      <c r="C184" s="232" t="s">
        <v>448</v>
      </c>
      <c r="D184" s="231" t="s">
        <v>12</v>
      </c>
      <c r="E184" s="233" t="s">
        <v>101</v>
      </c>
      <c r="F184" s="232" t="s">
        <v>449</v>
      </c>
      <c r="G184" s="281" t="s">
        <v>296</v>
      </c>
      <c r="H184" s="234" t="s">
        <v>296</v>
      </c>
      <c r="I184" s="234" t="s">
        <v>17</v>
      </c>
      <c r="J184" s="234" t="s">
        <v>15</v>
      </c>
      <c r="K184" s="234" t="s">
        <v>296</v>
      </c>
      <c r="L184" s="234" t="s">
        <v>296</v>
      </c>
      <c r="M184" s="234" t="s">
        <v>296</v>
      </c>
      <c r="N184" s="235" t="s">
        <v>296</v>
      </c>
      <c r="O184" s="236" t="s">
        <v>18</v>
      </c>
      <c r="P184" s="236" t="s">
        <v>18</v>
      </c>
      <c r="Q184" s="236" t="s">
        <v>15</v>
      </c>
      <c r="R184" s="236" t="s">
        <v>15</v>
      </c>
      <c r="S184" s="236" t="s">
        <v>16</v>
      </c>
      <c r="T184" s="236" t="s">
        <v>343</v>
      </c>
      <c r="U184" s="236" t="s">
        <v>262</v>
      </c>
      <c r="V184" s="236" t="s">
        <v>296</v>
      </c>
      <c r="W184" s="237" t="s">
        <v>296</v>
      </c>
      <c r="X184" s="237" t="s">
        <v>296</v>
      </c>
      <c r="Y184" s="238" t="s">
        <v>296</v>
      </c>
    </row>
    <row r="185" spans="1:25">
      <c r="A185" s="230">
        <v>4</v>
      </c>
      <c r="B185" s="231" t="str">
        <f>VLOOKUP(Tabel10[[#This Row],[Locatiecode]],Ruimtegroepen[[Code]:[Ruimte omschrijving]],2,FALSE)</f>
        <v>Vergader/spreekkamers</v>
      </c>
      <c r="C185" s="232" t="s">
        <v>448</v>
      </c>
      <c r="D185" s="231" t="s">
        <v>12</v>
      </c>
      <c r="E185" s="233" t="s">
        <v>100</v>
      </c>
      <c r="F185" s="232" t="s">
        <v>450</v>
      </c>
      <c r="G185" s="235" t="s">
        <v>17</v>
      </c>
      <c r="H185" s="235" t="s">
        <v>15</v>
      </c>
      <c r="I185" s="234" t="s">
        <v>296</v>
      </c>
      <c r="J185" s="234" t="s">
        <v>296</v>
      </c>
      <c r="K185" s="234" t="s">
        <v>296</v>
      </c>
      <c r="L185" s="234" t="s">
        <v>296</v>
      </c>
      <c r="M185" s="234" t="s">
        <v>296</v>
      </c>
      <c r="N185" s="235" t="s">
        <v>296</v>
      </c>
      <c r="O185" s="236" t="s">
        <v>18</v>
      </c>
      <c r="P185" s="236" t="s">
        <v>18</v>
      </c>
      <c r="Q185" s="236" t="s">
        <v>15</v>
      </c>
      <c r="R185" s="236" t="s">
        <v>15</v>
      </c>
      <c r="S185" s="236" t="s">
        <v>16</v>
      </c>
      <c r="T185" s="236" t="s">
        <v>343</v>
      </c>
      <c r="U185" s="236" t="s">
        <v>262</v>
      </c>
      <c r="V185" s="236" t="s">
        <v>296</v>
      </c>
      <c r="W185" s="237" t="s">
        <v>296</v>
      </c>
      <c r="X185" s="237" t="s">
        <v>296</v>
      </c>
      <c r="Y185" s="238" t="s">
        <v>296</v>
      </c>
    </row>
    <row r="186" spans="1:25">
      <c r="A186" s="230">
        <v>4</v>
      </c>
      <c r="B186" s="231" t="str">
        <f>VLOOKUP(Tabel10[[#This Row],[Locatiecode]],Ruimtegroepen[[Code]:[Ruimte omschrijving]],2,FALSE)</f>
        <v>Vergader/spreekkamers</v>
      </c>
      <c r="C186" s="232" t="s">
        <v>448</v>
      </c>
      <c r="D186" s="231" t="s">
        <v>12</v>
      </c>
      <c r="E186" s="233" t="s">
        <v>102</v>
      </c>
      <c r="F186" s="232" t="s">
        <v>451</v>
      </c>
      <c r="G186" s="281" t="s">
        <v>296</v>
      </c>
      <c r="H186" s="234" t="s">
        <v>296</v>
      </c>
      <c r="I186" s="234" t="s">
        <v>17</v>
      </c>
      <c r="J186" s="234" t="s">
        <v>15</v>
      </c>
      <c r="K186" s="234" t="s">
        <v>343</v>
      </c>
      <c r="L186" s="234" t="s">
        <v>296</v>
      </c>
      <c r="M186" s="234" t="s">
        <v>296</v>
      </c>
      <c r="N186" s="235" t="s">
        <v>296</v>
      </c>
      <c r="O186" s="236" t="s">
        <v>18</v>
      </c>
      <c r="P186" s="236" t="s">
        <v>18</v>
      </c>
      <c r="Q186" s="236" t="s">
        <v>15</v>
      </c>
      <c r="R186" s="236" t="s">
        <v>15</v>
      </c>
      <c r="S186" s="236" t="s">
        <v>16</v>
      </c>
      <c r="T186" s="236" t="s">
        <v>343</v>
      </c>
      <c r="U186" s="236" t="s">
        <v>262</v>
      </c>
      <c r="V186" s="236" t="s">
        <v>296</v>
      </c>
      <c r="W186" s="237" t="s">
        <v>296</v>
      </c>
      <c r="X186" s="237" t="s">
        <v>296</v>
      </c>
      <c r="Y186" s="238" t="s">
        <v>296</v>
      </c>
    </row>
    <row r="187" spans="1:25">
      <c r="A187" s="230">
        <v>4</v>
      </c>
      <c r="B187" s="231" t="str">
        <f>VLOOKUP(Tabel10[[#This Row],[Locatiecode]],Ruimtegroepen[[Code]:[Ruimte omschrijving]],2,FALSE)</f>
        <v>Vergader/spreekkamers</v>
      </c>
      <c r="C187" s="232" t="s">
        <v>448</v>
      </c>
      <c r="D187" s="231" t="s">
        <v>12</v>
      </c>
      <c r="E187" s="233" t="s">
        <v>103</v>
      </c>
      <c r="F187" s="232" t="s">
        <v>452</v>
      </c>
      <c r="G187" s="281" t="s">
        <v>296</v>
      </c>
      <c r="H187" s="234" t="s">
        <v>296</v>
      </c>
      <c r="I187" s="234" t="s">
        <v>17</v>
      </c>
      <c r="J187" s="234" t="s">
        <v>15</v>
      </c>
      <c r="K187" s="234" t="s">
        <v>343</v>
      </c>
      <c r="L187" s="234" t="s">
        <v>296</v>
      </c>
      <c r="M187" s="234" t="s">
        <v>296</v>
      </c>
      <c r="N187" s="235" t="s">
        <v>296</v>
      </c>
      <c r="O187" s="236" t="s">
        <v>18</v>
      </c>
      <c r="P187" s="236" t="s">
        <v>18</v>
      </c>
      <c r="Q187" s="236" t="s">
        <v>15</v>
      </c>
      <c r="R187" s="236" t="s">
        <v>15</v>
      </c>
      <c r="S187" s="236" t="s">
        <v>16</v>
      </c>
      <c r="T187" s="236" t="s">
        <v>343</v>
      </c>
      <c r="U187" s="236" t="s">
        <v>262</v>
      </c>
      <c r="V187" s="236" t="s">
        <v>296</v>
      </c>
      <c r="W187" s="237" t="s">
        <v>296</v>
      </c>
      <c r="X187" s="237" t="s">
        <v>296</v>
      </c>
      <c r="Y187" s="238" t="s">
        <v>296</v>
      </c>
    </row>
    <row r="188" spans="1:25">
      <c r="A188" s="230">
        <v>4</v>
      </c>
      <c r="B188" s="231" t="str">
        <f>VLOOKUP(Tabel10[[#This Row],[Locatiecode]],Ruimtegroepen[[Code]:[Ruimte omschrijving]],2,FALSE)</f>
        <v>Vergader/spreekkamers</v>
      </c>
      <c r="C188" s="232" t="s">
        <v>448</v>
      </c>
      <c r="D188" s="231" t="s">
        <v>12</v>
      </c>
      <c r="E188" s="233" t="s">
        <v>100</v>
      </c>
      <c r="F188" s="232" t="s">
        <v>450</v>
      </c>
      <c r="G188" s="235" t="s">
        <v>17</v>
      </c>
      <c r="H188" s="235" t="s">
        <v>15</v>
      </c>
      <c r="I188" s="234" t="s">
        <v>296</v>
      </c>
      <c r="J188" s="234" t="s">
        <v>296</v>
      </c>
      <c r="K188" s="234" t="s">
        <v>296</v>
      </c>
      <c r="L188" s="234" t="s">
        <v>296</v>
      </c>
      <c r="M188" s="234" t="s">
        <v>296</v>
      </c>
      <c r="N188" s="235" t="s">
        <v>296</v>
      </c>
      <c r="O188" s="236" t="s">
        <v>18</v>
      </c>
      <c r="P188" s="236" t="s">
        <v>18</v>
      </c>
      <c r="Q188" s="236" t="s">
        <v>15</v>
      </c>
      <c r="R188" s="236" t="s">
        <v>15</v>
      </c>
      <c r="S188" s="236" t="s">
        <v>16</v>
      </c>
      <c r="T188" s="236" t="s">
        <v>343</v>
      </c>
      <c r="U188" s="236" t="s">
        <v>262</v>
      </c>
      <c r="V188" s="236" t="s">
        <v>296</v>
      </c>
      <c r="W188" s="237" t="s">
        <v>296</v>
      </c>
      <c r="X188" s="237" t="s">
        <v>296</v>
      </c>
      <c r="Y188" s="238" t="s">
        <v>296</v>
      </c>
    </row>
    <row r="189" spans="1:25">
      <c r="A189" s="230">
        <v>4</v>
      </c>
      <c r="B189" s="231" t="str">
        <f>VLOOKUP(Tabel10[[#This Row],[Locatiecode]],Ruimtegroepen[[Code]:[Ruimte omschrijving]],2,FALSE)</f>
        <v>Vergader/spreekkamers</v>
      </c>
      <c r="C189" s="232" t="s">
        <v>448</v>
      </c>
      <c r="D189" s="231" t="s">
        <v>12</v>
      </c>
      <c r="E189" s="233" t="s">
        <v>1344</v>
      </c>
      <c r="F189" s="232" t="s">
        <v>1461</v>
      </c>
      <c r="G189" s="281" t="s">
        <v>296</v>
      </c>
      <c r="H189" s="234" t="s">
        <v>296</v>
      </c>
      <c r="I189" s="234" t="s">
        <v>17</v>
      </c>
      <c r="J189" s="234" t="s">
        <v>15</v>
      </c>
      <c r="K189" s="234" t="s">
        <v>343</v>
      </c>
      <c r="L189" s="234" t="s">
        <v>296</v>
      </c>
      <c r="M189" s="234" t="s">
        <v>296</v>
      </c>
      <c r="N189" s="235" t="s">
        <v>296</v>
      </c>
      <c r="O189" s="236" t="s">
        <v>18</v>
      </c>
      <c r="P189" s="236" t="s">
        <v>18</v>
      </c>
      <c r="Q189" s="236" t="s">
        <v>15</v>
      </c>
      <c r="R189" s="236" t="s">
        <v>15</v>
      </c>
      <c r="S189" s="236" t="s">
        <v>16</v>
      </c>
      <c r="T189" s="236" t="s">
        <v>343</v>
      </c>
      <c r="U189" s="236" t="s">
        <v>262</v>
      </c>
      <c r="V189" s="236" t="s">
        <v>296</v>
      </c>
      <c r="W189" s="237" t="s">
        <v>296</v>
      </c>
      <c r="X189" s="237" t="s">
        <v>296</v>
      </c>
      <c r="Y189" s="238" t="s">
        <v>296</v>
      </c>
    </row>
    <row r="190" spans="1:25">
      <c r="A190" s="230">
        <v>4</v>
      </c>
      <c r="B190" s="231" t="str">
        <f>VLOOKUP(Tabel10[[#This Row],[Locatiecode]],Ruimtegroepen[[Code]:[Ruimte omschrijving]],2,FALSE)</f>
        <v>Vergader/spreekkamers</v>
      </c>
      <c r="C190" s="232" t="s">
        <v>453</v>
      </c>
      <c r="D190" s="231" t="s">
        <v>14</v>
      </c>
      <c r="E190" s="233" t="s">
        <v>101</v>
      </c>
      <c r="F190" s="232" t="s">
        <v>454</v>
      </c>
      <c r="G190" s="281" t="s">
        <v>296</v>
      </c>
      <c r="H190" s="234" t="s">
        <v>296</v>
      </c>
      <c r="I190" s="234" t="s">
        <v>15</v>
      </c>
      <c r="J190" s="234" t="s">
        <v>15</v>
      </c>
      <c r="K190" s="234" t="s">
        <v>296</v>
      </c>
      <c r="L190" s="234" t="s">
        <v>296</v>
      </c>
      <c r="M190" s="234" t="s">
        <v>296</v>
      </c>
      <c r="N190" s="235" t="s">
        <v>296</v>
      </c>
      <c r="O190" s="236" t="s">
        <v>17</v>
      </c>
      <c r="P190" s="236" t="s">
        <v>17</v>
      </c>
      <c r="Q190" s="236" t="s">
        <v>15</v>
      </c>
      <c r="R190" s="236" t="s">
        <v>15</v>
      </c>
      <c r="S190" s="236" t="s">
        <v>16</v>
      </c>
      <c r="T190" s="236" t="s">
        <v>343</v>
      </c>
      <c r="U190" s="236" t="s">
        <v>262</v>
      </c>
      <c r="V190" s="236" t="s">
        <v>296</v>
      </c>
      <c r="W190" s="237" t="s">
        <v>296</v>
      </c>
      <c r="X190" s="237" t="s">
        <v>296</v>
      </c>
      <c r="Y190" s="238" t="s">
        <v>296</v>
      </c>
    </row>
    <row r="191" spans="1:25">
      <c r="A191" s="230">
        <v>4</v>
      </c>
      <c r="B191" s="231" t="str">
        <f>VLOOKUP(Tabel10[[#This Row],[Locatiecode]],Ruimtegroepen[[Code]:[Ruimte omschrijving]],2,FALSE)</f>
        <v>Vergader/spreekkamers</v>
      </c>
      <c r="C191" s="232" t="s">
        <v>453</v>
      </c>
      <c r="D191" s="231" t="s">
        <v>14</v>
      </c>
      <c r="E191" s="233" t="s">
        <v>100</v>
      </c>
      <c r="F191" s="232" t="s">
        <v>455</v>
      </c>
      <c r="G191" s="235" t="s">
        <v>15</v>
      </c>
      <c r="H191" s="235" t="s">
        <v>15</v>
      </c>
      <c r="I191" s="234" t="s">
        <v>296</v>
      </c>
      <c r="J191" s="234" t="s">
        <v>296</v>
      </c>
      <c r="K191" s="234" t="s">
        <v>296</v>
      </c>
      <c r="L191" s="234" t="s">
        <v>296</v>
      </c>
      <c r="M191" s="234" t="s">
        <v>296</v>
      </c>
      <c r="N191" s="235" t="s">
        <v>296</v>
      </c>
      <c r="O191" s="236" t="s">
        <v>17</v>
      </c>
      <c r="P191" s="236" t="s">
        <v>17</v>
      </c>
      <c r="Q191" s="236" t="s">
        <v>15</v>
      </c>
      <c r="R191" s="236" t="s">
        <v>15</v>
      </c>
      <c r="S191" s="236" t="s">
        <v>16</v>
      </c>
      <c r="T191" s="236" t="s">
        <v>343</v>
      </c>
      <c r="U191" s="236" t="s">
        <v>262</v>
      </c>
      <c r="V191" s="236" t="s">
        <v>296</v>
      </c>
      <c r="W191" s="237" t="s">
        <v>296</v>
      </c>
      <c r="X191" s="237" t="s">
        <v>296</v>
      </c>
      <c r="Y191" s="238" t="s">
        <v>296</v>
      </c>
    </row>
    <row r="192" spans="1:25">
      <c r="A192" s="230">
        <v>4</v>
      </c>
      <c r="B192" s="231" t="str">
        <f>VLOOKUP(Tabel10[[#This Row],[Locatiecode]],Ruimtegroepen[[Code]:[Ruimte omschrijving]],2,FALSE)</f>
        <v>Vergader/spreekkamers</v>
      </c>
      <c r="C192" s="232" t="s">
        <v>453</v>
      </c>
      <c r="D192" s="231" t="s">
        <v>14</v>
      </c>
      <c r="E192" s="233" t="s">
        <v>102</v>
      </c>
      <c r="F192" s="232" t="s">
        <v>456</v>
      </c>
      <c r="G192" s="281" t="s">
        <v>296</v>
      </c>
      <c r="H192" s="234" t="s">
        <v>296</v>
      </c>
      <c r="I192" s="234" t="s">
        <v>15</v>
      </c>
      <c r="J192" s="234" t="s">
        <v>15</v>
      </c>
      <c r="K192" s="234" t="s">
        <v>343</v>
      </c>
      <c r="L192" s="234" t="s">
        <v>296</v>
      </c>
      <c r="M192" s="234" t="s">
        <v>296</v>
      </c>
      <c r="N192" s="235" t="s">
        <v>296</v>
      </c>
      <c r="O192" s="236" t="s">
        <v>17</v>
      </c>
      <c r="P192" s="236" t="s">
        <v>17</v>
      </c>
      <c r="Q192" s="236" t="s">
        <v>15</v>
      </c>
      <c r="R192" s="236" t="s">
        <v>15</v>
      </c>
      <c r="S192" s="236" t="s">
        <v>16</v>
      </c>
      <c r="T192" s="236" t="s">
        <v>343</v>
      </c>
      <c r="U192" s="236" t="s">
        <v>262</v>
      </c>
      <c r="V192" s="236" t="s">
        <v>296</v>
      </c>
      <c r="W192" s="237" t="s">
        <v>296</v>
      </c>
      <c r="X192" s="237" t="s">
        <v>296</v>
      </c>
      <c r="Y192" s="238" t="s">
        <v>296</v>
      </c>
    </row>
    <row r="193" spans="1:25">
      <c r="A193" s="230">
        <v>4</v>
      </c>
      <c r="B193" s="231" t="str">
        <f>VLOOKUP(Tabel10[[#This Row],[Locatiecode]],Ruimtegroepen[[Code]:[Ruimte omschrijving]],2,FALSE)</f>
        <v>Vergader/spreekkamers</v>
      </c>
      <c r="C193" s="232" t="s">
        <v>453</v>
      </c>
      <c r="D193" s="231" t="s">
        <v>14</v>
      </c>
      <c r="E193" s="233" t="s">
        <v>103</v>
      </c>
      <c r="F193" s="232" t="s">
        <v>457</v>
      </c>
      <c r="G193" s="281" t="s">
        <v>296</v>
      </c>
      <c r="H193" s="234" t="s">
        <v>296</v>
      </c>
      <c r="I193" s="234" t="s">
        <v>15</v>
      </c>
      <c r="J193" s="234" t="s">
        <v>15</v>
      </c>
      <c r="K193" s="234" t="s">
        <v>343</v>
      </c>
      <c r="L193" s="234" t="s">
        <v>296</v>
      </c>
      <c r="M193" s="234" t="s">
        <v>296</v>
      </c>
      <c r="N193" s="235" t="s">
        <v>296</v>
      </c>
      <c r="O193" s="236" t="s">
        <v>17</v>
      </c>
      <c r="P193" s="236" t="s">
        <v>17</v>
      </c>
      <c r="Q193" s="236" t="s">
        <v>15</v>
      </c>
      <c r="R193" s="236" t="s">
        <v>15</v>
      </c>
      <c r="S193" s="236" t="s">
        <v>16</v>
      </c>
      <c r="T193" s="236" t="s">
        <v>343</v>
      </c>
      <c r="U193" s="236" t="s">
        <v>262</v>
      </c>
      <c r="V193" s="236" t="s">
        <v>296</v>
      </c>
      <c r="W193" s="237" t="s">
        <v>296</v>
      </c>
      <c r="X193" s="237" t="s">
        <v>296</v>
      </c>
      <c r="Y193" s="238" t="s">
        <v>296</v>
      </c>
    </row>
    <row r="194" spans="1:25">
      <c r="A194" s="230">
        <v>4</v>
      </c>
      <c r="B194" s="231" t="str">
        <f>VLOOKUP(Tabel10[[#This Row],[Locatiecode]],Ruimtegroepen[[Code]:[Ruimte omschrijving]],2,FALSE)</f>
        <v>Vergader/spreekkamers</v>
      </c>
      <c r="C194" s="232" t="s">
        <v>453</v>
      </c>
      <c r="D194" s="231" t="s">
        <v>14</v>
      </c>
      <c r="E194" s="233" t="s">
        <v>100</v>
      </c>
      <c r="F194" s="232" t="s">
        <v>455</v>
      </c>
      <c r="G194" s="235" t="s">
        <v>15</v>
      </c>
      <c r="H194" s="235" t="s">
        <v>15</v>
      </c>
      <c r="I194" s="234" t="s">
        <v>296</v>
      </c>
      <c r="J194" s="234" t="s">
        <v>296</v>
      </c>
      <c r="K194" s="234" t="s">
        <v>296</v>
      </c>
      <c r="L194" s="234" t="s">
        <v>296</v>
      </c>
      <c r="M194" s="234" t="s">
        <v>296</v>
      </c>
      <c r="N194" s="235" t="s">
        <v>296</v>
      </c>
      <c r="O194" s="236" t="s">
        <v>17</v>
      </c>
      <c r="P194" s="236" t="s">
        <v>17</v>
      </c>
      <c r="Q194" s="236" t="s">
        <v>15</v>
      </c>
      <c r="R194" s="236" t="s">
        <v>15</v>
      </c>
      <c r="S194" s="236" t="s">
        <v>16</v>
      </c>
      <c r="T194" s="236" t="s">
        <v>343</v>
      </c>
      <c r="U194" s="236" t="s">
        <v>262</v>
      </c>
      <c r="V194" s="236" t="s">
        <v>296</v>
      </c>
      <c r="W194" s="237" t="s">
        <v>296</v>
      </c>
      <c r="X194" s="237" t="s">
        <v>296</v>
      </c>
      <c r="Y194" s="238" t="s">
        <v>296</v>
      </c>
    </row>
    <row r="195" spans="1:25">
      <c r="A195" s="230">
        <v>4</v>
      </c>
      <c r="B195" s="231" t="str">
        <f>VLOOKUP(Tabel10[[#This Row],[Locatiecode]],Ruimtegroepen[[Code]:[Ruimte omschrijving]],2,FALSE)</f>
        <v>Vergader/spreekkamers</v>
      </c>
      <c r="C195" s="232" t="s">
        <v>453</v>
      </c>
      <c r="D195" s="231" t="s">
        <v>14</v>
      </c>
      <c r="E195" s="233" t="s">
        <v>1344</v>
      </c>
      <c r="F195" s="232" t="s">
        <v>1428</v>
      </c>
      <c r="G195" s="281" t="s">
        <v>296</v>
      </c>
      <c r="H195" s="234" t="s">
        <v>296</v>
      </c>
      <c r="I195" s="234" t="s">
        <v>15</v>
      </c>
      <c r="J195" s="234" t="s">
        <v>15</v>
      </c>
      <c r="K195" s="234" t="s">
        <v>343</v>
      </c>
      <c r="L195" s="234" t="s">
        <v>296</v>
      </c>
      <c r="M195" s="234" t="s">
        <v>296</v>
      </c>
      <c r="N195" s="235" t="s">
        <v>296</v>
      </c>
      <c r="O195" s="236" t="s">
        <v>17</v>
      </c>
      <c r="P195" s="236" t="s">
        <v>17</v>
      </c>
      <c r="Q195" s="236" t="s">
        <v>15</v>
      </c>
      <c r="R195" s="236" t="s">
        <v>15</v>
      </c>
      <c r="S195" s="236" t="s">
        <v>16</v>
      </c>
      <c r="T195" s="236" t="s">
        <v>343</v>
      </c>
      <c r="U195" s="236" t="s">
        <v>262</v>
      </c>
      <c r="V195" s="236" t="s">
        <v>296</v>
      </c>
      <c r="W195" s="237" t="s">
        <v>296</v>
      </c>
      <c r="X195" s="237" t="s">
        <v>296</v>
      </c>
      <c r="Y195" s="238" t="s">
        <v>296</v>
      </c>
    </row>
    <row r="196" spans="1:25">
      <c r="A196" s="230">
        <v>4</v>
      </c>
      <c r="B196" s="231" t="str">
        <f>VLOOKUP(Tabel10[[#This Row],[Locatiecode]],Ruimtegroepen[[Code]:[Ruimte omschrijving]],2,FALSE)</f>
        <v>Vergader/spreekkamers</v>
      </c>
      <c r="C196" s="232" t="s">
        <v>458</v>
      </c>
      <c r="D196" s="231" t="s">
        <v>13</v>
      </c>
      <c r="E196" s="233" t="s">
        <v>101</v>
      </c>
      <c r="F196" s="232" t="s">
        <v>459</v>
      </c>
      <c r="G196" s="281" t="s">
        <v>296</v>
      </c>
      <c r="H196" s="234" t="s">
        <v>296</v>
      </c>
      <c r="I196" s="234" t="s">
        <v>296</v>
      </c>
      <c r="J196" s="234" t="s">
        <v>15</v>
      </c>
      <c r="K196" s="234" t="s">
        <v>296</v>
      </c>
      <c r="L196" s="234" t="s">
        <v>296</v>
      </c>
      <c r="M196" s="234" t="s">
        <v>296</v>
      </c>
      <c r="N196" s="235" t="s">
        <v>296</v>
      </c>
      <c r="O196" s="236" t="s">
        <v>15</v>
      </c>
      <c r="P196" s="236" t="s">
        <v>15</v>
      </c>
      <c r="Q196" s="236" t="s">
        <v>15</v>
      </c>
      <c r="R196" s="236" t="s">
        <v>15</v>
      </c>
      <c r="S196" s="236" t="s">
        <v>16</v>
      </c>
      <c r="T196" s="236" t="s">
        <v>343</v>
      </c>
      <c r="U196" s="236" t="s">
        <v>262</v>
      </c>
      <c r="V196" s="236" t="s">
        <v>296</v>
      </c>
      <c r="W196" s="237" t="s">
        <v>296</v>
      </c>
      <c r="X196" s="237" t="s">
        <v>296</v>
      </c>
      <c r="Y196" s="238" t="s">
        <v>296</v>
      </c>
    </row>
    <row r="197" spans="1:25">
      <c r="A197" s="230">
        <v>4</v>
      </c>
      <c r="B197" s="231" t="str">
        <f>VLOOKUP(Tabel10[[#This Row],[Locatiecode]],Ruimtegroepen[[Code]:[Ruimte omschrijving]],2,FALSE)</f>
        <v>Vergader/spreekkamers</v>
      </c>
      <c r="C197" s="232" t="s">
        <v>458</v>
      </c>
      <c r="D197" s="231" t="s">
        <v>13</v>
      </c>
      <c r="E197" s="233" t="s">
        <v>100</v>
      </c>
      <c r="F197" s="232" t="s">
        <v>460</v>
      </c>
      <c r="G197" s="281" t="s">
        <v>296</v>
      </c>
      <c r="H197" s="235" t="s">
        <v>15</v>
      </c>
      <c r="I197" s="234" t="s">
        <v>296</v>
      </c>
      <c r="J197" s="234" t="s">
        <v>296</v>
      </c>
      <c r="K197" s="234" t="s">
        <v>296</v>
      </c>
      <c r="L197" s="234" t="s">
        <v>296</v>
      </c>
      <c r="M197" s="234" t="s">
        <v>296</v>
      </c>
      <c r="N197" s="235" t="s">
        <v>296</v>
      </c>
      <c r="O197" s="236" t="s">
        <v>15</v>
      </c>
      <c r="P197" s="236" t="s">
        <v>15</v>
      </c>
      <c r="Q197" s="236" t="s">
        <v>15</v>
      </c>
      <c r="R197" s="236" t="s">
        <v>15</v>
      </c>
      <c r="S197" s="236" t="s">
        <v>16</v>
      </c>
      <c r="T197" s="236" t="s">
        <v>343</v>
      </c>
      <c r="U197" s="236" t="s">
        <v>262</v>
      </c>
      <c r="V197" s="236" t="s">
        <v>296</v>
      </c>
      <c r="W197" s="237" t="s">
        <v>296</v>
      </c>
      <c r="X197" s="237" t="s">
        <v>296</v>
      </c>
      <c r="Y197" s="238" t="s">
        <v>296</v>
      </c>
    </row>
    <row r="198" spans="1:25">
      <c r="A198" s="230">
        <v>4</v>
      </c>
      <c r="B198" s="231" t="str">
        <f>VLOOKUP(Tabel10[[#This Row],[Locatiecode]],Ruimtegroepen[[Code]:[Ruimte omschrijving]],2,FALSE)</f>
        <v>Vergader/spreekkamers</v>
      </c>
      <c r="C198" s="232" t="s">
        <v>458</v>
      </c>
      <c r="D198" s="231" t="s">
        <v>13</v>
      </c>
      <c r="E198" s="233" t="s">
        <v>102</v>
      </c>
      <c r="F198" s="232" t="s">
        <v>461</v>
      </c>
      <c r="G198" s="281" t="s">
        <v>296</v>
      </c>
      <c r="H198" s="234" t="s">
        <v>296</v>
      </c>
      <c r="I198" s="234" t="s">
        <v>296</v>
      </c>
      <c r="J198" s="234" t="s">
        <v>15</v>
      </c>
      <c r="K198" s="234" t="s">
        <v>343</v>
      </c>
      <c r="L198" s="234" t="s">
        <v>296</v>
      </c>
      <c r="M198" s="234" t="s">
        <v>296</v>
      </c>
      <c r="N198" s="235" t="s">
        <v>296</v>
      </c>
      <c r="O198" s="236" t="s">
        <v>15</v>
      </c>
      <c r="P198" s="236" t="s">
        <v>15</v>
      </c>
      <c r="Q198" s="236" t="s">
        <v>15</v>
      </c>
      <c r="R198" s="236" t="s">
        <v>15</v>
      </c>
      <c r="S198" s="236" t="s">
        <v>16</v>
      </c>
      <c r="T198" s="236" t="s">
        <v>343</v>
      </c>
      <c r="U198" s="236" t="s">
        <v>262</v>
      </c>
      <c r="V198" s="236" t="s">
        <v>296</v>
      </c>
      <c r="W198" s="237" t="s">
        <v>296</v>
      </c>
      <c r="X198" s="237" t="s">
        <v>296</v>
      </c>
      <c r="Y198" s="238" t="s">
        <v>296</v>
      </c>
    </row>
    <row r="199" spans="1:25">
      <c r="A199" s="230">
        <v>4</v>
      </c>
      <c r="B199" s="231" t="str">
        <f>VLOOKUP(Tabel10[[#This Row],[Locatiecode]],Ruimtegroepen[[Code]:[Ruimte omschrijving]],2,FALSE)</f>
        <v>Vergader/spreekkamers</v>
      </c>
      <c r="C199" s="232" t="s">
        <v>458</v>
      </c>
      <c r="D199" s="231" t="s">
        <v>13</v>
      </c>
      <c r="E199" s="233" t="s">
        <v>103</v>
      </c>
      <c r="F199" s="232" t="s">
        <v>462</v>
      </c>
      <c r="G199" s="281" t="s">
        <v>296</v>
      </c>
      <c r="H199" s="234" t="s">
        <v>296</v>
      </c>
      <c r="I199" s="234" t="s">
        <v>296</v>
      </c>
      <c r="J199" s="234" t="s">
        <v>15</v>
      </c>
      <c r="K199" s="234" t="s">
        <v>343</v>
      </c>
      <c r="L199" s="234" t="s">
        <v>296</v>
      </c>
      <c r="M199" s="234" t="s">
        <v>296</v>
      </c>
      <c r="N199" s="235" t="s">
        <v>296</v>
      </c>
      <c r="O199" s="236" t="s">
        <v>15</v>
      </c>
      <c r="P199" s="236" t="s">
        <v>15</v>
      </c>
      <c r="Q199" s="236" t="s">
        <v>15</v>
      </c>
      <c r="R199" s="236" t="s">
        <v>15</v>
      </c>
      <c r="S199" s="236" t="s">
        <v>16</v>
      </c>
      <c r="T199" s="236" t="s">
        <v>343</v>
      </c>
      <c r="U199" s="236" t="s">
        <v>262</v>
      </c>
      <c r="V199" s="236" t="s">
        <v>296</v>
      </c>
      <c r="W199" s="237" t="s">
        <v>296</v>
      </c>
      <c r="X199" s="237" t="s">
        <v>296</v>
      </c>
      <c r="Y199" s="238" t="s">
        <v>296</v>
      </c>
    </row>
    <row r="200" spans="1:25">
      <c r="A200" s="230">
        <v>4</v>
      </c>
      <c r="B200" s="231" t="str">
        <f>VLOOKUP(Tabel10[[#This Row],[Locatiecode]],Ruimtegroepen[[Code]:[Ruimte omschrijving]],2,FALSE)</f>
        <v>Vergader/spreekkamers</v>
      </c>
      <c r="C200" s="232" t="s">
        <v>458</v>
      </c>
      <c r="D200" s="231" t="s">
        <v>13</v>
      </c>
      <c r="E200" s="233" t="s">
        <v>100</v>
      </c>
      <c r="F200" s="232" t="s">
        <v>460</v>
      </c>
      <c r="G200" s="281" t="s">
        <v>296</v>
      </c>
      <c r="H200" s="235" t="s">
        <v>15</v>
      </c>
      <c r="I200" s="234" t="s">
        <v>296</v>
      </c>
      <c r="J200" s="234" t="s">
        <v>296</v>
      </c>
      <c r="K200" s="234" t="s">
        <v>296</v>
      </c>
      <c r="L200" s="234" t="s">
        <v>296</v>
      </c>
      <c r="M200" s="234" t="s">
        <v>296</v>
      </c>
      <c r="N200" s="235" t="s">
        <v>296</v>
      </c>
      <c r="O200" s="236" t="s">
        <v>15</v>
      </c>
      <c r="P200" s="236" t="s">
        <v>15</v>
      </c>
      <c r="Q200" s="236" t="s">
        <v>15</v>
      </c>
      <c r="R200" s="236" t="s">
        <v>15</v>
      </c>
      <c r="S200" s="236" t="s">
        <v>16</v>
      </c>
      <c r="T200" s="236" t="s">
        <v>343</v>
      </c>
      <c r="U200" s="236" t="s">
        <v>262</v>
      </c>
      <c r="V200" s="236" t="s">
        <v>296</v>
      </c>
      <c r="W200" s="237" t="s">
        <v>296</v>
      </c>
      <c r="X200" s="237" t="s">
        <v>296</v>
      </c>
      <c r="Y200" s="238" t="s">
        <v>296</v>
      </c>
    </row>
    <row r="201" spans="1:25">
      <c r="A201" s="230">
        <v>4</v>
      </c>
      <c r="B201" s="231" t="str">
        <f>VLOOKUP(Tabel10[[#This Row],[Locatiecode]],Ruimtegroepen[[Code]:[Ruimte omschrijving]],2,FALSE)</f>
        <v>Vergader/spreekkamers</v>
      </c>
      <c r="C201" s="232" t="s">
        <v>458</v>
      </c>
      <c r="D201" s="231" t="s">
        <v>13</v>
      </c>
      <c r="E201" s="233" t="s">
        <v>1344</v>
      </c>
      <c r="F201" s="232" t="s">
        <v>1395</v>
      </c>
      <c r="G201" s="281" t="s">
        <v>296</v>
      </c>
      <c r="H201" s="234" t="s">
        <v>296</v>
      </c>
      <c r="I201" s="234" t="s">
        <v>296</v>
      </c>
      <c r="J201" s="234" t="s">
        <v>15</v>
      </c>
      <c r="K201" s="234" t="s">
        <v>343</v>
      </c>
      <c r="L201" s="234" t="s">
        <v>296</v>
      </c>
      <c r="M201" s="234" t="s">
        <v>296</v>
      </c>
      <c r="N201" s="235" t="s">
        <v>296</v>
      </c>
      <c r="O201" s="236" t="s">
        <v>15</v>
      </c>
      <c r="P201" s="236" t="s">
        <v>15</v>
      </c>
      <c r="Q201" s="236" t="s">
        <v>15</v>
      </c>
      <c r="R201" s="236" t="s">
        <v>15</v>
      </c>
      <c r="S201" s="236" t="s">
        <v>16</v>
      </c>
      <c r="T201" s="236" t="s">
        <v>343</v>
      </c>
      <c r="U201" s="236" t="s">
        <v>262</v>
      </c>
      <c r="V201" s="236" t="s">
        <v>296</v>
      </c>
      <c r="W201" s="237" t="s">
        <v>296</v>
      </c>
      <c r="X201" s="237" t="s">
        <v>296</v>
      </c>
      <c r="Y201" s="238" t="s">
        <v>296</v>
      </c>
    </row>
    <row r="202" spans="1:25">
      <c r="A202" s="230">
        <v>4</v>
      </c>
      <c r="B202" s="231" t="str">
        <f>VLOOKUP(Tabel10[[#This Row],[Locatiecode]],Ruimtegroepen[[Code]:[Ruimte omschrijving]],2,FALSE)</f>
        <v>Vergader/spreekkamers</v>
      </c>
      <c r="C202" s="232" t="s">
        <v>463</v>
      </c>
      <c r="D202" s="231" t="s">
        <v>0</v>
      </c>
      <c r="E202" s="233" t="s">
        <v>101</v>
      </c>
      <c r="F202" s="232" t="s">
        <v>464</v>
      </c>
      <c r="G202" s="281" t="s">
        <v>296</v>
      </c>
      <c r="H202" s="234" t="s">
        <v>296</v>
      </c>
      <c r="I202" s="234" t="s">
        <v>16</v>
      </c>
      <c r="J202" s="234" t="s">
        <v>296</v>
      </c>
      <c r="K202" s="234" t="s">
        <v>296</v>
      </c>
      <c r="L202" s="234" t="s">
        <v>296</v>
      </c>
      <c r="M202" s="234" t="s">
        <v>296</v>
      </c>
      <c r="N202" s="235" t="s">
        <v>296</v>
      </c>
      <c r="O202" s="236" t="s">
        <v>16</v>
      </c>
      <c r="P202" s="236" t="s">
        <v>16</v>
      </c>
      <c r="Q202" s="236" t="s">
        <v>16</v>
      </c>
      <c r="R202" s="236" t="s">
        <v>16</v>
      </c>
      <c r="S202" s="236" t="s">
        <v>16</v>
      </c>
      <c r="T202" s="236" t="s">
        <v>343</v>
      </c>
      <c r="U202" s="236" t="s">
        <v>262</v>
      </c>
      <c r="V202" s="236" t="s">
        <v>296</v>
      </c>
      <c r="W202" s="237" t="s">
        <v>296</v>
      </c>
      <c r="X202" s="237" t="s">
        <v>296</v>
      </c>
      <c r="Y202" s="238" t="s">
        <v>296</v>
      </c>
    </row>
    <row r="203" spans="1:25">
      <c r="A203" s="230">
        <v>4</v>
      </c>
      <c r="B203" s="231" t="str">
        <f>VLOOKUP(Tabel10[[#This Row],[Locatiecode]],Ruimtegroepen[[Code]:[Ruimte omschrijving]],2,FALSE)</f>
        <v>Vergader/spreekkamers</v>
      </c>
      <c r="C203" s="232" t="s">
        <v>463</v>
      </c>
      <c r="D203" s="231" t="s">
        <v>0</v>
      </c>
      <c r="E203" s="233" t="s">
        <v>100</v>
      </c>
      <c r="F203" s="232" t="s">
        <v>465</v>
      </c>
      <c r="G203" s="281" t="s">
        <v>296</v>
      </c>
      <c r="H203" s="235" t="s">
        <v>16</v>
      </c>
      <c r="I203" s="234" t="s">
        <v>296</v>
      </c>
      <c r="J203" s="234" t="s">
        <v>296</v>
      </c>
      <c r="K203" s="234" t="s">
        <v>296</v>
      </c>
      <c r="L203" s="234" t="s">
        <v>296</v>
      </c>
      <c r="M203" s="234" t="s">
        <v>296</v>
      </c>
      <c r="N203" s="235" t="s">
        <v>296</v>
      </c>
      <c r="O203" s="236" t="s">
        <v>16</v>
      </c>
      <c r="P203" s="236" t="s">
        <v>16</v>
      </c>
      <c r="Q203" s="236" t="s">
        <v>16</v>
      </c>
      <c r="R203" s="236" t="s">
        <v>16</v>
      </c>
      <c r="S203" s="236" t="s">
        <v>16</v>
      </c>
      <c r="T203" s="236" t="s">
        <v>343</v>
      </c>
      <c r="U203" s="236" t="s">
        <v>262</v>
      </c>
      <c r="V203" s="236" t="s">
        <v>296</v>
      </c>
      <c r="W203" s="237" t="s">
        <v>296</v>
      </c>
      <c r="X203" s="237" t="s">
        <v>296</v>
      </c>
      <c r="Y203" s="238" t="s">
        <v>296</v>
      </c>
    </row>
    <row r="204" spans="1:25">
      <c r="A204" s="230">
        <v>4</v>
      </c>
      <c r="B204" s="231" t="str">
        <f>VLOOKUP(Tabel10[[#This Row],[Locatiecode]],Ruimtegroepen[[Code]:[Ruimte omschrijving]],2,FALSE)</f>
        <v>Vergader/spreekkamers</v>
      </c>
      <c r="C204" s="232" t="s">
        <v>463</v>
      </c>
      <c r="D204" s="231" t="s">
        <v>0</v>
      </c>
      <c r="E204" s="233" t="s">
        <v>102</v>
      </c>
      <c r="F204" s="232" t="s">
        <v>466</v>
      </c>
      <c r="G204" s="281" t="s">
        <v>296</v>
      </c>
      <c r="H204" s="234" t="s">
        <v>296</v>
      </c>
      <c r="I204" s="234" t="s">
        <v>296</v>
      </c>
      <c r="J204" s="234" t="s">
        <v>16</v>
      </c>
      <c r="K204" s="234" t="s">
        <v>343</v>
      </c>
      <c r="L204" s="234" t="s">
        <v>296</v>
      </c>
      <c r="M204" s="234" t="s">
        <v>296</v>
      </c>
      <c r="N204" s="235" t="s">
        <v>296</v>
      </c>
      <c r="O204" s="236" t="s">
        <v>16</v>
      </c>
      <c r="P204" s="236" t="s">
        <v>16</v>
      </c>
      <c r="Q204" s="236" t="s">
        <v>16</v>
      </c>
      <c r="R204" s="236" t="s">
        <v>16</v>
      </c>
      <c r="S204" s="236" t="s">
        <v>16</v>
      </c>
      <c r="T204" s="236" t="s">
        <v>343</v>
      </c>
      <c r="U204" s="236" t="s">
        <v>262</v>
      </c>
      <c r="V204" s="236" t="s">
        <v>296</v>
      </c>
      <c r="W204" s="237" t="s">
        <v>296</v>
      </c>
      <c r="X204" s="237" t="s">
        <v>296</v>
      </c>
      <c r="Y204" s="238" t="s">
        <v>296</v>
      </c>
    </row>
    <row r="205" spans="1:25">
      <c r="A205" s="230">
        <v>4</v>
      </c>
      <c r="B205" s="231" t="str">
        <f>VLOOKUP(Tabel10[[#This Row],[Locatiecode]],Ruimtegroepen[[Code]:[Ruimte omschrijving]],2,FALSE)</f>
        <v>Vergader/spreekkamers</v>
      </c>
      <c r="C205" s="232" t="s">
        <v>463</v>
      </c>
      <c r="D205" s="231" t="s">
        <v>0</v>
      </c>
      <c r="E205" s="233" t="s">
        <v>103</v>
      </c>
      <c r="F205" s="232" t="s">
        <v>467</v>
      </c>
      <c r="G205" s="281" t="s">
        <v>296</v>
      </c>
      <c r="H205" s="234" t="s">
        <v>296</v>
      </c>
      <c r="I205" s="234" t="s">
        <v>16</v>
      </c>
      <c r="J205" s="234" t="s">
        <v>296</v>
      </c>
      <c r="K205" s="234" t="s">
        <v>343</v>
      </c>
      <c r="L205" s="234" t="s">
        <v>296</v>
      </c>
      <c r="M205" s="234" t="s">
        <v>296</v>
      </c>
      <c r="N205" s="235" t="s">
        <v>296</v>
      </c>
      <c r="O205" s="236" t="s">
        <v>16</v>
      </c>
      <c r="P205" s="236" t="s">
        <v>16</v>
      </c>
      <c r="Q205" s="236" t="s">
        <v>16</v>
      </c>
      <c r="R205" s="236" t="s">
        <v>16</v>
      </c>
      <c r="S205" s="236" t="s">
        <v>16</v>
      </c>
      <c r="T205" s="236" t="s">
        <v>343</v>
      </c>
      <c r="U205" s="236" t="s">
        <v>262</v>
      </c>
      <c r="V205" s="236" t="s">
        <v>296</v>
      </c>
      <c r="W205" s="237" t="s">
        <v>296</v>
      </c>
      <c r="X205" s="237" t="s">
        <v>296</v>
      </c>
      <c r="Y205" s="238" t="s">
        <v>296</v>
      </c>
    </row>
    <row r="206" spans="1:25">
      <c r="A206" s="230">
        <v>4</v>
      </c>
      <c r="B206" s="231" t="str">
        <f>VLOOKUP(Tabel10[[#This Row],[Locatiecode]],Ruimtegroepen[[Code]:[Ruimte omschrijving]],2,FALSE)</f>
        <v>Vergader/spreekkamers</v>
      </c>
      <c r="C206" s="232" t="s">
        <v>463</v>
      </c>
      <c r="D206" s="231" t="s">
        <v>0</v>
      </c>
      <c r="E206" s="233" t="s">
        <v>100</v>
      </c>
      <c r="F206" s="232" t="s">
        <v>465</v>
      </c>
      <c r="G206" s="281" t="s">
        <v>296</v>
      </c>
      <c r="H206" s="235" t="s">
        <v>16</v>
      </c>
      <c r="I206" s="234" t="s">
        <v>296</v>
      </c>
      <c r="J206" s="234" t="s">
        <v>296</v>
      </c>
      <c r="K206" s="234" t="s">
        <v>296</v>
      </c>
      <c r="L206" s="234" t="s">
        <v>296</v>
      </c>
      <c r="M206" s="234" t="s">
        <v>296</v>
      </c>
      <c r="N206" s="235" t="s">
        <v>296</v>
      </c>
      <c r="O206" s="236" t="s">
        <v>16</v>
      </c>
      <c r="P206" s="236" t="s">
        <v>16</v>
      </c>
      <c r="Q206" s="236" t="s">
        <v>16</v>
      </c>
      <c r="R206" s="236" t="s">
        <v>16</v>
      </c>
      <c r="S206" s="236" t="s">
        <v>16</v>
      </c>
      <c r="T206" s="236" t="s">
        <v>343</v>
      </c>
      <c r="U206" s="236" t="s">
        <v>262</v>
      </c>
      <c r="V206" s="236" t="s">
        <v>296</v>
      </c>
      <c r="W206" s="237" t="s">
        <v>296</v>
      </c>
      <c r="X206" s="237" t="s">
        <v>296</v>
      </c>
      <c r="Y206" s="238" t="s">
        <v>296</v>
      </c>
    </row>
    <row r="207" spans="1:25">
      <c r="A207" s="230">
        <v>4</v>
      </c>
      <c r="B207" s="231" t="str">
        <f>VLOOKUP(Tabel10[[#This Row],[Locatiecode]],Ruimtegroepen[[Code]:[Ruimte omschrijving]],2,FALSE)</f>
        <v>Vergader/spreekkamers</v>
      </c>
      <c r="C207" s="232" t="s">
        <v>463</v>
      </c>
      <c r="D207" s="231" t="s">
        <v>0</v>
      </c>
      <c r="E207" s="233" t="s">
        <v>1344</v>
      </c>
      <c r="F207" s="232" t="s">
        <v>1379</v>
      </c>
      <c r="G207" s="281" t="s">
        <v>296</v>
      </c>
      <c r="H207" s="234" t="s">
        <v>296</v>
      </c>
      <c r="I207" s="234" t="s">
        <v>16</v>
      </c>
      <c r="J207" s="234" t="s">
        <v>296</v>
      </c>
      <c r="K207" s="234" t="s">
        <v>343</v>
      </c>
      <c r="L207" s="234" t="s">
        <v>296</v>
      </c>
      <c r="M207" s="234" t="s">
        <v>296</v>
      </c>
      <c r="N207" s="235" t="s">
        <v>296</v>
      </c>
      <c r="O207" s="236" t="s">
        <v>16</v>
      </c>
      <c r="P207" s="236" t="s">
        <v>16</v>
      </c>
      <c r="Q207" s="236" t="s">
        <v>16</v>
      </c>
      <c r="R207" s="236" t="s">
        <v>16</v>
      </c>
      <c r="S207" s="236" t="s">
        <v>16</v>
      </c>
      <c r="T207" s="236" t="s">
        <v>343</v>
      </c>
      <c r="U207" s="236" t="s">
        <v>262</v>
      </c>
      <c r="V207" s="236" t="s">
        <v>296</v>
      </c>
      <c r="W207" s="237" t="s">
        <v>296</v>
      </c>
      <c r="X207" s="237" t="s">
        <v>296</v>
      </c>
      <c r="Y207" s="238" t="s">
        <v>296</v>
      </c>
    </row>
    <row r="208" spans="1:25">
      <c r="A208" s="230">
        <v>4</v>
      </c>
      <c r="B208" s="231" t="str">
        <f>VLOOKUP(Tabel10[[#This Row],[Locatiecode]],Ruimtegroepen[[Code]:[Ruimte omschrijving]],2,FALSE)</f>
        <v>Vergader/spreekkamers</v>
      </c>
      <c r="C208" s="232" t="s">
        <v>468</v>
      </c>
      <c r="D208" s="231" t="s">
        <v>27</v>
      </c>
      <c r="E208" s="233" t="s">
        <v>101</v>
      </c>
      <c r="F208" s="232" t="s">
        <v>469</v>
      </c>
      <c r="G208" s="281" t="s">
        <v>296</v>
      </c>
      <c r="H208" s="234" t="s">
        <v>296</v>
      </c>
      <c r="I208" s="234" t="s">
        <v>15</v>
      </c>
      <c r="J208" s="234" t="s">
        <v>296</v>
      </c>
      <c r="K208" s="234" t="s">
        <v>296</v>
      </c>
      <c r="L208" s="234" t="s">
        <v>296</v>
      </c>
      <c r="M208" s="234" t="s">
        <v>296</v>
      </c>
      <c r="N208" s="235" t="s">
        <v>296</v>
      </c>
      <c r="O208" s="236" t="s">
        <v>15</v>
      </c>
      <c r="P208" s="236" t="s">
        <v>15</v>
      </c>
      <c r="Q208" s="236" t="s">
        <v>15</v>
      </c>
      <c r="R208" s="236" t="s">
        <v>296</v>
      </c>
      <c r="S208" s="236" t="s">
        <v>296</v>
      </c>
      <c r="T208" s="236" t="s">
        <v>296</v>
      </c>
      <c r="U208" s="236" t="s">
        <v>296</v>
      </c>
      <c r="V208" s="236" t="s">
        <v>296</v>
      </c>
      <c r="W208" s="237" t="s">
        <v>296</v>
      </c>
      <c r="X208" s="237" t="s">
        <v>296</v>
      </c>
      <c r="Y208" s="238" t="s">
        <v>296</v>
      </c>
    </row>
    <row r="209" spans="1:25">
      <c r="A209" s="230">
        <v>4</v>
      </c>
      <c r="B209" s="231" t="str">
        <f>VLOOKUP(Tabel10[[#This Row],[Locatiecode]],Ruimtegroepen[[Code]:[Ruimte omschrijving]],2,FALSE)</f>
        <v>Vergader/spreekkamers</v>
      </c>
      <c r="C209" s="232" t="s">
        <v>468</v>
      </c>
      <c r="D209" s="231" t="s">
        <v>27</v>
      </c>
      <c r="E209" s="233" t="s">
        <v>100</v>
      </c>
      <c r="F209" s="232" t="s">
        <v>470</v>
      </c>
      <c r="G209" s="281" t="s">
        <v>296</v>
      </c>
      <c r="H209" s="235" t="s">
        <v>15</v>
      </c>
      <c r="I209" s="234" t="s">
        <v>296</v>
      </c>
      <c r="J209" s="234" t="s">
        <v>296</v>
      </c>
      <c r="K209" s="234" t="s">
        <v>296</v>
      </c>
      <c r="L209" s="234" t="s">
        <v>296</v>
      </c>
      <c r="M209" s="234" t="s">
        <v>296</v>
      </c>
      <c r="N209" s="235" t="s">
        <v>296</v>
      </c>
      <c r="O209" s="236" t="s">
        <v>15</v>
      </c>
      <c r="P209" s="236" t="s">
        <v>15</v>
      </c>
      <c r="Q209" s="236" t="s">
        <v>15</v>
      </c>
      <c r="R209" s="236" t="s">
        <v>296</v>
      </c>
      <c r="S209" s="236" t="s">
        <v>296</v>
      </c>
      <c r="T209" s="236" t="s">
        <v>296</v>
      </c>
      <c r="U209" s="236" t="s">
        <v>296</v>
      </c>
      <c r="V209" s="236" t="s">
        <v>296</v>
      </c>
      <c r="W209" s="237" t="s">
        <v>296</v>
      </c>
      <c r="X209" s="237" t="s">
        <v>296</v>
      </c>
      <c r="Y209" s="238" t="s">
        <v>296</v>
      </c>
    </row>
    <row r="210" spans="1:25">
      <c r="A210" s="230">
        <v>4</v>
      </c>
      <c r="B210" s="231" t="str">
        <f>VLOOKUP(Tabel10[[#This Row],[Locatiecode]],Ruimtegroepen[[Code]:[Ruimte omschrijving]],2,FALSE)</f>
        <v>Vergader/spreekkamers</v>
      </c>
      <c r="C210" s="232" t="s">
        <v>468</v>
      </c>
      <c r="D210" s="231" t="s">
        <v>27</v>
      </c>
      <c r="E210" s="233" t="s">
        <v>102</v>
      </c>
      <c r="F210" s="232" t="s">
        <v>471</v>
      </c>
      <c r="G210" s="281" t="s">
        <v>296</v>
      </c>
      <c r="H210" s="234" t="s">
        <v>296</v>
      </c>
      <c r="I210" s="234" t="s">
        <v>15</v>
      </c>
      <c r="J210" s="234" t="s">
        <v>296</v>
      </c>
      <c r="K210" s="234" t="s">
        <v>296</v>
      </c>
      <c r="L210" s="234" t="s">
        <v>296</v>
      </c>
      <c r="M210" s="234" t="s">
        <v>296</v>
      </c>
      <c r="N210" s="235" t="s">
        <v>296</v>
      </c>
      <c r="O210" s="236" t="s">
        <v>15</v>
      </c>
      <c r="P210" s="236" t="s">
        <v>15</v>
      </c>
      <c r="Q210" s="236" t="s">
        <v>15</v>
      </c>
      <c r="R210" s="236" t="s">
        <v>296</v>
      </c>
      <c r="S210" s="236" t="s">
        <v>296</v>
      </c>
      <c r="T210" s="236" t="s">
        <v>296</v>
      </c>
      <c r="U210" s="236" t="s">
        <v>296</v>
      </c>
      <c r="V210" s="236" t="s">
        <v>296</v>
      </c>
      <c r="W210" s="237" t="s">
        <v>296</v>
      </c>
      <c r="X210" s="237" t="s">
        <v>296</v>
      </c>
      <c r="Y210" s="238" t="s">
        <v>296</v>
      </c>
    </row>
    <row r="211" spans="1:25">
      <c r="A211" s="230">
        <v>4</v>
      </c>
      <c r="B211" s="231" t="str">
        <f>VLOOKUP(Tabel10[[#This Row],[Locatiecode]],Ruimtegroepen[[Code]:[Ruimte omschrijving]],2,FALSE)</f>
        <v>Vergader/spreekkamers</v>
      </c>
      <c r="C211" s="232" t="s">
        <v>468</v>
      </c>
      <c r="D211" s="231" t="s">
        <v>27</v>
      </c>
      <c r="E211" s="233" t="s">
        <v>103</v>
      </c>
      <c r="F211" s="232" t="s">
        <v>472</v>
      </c>
      <c r="G211" s="281" t="s">
        <v>296</v>
      </c>
      <c r="H211" s="234" t="s">
        <v>296</v>
      </c>
      <c r="I211" s="234" t="s">
        <v>15</v>
      </c>
      <c r="J211" s="234" t="s">
        <v>296</v>
      </c>
      <c r="K211" s="234" t="s">
        <v>296</v>
      </c>
      <c r="L211" s="234" t="s">
        <v>296</v>
      </c>
      <c r="M211" s="234" t="s">
        <v>296</v>
      </c>
      <c r="N211" s="235" t="s">
        <v>296</v>
      </c>
      <c r="O211" s="236" t="s">
        <v>15</v>
      </c>
      <c r="P211" s="236" t="s">
        <v>15</v>
      </c>
      <c r="Q211" s="236" t="s">
        <v>15</v>
      </c>
      <c r="R211" s="236" t="s">
        <v>296</v>
      </c>
      <c r="S211" s="236" t="s">
        <v>296</v>
      </c>
      <c r="T211" s="236" t="s">
        <v>296</v>
      </c>
      <c r="U211" s="236" t="s">
        <v>296</v>
      </c>
      <c r="V211" s="236" t="s">
        <v>296</v>
      </c>
      <c r="W211" s="237" t="s">
        <v>296</v>
      </c>
      <c r="X211" s="237" t="s">
        <v>296</v>
      </c>
      <c r="Y211" s="238" t="s">
        <v>296</v>
      </c>
    </row>
    <row r="212" spans="1:25">
      <c r="A212" s="230">
        <v>4</v>
      </c>
      <c r="B212" s="231" t="str">
        <f>VLOOKUP(Tabel10[[#This Row],[Locatiecode]],Ruimtegroepen[[Code]:[Ruimte omschrijving]],2,FALSE)</f>
        <v>Vergader/spreekkamers</v>
      </c>
      <c r="C212" s="232" t="s">
        <v>468</v>
      </c>
      <c r="D212" s="231" t="s">
        <v>27</v>
      </c>
      <c r="E212" s="233" t="s">
        <v>100</v>
      </c>
      <c r="F212" s="232" t="s">
        <v>470</v>
      </c>
      <c r="G212" s="281" t="s">
        <v>296</v>
      </c>
      <c r="H212" s="235" t="s">
        <v>15</v>
      </c>
      <c r="I212" s="234" t="s">
        <v>296</v>
      </c>
      <c r="J212" s="234" t="s">
        <v>296</v>
      </c>
      <c r="K212" s="234" t="s">
        <v>296</v>
      </c>
      <c r="L212" s="234" t="s">
        <v>296</v>
      </c>
      <c r="M212" s="234" t="s">
        <v>296</v>
      </c>
      <c r="N212" s="235" t="s">
        <v>296</v>
      </c>
      <c r="O212" s="236" t="s">
        <v>15</v>
      </c>
      <c r="P212" s="236" t="s">
        <v>15</v>
      </c>
      <c r="Q212" s="236" t="s">
        <v>15</v>
      </c>
      <c r="R212" s="236" t="s">
        <v>296</v>
      </c>
      <c r="S212" s="236" t="s">
        <v>296</v>
      </c>
      <c r="T212" s="236" t="s">
        <v>296</v>
      </c>
      <c r="U212" s="236" t="s">
        <v>296</v>
      </c>
      <c r="V212" s="236" t="s">
        <v>296</v>
      </c>
      <c r="W212" s="237" t="s">
        <v>296</v>
      </c>
      <c r="X212" s="237" t="s">
        <v>296</v>
      </c>
      <c r="Y212" s="238" t="s">
        <v>296</v>
      </c>
    </row>
    <row r="213" spans="1:25">
      <c r="A213" s="230">
        <v>4</v>
      </c>
      <c r="B213" s="231" t="str">
        <f>VLOOKUP(Tabel10[[#This Row],[Locatiecode]],Ruimtegroepen[[Code]:[Ruimte omschrijving]],2,FALSE)</f>
        <v>Vergader/spreekkamers</v>
      </c>
      <c r="C213" s="232" t="s">
        <v>468</v>
      </c>
      <c r="D213" s="231" t="s">
        <v>27</v>
      </c>
      <c r="E213" s="233" t="s">
        <v>1344</v>
      </c>
      <c r="F213" s="232" t="s">
        <v>1412</v>
      </c>
      <c r="G213" s="281" t="s">
        <v>296</v>
      </c>
      <c r="H213" s="234" t="s">
        <v>296</v>
      </c>
      <c r="I213" s="234" t="s">
        <v>15</v>
      </c>
      <c r="J213" s="234" t="s">
        <v>296</v>
      </c>
      <c r="K213" s="234" t="s">
        <v>296</v>
      </c>
      <c r="L213" s="234" t="s">
        <v>296</v>
      </c>
      <c r="M213" s="234" t="s">
        <v>296</v>
      </c>
      <c r="N213" s="235" t="s">
        <v>296</v>
      </c>
      <c r="O213" s="236" t="s">
        <v>15</v>
      </c>
      <c r="P213" s="236" t="s">
        <v>15</v>
      </c>
      <c r="Q213" s="236" t="s">
        <v>15</v>
      </c>
      <c r="R213" s="236" t="s">
        <v>296</v>
      </c>
      <c r="S213" s="236" t="s">
        <v>296</v>
      </c>
      <c r="T213" s="236" t="s">
        <v>296</v>
      </c>
      <c r="U213" s="236" t="s">
        <v>296</v>
      </c>
      <c r="V213" s="236" t="s">
        <v>296</v>
      </c>
      <c r="W213" s="237" t="s">
        <v>296</v>
      </c>
      <c r="X213" s="237" t="s">
        <v>296</v>
      </c>
      <c r="Y213" s="238" t="s">
        <v>296</v>
      </c>
    </row>
    <row r="214" spans="1:25">
      <c r="A214" s="230">
        <v>4</v>
      </c>
      <c r="B214" s="231" t="str">
        <f>VLOOKUP(Tabel10[[#This Row],[Locatiecode]],Ruimtegroepen[[Code]:[Ruimte omschrijving]],2,FALSE)</f>
        <v>Vergader/spreekkamers</v>
      </c>
      <c r="C214" s="232" t="s">
        <v>473</v>
      </c>
      <c r="D214" s="231" t="s">
        <v>28</v>
      </c>
      <c r="E214" s="233" t="s">
        <v>101</v>
      </c>
      <c r="F214" s="232" t="s">
        <v>474</v>
      </c>
      <c r="G214" s="281" t="s">
        <v>296</v>
      </c>
      <c r="H214" s="234" t="s">
        <v>296</v>
      </c>
      <c r="I214" s="234" t="s">
        <v>17</v>
      </c>
      <c r="J214" s="234" t="s">
        <v>296</v>
      </c>
      <c r="K214" s="234" t="s">
        <v>296</v>
      </c>
      <c r="L214" s="234" t="s">
        <v>296</v>
      </c>
      <c r="M214" s="234" t="s">
        <v>296</v>
      </c>
      <c r="N214" s="235" t="s">
        <v>296</v>
      </c>
      <c r="O214" s="236" t="s">
        <v>17</v>
      </c>
      <c r="P214" s="236" t="s">
        <v>17</v>
      </c>
      <c r="Q214" s="236" t="s">
        <v>15</v>
      </c>
      <c r="R214" s="236" t="s">
        <v>296</v>
      </c>
      <c r="S214" s="236" t="s">
        <v>296</v>
      </c>
      <c r="T214" s="236" t="s">
        <v>296</v>
      </c>
      <c r="U214" s="236" t="s">
        <v>296</v>
      </c>
      <c r="V214" s="236" t="s">
        <v>296</v>
      </c>
      <c r="W214" s="237" t="s">
        <v>296</v>
      </c>
      <c r="X214" s="237" t="s">
        <v>296</v>
      </c>
      <c r="Y214" s="238" t="s">
        <v>296</v>
      </c>
    </row>
    <row r="215" spans="1:25">
      <c r="A215" s="230">
        <v>4</v>
      </c>
      <c r="B215" s="231" t="str">
        <f>VLOOKUP(Tabel10[[#This Row],[Locatiecode]],Ruimtegroepen[[Code]:[Ruimte omschrijving]],2,FALSE)</f>
        <v>Vergader/spreekkamers</v>
      </c>
      <c r="C215" s="232" t="s">
        <v>473</v>
      </c>
      <c r="D215" s="231" t="s">
        <v>28</v>
      </c>
      <c r="E215" s="233" t="s">
        <v>100</v>
      </c>
      <c r="F215" s="232" t="s">
        <v>475</v>
      </c>
      <c r="G215" s="281" t="s">
        <v>296</v>
      </c>
      <c r="H215" s="235" t="s">
        <v>17</v>
      </c>
      <c r="I215" s="234" t="s">
        <v>296</v>
      </c>
      <c r="J215" s="234" t="s">
        <v>296</v>
      </c>
      <c r="K215" s="234" t="s">
        <v>296</v>
      </c>
      <c r="L215" s="234" t="s">
        <v>296</v>
      </c>
      <c r="M215" s="234" t="s">
        <v>296</v>
      </c>
      <c r="N215" s="235" t="s">
        <v>296</v>
      </c>
      <c r="O215" s="236" t="s">
        <v>17</v>
      </c>
      <c r="P215" s="236" t="s">
        <v>17</v>
      </c>
      <c r="Q215" s="236" t="s">
        <v>15</v>
      </c>
      <c r="R215" s="236" t="s">
        <v>296</v>
      </c>
      <c r="S215" s="236" t="s">
        <v>296</v>
      </c>
      <c r="T215" s="236" t="s">
        <v>296</v>
      </c>
      <c r="U215" s="236" t="s">
        <v>296</v>
      </c>
      <c r="V215" s="236" t="s">
        <v>296</v>
      </c>
      <c r="W215" s="237" t="s">
        <v>296</v>
      </c>
      <c r="X215" s="237" t="s">
        <v>296</v>
      </c>
      <c r="Y215" s="238" t="s">
        <v>296</v>
      </c>
    </row>
    <row r="216" spans="1:25">
      <c r="A216" s="230">
        <v>4</v>
      </c>
      <c r="B216" s="231" t="str">
        <f>VLOOKUP(Tabel10[[#This Row],[Locatiecode]],Ruimtegroepen[[Code]:[Ruimte omschrijving]],2,FALSE)</f>
        <v>Vergader/spreekkamers</v>
      </c>
      <c r="C216" s="232" t="s">
        <v>473</v>
      </c>
      <c r="D216" s="231" t="s">
        <v>28</v>
      </c>
      <c r="E216" s="233" t="s">
        <v>102</v>
      </c>
      <c r="F216" s="232" t="s">
        <v>476</v>
      </c>
      <c r="G216" s="281" t="s">
        <v>296</v>
      </c>
      <c r="H216" s="234" t="s">
        <v>296</v>
      </c>
      <c r="I216" s="234" t="s">
        <v>17</v>
      </c>
      <c r="J216" s="234" t="s">
        <v>296</v>
      </c>
      <c r="K216" s="234" t="s">
        <v>296</v>
      </c>
      <c r="L216" s="234" t="s">
        <v>296</v>
      </c>
      <c r="M216" s="234" t="s">
        <v>296</v>
      </c>
      <c r="N216" s="235" t="s">
        <v>296</v>
      </c>
      <c r="O216" s="236" t="s">
        <v>17</v>
      </c>
      <c r="P216" s="236" t="s">
        <v>17</v>
      </c>
      <c r="Q216" s="236" t="s">
        <v>15</v>
      </c>
      <c r="R216" s="236" t="s">
        <v>296</v>
      </c>
      <c r="S216" s="236" t="s">
        <v>296</v>
      </c>
      <c r="T216" s="236" t="s">
        <v>296</v>
      </c>
      <c r="U216" s="236" t="s">
        <v>296</v>
      </c>
      <c r="V216" s="236" t="s">
        <v>296</v>
      </c>
      <c r="W216" s="237" t="s">
        <v>296</v>
      </c>
      <c r="X216" s="237" t="s">
        <v>296</v>
      </c>
      <c r="Y216" s="238" t="s">
        <v>296</v>
      </c>
    </row>
    <row r="217" spans="1:25">
      <c r="A217" s="230">
        <v>4</v>
      </c>
      <c r="B217" s="231" t="str">
        <f>VLOOKUP(Tabel10[[#This Row],[Locatiecode]],Ruimtegroepen[[Code]:[Ruimte omschrijving]],2,FALSE)</f>
        <v>Vergader/spreekkamers</v>
      </c>
      <c r="C217" s="232" t="s">
        <v>473</v>
      </c>
      <c r="D217" s="231" t="s">
        <v>28</v>
      </c>
      <c r="E217" s="233" t="s">
        <v>103</v>
      </c>
      <c r="F217" s="232" t="s">
        <v>477</v>
      </c>
      <c r="G217" s="281" t="s">
        <v>296</v>
      </c>
      <c r="H217" s="234" t="s">
        <v>296</v>
      </c>
      <c r="I217" s="234" t="s">
        <v>17</v>
      </c>
      <c r="J217" s="234" t="s">
        <v>296</v>
      </c>
      <c r="K217" s="234" t="s">
        <v>296</v>
      </c>
      <c r="L217" s="234" t="s">
        <v>296</v>
      </c>
      <c r="M217" s="234" t="s">
        <v>296</v>
      </c>
      <c r="N217" s="235" t="s">
        <v>296</v>
      </c>
      <c r="O217" s="236" t="s">
        <v>17</v>
      </c>
      <c r="P217" s="236" t="s">
        <v>17</v>
      </c>
      <c r="Q217" s="236" t="s">
        <v>15</v>
      </c>
      <c r="R217" s="236" t="s">
        <v>296</v>
      </c>
      <c r="S217" s="236" t="s">
        <v>296</v>
      </c>
      <c r="T217" s="236" t="s">
        <v>296</v>
      </c>
      <c r="U217" s="236" t="s">
        <v>296</v>
      </c>
      <c r="V217" s="236" t="s">
        <v>296</v>
      </c>
      <c r="W217" s="237" t="s">
        <v>296</v>
      </c>
      <c r="X217" s="237" t="s">
        <v>296</v>
      </c>
      <c r="Y217" s="238" t="s">
        <v>296</v>
      </c>
    </row>
    <row r="218" spans="1:25">
      <c r="A218" s="230">
        <v>4</v>
      </c>
      <c r="B218" s="231" t="str">
        <f>VLOOKUP(Tabel10[[#This Row],[Locatiecode]],Ruimtegroepen[[Code]:[Ruimte omschrijving]],2,FALSE)</f>
        <v>Vergader/spreekkamers</v>
      </c>
      <c r="C218" s="232" t="s">
        <v>473</v>
      </c>
      <c r="D218" s="231" t="s">
        <v>28</v>
      </c>
      <c r="E218" s="233" t="s">
        <v>100</v>
      </c>
      <c r="F218" s="232" t="s">
        <v>475</v>
      </c>
      <c r="G218" s="281" t="s">
        <v>296</v>
      </c>
      <c r="H218" s="235" t="s">
        <v>17</v>
      </c>
      <c r="I218" s="234" t="s">
        <v>296</v>
      </c>
      <c r="J218" s="234" t="s">
        <v>296</v>
      </c>
      <c r="K218" s="234" t="s">
        <v>296</v>
      </c>
      <c r="L218" s="234" t="s">
        <v>296</v>
      </c>
      <c r="M218" s="234" t="s">
        <v>296</v>
      </c>
      <c r="N218" s="235" t="s">
        <v>296</v>
      </c>
      <c r="O218" s="236" t="s">
        <v>17</v>
      </c>
      <c r="P218" s="236" t="s">
        <v>17</v>
      </c>
      <c r="Q218" s="236" t="s">
        <v>15</v>
      </c>
      <c r="R218" s="236" t="s">
        <v>296</v>
      </c>
      <c r="S218" s="236" t="s">
        <v>296</v>
      </c>
      <c r="T218" s="236" t="s">
        <v>296</v>
      </c>
      <c r="U218" s="236" t="s">
        <v>296</v>
      </c>
      <c r="V218" s="236" t="s">
        <v>296</v>
      </c>
      <c r="W218" s="237" t="s">
        <v>296</v>
      </c>
      <c r="X218" s="237" t="s">
        <v>296</v>
      </c>
      <c r="Y218" s="238" t="s">
        <v>296</v>
      </c>
    </row>
    <row r="219" spans="1:25">
      <c r="A219" s="230">
        <v>4</v>
      </c>
      <c r="B219" s="231" t="str">
        <f>VLOOKUP(Tabel10[[#This Row],[Locatiecode]],Ruimtegroepen[[Code]:[Ruimte omschrijving]],2,FALSE)</f>
        <v>Vergader/spreekkamers</v>
      </c>
      <c r="C219" s="232" t="s">
        <v>473</v>
      </c>
      <c r="D219" s="231" t="s">
        <v>28</v>
      </c>
      <c r="E219" s="233" t="s">
        <v>1344</v>
      </c>
      <c r="F219" s="232" t="s">
        <v>1445</v>
      </c>
      <c r="G219" s="281" t="s">
        <v>296</v>
      </c>
      <c r="H219" s="234" t="s">
        <v>296</v>
      </c>
      <c r="I219" s="234" t="s">
        <v>17</v>
      </c>
      <c r="J219" s="234" t="s">
        <v>296</v>
      </c>
      <c r="K219" s="234" t="s">
        <v>296</v>
      </c>
      <c r="L219" s="234" t="s">
        <v>296</v>
      </c>
      <c r="M219" s="234" t="s">
        <v>296</v>
      </c>
      <c r="N219" s="235" t="s">
        <v>296</v>
      </c>
      <c r="O219" s="236" t="s">
        <v>17</v>
      </c>
      <c r="P219" s="236" t="s">
        <v>17</v>
      </c>
      <c r="Q219" s="236" t="s">
        <v>15</v>
      </c>
      <c r="R219" s="236" t="s">
        <v>296</v>
      </c>
      <c r="S219" s="236" t="s">
        <v>296</v>
      </c>
      <c r="T219" s="236" t="s">
        <v>296</v>
      </c>
      <c r="U219" s="236" t="s">
        <v>296</v>
      </c>
      <c r="V219" s="236" t="s">
        <v>296</v>
      </c>
      <c r="W219" s="237" t="s">
        <v>296</v>
      </c>
      <c r="X219" s="237" t="s">
        <v>296</v>
      </c>
      <c r="Y219" s="238" t="s">
        <v>296</v>
      </c>
    </row>
    <row r="220" spans="1:25">
      <c r="A220" s="230">
        <v>5</v>
      </c>
      <c r="B220" s="231" t="str">
        <f>VLOOKUP(Tabel10[[#This Row],[Locatiecode]],Ruimtegroepen[[Code]:[Ruimte omschrijving]],2,FALSE)</f>
        <v>Sanitair</v>
      </c>
      <c r="C220" s="233" t="s">
        <v>488</v>
      </c>
      <c r="D220" s="258" t="s">
        <v>1258</v>
      </c>
      <c r="E220" s="233" t="s">
        <v>101</v>
      </c>
      <c r="F220" s="233" t="s">
        <v>490</v>
      </c>
      <c r="G220" s="281" t="s">
        <v>296</v>
      </c>
      <c r="H220" s="234" t="s">
        <v>296</v>
      </c>
      <c r="I220" s="234" t="s">
        <v>296</v>
      </c>
      <c r="J220" s="234" t="s">
        <v>20</v>
      </c>
      <c r="K220" s="234" t="s">
        <v>15</v>
      </c>
      <c r="L220" s="234" t="s">
        <v>296</v>
      </c>
      <c r="M220" s="234" t="s">
        <v>296</v>
      </c>
      <c r="N220" s="234" t="s">
        <v>19</v>
      </c>
      <c r="O220" s="236" t="s">
        <v>296</v>
      </c>
      <c r="P220" s="236" t="s">
        <v>296</v>
      </c>
      <c r="Q220" s="236" t="s">
        <v>296</v>
      </c>
      <c r="R220" s="236" t="s">
        <v>296</v>
      </c>
      <c r="S220" s="236" t="s">
        <v>296</v>
      </c>
      <c r="T220" s="236" t="s">
        <v>296</v>
      </c>
      <c r="U220" s="236" t="s">
        <v>296</v>
      </c>
      <c r="V220" s="236" t="s">
        <v>296</v>
      </c>
      <c r="W220" s="237" t="s">
        <v>20</v>
      </c>
      <c r="X220" s="237" t="s">
        <v>15</v>
      </c>
      <c r="Y220" s="238" t="s">
        <v>19</v>
      </c>
    </row>
    <row r="221" spans="1:25">
      <c r="A221" s="230">
        <v>5</v>
      </c>
      <c r="B221" s="231" t="str">
        <f>VLOOKUP(Tabel10[[#This Row],[Locatiecode]],Ruimtegroepen[[Code]:[Ruimte omschrijving]],2,FALSE)</f>
        <v>Sanitair</v>
      </c>
      <c r="C221" s="233" t="s">
        <v>488</v>
      </c>
      <c r="D221" s="258" t="s">
        <v>1258</v>
      </c>
      <c r="E221" s="233" t="s">
        <v>100</v>
      </c>
      <c r="F221" s="233" t="s">
        <v>492</v>
      </c>
      <c r="G221" s="281" t="s">
        <v>296</v>
      </c>
      <c r="H221" s="234" t="s">
        <v>296</v>
      </c>
      <c r="I221" s="234" t="s">
        <v>296</v>
      </c>
      <c r="J221" s="234" t="s">
        <v>296</v>
      </c>
      <c r="K221" s="234" t="s">
        <v>296</v>
      </c>
      <c r="L221" s="234" t="s">
        <v>296</v>
      </c>
      <c r="M221" s="234" t="s">
        <v>296</v>
      </c>
      <c r="N221" s="235" t="s">
        <v>296</v>
      </c>
      <c r="O221" s="236" t="s">
        <v>296</v>
      </c>
      <c r="P221" s="236" t="s">
        <v>296</v>
      </c>
      <c r="Q221" s="236" t="s">
        <v>296</v>
      </c>
      <c r="R221" s="236" t="s">
        <v>296</v>
      </c>
      <c r="S221" s="236" t="s">
        <v>296</v>
      </c>
      <c r="T221" s="236" t="s">
        <v>296</v>
      </c>
      <c r="U221" s="236" t="s">
        <v>296</v>
      </c>
      <c r="V221" s="236" t="s">
        <v>296</v>
      </c>
      <c r="W221" s="237" t="s">
        <v>296</v>
      </c>
      <c r="X221" s="237" t="s">
        <v>296</v>
      </c>
      <c r="Y221" s="238" t="s">
        <v>296</v>
      </c>
    </row>
    <row r="222" spans="1:25">
      <c r="A222" s="230">
        <v>5</v>
      </c>
      <c r="B222" s="231" t="str">
        <f>VLOOKUP(Tabel10[[#This Row],[Locatiecode]],Ruimtegroepen[[Code]:[Ruimte omschrijving]],2,FALSE)</f>
        <v>Sanitair</v>
      </c>
      <c r="C222" s="233" t="s">
        <v>488</v>
      </c>
      <c r="D222" s="258" t="s">
        <v>1258</v>
      </c>
      <c r="E222" s="233" t="s">
        <v>102</v>
      </c>
      <c r="F222" s="233" t="s">
        <v>493</v>
      </c>
      <c r="G222" s="281" t="s">
        <v>296</v>
      </c>
      <c r="H222" s="234" t="s">
        <v>296</v>
      </c>
      <c r="I222" s="234" t="s">
        <v>296</v>
      </c>
      <c r="J222" s="234" t="s">
        <v>20</v>
      </c>
      <c r="K222" s="234" t="s">
        <v>15</v>
      </c>
      <c r="L222" s="234" t="s">
        <v>296</v>
      </c>
      <c r="M222" s="234" t="s">
        <v>296</v>
      </c>
      <c r="N222" s="234" t="s">
        <v>19</v>
      </c>
      <c r="O222" s="236" t="s">
        <v>296</v>
      </c>
      <c r="P222" s="236" t="s">
        <v>296</v>
      </c>
      <c r="Q222" s="236" t="s">
        <v>296</v>
      </c>
      <c r="R222" s="236" t="s">
        <v>296</v>
      </c>
      <c r="S222" s="236" t="s">
        <v>296</v>
      </c>
      <c r="T222" s="236" t="s">
        <v>296</v>
      </c>
      <c r="U222" s="236" t="s">
        <v>296</v>
      </c>
      <c r="V222" s="236" t="s">
        <v>296</v>
      </c>
      <c r="W222" s="237" t="s">
        <v>20</v>
      </c>
      <c r="X222" s="237" t="s">
        <v>15</v>
      </c>
      <c r="Y222" s="238" t="s">
        <v>19</v>
      </c>
    </row>
    <row r="223" spans="1:25">
      <c r="A223" s="230">
        <v>5</v>
      </c>
      <c r="B223" s="231" t="str">
        <f>VLOOKUP(Tabel10[[#This Row],[Locatiecode]],Ruimtegroepen[[Code]:[Ruimte omschrijving]],2,FALSE)</f>
        <v>Sanitair</v>
      </c>
      <c r="C223" s="233" t="s">
        <v>488</v>
      </c>
      <c r="D223" s="258" t="s">
        <v>1258</v>
      </c>
      <c r="E223" s="233" t="s">
        <v>103</v>
      </c>
      <c r="F223" s="233" t="s">
        <v>494</v>
      </c>
      <c r="G223" s="281" t="s">
        <v>296</v>
      </c>
      <c r="H223" s="234" t="s">
        <v>296</v>
      </c>
      <c r="I223" s="234" t="s">
        <v>296</v>
      </c>
      <c r="J223" s="234" t="s">
        <v>20</v>
      </c>
      <c r="K223" s="234" t="s">
        <v>15</v>
      </c>
      <c r="L223" s="234" t="s">
        <v>296</v>
      </c>
      <c r="M223" s="234" t="s">
        <v>296</v>
      </c>
      <c r="N223" s="234" t="s">
        <v>19</v>
      </c>
      <c r="O223" s="236" t="s">
        <v>296</v>
      </c>
      <c r="P223" s="236" t="s">
        <v>296</v>
      </c>
      <c r="Q223" s="236" t="s">
        <v>296</v>
      </c>
      <c r="R223" s="236" t="s">
        <v>296</v>
      </c>
      <c r="S223" s="236" t="s">
        <v>296</v>
      </c>
      <c r="T223" s="236" t="s">
        <v>296</v>
      </c>
      <c r="U223" s="236" t="s">
        <v>296</v>
      </c>
      <c r="V223" s="236" t="s">
        <v>296</v>
      </c>
      <c r="W223" s="237" t="s">
        <v>20</v>
      </c>
      <c r="X223" s="237" t="s">
        <v>15</v>
      </c>
      <c r="Y223" s="238" t="s">
        <v>19</v>
      </c>
    </row>
    <row r="224" spans="1:25">
      <c r="A224" s="230">
        <v>5</v>
      </c>
      <c r="B224" s="231" t="str">
        <f>VLOOKUP(Tabel10[[#This Row],[Locatiecode]],Ruimtegroepen[[Code]:[Ruimte omschrijving]],2,FALSE)</f>
        <v>Sanitair</v>
      </c>
      <c r="C224" s="233" t="s">
        <v>488</v>
      </c>
      <c r="D224" s="258" t="s">
        <v>1258</v>
      </c>
      <c r="E224" s="233" t="s">
        <v>100</v>
      </c>
      <c r="F224" s="233" t="s">
        <v>492</v>
      </c>
      <c r="G224" s="281" t="s">
        <v>296</v>
      </c>
      <c r="H224" s="234" t="s">
        <v>296</v>
      </c>
      <c r="I224" s="234" t="s">
        <v>296</v>
      </c>
      <c r="J224" s="234" t="s">
        <v>296</v>
      </c>
      <c r="K224" s="234" t="s">
        <v>296</v>
      </c>
      <c r="L224" s="234" t="s">
        <v>296</v>
      </c>
      <c r="M224" s="234" t="s">
        <v>296</v>
      </c>
      <c r="N224" s="235" t="s">
        <v>296</v>
      </c>
      <c r="O224" s="236" t="s">
        <v>296</v>
      </c>
      <c r="P224" s="236" t="s">
        <v>296</v>
      </c>
      <c r="Q224" s="236" t="s">
        <v>296</v>
      </c>
      <c r="R224" s="236" t="s">
        <v>296</v>
      </c>
      <c r="S224" s="236" t="s">
        <v>296</v>
      </c>
      <c r="T224" s="236" t="s">
        <v>296</v>
      </c>
      <c r="U224" s="236" t="s">
        <v>296</v>
      </c>
      <c r="V224" s="236" t="s">
        <v>296</v>
      </c>
      <c r="W224" s="237" t="s">
        <v>296</v>
      </c>
      <c r="X224" s="237" t="s">
        <v>296</v>
      </c>
      <c r="Y224" s="238" t="s">
        <v>296</v>
      </c>
    </row>
    <row r="225" spans="1:25">
      <c r="A225" s="230">
        <v>5</v>
      </c>
      <c r="B225" s="231" t="str">
        <f>VLOOKUP(Tabel10[[#This Row],[Locatiecode]],Ruimtegroepen[[Code]:[Ruimte omschrijving]],2,FALSE)</f>
        <v>Sanitair</v>
      </c>
      <c r="C225" s="233" t="s">
        <v>488</v>
      </c>
      <c r="D225" s="258" t="s">
        <v>1258</v>
      </c>
      <c r="E225" s="233" t="s">
        <v>1344</v>
      </c>
      <c r="F225" s="233" t="s">
        <v>1496</v>
      </c>
      <c r="G225" s="281" t="s">
        <v>296</v>
      </c>
      <c r="H225" s="234" t="s">
        <v>296</v>
      </c>
      <c r="I225" s="234" t="s">
        <v>296</v>
      </c>
      <c r="J225" s="234" t="s">
        <v>20</v>
      </c>
      <c r="K225" s="234" t="s">
        <v>15</v>
      </c>
      <c r="L225" s="234" t="s">
        <v>296</v>
      </c>
      <c r="M225" s="234" t="s">
        <v>296</v>
      </c>
      <c r="N225" s="234" t="s">
        <v>19</v>
      </c>
      <c r="O225" s="236" t="s">
        <v>296</v>
      </c>
      <c r="P225" s="236" t="s">
        <v>296</v>
      </c>
      <c r="Q225" s="236" t="s">
        <v>296</v>
      </c>
      <c r="R225" s="236" t="s">
        <v>296</v>
      </c>
      <c r="S225" s="236" t="s">
        <v>296</v>
      </c>
      <c r="T225" s="236" t="s">
        <v>296</v>
      </c>
      <c r="U225" s="236" t="s">
        <v>296</v>
      </c>
      <c r="V225" s="236" t="s">
        <v>296</v>
      </c>
      <c r="W225" s="237" t="s">
        <v>20</v>
      </c>
      <c r="X225" s="237" t="s">
        <v>15</v>
      </c>
      <c r="Y225" s="238" t="s">
        <v>19</v>
      </c>
    </row>
    <row r="226" spans="1:25">
      <c r="A226" s="230">
        <v>5</v>
      </c>
      <c r="B226" s="231" t="str">
        <f>VLOOKUP(Tabel10[[#This Row],[Locatiecode]],Ruimtegroepen[[Code]:[Ruimte omschrijving]],2,FALSE)</f>
        <v>Sanitair</v>
      </c>
      <c r="C226" s="232" t="s">
        <v>478</v>
      </c>
      <c r="D226" s="231" t="s">
        <v>29</v>
      </c>
      <c r="E226" s="233" t="s">
        <v>101</v>
      </c>
      <c r="F226" s="232" t="s">
        <v>479</v>
      </c>
      <c r="G226" s="281" t="s">
        <v>296</v>
      </c>
      <c r="H226" s="234" t="s">
        <v>296</v>
      </c>
      <c r="I226" s="234" t="s">
        <v>296</v>
      </c>
      <c r="J226" s="234" t="s">
        <v>20</v>
      </c>
      <c r="K226" s="234" t="s">
        <v>15</v>
      </c>
      <c r="L226" s="234" t="s">
        <v>296</v>
      </c>
      <c r="M226" s="234" t="s">
        <v>296</v>
      </c>
      <c r="N226" s="235" t="s">
        <v>2</v>
      </c>
      <c r="O226" s="236" t="s">
        <v>296</v>
      </c>
      <c r="P226" s="236" t="s">
        <v>296</v>
      </c>
      <c r="Q226" s="236" t="s">
        <v>296</v>
      </c>
      <c r="R226" s="236" t="s">
        <v>296</v>
      </c>
      <c r="S226" s="236" t="s">
        <v>296</v>
      </c>
      <c r="T226" s="236" t="s">
        <v>296</v>
      </c>
      <c r="U226" s="236" t="s">
        <v>296</v>
      </c>
      <c r="V226" s="236" t="s">
        <v>296</v>
      </c>
      <c r="W226" s="237" t="s">
        <v>20</v>
      </c>
      <c r="X226" s="237" t="s">
        <v>15</v>
      </c>
      <c r="Y226" s="238" t="s">
        <v>2</v>
      </c>
    </row>
    <row r="227" spans="1:25">
      <c r="A227" s="230">
        <v>5</v>
      </c>
      <c r="B227" s="231" t="str">
        <f>VLOOKUP(Tabel10[[#This Row],[Locatiecode]],Ruimtegroepen[[Code]:[Ruimte omschrijving]],2,FALSE)</f>
        <v>Sanitair</v>
      </c>
      <c r="C227" s="232" t="s">
        <v>478</v>
      </c>
      <c r="D227" s="231" t="s">
        <v>29</v>
      </c>
      <c r="E227" s="233" t="s">
        <v>100</v>
      </c>
      <c r="F227" s="232" t="s">
        <v>480</v>
      </c>
      <c r="G227" s="281" t="s">
        <v>296</v>
      </c>
      <c r="H227" s="234" t="s">
        <v>296</v>
      </c>
      <c r="I227" s="234" t="s">
        <v>296</v>
      </c>
      <c r="J227" s="234" t="s">
        <v>296</v>
      </c>
      <c r="K227" s="234" t="s">
        <v>296</v>
      </c>
      <c r="L227" s="234" t="s">
        <v>296</v>
      </c>
      <c r="M227" s="234" t="s">
        <v>296</v>
      </c>
      <c r="N227" s="235" t="s">
        <v>296</v>
      </c>
      <c r="O227" s="236" t="s">
        <v>296</v>
      </c>
      <c r="P227" s="236" t="s">
        <v>296</v>
      </c>
      <c r="Q227" s="236" t="s">
        <v>296</v>
      </c>
      <c r="R227" s="236" t="s">
        <v>296</v>
      </c>
      <c r="S227" s="236" t="s">
        <v>296</v>
      </c>
      <c r="T227" s="236" t="s">
        <v>296</v>
      </c>
      <c r="U227" s="236" t="s">
        <v>296</v>
      </c>
      <c r="V227" s="236" t="s">
        <v>296</v>
      </c>
      <c r="W227" s="237" t="s">
        <v>296</v>
      </c>
      <c r="X227" s="237" t="s">
        <v>296</v>
      </c>
      <c r="Y227" s="238" t="s">
        <v>296</v>
      </c>
    </row>
    <row r="228" spans="1:25">
      <c r="A228" s="230">
        <v>5</v>
      </c>
      <c r="B228" s="231" t="str">
        <f>VLOOKUP(Tabel10[[#This Row],[Locatiecode]],Ruimtegroepen[[Code]:[Ruimte omschrijving]],2,FALSE)</f>
        <v>Sanitair</v>
      </c>
      <c r="C228" s="232" t="s">
        <v>478</v>
      </c>
      <c r="D228" s="231" t="s">
        <v>29</v>
      </c>
      <c r="E228" s="233" t="s">
        <v>102</v>
      </c>
      <c r="F228" s="232" t="s">
        <v>481</v>
      </c>
      <c r="G228" s="281" t="s">
        <v>296</v>
      </c>
      <c r="H228" s="234" t="s">
        <v>296</v>
      </c>
      <c r="I228" s="234" t="s">
        <v>296</v>
      </c>
      <c r="J228" s="234" t="s">
        <v>20</v>
      </c>
      <c r="K228" s="234" t="s">
        <v>15</v>
      </c>
      <c r="L228" s="234" t="s">
        <v>296</v>
      </c>
      <c r="M228" s="234" t="s">
        <v>296</v>
      </c>
      <c r="N228" s="235" t="s">
        <v>2</v>
      </c>
      <c r="O228" s="236" t="s">
        <v>296</v>
      </c>
      <c r="P228" s="236" t="s">
        <v>296</v>
      </c>
      <c r="Q228" s="236" t="s">
        <v>296</v>
      </c>
      <c r="R228" s="236" t="s">
        <v>296</v>
      </c>
      <c r="S228" s="236" t="s">
        <v>296</v>
      </c>
      <c r="T228" s="236" t="s">
        <v>296</v>
      </c>
      <c r="U228" s="236" t="s">
        <v>296</v>
      </c>
      <c r="V228" s="236" t="s">
        <v>296</v>
      </c>
      <c r="W228" s="237" t="s">
        <v>20</v>
      </c>
      <c r="X228" s="237" t="s">
        <v>15</v>
      </c>
      <c r="Y228" s="238" t="s">
        <v>2</v>
      </c>
    </row>
    <row r="229" spans="1:25">
      <c r="A229" s="230">
        <v>5</v>
      </c>
      <c r="B229" s="231" t="str">
        <f>VLOOKUP(Tabel10[[#This Row],[Locatiecode]],Ruimtegroepen[[Code]:[Ruimte omschrijving]],2,FALSE)</f>
        <v>Sanitair</v>
      </c>
      <c r="C229" s="232" t="s">
        <v>478</v>
      </c>
      <c r="D229" s="231" t="s">
        <v>29</v>
      </c>
      <c r="E229" s="233" t="s">
        <v>103</v>
      </c>
      <c r="F229" s="232" t="s">
        <v>482</v>
      </c>
      <c r="G229" s="281" t="s">
        <v>296</v>
      </c>
      <c r="H229" s="234" t="s">
        <v>296</v>
      </c>
      <c r="I229" s="234" t="s">
        <v>296</v>
      </c>
      <c r="J229" s="234" t="s">
        <v>20</v>
      </c>
      <c r="K229" s="234" t="s">
        <v>15</v>
      </c>
      <c r="L229" s="234" t="s">
        <v>296</v>
      </c>
      <c r="M229" s="234" t="s">
        <v>296</v>
      </c>
      <c r="N229" s="235" t="s">
        <v>2</v>
      </c>
      <c r="O229" s="236" t="s">
        <v>296</v>
      </c>
      <c r="P229" s="236" t="s">
        <v>296</v>
      </c>
      <c r="Q229" s="236" t="s">
        <v>296</v>
      </c>
      <c r="R229" s="236" t="s">
        <v>296</v>
      </c>
      <c r="S229" s="236" t="s">
        <v>296</v>
      </c>
      <c r="T229" s="236" t="s">
        <v>296</v>
      </c>
      <c r="U229" s="236" t="s">
        <v>296</v>
      </c>
      <c r="V229" s="236" t="s">
        <v>296</v>
      </c>
      <c r="W229" s="237" t="s">
        <v>20</v>
      </c>
      <c r="X229" s="237" t="s">
        <v>15</v>
      </c>
      <c r="Y229" s="238" t="s">
        <v>2</v>
      </c>
    </row>
    <row r="230" spans="1:25">
      <c r="A230" s="230">
        <v>5</v>
      </c>
      <c r="B230" s="231" t="str">
        <f>VLOOKUP(Tabel10[[#This Row],[Locatiecode]],Ruimtegroepen[[Code]:[Ruimte omschrijving]],2,FALSE)</f>
        <v>Sanitair</v>
      </c>
      <c r="C230" s="232" t="s">
        <v>478</v>
      </c>
      <c r="D230" s="231" t="s">
        <v>29</v>
      </c>
      <c r="E230" s="233" t="s">
        <v>100</v>
      </c>
      <c r="F230" s="232" t="s">
        <v>480</v>
      </c>
      <c r="G230" s="281" t="s">
        <v>296</v>
      </c>
      <c r="H230" s="234" t="s">
        <v>296</v>
      </c>
      <c r="I230" s="234" t="s">
        <v>296</v>
      </c>
      <c r="J230" s="234" t="s">
        <v>296</v>
      </c>
      <c r="K230" s="234" t="s">
        <v>296</v>
      </c>
      <c r="L230" s="234" t="s">
        <v>296</v>
      </c>
      <c r="M230" s="234" t="s">
        <v>296</v>
      </c>
      <c r="N230" s="235" t="s">
        <v>296</v>
      </c>
      <c r="O230" s="236" t="s">
        <v>296</v>
      </c>
      <c r="P230" s="236" t="s">
        <v>296</v>
      </c>
      <c r="Q230" s="236" t="s">
        <v>296</v>
      </c>
      <c r="R230" s="236" t="s">
        <v>296</v>
      </c>
      <c r="S230" s="236" t="s">
        <v>296</v>
      </c>
      <c r="T230" s="236" t="s">
        <v>296</v>
      </c>
      <c r="U230" s="236" t="s">
        <v>296</v>
      </c>
      <c r="V230" s="236" t="s">
        <v>296</v>
      </c>
      <c r="W230" s="237" t="s">
        <v>296</v>
      </c>
      <c r="X230" s="237" t="s">
        <v>296</v>
      </c>
      <c r="Y230" s="238" t="s">
        <v>296</v>
      </c>
    </row>
    <row r="231" spans="1:25">
      <c r="A231" s="230">
        <v>5</v>
      </c>
      <c r="B231" s="231" t="str">
        <f>VLOOKUP(Tabel10[[#This Row],[Locatiecode]],Ruimtegroepen[[Code]:[Ruimte omschrijving]],2,FALSE)</f>
        <v>Sanitair</v>
      </c>
      <c r="C231" s="232" t="s">
        <v>478</v>
      </c>
      <c r="D231" s="231" t="s">
        <v>29</v>
      </c>
      <c r="E231" s="233" t="s">
        <v>1344</v>
      </c>
      <c r="F231" s="232" t="s">
        <v>1513</v>
      </c>
      <c r="G231" s="281" t="s">
        <v>296</v>
      </c>
      <c r="H231" s="234" t="s">
        <v>296</v>
      </c>
      <c r="I231" s="234" t="s">
        <v>296</v>
      </c>
      <c r="J231" s="234" t="s">
        <v>20</v>
      </c>
      <c r="K231" s="234" t="s">
        <v>15</v>
      </c>
      <c r="L231" s="234" t="s">
        <v>296</v>
      </c>
      <c r="M231" s="234" t="s">
        <v>296</v>
      </c>
      <c r="N231" s="235" t="s">
        <v>2</v>
      </c>
      <c r="O231" s="236" t="s">
        <v>296</v>
      </c>
      <c r="P231" s="236" t="s">
        <v>296</v>
      </c>
      <c r="Q231" s="236" t="s">
        <v>296</v>
      </c>
      <c r="R231" s="236" t="s">
        <v>296</v>
      </c>
      <c r="S231" s="236" t="s">
        <v>296</v>
      </c>
      <c r="T231" s="236" t="s">
        <v>296</v>
      </c>
      <c r="U231" s="236" t="s">
        <v>296</v>
      </c>
      <c r="V231" s="236" t="s">
        <v>296</v>
      </c>
      <c r="W231" s="237" t="s">
        <v>20</v>
      </c>
      <c r="X231" s="237" t="s">
        <v>15</v>
      </c>
      <c r="Y231" s="238" t="s">
        <v>2</v>
      </c>
    </row>
    <row r="232" spans="1:25">
      <c r="A232" s="230">
        <v>5</v>
      </c>
      <c r="B232" s="231" t="str">
        <f>VLOOKUP(Tabel10[[#This Row],[Locatiecode]],Ruimtegroepen[[Code]:[Ruimte omschrijving]],2,FALSE)</f>
        <v>Sanitair</v>
      </c>
      <c r="C232" s="232" t="s">
        <v>483</v>
      </c>
      <c r="D232" s="231" t="s">
        <v>1</v>
      </c>
      <c r="E232" s="233" t="s">
        <v>101</v>
      </c>
      <c r="F232" s="232" t="s">
        <v>484</v>
      </c>
      <c r="G232" s="281" t="s">
        <v>296</v>
      </c>
      <c r="H232" s="234" t="s">
        <v>296</v>
      </c>
      <c r="I232" s="234" t="s">
        <v>296</v>
      </c>
      <c r="J232" s="234" t="s">
        <v>20</v>
      </c>
      <c r="K232" s="234" t="s">
        <v>15</v>
      </c>
      <c r="L232" s="234" t="s">
        <v>296</v>
      </c>
      <c r="M232" s="234" t="s">
        <v>296</v>
      </c>
      <c r="N232" s="235" t="s">
        <v>296</v>
      </c>
      <c r="O232" s="236" t="s">
        <v>296</v>
      </c>
      <c r="P232" s="236" t="s">
        <v>296</v>
      </c>
      <c r="Q232" s="236" t="s">
        <v>296</v>
      </c>
      <c r="R232" s="236" t="s">
        <v>296</v>
      </c>
      <c r="S232" s="236" t="s">
        <v>296</v>
      </c>
      <c r="T232" s="236" t="s">
        <v>296</v>
      </c>
      <c r="U232" s="236" t="s">
        <v>296</v>
      </c>
      <c r="V232" s="236" t="s">
        <v>296</v>
      </c>
      <c r="W232" s="237" t="s">
        <v>20</v>
      </c>
      <c r="X232" s="237" t="s">
        <v>15</v>
      </c>
      <c r="Y232" s="238" t="s">
        <v>296</v>
      </c>
    </row>
    <row r="233" spans="1:25">
      <c r="A233" s="230">
        <v>5</v>
      </c>
      <c r="B233" s="231" t="str">
        <f>VLOOKUP(Tabel10[[#This Row],[Locatiecode]],Ruimtegroepen[[Code]:[Ruimte omschrijving]],2,FALSE)</f>
        <v>Sanitair</v>
      </c>
      <c r="C233" s="232" t="s">
        <v>483</v>
      </c>
      <c r="D233" s="231" t="s">
        <v>1</v>
      </c>
      <c r="E233" s="233" t="s">
        <v>100</v>
      </c>
      <c r="F233" s="232" t="s">
        <v>485</v>
      </c>
      <c r="G233" s="281" t="s">
        <v>296</v>
      </c>
      <c r="H233" s="234" t="s">
        <v>296</v>
      </c>
      <c r="I233" s="234" t="s">
        <v>296</v>
      </c>
      <c r="J233" s="234" t="s">
        <v>296</v>
      </c>
      <c r="K233" s="234" t="s">
        <v>296</v>
      </c>
      <c r="L233" s="234" t="s">
        <v>296</v>
      </c>
      <c r="M233" s="234" t="s">
        <v>296</v>
      </c>
      <c r="N233" s="235" t="s">
        <v>296</v>
      </c>
      <c r="O233" s="236" t="s">
        <v>296</v>
      </c>
      <c r="P233" s="236" t="s">
        <v>296</v>
      </c>
      <c r="Q233" s="236" t="s">
        <v>296</v>
      </c>
      <c r="R233" s="236" t="s">
        <v>296</v>
      </c>
      <c r="S233" s="236" t="s">
        <v>296</v>
      </c>
      <c r="T233" s="236" t="s">
        <v>296</v>
      </c>
      <c r="U233" s="236" t="s">
        <v>296</v>
      </c>
      <c r="V233" s="236" t="s">
        <v>296</v>
      </c>
      <c r="W233" s="237" t="s">
        <v>296</v>
      </c>
      <c r="X233" s="237" t="s">
        <v>296</v>
      </c>
      <c r="Y233" s="238" t="s">
        <v>296</v>
      </c>
    </row>
    <row r="234" spans="1:25">
      <c r="A234" s="230">
        <v>5</v>
      </c>
      <c r="B234" s="231" t="str">
        <f>VLOOKUP(Tabel10[[#This Row],[Locatiecode]],Ruimtegroepen[[Code]:[Ruimte omschrijving]],2,FALSE)</f>
        <v>Sanitair</v>
      </c>
      <c r="C234" s="232" t="s">
        <v>483</v>
      </c>
      <c r="D234" s="231" t="s">
        <v>1</v>
      </c>
      <c r="E234" s="233" t="s">
        <v>102</v>
      </c>
      <c r="F234" s="232" t="s">
        <v>486</v>
      </c>
      <c r="G234" s="281" t="s">
        <v>296</v>
      </c>
      <c r="H234" s="234" t="s">
        <v>296</v>
      </c>
      <c r="I234" s="234" t="s">
        <v>296</v>
      </c>
      <c r="J234" s="234" t="s">
        <v>20</v>
      </c>
      <c r="K234" s="234" t="s">
        <v>15</v>
      </c>
      <c r="L234" s="234" t="s">
        <v>296</v>
      </c>
      <c r="M234" s="234" t="s">
        <v>296</v>
      </c>
      <c r="N234" s="235" t="s">
        <v>296</v>
      </c>
      <c r="O234" s="236" t="s">
        <v>296</v>
      </c>
      <c r="P234" s="236" t="s">
        <v>296</v>
      </c>
      <c r="Q234" s="236" t="s">
        <v>296</v>
      </c>
      <c r="R234" s="236" t="s">
        <v>296</v>
      </c>
      <c r="S234" s="236" t="s">
        <v>296</v>
      </c>
      <c r="T234" s="236" t="s">
        <v>296</v>
      </c>
      <c r="U234" s="236" t="s">
        <v>296</v>
      </c>
      <c r="V234" s="236" t="s">
        <v>296</v>
      </c>
      <c r="W234" s="237" t="s">
        <v>20</v>
      </c>
      <c r="X234" s="237" t="s">
        <v>15</v>
      </c>
      <c r="Y234" s="238" t="s">
        <v>296</v>
      </c>
    </row>
    <row r="235" spans="1:25">
      <c r="A235" s="230">
        <v>5</v>
      </c>
      <c r="B235" s="231" t="str">
        <f>VLOOKUP(Tabel10[[#This Row],[Locatiecode]],Ruimtegroepen[[Code]:[Ruimte omschrijving]],2,FALSE)</f>
        <v>Sanitair</v>
      </c>
      <c r="C235" s="232" t="s">
        <v>483</v>
      </c>
      <c r="D235" s="231" t="s">
        <v>1</v>
      </c>
      <c r="E235" s="233" t="s">
        <v>103</v>
      </c>
      <c r="F235" s="232" t="s">
        <v>487</v>
      </c>
      <c r="G235" s="281" t="s">
        <v>296</v>
      </c>
      <c r="H235" s="234" t="s">
        <v>296</v>
      </c>
      <c r="I235" s="234" t="s">
        <v>296</v>
      </c>
      <c r="J235" s="234" t="s">
        <v>20</v>
      </c>
      <c r="K235" s="234" t="s">
        <v>15</v>
      </c>
      <c r="L235" s="234" t="s">
        <v>296</v>
      </c>
      <c r="M235" s="234" t="s">
        <v>296</v>
      </c>
      <c r="N235" s="235" t="s">
        <v>296</v>
      </c>
      <c r="O235" s="236" t="s">
        <v>296</v>
      </c>
      <c r="P235" s="236" t="s">
        <v>296</v>
      </c>
      <c r="Q235" s="236" t="s">
        <v>296</v>
      </c>
      <c r="R235" s="236" t="s">
        <v>296</v>
      </c>
      <c r="S235" s="236" t="s">
        <v>296</v>
      </c>
      <c r="T235" s="236" t="s">
        <v>296</v>
      </c>
      <c r="U235" s="236" t="s">
        <v>296</v>
      </c>
      <c r="V235" s="236" t="s">
        <v>296</v>
      </c>
      <c r="W235" s="237" t="s">
        <v>20</v>
      </c>
      <c r="X235" s="237" t="s">
        <v>15</v>
      </c>
      <c r="Y235" s="238" t="s">
        <v>296</v>
      </c>
    </row>
    <row r="236" spans="1:25">
      <c r="A236" s="230">
        <v>5</v>
      </c>
      <c r="B236" s="231" t="str">
        <f>VLOOKUP(Tabel10[[#This Row],[Locatiecode]],Ruimtegroepen[[Code]:[Ruimte omschrijving]],2,FALSE)</f>
        <v>Sanitair</v>
      </c>
      <c r="C236" s="232" t="s">
        <v>483</v>
      </c>
      <c r="D236" s="231" t="s">
        <v>1</v>
      </c>
      <c r="E236" s="233" t="s">
        <v>100</v>
      </c>
      <c r="F236" s="232" t="s">
        <v>485</v>
      </c>
      <c r="G236" s="281" t="s">
        <v>296</v>
      </c>
      <c r="H236" s="234" t="s">
        <v>296</v>
      </c>
      <c r="I236" s="234" t="s">
        <v>296</v>
      </c>
      <c r="J236" s="234" t="s">
        <v>296</v>
      </c>
      <c r="K236" s="234" t="s">
        <v>296</v>
      </c>
      <c r="L236" s="234" t="s">
        <v>296</v>
      </c>
      <c r="M236" s="234" t="s">
        <v>296</v>
      </c>
      <c r="N236" s="235" t="s">
        <v>296</v>
      </c>
      <c r="O236" s="236" t="s">
        <v>296</v>
      </c>
      <c r="P236" s="236" t="s">
        <v>296</v>
      </c>
      <c r="Q236" s="236" t="s">
        <v>296</v>
      </c>
      <c r="R236" s="236" t="s">
        <v>296</v>
      </c>
      <c r="S236" s="236" t="s">
        <v>296</v>
      </c>
      <c r="T236" s="236" t="s">
        <v>296</v>
      </c>
      <c r="U236" s="236" t="s">
        <v>296</v>
      </c>
      <c r="V236" s="236" t="s">
        <v>296</v>
      </c>
      <c r="W236" s="237" t="s">
        <v>296</v>
      </c>
      <c r="X236" s="237" t="s">
        <v>296</v>
      </c>
      <c r="Y236" s="238" t="s">
        <v>296</v>
      </c>
    </row>
    <row r="237" spans="1:25">
      <c r="A237" s="230">
        <v>5</v>
      </c>
      <c r="B237" s="231" t="str">
        <f>VLOOKUP(Tabel10[[#This Row],[Locatiecode]],Ruimtegroepen[[Code]:[Ruimte omschrijving]],2,FALSE)</f>
        <v>Sanitair</v>
      </c>
      <c r="C237" s="232" t="s">
        <v>483</v>
      </c>
      <c r="D237" s="231" t="s">
        <v>1</v>
      </c>
      <c r="E237" s="233" t="s">
        <v>1344</v>
      </c>
      <c r="F237" s="232" t="s">
        <v>1479</v>
      </c>
      <c r="G237" s="281" t="s">
        <v>296</v>
      </c>
      <c r="H237" s="234" t="s">
        <v>296</v>
      </c>
      <c r="I237" s="234" t="s">
        <v>296</v>
      </c>
      <c r="J237" s="234" t="s">
        <v>20</v>
      </c>
      <c r="K237" s="234" t="s">
        <v>15</v>
      </c>
      <c r="L237" s="234" t="s">
        <v>296</v>
      </c>
      <c r="M237" s="234" t="s">
        <v>296</v>
      </c>
      <c r="N237" s="235" t="s">
        <v>296</v>
      </c>
      <c r="O237" s="236" t="s">
        <v>296</v>
      </c>
      <c r="P237" s="236" t="s">
        <v>296</v>
      </c>
      <c r="Q237" s="236" t="s">
        <v>296</v>
      </c>
      <c r="R237" s="236" t="s">
        <v>296</v>
      </c>
      <c r="S237" s="236" t="s">
        <v>296</v>
      </c>
      <c r="T237" s="236" t="s">
        <v>296</v>
      </c>
      <c r="U237" s="236" t="s">
        <v>296</v>
      </c>
      <c r="V237" s="236" t="s">
        <v>296</v>
      </c>
      <c r="W237" s="237" t="s">
        <v>20</v>
      </c>
      <c r="X237" s="237" t="s">
        <v>15</v>
      </c>
      <c r="Y237" s="238" t="s">
        <v>296</v>
      </c>
    </row>
    <row r="238" spans="1:25">
      <c r="A238" s="230">
        <v>5</v>
      </c>
      <c r="B238" s="231" t="str">
        <f>VLOOKUP(Tabel10[[#This Row],[Locatiecode]],Ruimtegroepen[[Code]:[Ruimte omschrijving]],2,FALSE)</f>
        <v>Sanitair</v>
      </c>
      <c r="C238" s="232" t="s">
        <v>488</v>
      </c>
      <c r="D238" s="231" t="s">
        <v>489</v>
      </c>
      <c r="E238" s="233" t="s">
        <v>101</v>
      </c>
      <c r="F238" s="232" t="s">
        <v>490</v>
      </c>
      <c r="G238" s="281" t="s">
        <v>296</v>
      </c>
      <c r="H238" s="234" t="s">
        <v>296</v>
      </c>
      <c r="I238" s="234" t="s">
        <v>296</v>
      </c>
      <c r="J238" s="234" t="s">
        <v>491</v>
      </c>
      <c r="K238" s="234" t="s">
        <v>15</v>
      </c>
      <c r="L238" s="234" t="s">
        <v>296</v>
      </c>
      <c r="M238" s="234" t="s">
        <v>296</v>
      </c>
      <c r="N238" s="235" t="s">
        <v>296</v>
      </c>
      <c r="O238" s="236" t="s">
        <v>296</v>
      </c>
      <c r="P238" s="236" t="s">
        <v>296</v>
      </c>
      <c r="Q238" s="236" t="s">
        <v>296</v>
      </c>
      <c r="R238" s="236" t="s">
        <v>296</v>
      </c>
      <c r="S238" s="236" t="s">
        <v>296</v>
      </c>
      <c r="T238" s="236" t="s">
        <v>296</v>
      </c>
      <c r="U238" s="236" t="s">
        <v>296</v>
      </c>
      <c r="V238" s="236" t="s">
        <v>296</v>
      </c>
      <c r="W238" s="237" t="s">
        <v>491</v>
      </c>
      <c r="X238" s="237" t="s">
        <v>15</v>
      </c>
      <c r="Y238" s="238" t="s">
        <v>296</v>
      </c>
    </row>
    <row r="239" spans="1:25">
      <c r="A239" s="230">
        <v>5</v>
      </c>
      <c r="B239" s="231" t="str">
        <f>VLOOKUP(Tabel10[[#This Row],[Locatiecode]],Ruimtegroepen[[Code]:[Ruimte omschrijving]],2,FALSE)</f>
        <v>Sanitair</v>
      </c>
      <c r="C239" s="232" t="s">
        <v>488</v>
      </c>
      <c r="D239" s="231" t="s">
        <v>489</v>
      </c>
      <c r="E239" s="233" t="s">
        <v>100</v>
      </c>
      <c r="F239" s="232" t="s">
        <v>492</v>
      </c>
      <c r="G239" s="281" t="s">
        <v>296</v>
      </c>
      <c r="H239" s="234" t="s">
        <v>296</v>
      </c>
      <c r="I239" s="234" t="s">
        <v>296</v>
      </c>
      <c r="J239" s="234" t="s">
        <v>296</v>
      </c>
      <c r="K239" s="234" t="s">
        <v>296</v>
      </c>
      <c r="L239" s="234" t="s">
        <v>296</v>
      </c>
      <c r="M239" s="234" t="s">
        <v>296</v>
      </c>
      <c r="N239" s="235" t="s">
        <v>296</v>
      </c>
      <c r="O239" s="236" t="s">
        <v>296</v>
      </c>
      <c r="P239" s="236" t="s">
        <v>296</v>
      </c>
      <c r="Q239" s="236" t="s">
        <v>296</v>
      </c>
      <c r="R239" s="236" t="s">
        <v>296</v>
      </c>
      <c r="S239" s="236" t="s">
        <v>296</v>
      </c>
      <c r="T239" s="236" t="s">
        <v>296</v>
      </c>
      <c r="U239" s="236" t="s">
        <v>296</v>
      </c>
      <c r="V239" s="236" t="s">
        <v>296</v>
      </c>
      <c r="W239" s="237" t="s">
        <v>296</v>
      </c>
      <c r="X239" s="237" t="s">
        <v>296</v>
      </c>
      <c r="Y239" s="238" t="s">
        <v>296</v>
      </c>
    </row>
    <row r="240" spans="1:25">
      <c r="A240" s="230">
        <v>5</v>
      </c>
      <c r="B240" s="231" t="str">
        <f>VLOOKUP(Tabel10[[#This Row],[Locatiecode]],Ruimtegroepen[[Code]:[Ruimte omschrijving]],2,FALSE)</f>
        <v>Sanitair</v>
      </c>
      <c r="C240" s="232" t="s">
        <v>488</v>
      </c>
      <c r="D240" s="231" t="s">
        <v>489</v>
      </c>
      <c r="E240" s="233" t="s">
        <v>102</v>
      </c>
      <c r="F240" s="232" t="s">
        <v>493</v>
      </c>
      <c r="G240" s="281" t="s">
        <v>296</v>
      </c>
      <c r="H240" s="234" t="s">
        <v>296</v>
      </c>
      <c r="I240" s="234" t="s">
        <v>296</v>
      </c>
      <c r="J240" s="234" t="s">
        <v>491</v>
      </c>
      <c r="K240" s="234" t="s">
        <v>15</v>
      </c>
      <c r="L240" s="234" t="s">
        <v>296</v>
      </c>
      <c r="M240" s="234" t="s">
        <v>296</v>
      </c>
      <c r="N240" s="235" t="s">
        <v>296</v>
      </c>
      <c r="O240" s="236" t="s">
        <v>296</v>
      </c>
      <c r="P240" s="236" t="s">
        <v>296</v>
      </c>
      <c r="Q240" s="236" t="s">
        <v>296</v>
      </c>
      <c r="R240" s="236" t="s">
        <v>296</v>
      </c>
      <c r="S240" s="236" t="s">
        <v>296</v>
      </c>
      <c r="T240" s="236" t="s">
        <v>296</v>
      </c>
      <c r="U240" s="236" t="s">
        <v>296</v>
      </c>
      <c r="V240" s="236" t="s">
        <v>296</v>
      </c>
      <c r="W240" s="237" t="s">
        <v>491</v>
      </c>
      <c r="X240" s="237" t="s">
        <v>15</v>
      </c>
      <c r="Y240" s="238" t="s">
        <v>296</v>
      </c>
    </row>
    <row r="241" spans="1:25">
      <c r="A241" s="230">
        <v>5</v>
      </c>
      <c r="B241" s="231" t="str">
        <f>VLOOKUP(Tabel10[[#This Row],[Locatiecode]],Ruimtegroepen[[Code]:[Ruimte omschrijving]],2,FALSE)</f>
        <v>Sanitair</v>
      </c>
      <c r="C241" s="232" t="s">
        <v>488</v>
      </c>
      <c r="D241" s="231" t="s">
        <v>489</v>
      </c>
      <c r="E241" s="233" t="s">
        <v>103</v>
      </c>
      <c r="F241" s="232" t="s">
        <v>494</v>
      </c>
      <c r="G241" s="281" t="s">
        <v>296</v>
      </c>
      <c r="H241" s="234" t="s">
        <v>296</v>
      </c>
      <c r="I241" s="234" t="s">
        <v>296</v>
      </c>
      <c r="J241" s="234" t="s">
        <v>491</v>
      </c>
      <c r="K241" s="234" t="s">
        <v>15</v>
      </c>
      <c r="L241" s="234" t="s">
        <v>296</v>
      </c>
      <c r="M241" s="234" t="s">
        <v>296</v>
      </c>
      <c r="N241" s="235" t="s">
        <v>296</v>
      </c>
      <c r="O241" s="236" t="s">
        <v>296</v>
      </c>
      <c r="P241" s="236" t="s">
        <v>296</v>
      </c>
      <c r="Q241" s="236" t="s">
        <v>296</v>
      </c>
      <c r="R241" s="236" t="s">
        <v>296</v>
      </c>
      <c r="S241" s="236" t="s">
        <v>296</v>
      </c>
      <c r="T241" s="236" t="s">
        <v>296</v>
      </c>
      <c r="U241" s="236" t="s">
        <v>296</v>
      </c>
      <c r="V241" s="236" t="s">
        <v>296</v>
      </c>
      <c r="W241" s="237" t="s">
        <v>491</v>
      </c>
      <c r="X241" s="237" t="s">
        <v>15</v>
      </c>
      <c r="Y241" s="238" t="s">
        <v>296</v>
      </c>
    </row>
    <row r="242" spans="1:25">
      <c r="A242" s="230">
        <v>5</v>
      </c>
      <c r="B242" s="231" t="str">
        <f>VLOOKUP(Tabel10[[#This Row],[Locatiecode]],Ruimtegroepen[[Code]:[Ruimte omschrijving]],2,FALSE)</f>
        <v>Sanitair</v>
      </c>
      <c r="C242" s="232" t="s">
        <v>488</v>
      </c>
      <c r="D242" s="231" t="s">
        <v>489</v>
      </c>
      <c r="E242" s="233" t="s">
        <v>100</v>
      </c>
      <c r="F242" s="232" t="s">
        <v>492</v>
      </c>
      <c r="G242" s="281" t="s">
        <v>296</v>
      </c>
      <c r="H242" s="234" t="s">
        <v>296</v>
      </c>
      <c r="I242" s="234" t="s">
        <v>296</v>
      </c>
      <c r="J242" s="234" t="s">
        <v>296</v>
      </c>
      <c r="K242" s="234" t="s">
        <v>296</v>
      </c>
      <c r="L242" s="234" t="s">
        <v>296</v>
      </c>
      <c r="M242" s="234" t="s">
        <v>296</v>
      </c>
      <c r="N242" s="235" t="s">
        <v>296</v>
      </c>
      <c r="O242" s="236" t="s">
        <v>296</v>
      </c>
      <c r="P242" s="236" t="s">
        <v>296</v>
      </c>
      <c r="Q242" s="236" t="s">
        <v>296</v>
      </c>
      <c r="R242" s="236" t="s">
        <v>296</v>
      </c>
      <c r="S242" s="236" t="s">
        <v>296</v>
      </c>
      <c r="T242" s="236" t="s">
        <v>296</v>
      </c>
      <c r="U242" s="236" t="s">
        <v>296</v>
      </c>
      <c r="V242" s="236" t="s">
        <v>296</v>
      </c>
      <c r="W242" s="237" t="s">
        <v>296</v>
      </c>
      <c r="X242" s="237" t="s">
        <v>296</v>
      </c>
      <c r="Y242" s="238" t="s">
        <v>296</v>
      </c>
    </row>
    <row r="243" spans="1:25">
      <c r="A243" s="230">
        <v>5</v>
      </c>
      <c r="B243" s="231" t="str">
        <f>VLOOKUP(Tabel10[[#This Row],[Locatiecode]],Ruimtegroepen[[Code]:[Ruimte omschrijving]],2,FALSE)</f>
        <v>Sanitair</v>
      </c>
      <c r="C243" s="232" t="s">
        <v>488</v>
      </c>
      <c r="D243" s="231" t="s">
        <v>489</v>
      </c>
      <c r="E243" s="233" t="s">
        <v>1344</v>
      </c>
      <c r="F243" s="232" t="s">
        <v>1496</v>
      </c>
      <c r="G243" s="281" t="s">
        <v>296</v>
      </c>
      <c r="H243" s="234" t="s">
        <v>296</v>
      </c>
      <c r="I243" s="234" t="s">
        <v>296</v>
      </c>
      <c r="J243" s="234" t="s">
        <v>491</v>
      </c>
      <c r="K243" s="234" t="s">
        <v>15</v>
      </c>
      <c r="L243" s="234" t="s">
        <v>296</v>
      </c>
      <c r="M243" s="234" t="s">
        <v>296</v>
      </c>
      <c r="N243" s="235" t="s">
        <v>296</v>
      </c>
      <c r="O243" s="236" t="s">
        <v>296</v>
      </c>
      <c r="P243" s="236" t="s">
        <v>296</v>
      </c>
      <c r="Q243" s="236" t="s">
        <v>296</v>
      </c>
      <c r="R243" s="236" t="s">
        <v>296</v>
      </c>
      <c r="S243" s="236" t="s">
        <v>296</v>
      </c>
      <c r="T243" s="236" t="s">
        <v>296</v>
      </c>
      <c r="U243" s="236" t="s">
        <v>296</v>
      </c>
      <c r="V243" s="236" t="s">
        <v>296</v>
      </c>
      <c r="W243" s="237" t="s">
        <v>491</v>
      </c>
      <c r="X243" s="237" t="s">
        <v>15</v>
      </c>
      <c r="Y243" s="238" t="s">
        <v>296</v>
      </c>
    </row>
    <row r="244" spans="1:25">
      <c r="A244" s="230">
        <v>5</v>
      </c>
      <c r="B244" s="231" t="str">
        <f>VLOOKUP(Tabel10[[#This Row],[Locatiecode]],Ruimtegroepen[[Code]:[Ruimte omschrijving]],2,FALSE)</f>
        <v>Sanitair</v>
      </c>
      <c r="C244" s="233" t="s">
        <v>1299</v>
      </c>
      <c r="D244" s="231" t="s">
        <v>495</v>
      </c>
      <c r="E244" s="233" t="s">
        <v>101</v>
      </c>
      <c r="F244" s="232" t="s">
        <v>496</v>
      </c>
      <c r="G244" s="281" t="s">
        <v>296</v>
      </c>
      <c r="H244" s="234" t="s">
        <v>296</v>
      </c>
      <c r="I244" s="234" t="s">
        <v>296</v>
      </c>
      <c r="J244" s="234" t="s">
        <v>491</v>
      </c>
      <c r="K244" s="234" t="s">
        <v>15</v>
      </c>
      <c r="L244" s="234" t="s">
        <v>296</v>
      </c>
      <c r="M244" s="234" t="s">
        <v>296</v>
      </c>
      <c r="N244" s="234" t="s">
        <v>1298</v>
      </c>
      <c r="O244" s="236" t="s">
        <v>296</v>
      </c>
      <c r="P244" s="236" t="s">
        <v>296</v>
      </c>
      <c r="Q244" s="236" t="s">
        <v>296</v>
      </c>
      <c r="R244" s="236" t="s">
        <v>296</v>
      </c>
      <c r="S244" s="236" t="s">
        <v>296</v>
      </c>
      <c r="T244" s="236" t="s">
        <v>296</v>
      </c>
      <c r="U244" s="236" t="s">
        <v>296</v>
      </c>
      <c r="V244" s="236" t="s">
        <v>296</v>
      </c>
      <c r="W244" s="237" t="s">
        <v>491</v>
      </c>
      <c r="X244" s="237" t="s">
        <v>15</v>
      </c>
      <c r="Y244" s="280" t="s">
        <v>1298</v>
      </c>
    </row>
    <row r="245" spans="1:25">
      <c r="A245" s="230">
        <v>5</v>
      </c>
      <c r="B245" s="231" t="str">
        <f>VLOOKUP(Tabel10[[#This Row],[Locatiecode]],Ruimtegroepen[[Code]:[Ruimte omschrijving]],2,FALSE)</f>
        <v>Sanitair</v>
      </c>
      <c r="C245" s="233" t="s">
        <v>1299</v>
      </c>
      <c r="D245" s="231" t="s">
        <v>495</v>
      </c>
      <c r="E245" s="233" t="s">
        <v>100</v>
      </c>
      <c r="F245" s="232" t="s">
        <v>497</v>
      </c>
      <c r="G245" s="281" t="s">
        <v>296</v>
      </c>
      <c r="H245" s="234" t="s">
        <v>296</v>
      </c>
      <c r="I245" s="234" t="s">
        <v>296</v>
      </c>
      <c r="J245" s="234" t="s">
        <v>296</v>
      </c>
      <c r="K245" s="234" t="s">
        <v>296</v>
      </c>
      <c r="L245" s="234" t="s">
        <v>296</v>
      </c>
      <c r="M245" s="234" t="s">
        <v>296</v>
      </c>
      <c r="N245" s="235" t="s">
        <v>296</v>
      </c>
      <c r="O245" s="236" t="s">
        <v>296</v>
      </c>
      <c r="P245" s="236" t="s">
        <v>296</v>
      </c>
      <c r="Q245" s="236" t="s">
        <v>296</v>
      </c>
      <c r="R245" s="236" t="s">
        <v>296</v>
      </c>
      <c r="S245" s="236" t="s">
        <v>296</v>
      </c>
      <c r="T245" s="236" t="s">
        <v>296</v>
      </c>
      <c r="U245" s="236" t="s">
        <v>296</v>
      </c>
      <c r="V245" s="236" t="s">
        <v>296</v>
      </c>
      <c r="W245" s="237" t="s">
        <v>296</v>
      </c>
      <c r="X245" s="237" t="s">
        <v>296</v>
      </c>
      <c r="Y245" s="238" t="s">
        <v>296</v>
      </c>
    </row>
    <row r="246" spans="1:25">
      <c r="A246" s="230">
        <v>5</v>
      </c>
      <c r="B246" s="231" t="str">
        <f>VLOOKUP(Tabel10[[#This Row],[Locatiecode]],Ruimtegroepen[[Code]:[Ruimte omschrijving]],2,FALSE)</f>
        <v>Sanitair</v>
      </c>
      <c r="C246" s="233" t="s">
        <v>1299</v>
      </c>
      <c r="D246" s="231" t="s">
        <v>495</v>
      </c>
      <c r="E246" s="233" t="s">
        <v>102</v>
      </c>
      <c r="F246" s="232" t="s">
        <v>498</v>
      </c>
      <c r="G246" s="281" t="s">
        <v>296</v>
      </c>
      <c r="H246" s="234" t="s">
        <v>296</v>
      </c>
      <c r="I246" s="234" t="s">
        <v>296</v>
      </c>
      <c r="J246" s="234" t="s">
        <v>491</v>
      </c>
      <c r="K246" s="234" t="s">
        <v>15</v>
      </c>
      <c r="L246" s="234" t="s">
        <v>296</v>
      </c>
      <c r="M246" s="234" t="s">
        <v>296</v>
      </c>
      <c r="N246" s="234" t="s">
        <v>1298</v>
      </c>
      <c r="O246" s="236" t="s">
        <v>296</v>
      </c>
      <c r="P246" s="236" t="s">
        <v>296</v>
      </c>
      <c r="Q246" s="236" t="s">
        <v>296</v>
      </c>
      <c r="R246" s="236" t="s">
        <v>296</v>
      </c>
      <c r="S246" s="236" t="s">
        <v>296</v>
      </c>
      <c r="T246" s="236" t="s">
        <v>296</v>
      </c>
      <c r="U246" s="236" t="s">
        <v>296</v>
      </c>
      <c r="V246" s="236" t="s">
        <v>296</v>
      </c>
      <c r="W246" s="237" t="s">
        <v>491</v>
      </c>
      <c r="X246" s="237" t="s">
        <v>15</v>
      </c>
      <c r="Y246" s="280" t="s">
        <v>1298</v>
      </c>
    </row>
    <row r="247" spans="1:25">
      <c r="A247" s="230">
        <v>5</v>
      </c>
      <c r="B247" s="231" t="str">
        <f>VLOOKUP(Tabel10[[#This Row],[Locatiecode]],Ruimtegroepen[[Code]:[Ruimte omschrijving]],2,FALSE)</f>
        <v>Sanitair</v>
      </c>
      <c r="C247" s="233" t="s">
        <v>1299</v>
      </c>
      <c r="D247" s="231" t="s">
        <v>495</v>
      </c>
      <c r="E247" s="233" t="s">
        <v>103</v>
      </c>
      <c r="F247" s="232" t="s">
        <v>499</v>
      </c>
      <c r="G247" s="281" t="s">
        <v>296</v>
      </c>
      <c r="H247" s="234" t="s">
        <v>296</v>
      </c>
      <c r="I247" s="234" t="s">
        <v>296</v>
      </c>
      <c r="J247" s="234" t="s">
        <v>491</v>
      </c>
      <c r="K247" s="234" t="s">
        <v>15</v>
      </c>
      <c r="L247" s="234" t="s">
        <v>296</v>
      </c>
      <c r="M247" s="234" t="s">
        <v>296</v>
      </c>
      <c r="N247" s="234" t="s">
        <v>1298</v>
      </c>
      <c r="O247" s="236" t="s">
        <v>296</v>
      </c>
      <c r="P247" s="236" t="s">
        <v>296</v>
      </c>
      <c r="Q247" s="236" t="s">
        <v>296</v>
      </c>
      <c r="R247" s="236" t="s">
        <v>296</v>
      </c>
      <c r="S247" s="236" t="s">
        <v>296</v>
      </c>
      <c r="T247" s="236" t="s">
        <v>296</v>
      </c>
      <c r="U247" s="236" t="s">
        <v>296</v>
      </c>
      <c r="V247" s="236" t="s">
        <v>296</v>
      </c>
      <c r="W247" s="237" t="s">
        <v>491</v>
      </c>
      <c r="X247" s="237" t="s">
        <v>15</v>
      </c>
      <c r="Y247" s="280" t="s">
        <v>1298</v>
      </c>
    </row>
    <row r="248" spans="1:25">
      <c r="A248" s="230">
        <v>5</v>
      </c>
      <c r="B248" s="231" t="str">
        <f>VLOOKUP(Tabel10[[#This Row],[Locatiecode]],Ruimtegroepen[[Code]:[Ruimte omschrijving]],2,FALSE)</f>
        <v>Sanitair</v>
      </c>
      <c r="C248" s="233" t="s">
        <v>1299</v>
      </c>
      <c r="D248" s="231" t="s">
        <v>495</v>
      </c>
      <c r="E248" s="233" t="s">
        <v>100</v>
      </c>
      <c r="F248" s="232" t="s">
        <v>497</v>
      </c>
      <c r="G248" s="281" t="s">
        <v>296</v>
      </c>
      <c r="H248" s="234" t="s">
        <v>296</v>
      </c>
      <c r="I248" s="234" t="s">
        <v>296</v>
      </c>
      <c r="J248" s="234" t="s">
        <v>296</v>
      </c>
      <c r="K248" s="234" t="s">
        <v>296</v>
      </c>
      <c r="L248" s="234" t="s">
        <v>296</v>
      </c>
      <c r="M248" s="234" t="s">
        <v>296</v>
      </c>
      <c r="N248" s="235" t="s">
        <v>296</v>
      </c>
      <c r="O248" s="236" t="s">
        <v>296</v>
      </c>
      <c r="P248" s="236" t="s">
        <v>296</v>
      </c>
      <c r="Q248" s="236" t="s">
        <v>296</v>
      </c>
      <c r="R248" s="236" t="s">
        <v>296</v>
      </c>
      <c r="S248" s="236" t="s">
        <v>296</v>
      </c>
      <c r="T248" s="236" t="s">
        <v>296</v>
      </c>
      <c r="U248" s="236" t="s">
        <v>296</v>
      </c>
      <c r="V248" s="236" t="s">
        <v>296</v>
      </c>
      <c r="W248" s="237" t="s">
        <v>296</v>
      </c>
      <c r="X248" s="237" t="s">
        <v>296</v>
      </c>
      <c r="Y248" s="238" t="s">
        <v>296</v>
      </c>
    </row>
    <row r="249" spans="1:25">
      <c r="A249" s="230">
        <v>5</v>
      </c>
      <c r="B249" s="231" t="str">
        <f>VLOOKUP(Tabel10[[#This Row],[Locatiecode]],Ruimtegroepen[[Code]:[Ruimte omschrijving]],2,FALSE)</f>
        <v>Sanitair</v>
      </c>
      <c r="C249" s="233" t="s">
        <v>1299</v>
      </c>
      <c r="D249" s="231" t="s">
        <v>495</v>
      </c>
      <c r="E249" s="233" t="s">
        <v>1344</v>
      </c>
      <c r="F249" s="232" t="s">
        <v>1477</v>
      </c>
      <c r="G249" s="281" t="s">
        <v>296</v>
      </c>
      <c r="H249" s="234" t="s">
        <v>296</v>
      </c>
      <c r="I249" s="234" t="s">
        <v>296</v>
      </c>
      <c r="J249" s="234" t="s">
        <v>491</v>
      </c>
      <c r="K249" s="234" t="s">
        <v>15</v>
      </c>
      <c r="L249" s="234" t="s">
        <v>296</v>
      </c>
      <c r="M249" s="234" t="s">
        <v>296</v>
      </c>
      <c r="N249" s="234" t="s">
        <v>1298</v>
      </c>
      <c r="O249" s="236" t="s">
        <v>296</v>
      </c>
      <c r="P249" s="236" t="s">
        <v>296</v>
      </c>
      <c r="Q249" s="236" t="s">
        <v>296</v>
      </c>
      <c r="R249" s="236" t="s">
        <v>296</v>
      </c>
      <c r="S249" s="236" t="s">
        <v>296</v>
      </c>
      <c r="T249" s="236" t="s">
        <v>296</v>
      </c>
      <c r="U249" s="236" t="s">
        <v>296</v>
      </c>
      <c r="V249" s="236" t="s">
        <v>296</v>
      </c>
      <c r="W249" s="237" t="s">
        <v>491</v>
      </c>
      <c r="X249" s="237" t="s">
        <v>15</v>
      </c>
      <c r="Y249" s="280" t="s">
        <v>1298</v>
      </c>
    </row>
    <row r="250" spans="1:25">
      <c r="A250" s="230">
        <v>5</v>
      </c>
      <c r="B250" s="231" t="str">
        <f>VLOOKUP(Tabel10[[#This Row],[Locatiecode]],Ruimtegroepen[[Code]:[Ruimte omschrijving]],2,FALSE)</f>
        <v>Sanitair</v>
      </c>
      <c r="C250" s="232" t="s">
        <v>500</v>
      </c>
      <c r="D250" s="231" t="s">
        <v>21</v>
      </c>
      <c r="E250" s="233" t="s">
        <v>101</v>
      </c>
      <c r="F250" s="232" t="s">
        <v>501</v>
      </c>
      <c r="G250" s="281" t="s">
        <v>296</v>
      </c>
      <c r="H250" s="234" t="s">
        <v>296</v>
      </c>
      <c r="I250" s="234" t="s">
        <v>296</v>
      </c>
      <c r="J250" s="234" t="s">
        <v>18</v>
      </c>
      <c r="K250" s="234" t="s">
        <v>15</v>
      </c>
      <c r="L250" s="234" t="s">
        <v>296</v>
      </c>
      <c r="M250" s="234" t="s">
        <v>296</v>
      </c>
      <c r="N250" s="235" t="s">
        <v>296</v>
      </c>
      <c r="O250" s="236" t="s">
        <v>296</v>
      </c>
      <c r="P250" s="236" t="s">
        <v>296</v>
      </c>
      <c r="Q250" s="236" t="s">
        <v>296</v>
      </c>
      <c r="R250" s="236" t="s">
        <v>296</v>
      </c>
      <c r="S250" s="236" t="s">
        <v>296</v>
      </c>
      <c r="T250" s="236" t="s">
        <v>296</v>
      </c>
      <c r="U250" s="236" t="s">
        <v>296</v>
      </c>
      <c r="V250" s="236" t="s">
        <v>296</v>
      </c>
      <c r="W250" s="237" t="s">
        <v>18</v>
      </c>
      <c r="X250" s="237" t="s">
        <v>15</v>
      </c>
      <c r="Y250" s="238" t="s">
        <v>296</v>
      </c>
    </row>
    <row r="251" spans="1:25">
      <c r="A251" s="230">
        <v>5</v>
      </c>
      <c r="B251" s="231" t="str">
        <f>VLOOKUP(Tabel10[[#This Row],[Locatiecode]],Ruimtegroepen[[Code]:[Ruimte omschrijving]],2,FALSE)</f>
        <v>Sanitair</v>
      </c>
      <c r="C251" s="232" t="s">
        <v>500</v>
      </c>
      <c r="D251" s="231" t="s">
        <v>21</v>
      </c>
      <c r="E251" s="233" t="s">
        <v>100</v>
      </c>
      <c r="F251" s="232" t="s">
        <v>502</v>
      </c>
      <c r="G251" s="281" t="s">
        <v>296</v>
      </c>
      <c r="H251" s="234" t="s">
        <v>296</v>
      </c>
      <c r="I251" s="234" t="s">
        <v>296</v>
      </c>
      <c r="J251" s="234" t="s">
        <v>296</v>
      </c>
      <c r="K251" s="234" t="s">
        <v>296</v>
      </c>
      <c r="L251" s="234" t="s">
        <v>296</v>
      </c>
      <c r="M251" s="234" t="s">
        <v>296</v>
      </c>
      <c r="N251" s="235" t="s">
        <v>296</v>
      </c>
      <c r="O251" s="236" t="s">
        <v>296</v>
      </c>
      <c r="P251" s="236" t="s">
        <v>296</v>
      </c>
      <c r="Q251" s="236" t="s">
        <v>296</v>
      </c>
      <c r="R251" s="236" t="s">
        <v>296</v>
      </c>
      <c r="S251" s="236" t="s">
        <v>296</v>
      </c>
      <c r="T251" s="236" t="s">
        <v>296</v>
      </c>
      <c r="U251" s="236" t="s">
        <v>296</v>
      </c>
      <c r="V251" s="236" t="s">
        <v>296</v>
      </c>
      <c r="W251" s="237" t="s">
        <v>296</v>
      </c>
      <c r="X251" s="237" t="s">
        <v>296</v>
      </c>
      <c r="Y251" s="238" t="s">
        <v>296</v>
      </c>
    </row>
    <row r="252" spans="1:25">
      <c r="A252" s="230">
        <v>5</v>
      </c>
      <c r="B252" s="231" t="str">
        <f>VLOOKUP(Tabel10[[#This Row],[Locatiecode]],Ruimtegroepen[[Code]:[Ruimte omschrijving]],2,FALSE)</f>
        <v>Sanitair</v>
      </c>
      <c r="C252" s="232" t="s">
        <v>500</v>
      </c>
      <c r="D252" s="231" t="s">
        <v>21</v>
      </c>
      <c r="E252" s="233" t="s">
        <v>102</v>
      </c>
      <c r="F252" s="232" t="s">
        <v>503</v>
      </c>
      <c r="G252" s="281" t="s">
        <v>296</v>
      </c>
      <c r="H252" s="234" t="s">
        <v>296</v>
      </c>
      <c r="I252" s="234" t="s">
        <v>296</v>
      </c>
      <c r="J252" s="234" t="s">
        <v>18</v>
      </c>
      <c r="K252" s="234" t="s">
        <v>15</v>
      </c>
      <c r="L252" s="234" t="s">
        <v>296</v>
      </c>
      <c r="M252" s="234" t="s">
        <v>296</v>
      </c>
      <c r="N252" s="235" t="s">
        <v>296</v>
      </c>
      <c r="O252" s="236" t="s">
        <v>296</v>
      </c>
      <c r="P252" s="236" t="s">
        <v>296</v>
      </c>
      <c r="Q252" s="236" t="s">
        <v>296</v>
      </c>
      <c r="R252" s="236" t="s">
        <v>296</v>
      </c>
      <c r="S252" s="236" t="s">
        <v>296</v>
      </c>
      <c r="T252" s="236" t="s">
        <v>296</v>
      </c>
      <c r="U252" s="236" t="s">
        <v>296</v>
      </c>
      <c r="V252" s="236" t="s">
        <v>296</v>
      </c>
      <c r="W252" s="237" t="s">
        <v>18</v>
      </c>
      <c r="X252" s="237" t="s">
        <v>15</v>
      </c>
      <c r="Y252" s="238" t="s">
        <v>296</v>
      </c>
    </row>
    <row r="253" spans="1:25">
      <c r="A253" s="230">
        <v>5</v>
      </c>
      <c r="B253" s="231" t="str">
        <f>VLOOKUP(Tabel10[[#This Row],[Locatiecode]],Ruimtegroepen[[Code]:[Ruimte omschrijving]],2,FALSE)</f>
        <v>Sanitair</v>
      </c>
      <c r="C253" s="232" t="s">
        <v>500</v>
      </c>
      <c r="D253" s="231" t="s">
        <v>21</v>
      </c>
      <c r="E253" s="233" t="s">
        <v>103</v>
      </c>
      <c r="F253" s="232" t="s">
        <v>504</v>
      </c>
      <c r="G253" s="281" t="s">
        <v>296</v>
      </c>
      <c r="H253" s="234" t="s">
        <v>296</v>
      </c>
      <c r="I253" s="234" t="s">
        <v>296</v>
      </c>
      <c r="J253" s="234" t="s">
        <v>18</v>
      </c>
      <c r="K253" s="234" t="s">
        <v>15</v>
      </c>
      <c r="L253" s="234" t="s">
        <v>296</v>
      </c>
      <c r="M253" s="234" t="s">
        <v>296</v>
      </c>
      <c r="N253" s="235" t="s">
        <v>296</v>
      </c>
      <c r="O253" s="236" t="s">
        <v>296</v>
      </c>
      <c r="P253" s="236" t="s">
        <v>296</v>
      </c>
      <c r="Q253" s="236" t="s">
        <v>296</v>
      </c>
      <c r="R253" s="236" t="s">
        <v>296</v>
      </c>
      <c r="S253" s="236" t="s">
        <v>296</v>
      </c>
      <c r="T253" s="236" t="s">
        <v>296</v>
      </c>
      <c r="U253" s="236" t="s">
        <v>296</v>
      </c>
      <c r="V253" s="236" t="s">
        <v>296</v>
      </c>
      <c r="W253" s="237" t="s">
        <v>18</v>
      </c>
      <c r="X253" s="237" t="s">
        <v>15</v>
      </c>
      <c r="Y253" s="238" t="s">
        <v>296</v>
      </c>
    </row>
    <row r="254" spans="1:25">
      <c r="A254" s="230">
        <v>5</v>
      </c>
      <c r="B254" s="231" t="str">
        <f>VLOOKUP(Tabel10[[#This Row],[Locatiecode]],Ruimtegroepen[[Code]:[Ruimte omschrijving]],2,FALSE)</f>
        <v>Sanitair</v>
      </c>
      <c r="C254" s="232" t="s">
        <v>500</v>
      </c>
      <c r="D254" s="231" t="s">
        <v>21</v>
      </c>
      <c r="E254" s="233" t="s">
        <v>100</v>
      </c>
      <c r="F254" s="232" t="s">
        <v>502</v>
      </c>
      <c r="G254" s="281" t="s">
        <v>296</v>
      </c>
      <c r="H254" s="234" t="s">
        <v>296</v>
      </c>
      <c r="I254" s="234" t="s">
        <v>296</v>
      </c>
      <c r="J254" s="234" t="s">
        <v>296</v>
      </c>
      <c r="K254" s="234" t="s">
        <v>296</v>
      </c>
      <c r="L254" s="234" t="s">
        <v>296</v>
      </c>
      <c r="M254" s="234" t="s">
        <v>296</v>
      </c>
      <c r="N254" s="235" t="s">
        <v>296</v>
      </c>
      <c r="O254" s="236" t="s">
        <v>296</v>
      </c>
      <c r="P254" s="236" t="s">
        <v>296</v>
      </c>
      <c r="Q254" s="236" t="s">
        <v>296</v>
      </c>
      <c r="R254" s="236" t="s">
        <v>296</v>
      </c>
      <c r="S254" s="236" t="s">
        <v>296</v>
      </c>
      <c r="T254" s="236" t="s">
        <v>296</v>
      </c>
      <c r="U254" s="236" t="s">
        <v>296</v>
      </c>
      <c r="V254" s="236" t="s">
        <v>296</v>
      </c>
      <c r="W254" s="237" t="s">
        <v>296</v>
      </c>
      <c r="X254" s="237" t="s">
        <v>296</v>
      </c>
      <c r="Y254" s="238" t="s">
        <v>296</v>
      </c>
    </row>
    <row r="255" spans="1:25">
      <c r="A255" s="230">
        <v>5</v>
      </c>
      <c r="B255" s="231" t="str">
        <f>VLOOKUP(Tabel10[[#This Row],[Locatiecode]],Ruimtegroepen[[Code]:[Ruimte omschrijving]],2,FALSE)</f>
        <v>Sanitair</v>
      </c>
      <c r="C255" s="232" t="s">
        <v>500</v>
      </c>
      <c r="D255" s="231" t="s">
        <v>21</v>
      </c>
      <c r="E255" s="233" t="s">
        <v>1344</v>
      </c>
      <c r="F255" s="232" t="s">
        <v>1480</v>
      </c>
      <c r="G255" s="281" t="s">
        <v>296</v>
      </c>
      <c r="H255" s="234" t="s">
        <v>296</v>
      </c>
      <c r="I255" s="234" t="s">
        <v>296</v>
      </c>
      <c r="J255" s="234" t="s">
        <v>18</v>
      </c>
      <c r="K255" s="234" t="s">
        <v>15</v>
      </c>
      <c r="L255" s="234" t="s">
        <v>296</v>
      </c>
      <c r="M255" s="234" t="s">
        <v>296</v>
      </c>
      <c r="N255" s="235" t="s">
        <v>296</v>
      </c>
      <c r="O255" s="236" t="s">
        <v>296</v>
      </c>
      <c r="P255" s="236" t="s">
        <v>296</v>
      </c>
      <c r="Q255" s="236" t="s">
        <v>296</v>
      </c>
      <c r="R255" s="236" t="s">
        <v>296</v>
      </c>
      <c r="S255" s="236" t="s">
        <v>296</v>
      </c>
      <c r="T255" s="236" t="s">
        <v>296</v>
      </c>
      <c r="U255" s="236" t="s">
        <v>296</v>
      </c>
      <c r="V255" s="236" t="s">
        <v>296</v>
      </c>
      <c r="W255" s="237" t="s">
        <v>18</v>
      </c>
      <c r="X255" s="237" t="s">
        <v>15</v>
      </c>
      <c r="Y255" s="238" t="s">
        <v>296</v>
      </c>
    </row>
    <row r="256" spans="1:25">
      <c r="A256" s="230">
        <v>5</v>
      </c>
      <c r="B256" s="231" t="str">
        <f>VLOOKUP(Tabel10[[#This Row],[Locatiecode]],Ruimtegroepen[[Code]:[Ruimte omschrijving]],2,FALSE)</f>
        <v>Sanitair</v>
      </c>
      <c r="C256" s="232" t="s">
        <v>505</v>
      </c>
      <c r="D256" s="231" t="s">
        <v>12</v>
      </c>
      <c r="E256" s="233" t="s">
        <v>101</v>
      </c>
      <c r="F256" s="232" t="s">
        <v>506</v>
      </c>
      <c r="G256" s="281" t="s">
        <v>296</v>
      </c>
      <c r="H256" s="234" t="s">
        <v>296</v>
      </c>
      <c r="I256" s="234" t="s">
        <v>296</v>
      </c>
      <c r="J256" s="234" t="s">
        <v>17</v>
      </c>
      <c r="K256" s="234" t="s">
        <v>15</v>
      </c>
      <c r="L256" s="234" t="s">
        <v>296</v>
      </c>
      <c r="M256" s="234" t="s">
        <v>296</v>
      </c>
      <c r="N256" s="235" t="s">
        <v>296</v>
      </c>
      <c r="O256" s="236" t="s">
        <v>296</v>
      </c>
      <c r="P256" s="236" t="s">
        <v>296</v>
      </c>
      <c r="Q256" s="236" t="s">
        <v>296</v>
      </c>
      <c r="R256" s="236" t="s">
        <v>296</v>
      </c>
      <c r="S256" s="236" t="s">
        <v>296</v>
      </c>
      <c r="T256" s="236" t="s">
        <v>296</v>
      </c>
      <c r="U256" s="236" t="s">
        <v>296</v>
      </c>
      <c r="V256" s="236" t="s">
        <v>296</v>
      </c>
      <c r="W256" s="237" t="s">
        <v>17</v>
      </c>
      <c r="X256" s="237" t="s">
        <v>15</v>
      </c>
      <c r="Y256" s="238" t="s">
        <v>296</v>
      </c>
    </row>
    <row r="257" spans="1:25">
      <c r="A257" s="230">
        <v>5</v>
      </c>
      <c r="B257" s="231" t="str">
        <f>VLOOKUP(Tabel10[[#This Row],[Locatiecode]],Ruimtegroepen[[Code]:[Ruimte omschrijving]],2,FALSE)</f>
        <v>Sanitair</v>
      </c>
      <c r="C257" s="232" t="s">
        <v>505</v>
      </c>
      <c r="D257" s="231" t="s">
        <v>12</v>
      </c>
      <c r="E257" s="233" t="s">
        <v>100</v>
      </c>
      <c r="F257" s="232" t="s">
        <v>507</v>
      </c>
      <c r="G257" s="281" t="s">
        <v>296</v>
      </c>
      <c r="H257" s="234" t="s">
        <v>296</v>
      </c>
      <c r="I257" s="234" t="s">
        <v>296</v>
      </c>
      <c r="J257" s="234" t="s">
        <v>296</v>
      </c>
      <c r="K257" s="234" t="s">
        <v>296</v>
      </c>
      <c r="L257" s="234" t="s">
        <v>296</v>
      </c>
      <c r="M257" s="234" t="s">
        <v>296</v>
      </c>
      <c r="N257" s="235" t="s">
        <v>296</v>
      </c>
      <c r="O257" s="236" t="s">
        <v>296</v>
      </c>
      <c r="P257" s="236" t="s">
        <v>296</v>
      </c>
      <c r="Q257" s="236" t="s">
        <v>296</v>
      </c>
      <c r="R257" s="236" t="s">
        <v>296</v>
      </c>
      <c r="S257" s="236" t="s">
        <v>296</v>
      </c>
      <c r="T257" s="236" t="s">
        <v>296</v>
      </c>
      <c r="U257" s="236" t="s">
        <v>296</v>
      </c>
      <c r="V257" s="236" t="s">
        <v>296</v>
      </c>
      <c r="W257" s="237" t="s">
        <v>296</v>
      </c>
      <c r="X257" s="237" t="s">
        <v>296</v>
      </c>
      <c r="Y257" s="238" t="s">
        <v>296</v>
      </c>
    </row>
    <row r="258" spans="1:25">
      <c r="A258" s="230">
        <v>5</v>
      </c>
      <c r="B258" s="231" t="str">
        <f>VLOOKUP(Tabel10[[#This Row],[Locatiecode]],Ruimtegroepen[[Code]:[Ruimte omschrijving]],2,FALSE)</f>
        <v>Sanitair</v>
      </c>
      <c r="C258" s="232" t="s">
        <v>505</v>
      </c>
      <c r="D258" s="231" t="s">
        <v>12</v>
      </c>
      <c r="E258" s="233" t="s">
        <v>102</v>
      </c>
      <c r="F258" s="232" t="s">
        <v>508</v>
      </c>
      <c r="G258" s="281" t="s">
        <v>296</v>
      </c>
      <c r="H258" s="234" t="s">
        <v>296</v>
      </c>
      <c r="I258" s="234" t="s">
        <v>296</v>
      </c>
      <c r="J258" s="234" t="s">
        <v>17</v>
      </c>
      <c r="K258" s="234" t="s">
        <v>15</v>
      </c>
      <c r="L258" s="234" t="s">
        <v>296</v>
      </c>
      <c r="M258" s="234" t="s">
        <v>296</v>
      </c>
      <c r="N258" s="235" t="s">
        <v>296</v>
      </c>
      <c r="O258" s="236" t="s">
        <v>296</v>
      </c>
      <c r="P258" s="236" t="s">
        <v>296</v>
      </c>
      <c r="Q258" s="236" t="s">
        <v>296</v>
      </c>
      <c r="R258" s="236" t="s">
        <v>296</v>
      </c>
      <c r="S258" s="236" t="s">
        <v>296</v>
      </c>
      <c r="T258" s="236" t="s">
        <v>296</v>
      </c>
      <c r="U258" s="236" t="s">
        <v>296</v>
      </c>
      <c r="V258" s="236" t="s">
        <v>296</v>
      </c>
      <c r="W258" s="237" t="s">
        <v>17</v>
      </c>
      <c r="X258" s="237" t="s">
        <v>15</v>
      </c>
      <c r="Y258" s="238" t="s">
        <v>296</v>
      </c>
    </row>
    <row r="259" spans="1:25">
      <c r="A259" s="230">
        <v>5</v>
      </c>
      <c r="B259" s="231" t="str">
        <f>VLOOKUP(Tabel10[[#This Row],[Locatiecode]],Ruimtegroepen[[Code]:[Ruimte omschrijving]],2,FALSE)</f>
        <v>Sanitair</v>
      </c>
      <c r="C259" s="232" t="s">
        <v>505</v>
      </c>
      <c r="D259" s="231" t="s">
        <v>12</v>
      </c>
      <c r="E259" s="233" t="s">
        <v>103</v>
      </c>
      <c r="F259" s="232" t="s">
        <v>509</v>
      </c>
      <c r="G259" s="281" t="s">
        <v>296</v>
      </c>
      <c r="H259" s="234" t="s">
        <v>296</v>
      </c>
      <c r="I259" s="234" t="s">
        <v>296</v>
      </c>
      <c r="J259" s="234" t="s">
        <v>17</v>
      </c>
      <c r="K259" s="234" t="s">
        <v>15</v>
      </c>
      <c r="L259" s="234" t="s">
        <v>296</v>
      </c>
      <c r="M259" s="234" t="s">
        <v>296</v>
      </c>
      <c r="N259" s="235" t="s">
        <v>296</v>
      </c>
      <c r="O259" s="236" t="s">
        <v>296</v>
      </c>
      <c r="P259" s="236" t="s">
        <v>296</v>
      </c>
      <c r="Q259" s="236" t="s">
        <v>296</v>
      </c>
      <c r="R259" s="236" t="s">
        <v>296</v>
      </c>
      <c r="S259" s="236" t="s">
        <v>296</v>
      </c>
      <c r="T259" s="236" t="s">
        <v>296</v>
      </c>
      <c r="U259" s="236" t="s">
        <v>296</v>
      </c>
      <c r="V259" s="236" t="s">
        <v>296</v>
      </c>
      <c r="W259" s="237" t="s">
        <v>17</v>
      </c>
      <c r="X259" s="237" t="s">
        <v>15</v>
      </c>
      <c r="Y259" s="238" t="s">
        <v>296</v>
      </c>
    </row>
    <row r="260" spans="1:25">
      <c r="A260" s="230">
        <v>5</v>
      </c>
      <c r="B260" s="231" t="str">
        <f>VLOOKUP(Tabel10[[#This Row],[Locatiecode]],Ruimtegroepen[[Code]:[Ruimte omschrijving]],2,FALSE)</f>
        <v>Sanitair</v>
      </c>
      <c r="C260" s="232" t="s">
        <v>505</v>
      </c>
      <c r="D260" s="231" t="s">
        <v>12</v>
      </c>
      <c r="E260" s="233" t="s">
        <v>100</v>
      </c>
      <c r="F260" s="232" t="s">
        <v>507</v>
      </c>
      <c r="G260" s="281" t="s">
        <v>296</v>
      </c>
      <c r="H260" s="234" t="s">
        <v>296</v>
      </c>
      <c r="I260" s="234" t="s">
        <v>296</v>
      </c>
      <c r="J260" s="235" t="s">
        <v>296</v>
      </c>
      <c r="K260" s="235" t="s">
        <v>296</v>
      </c>
      <c r="L260" s="234" t="s">
        <v>296</v>
      </c>
      <c r="M260" s="234" t="s">
        <v>296</v>
      </c>
      <c r="N260" s="235" t="s">
        <v>296</v>
      </c>
      <c r="O260" s="236" t="s">
        <v>296</v>
      </c>
      <c r="P260" s="236" t="s">
        <v>296</v>
      </c>
      <c r="Q260" s="236" t="s">
        <v>296</v>
      </c>
      <c r="R260" s="236" t="s">
        <v>296</v>
      </c>
      <c r="S260" s="236" t="s">
        <v>296</v>
      </c>
      <c r="T260" s="236" t="s">
        <v>296</v>
      </c>
      <c r="U260" s="236" t="s">
        <v>296</v>
      </c>
      <c r="V260" s="236" t="s">
        <v>296</v>
      </c>
      <c r="W260" s="237" t="s">
        <v>296</v>
      </c>
      <c r="X260" s="237" t="s">
        <v>296</v>
      </c>
      <c r="Y260" s="238" t="s">
        <v>296</v>
      </c>
    </row>
    <row r="261" spans="1:25">
      <c r="A261" s="230">
        <v>5</v>
      </c>
      <c r="B261" s="231" t="str">
        <f>VLOOKUP(Tabel10[[#This Row],[Locatiecode]],Ruimtegroepen[[Code]:[Ruimte omschrijving]],2,FALSE)</f>
        <v>Sanitair</v>
      </c>
      <c r="C261" s="232" t="s">
        <v>505</v>
      </c>
      <c r="D261" s="231" t="s">
        <v>12</v>
      </c>
      <c r="E261" s="233" t="s">
        <v>1344</v>
      </c>
      <c r="F261" s="232" t="s">
        <v>1462</v>
      </c>
      <c r="G261" s="281" t="s">
        <v>296</v>
      </c>
      <c r="H261" s="234" t="s">
        <v>296</v>
      </c>
      <c r="I261" s="234" t="s">
        <v>296</v>
      </c>
      <c r="J261" s="234" t="s">
        <v>17</v>
      </c>
      <c r="K261" s="234" t="s">
        <v>15</v>
      </c>
      <c r="L261" s="234" t="s">
        <v>296</v>
      </c>
      <c r="M261" s="234" t="s">
        <v>296</v>
      </c>
      <c r="N261" s="235" t="s">
        <v>296</v>
      </c>
      <c r="O261" s="236" t="s">
        <v>296</v>
      </c>
      <c r="P261" s="236" t="s">
        <v>296</v>
      </c>
      <c r="Q261" s="236" t="s">
        <v>296</v>
      </c>
      <c r="R261" s="236" t="s">
        <v>296</v>
      </c>
      <c r="S261" s="236" t="s">
        <v>296</v>
      </c>
      <c r="T261" s="236" t="s">
        <v>296</v>
      </c>
      <c r="U261" s="236" t="s">
        <v>296</v>
      </c>
      <c r="V261" s="236" t="s">
        <v>296</v>
      </c>
      <c r="W261" s="237" t="s">
        <v>17</v>
      </c>
      <c r="X261" s="237" t="s">
        <v>15</v>
      </c>
      <c r="Y261" s="238" t="s">
        <v>296</v>
      </c>
    </row>
    <row r="262" spans="1:25">
      <c r="A262" s="230">
        <v>5</v>
      </c>
      <c r="B262" s="231" t="str">
        <f>VLOOKUP(Tabel10[[#This Row],[Locatiecode]],Ruimtegroepen[[Code]:[Ruimte omschrijving]],2,FALSE)</f>
        <v>Sanitair</v>
      </c>
      <c r="C262" s="232" t="s">
        <v>510</v>
      </c>
      <c r="D262" s="231" t="s">
        <v>14</v>
      </c>
      <c r="E262" s="233" t="s">
        <v>101</v>
      </c>
      <c r="F262" s="232" t="s">
        <v>511</v>
      </c>
      <c r="G262" s="281" t="s">
        <v>296</v>
      </c>
      <c r="H262" s="234" t="s">
        <v>296</v>
      </c>
      <c r="I262" s="234" t="s">
        <v>296</v>
      </c>
      <c r="J262" s="235" t="s">
        <v>15</v>
      </c>
      <c r="K262" s="235" t="s">
        <v>15</v>
      </c>
      <c r="L262" s="234" t="s">
        <v>296</v>
      </c>
      <c r="M262" s="234" t="s">
        <v>296</v>
      </c>
      <c r="N262" s="235" t="s">
        <v>296</v>
      </c>
      <c r="O262" s="236" t="s">
        <v>296</v>
      </c>
      <c r="P262" s="236" t="s">
        <v>296</v>
      </c>
      <c r="Q262" s="236" t="s">
        <v>296</v>
      </c>
      <c r="R262" s="236" t="s">
        <v>296</v>
      </c>
      <c r="S262" s="236" t="s">
        <v>296</v>
      </c>
      <c r="T262" s="236" t="s">
        <v>296</v>
      </c>
      <c r="U262" s="236" t="s">
        <v>296</v>
      </c>
      <c r="V262" s="236" t="s">
        <v>296</v>
      </c>
      <c r="W262" s="237" t="s">
        <v>15</v>
      </c>
      <c r="X262" s="237" t="s">
        <v>15</v>
      </c>
      <c r="Y262" s="238" t="s">
        <v>296</v>
      </c>
    </row>
    <row r="263" spans="1:25">
      <c r="A263" s="230">
        <v>5</v>
      </c>
      <c r="B263" s="231" t="str">
        <f>VLOOKUP(Tabel10[[#This Row],[Locatiecode]],Ruimtegroepen[[Code]:[Ruimte omschrijving]],2,FALSE)</f>
        <v>Sanitair</v>
      </c>
      <c r="C263" s="232" t="s">
        <v>510</v>
      </c>
      <c r="D263" s="231" t="s">
        <v>14</v>
      </c>
      <c r="E263" s="233" t="s">
        <v>100</v>
      </c>
      <c r="F263" s="232" t="s">
        <v>512</v>
      </c>
      <c r="G263" s="281" t="s">
        <v>296</v>
      </c>
      <c r="H263" s="234" t="s">
        <v>296</v>
      </c>
      <c r="I263" s="234" t="s">
        <v>296</v>
      </c>
      <c r="J263" s="235" t="s">
        <v>296</v>
      </c>
      <c r="K263" s="235" t="s">
        <v>296</v>
      </c>
      <c r="L263" s="234" t="s">
        <v>296</v>
      </c>
      <c r="M263" s="234" t="s">
        <v>296</v>
      </c>
      <c r="N263" s="235" t="s">
        <v>296</v>
      </c>
      <c r="O263" s="236" t="s">
        <v>296</v>
      </c>
      <c r="P263" s="236" t="s">
        <v>296</v>
      </c>
      <c r="Q263" s="236" t="s">
        <v>296</v>
      </c>
      <c r="R263" s="236" t="s">
        <v>296</v>
      </c>
      <c r="S263" s="236" t="s">
        <v>296</v>
      </c>
      <c r="T263" s="236" t="s">
        <v>296</v>
      </c>
      <c r="U263" s="236" t="s">
        <v>296</v>
      </c>
      <c r="V263" s="236" t="s">
        <v>296</v>
      </c>
      <c r="W263" s="237" t="s">
        <v>296</v>
      </c>
      <c r="X263" s="237" t="s">
        <v>296</v>
      </c>
      <c r="Y263" s="238" t="s">
        <v>296</v>
      </c>
    </row>
    <row r="264" spans="1:25">
      <c r="A264" s="230">
        <v>5</v>
      </c>
      <c r="B264" s="231" t="str">
        <f>VLOOKUP(Tabel10[[#This Row],[Locatiecode]],Ruimtegroepen[[Code]:[Ruimte omschrijving]],2,FALSE)</f>
        <v>Sanitair</v>
      </c>
      <c r="C264" s="232" t="s">
        <v>510</v>
      </c>
      <c r="D264" s="231" t="s">
        <v>14</v>
      </c>
      <c r="E264" s="233" t="s">
        <v>102</v>
      </c>
      <c r="F264" s="232" t="s">
        <v>513</v>
      </c>
      <c r="G264" s="281" t="s">
        <v>296</v>
      </c>
      <c r="H264" s="234" t="s">
        <v>296</v>
      </c>
      <c r="I264" s="234" t="s">
        <v>296</v>
      </c>
      <c r="J264" s="235" t="s">
        <v>15</v>
      </c>
      <c r="K264" s="235" t="s">
        <v>15</v>
      </c>
      <c r="L264" s="234" t="s">
        <v>296</v>
      </c>
      <c r="M264" s="234" t="s">
        <v>296</v>
      </c>
      <c r="N264" s="235" t="s">
        <v>296</v>
      </c>
      <c r="O264" s="236" t="s">
        <v>296</v>
      </c>
      <c r="P264" s="236" t="s">
        <v>296</v>
      </c>
      <c r="Q264" s="236" t="s">
        <v>296</v>
      </c>
      <c r="R264" s="236" t="s">
        <v>296</v>
      </c>
      <c r="S264" s="236" t="s">
        <v>296</v>
      </c>
      <c r="T264" s="236" t="s">
        <v>296</v>
      </c>
      <c r="U264" s="236" t="s">
        <v>296</v>
      </c>
      <c r="V264" s="236" t="s">
        <v>296</v>
      </c>
      <c r="W264" s="237" t="s">
        <v>15</v>
      </c>
      <c r="X264" s="237" t="s">
        <v>15</v>
      </c>
      <c r="Y264" s="238" t="s">
        <v>296</v>
      </c>
    </row>
    <row r="265" spans="1:25">
      <c r="A265" s="230">
        <v>5</v>
      </c>
      <c r="B265" s="231" t="str">
        <f>VLOOKUP(Tabel10[[#This Row],[Locatiecode]],Ruimtegroepen[[Code]:[Ruimte omschrijving]],2,FALSE)</f>
        <v>Sanitair</v>
      </c>
      <c r="C265" s="232" t="s">
        <v>510</v>
      </c>
      <c r="D265" s="231" t="s">
        <v>14</v>
      </c>
      <c r="E265" s="233" t="s">
        <v>103</v>
      </c>
      <c r="F265" s="232" t="s">
        <v>514</v>
      </c>
      <c r="G265" s="281" t="s">
        <v>296</v>
      </c>
      <c r="H265" s="234" t="s">
        <v>296</v>
      </c>
      <c r="I265" s="234" t="s">
        <v>296</v>
      </c>
      <c r="J265" s="235" t="s">
        <v>15</v>
      </c>
      <c r="K265" s="235" t="s">
        <v>15</v>
      </c>
      <c r="L265" s="234" t="s">
        <v>296</v>
      </c>
      <c r="M265" s="234" t="s">
        <v>296</v>
      </c>
      <c r="N265" s="235" t="s">
        <v>296</v>
      </c>
      <c r="O265" s="236" t="s">
        <v>296</v>
      </c>
      <c r="P265" s="236" t="s">
        <v>296</v>
      </c>
      <c r="Q265" s="236" t="s">
        <v>296</v>
      </c>
      <c r="R265" s="236" t="s">
        <v>296</v>
      </c>
      <c r="S265" s="236" t="s">
        <v>296</v>
      </c>
      <c r="T265" s="236" t="s">
        <v>296</v>
      </c>
      <c r="U265" s="236" t="s">
        <v>296</v>
      </c>
      <c r="V265" s="236" t="s">
        <v>296</v>
      </c>
      <c r="W265" s="237" t="s">
        <v>15</v>
      </c>
      <c r="X265" s="237" t="s">
        <v>15</v>
      </c>
      <c r="Y265" s="238" t="s">
        <v>296</v>
      </c>
    </row>
    <row r="266" spans="1:25">
      <c r="A266" s="230">
        <v>5</v>
      </c>
      <c r="B266" s="231" t="str">
        <f>VLOOKUP(Tabel10[[#This Row],[Locatiecode]],Ruimtegroepen[[Code]:[Ruimte omschrijving]],2,FALSE)</f>
        <v>Sanitair</v>
      </c>
      <c r="C266" s="232" t="s">
        <v>510</v>
      </c>
      <c r="D266" s="231" t="s">
        <v>14</v>
      </c>
      <c r="E266" s="233" t="s">
        <v>100</v>
      </c>
      <c r="F266" s="232" t="s">
        <v>512</v>
      </c>
      <c r="G266" s="281" t="s">
        <v>296</v>
      </c>
      <c r="H266" s="234" t="s">
        <v>296</v>
      </c>
      <c r="I266" s="234" t="s">
        <v>296</v>
      </c>
      <c r="J266" s="235" t="s">
        <v>296</v>
      </c>
      <c r="K266" s="235" t="s">
        <v>296</v>
      </c>
      <c r="L266" s="234" t="s">
        <v>296</v>
      </c>
      <c r="M266" s="234" t="s">
        <v>296</v>
      </c>
      <c r="N266" s="235" t="s">
        <v>296</v>
      </c>
      <c r="O266" s="236" t="s">
        <v>296</v>
      </c>
      <c r="P266" s="236" t="s">
        <v>296</v>
      </c>
      <c r="Q266" s="236" t="s">
        <v>296</v>
      </c>
      <c r="R266" s="236" t="s">
        <v>296</v>
      </c>
      <c r="S266" s="236" t="s">
        <v>296</v>
      </c>
      <c r="T266" s="236" t="s">
        <v>296</v>
      </c>
      <c r="U266" s="236" t="s">
        <v>296</v>
      </c>
      <c r="V266" s="236" t="s">
        <v>296</v>
      </c>
      <c r="W266" s="237" t="s">
        <v>296</v>
      </c>
      <c r="X266" s="237" t="s">
        <v>296</v>
      </c>
      <c r="Y266" s="238" t="s">
        <v>296</v>
      </c>
    </row>
    <row r="267" spans="1:25">
      <c r="A267" s="230">
        <v>5</v>
      </c>
      <c r="B267" s="231" t="str">
        <f>VLOOKUP(Tabel10[[#This Row],[Locatiecode]],Ruimtegroepen[[Code]:[Ruimte omschrijving]],2,FALSE)</f>
        <v>Sanitair</v>
      </c>
      <c r="C267" s="232" t="s">
        <v>510</v>
      </c>
      <c r="D267" s="231" t="s">
        <v>14</v>
      </c>
      <c r="E267" s="233" t="s">
        <v>1344</v>
      </c>
      <c r="F267" s="232" t="s">
        <v>1429</v>
      </c>
      <c r="G267" s="281" t="s">
        <v>296</v>
      </c>
      <c r="H267" s="234" t="s">
        <v>296</v>
      </c>
      <c r="I267" s="234" t="s">
        <v>296</v>
      </c>
      <c r="J267" s="235" t="s">
        <v>15</v>
      </c>
      <c r="K267" s="235" t="s">
        <v>15</v>
      </c>
      <c r="L267" s="234" t="s">
        <v>296</v>
      </c>
      <c r="M267" s="234" t="s">
        <v>296</v>
      </c>
      <c r="N267" s="235" t="s">
        <v>296</v>
      </c>
      <c r="O267" s="236" t="s">
        <v>296</v>
      </c>
      <c r="P267" s="236" t="s">
        <v>296</v>
      </c>
      <c r="Q267" s="236" t="s">
        <v>296</v>
      </c>
      <c r="R267" s="236" t="s">
        <v>296</v>
      </c>
      <c r="S267" s="236" t="s">
        <v>296</v>
      </c>
      <c r="T267" s="236" t="s">
        <v>296</v>
      </c>
      <c r="U267" s="236" t="s">
        <v>296</v>
      </c>
      <c r="V267" s="236" t="s">
        <v>296</v>
      </c>
      <c r="W267" s="237" t="s">
        <v>15</v>
      </c>
      <c r="X267" s="237" t="s">
        <v>15</v>
      </c>
      <c r="Y267" s="238" t="s">
        <v>296</v>
      </c>
    </row>
    <row r="268" spans="1:25">
      <c r="A268" s="230">
        <v>5</v>
      </c>
      <c r="B268" s="231" t="str">
        <f>VLOOKUP(Tabel10[[#This Row],[Locatiecode]],Ruimtegroepen[[Code]:[Ruimte omschrijving]],2,FALSE)</f>
        <v>Sanitair</v>
      </c>
      <c r="C268" s="232" t="s">
        <v>515</v>
      </c>
      <c r="D268" s="231" t="s">
        <v>13</v>
      </c>
      <c r="E268" s="233" t="s">
        <v>101</v>
      </c>
      <c r="F268" s="232" t="s">
        <v>516</v>
      </c>
      <c r="G268" s="281" t="s">
        <v>296</v>
      </c>
      <c r="H268" s="234" t="s">
        <v>296</v>
      </c>
      <c r="I268" s="234" t="s">
        <v>296</v>
      </c>
      <c r="J268" s="235" t="s">
        <v>296</v>
      </c>
      <c r="K268" s="235" t="s">
        <v>15</v>
      </c>
      <c r="L268" s="234" t="s">
        <v>296</v>
      </c>
      <c r="M268" s="234" t="s">
        <v>296</v>
      </c>
      <c r="N268" s="235" t="s">
        <v>296</v>
      </c>
      <c r="O268" s="236" t="s">
        <v>296</v>
      </c>
      <c r="P268" s="236" t="s">
        <v>296</v>
      </c>
      <c r="Q268" s="236" t="s">
        <v>296</v>
      </c>
      <c r="R268" s="236" t="s">
        <v>296</v>
      </c>
      <c r="S268" s="236" t="s">
        <v>296</v>
      </c>
      <c r="T268" s="236" t="s">
        <v>296</v>
      </c>
      <c r="U268" s="236" t="s">
        <v>296</v>
      </c>
      <c r="V268" s="236" t="s">
        <v>296</v>
      </c>
      <c r="W268" s="237" t="s">
        <v>296</v>
      </c>
      <c r="X268" s="237" t="s">
        <v>15</v>
      </c>
      <c r="Y268" s="238" t="s">
        <v>296</v>
      </c>
    </row>
    <row r="269" spans="1:25">
      <c r="A269" s="230">
        <v>5</v>
      </c>
      <c r="B269" s="231" t="str">
        <f>VLOOKUP(Tabel10[[#This Row],[Locatiecode]],Ruimtegroepen[[Code]:[Ruimte omschrijving]],2,FALSE)</f>
        <v>Sanitair</v>
      </c>
      <c r="C269" s="232" t="s">
        <v>515</v>
      </c>
      <c r="D269" s="231" t="s">
        <v>13</v>
      </c>
      <c r="E269" s="233" t="s">
        <v>100</v>
      </c>
      <c r="F269" s="232" t="s">
        <v>517</v>
      </c>
      <c r="G269" s="281" t="s">
        <v>296</v>
      </c>
      <c r="H269" s="234" t="s">
        <v>296</v>
      </c>
      <c r="I269" s="234" t="s">
        <v>296</v>
      </c>
      <c r="J269" s="235" t="s">
        <v>296</v>
      </c>
      <c r="K269" s="235" t="s">
        <v>296</v>
      </c>
      <c r="L269" s="234" t="s">
        <v>296</v>
      </c>
      <c r="M269" s="234" t="s">
        <v>296</v>
      </c>
      <c r="N269" s="235" t="s">
        <v>296</v>
      </c>
      <c r="O269" s="236" t="s">
        <v>296</v>
      </c>
      <c r="P269" s="236" t="s">
        <v>296</v>
      </c>
      <c r="Q269" s="236" t="s">
        <v>296</v>
      </c>
      <c r="R269" s="236" t="s">
        <v>296</v>
      </c>
      <c r="S269" s="236" t="s">
        <v>296</v>
      </c>
      <c r="T269" s="236" t="s">
        <v>296</v>
      </c>
      <c r="U269" s="236" t="s">
        <v>296</v>
      </c>
      <c r="V269" s="236" t="s">
        <v>296</v>
      </c>
      <c r="W269" s="237" t="s">
        <v>296</v>
      </c>
      <c r="X269" s="237" t="s">
        <v>296</v>
      </c>
      <c r="Y269" s="238" t="s">
        <v>296</v>
      </c>
    </row>
    <row r="270" spans="1:25">
      <c r="A270" s="230">
        <v>5</v>
      </c>
      <c r="B270" s="231" t="str">
        <f>VLOOKUP(Tabel10[[#This Row],[Locatiecode]],Ruimtegroepen[[Code]:[Ruimte omschrijving]],2,FALSE)</f>
        <v>Sanitair</v>
      </c>
      <c r="C270" s="232" t="s">
        <v>515</v>
      </c>
      <c r="D270" s="231" t="s">
        <v>13</v>
      </c>
      <c r="E270" s="233" t="s">
        <v>102</v>
      </c>
      <c r="F270" s="232" t="s">
        <v>518</v>
      </c>
      <c r="G270" s="281" t="s">
        <v>296</v>
      </c>
      <c r="H270" s="234" t="s">
        <v>296</v>
      </c>
      <c r="I270" s="234" t="s">
        <v>296</v>
      </c>
      <c r="J270" s="235" t="s">
        <v>296</v>
      </c>
      <c r="K270" s="235" t="s">
        <v>15</v>
      </c>
      <c r="L270" s="234" t="s">
        <v>296</v>
      </c>
      <c r="M270" s="234" t="s">
        <v>296</v>
      </c>
      <c r="N270" s="235" t="s">
        <v>296</v>
      </c>
      <c r="O270" s="236" t="s">
        <v>296</v>
      </c>
      <c r="P270" s="236" t="s">
        <v>296</v>
      </c>
      <c r="Q270" s="236" t="s">
        <v>296</v>
      </c>
      <c r="R270" s="236" t="s">
        <v>296</v>
      </c>
      <c r="S270" s="236" t="s">
        <v>296</v>
      </c>
      <c r="T270" s="236" t="s">
        <v>296</v>
      </c>
      <c r="U270" s="236" t="s">
        <v>296</v>
      </c>
      <c r="V270" s="236" t="s">
        <v>296</v>
      </c>
      <c r="W270" s="237" t="s">
        <v>296</v>
      </c>
      <c r="X270" s="237" t="s">
        <v>15</v>
      </c>
      <c r="Y270" s="238" t="s">
        <v>296</v>
      </c>
    </row>
    <row r="271" spans="1:25">
      <c r="A271" s="230">
        <v>5</v>
      </c>
      <c r="B271" s="231" t="str">
        <f>VLOOKUP(Tabel10[[#This Row],[Locatiecode]],Ruimtegroepen[[Code]:[Ruimte omschrijving]],2,FALSE)</f>
        <v>Sanitair</v>
      </c>
      <c r="C271" s="232" t="s">
        <v>515</v>
      </c>
      <c r="D271" s="231" t="s">
        <v>13</v>
      </c>
      <c r="E271" s="233" t="s">
        <v>103</v>
      </c>
      <c r="F271" s="232" t="s">
        <v>519</v>
      </c>
      <c r="G271" s="281" t="s">
        <v>296</v>
      </c>
      <c r="H271" s="234" t="s">
        <v>296</v>
      </c>
      <c r="I271" s="234" t="s">
        <v>296</v>
      </c>
      <c r="J271" s="235" t="s">
        <v>296</v>
      </c>
      <c r="K271" s="235" t="s">
        <v>15</v>
      </c>
      <c r="L271" s="234" t="s">
        <v>296</v>
      </c>
      <c r="M271" s="234" t="s">
        <v>296</v>
      </c>
      <c r="N271" s="235" t="s">
        <v>296</v>
      </c>
      <c r="O271" s="236" t="s">
        <v>296</v>
      </c>
      <c r="P271" s="236" t="s">
        <v>296</v>
      </c>
      <c r="Q271" s="236" t="s">
        <v>296</v>
      </c>
      <c r="R271" s="236" t="s">
        <v>296</v>
      </c>
      <c r="S271" s="236" t="s">
        <v>296</v>
      </c>
      <c r="T271" s="236" t="s">
        <v>296</v>
      </c>
      <c r="U271" s="236" t="s">
        <v>296</v>
      </c>
      <c r="V271" s="236" t="s">
        <v>296</v>
      </c>
      <c r="W271" s="237" t="s">
        <v>296</v>
      </c>
      <c r="X271" s="237" t="s">
        <v>15</v>
      </c>
      <c r="Y271" s="238" t="s">
        <v>296</v>
      </c>
    </row>
    <row r="272" spans="1:25">
      <c r="A272" s="230">
        <v>5</v>
      </c>
      <c r="B272" s="231" t="str">
        <f>VLOOKUP(Tabel10[[#This Row],[Locatiecode]],Ruimtegroepen[[Code]:[Ruimte omschrijving]],2,FALSE)</f>
        <v>Sanitair</v>
      </c>
      <c r="C272" s="232" t="s">
        <v>515</v>
      </c>
      <c r="D272" s="231" t="s">
        <v>13</v>
      </c>
      <c r="E272" s="233" t="s">
        <v>100</v>
      </c>
      <c r="F272" s="232" t="s">
        <v>517</v>
      </c>
      <c r="G272" s="281" t="s">
        <v>296</v>
      </c>
      <c r="H272" s="234" t="s">
        <v>296</v>
      </c>
      <c r="I272" s="234" t="s">
        <v>296</v>
      </c>
      <c r="J272" s="235" t="s">
        <v>296</v>
      </c>
      <c r="K272" s="235" t="s">
        <v>296</v>
      </c>
      <c r="L272" s="234" t="s">
        <v>296</v>
      </c>
      <c r="M272" s="234" t="s">
        <v>296</v>
      </c>
      <c r="N272" s="235" t="s">
        <v>296</v>
      </c>
      <c r="O272" s="236" t="s">
        <v>296</v>
      </c>
      <c r="P272" s="236" t="s">
        <v>296</v>
      </c>
      <c r="Q272" s="236" t="s">
        <v>296</v>
      </c>
      <c r="R272" s="236" t="s">
        <v>296</v>
      </c>
      <c r="S272" s="236" t="s">
        <v>296</v>
      </c>
      <c r="T272" s="236" t="s">
        <v>296</v>
      </c>
      <c r="U272" s="236" t="s">
        <v>296</v>
      </c>
      <c r="V272" s="236" t="s">
        <v>296</v>
      </c>
      <c r="W272" s="237" t="s">
        <v>296</v>
      </c>
      <c r="X272" s="237" t="s">
        <v>296</v>
      </c>
      <c r="Y272" s="238" t="s">
        <v>296</v>
      </c>
    </row>
    <row r="273" spans="1:25">
      <c r="A273" s="230">
        <v>5</v>
      </c>
      <c r="B273" s="231" t="str">
        <f>VLOOKUP(Tabel10[[#This Row],[Locatiecode]],Ruimtegroepen[[Code]:[Ruimte omschrijving]],2,FALSE)</f>
        <v>Sanitair</v>
      </c>
      <c r="C273" s="232" t="s">
        <v>515</v>
      </c>
      <c r="D273" s="231" t="s">
        <v>13</v>
      </c>
      <c r="E273" s="233" t="s">
        <v>1344</v>
      </c>
      <c r="F273" s="232" t="s">
        <v>1396</v>
      </c>
      <c r="G273" s="281" t="s">
        <v>296</v>
      </c>
      <c r="H273" s="234" t="s">
        <v>296</v>
      </c>
      <c r="I273" s="234" t="s">
        <v>296</v>
      </c>
      <c r="J273" s="235" t="s">
        <v>296</v>
      </c>
      <c r="K273" s="235" t="s">
        <v>15</v>
      </c>
      <c r="L273" s="234" t="s">
        <v>296</v>
      </c>
      <c r="M273" s="234" t="s">
        <v>296</v>
      </c>
      <c r="N273" s="235" t="s">
        <v>296</v>
      </c>
      <c r="O273" s="236" t="s">
        <v>296</v>
      </c>
      <c r="P273" s="236" t="s">
        <v>296</v>
      </c>
      <c r="Q273" s="236" t="s">
        <v>296</v>
      </c>
      <c r="R273" s="236" t="s">
        <v>296</v>
      </c>
      <c r="S273" s="236" t="s">
        <v>296</v>
      </c>
      <c r="T273" s="236" t="s">
        <v>296</v>
      </c>
      <c r="U273" s="236" t="s">
        <v>296</v>
      </c>
      <c r="V273" s="236" t="s">
        <v>296</v>
      </c>
      <c r="W273" s="237" t="s">
        <v>296</v>
      </c>
      <c r="X273" s="237" t="s">
        <v>15</v>
      </c>
      <c r="Y273" s="238" t="s">
        <v>296</v>
      </c>
    </row>
    <row r="274" spans="1:25">
      <c r="A274" s="230">
        <v>5</v>
      </c>
      <c r="B274" s="231" t="str">
        <f>VLOOKUP(Tabel10[[#This Row],[Locatiecode]],Ruimtegroepen[[Code]:[Ruimte omschrijving]],2,FALSE)</f>
        <v>Sanitair</v>
      </c>
      <c r="C274" s="232" t="s">
        <v>520</v>
      </c>
      <c r="D274" s="231" t="s">
        <v>0</v>
      </c>
      <c r="E274" s="233" t="s">
        <v>101</v>
      </c>
      <c r="F274" s="232" t="s">
        <v>521</v>
      </c>
      <c r="G274" s="281" t="s">
        <v>296</v>
      </c>
      <c r="H274" s="234" t="s">
        <v>296</v>
      </c>
      <c r="I274" s="234" t="s">
        <v>296</v>
      </c>
      <c r="J274" s="235" t="s">
        <v>296</v>
      </c>
      <c r="K274" s="235" t="s">
        <v>16</v>
      </c>
      <c r="L274" s="234" t="s">
        <v>296</v>
      </c>
      <c r="M274" s="234" t="s">
        <v>296</v>
      </c>
      <c r="N274" s="235" t="s">
        <v>296</v>
      </c>
      <c r="O274" s="236" t="s">
        <v>296</v>
      </c>
      <c r="P274" s="236" t="s">
        <v>296</v>
      </c>
      <c r="Q274" s="236" t="s">
        <v>296</v>
      </c>
      <c r="R274" s="236" t="s">
        <v>296</v>
      </c>
      <c r="S274" s="236" t="s">
        <v>296</v>
      </c>
      <c r="T274" s="236" t="s">
        <v>296</v>
      </c>
      <c r="U274" s="236" t="s">
        <v>296</v>
      </c>
      <c r="V274" s="236" t="s">
        <v>296</v>
      </c>
      <c r="W274" s="237" t="s">
        <v>296</v>
      </c>
      <c r="X274" s="237" t="s">
        <v>16</v>
      </c>
      <c r="Y274" s="238" t="s">
        <v>296</v>
      </c>
    </row>
    <row r="275" spans="1:25">
      <c r="A275" s="230">
        <v>5</v>
      </c>
      <c r="B275" s="231" t="str">
        <f>VLOOKUP(Tabel10[[#This Row],[Locatiecode]],Ruimtegroepen[[Code]:[Ruimte omschrijving]],2,FALSE)</f>
        <v>Sanitair</v>
      </c>
      <c r="C275" s="232" t="s">
        <v>520</v>
      </c>
      <c r="D275" s="231" t="s">
        <v>0</v>
      </c>
      <c r="E275" s="233" t="s">
        <v>100</v>
      </c>
      <c r="F275" s="232" t="s">
        <v>522</v>
      </c>
      <c r="G275" s="281" t="s">
        <v>296</v>
      </c>
      <c r="H275" s="234" t="s">
        <v>296</v>
      </c>
      <c r="I275" s="234" t="s">
        <v>296</v>
      </c>
      <c r="J275" s="235" t="s">
        <v>296</v>
      </c>
      <c r="K275" s="235" t="s">
        <v>296</v>
      </c>
      <c r="L275" s="234" t="s">
        <v>296</v>
      </c>
      <c r="M275" s="234" t="s">
        <v>296</v>
      </c>
      <c r="N275" s="235" t="s">
        <v>296</v>
      </c>
      <c r="O275" s="236" t="s">
        <v>296</v>
      </c>
      <c r="P275" s="236" t="s">
        <v>296</v>
      </c>
      <c r="Q275" s="236" t="s">
        <v>296</v>
      </c>
      <c r="R275" s="236" t="s">
        <v>296</v>
      </c>
      <c r="S275" s="236" t="s">
        <v>296</v>
      </c>
      <c r="T275" s="236" t="s">
        <v>296</v>
      </c>
      <c r="U275" s="236" t="s">
        <v>296</v>
      </c>
      <c r="V275" s="236" t="s">
        <v>296</v>
      </c>
      <c r="W275" s="237" t="s">
        <v>296</v>
      </c>
      <c r="X275" s="237" t="s">
        <v>296</v>
      </c>
      <c r="Y275" s="238" t="s">
        <v>296</v>
      </c>
    </row>
    <row r="276" spans="1:25">
      <c r="A276" s="230">
        <v>5</v>
      </c>
      <c r="B276" s="231" t="str">
        <f>VLOOKUP(Tabel10[[#This Row],[Locatiecode]],Ruimtegroepen[[Code]:[Ruimte omschrijving]],2,FALSE)</f>
        <v>Sanitair</v>
      </c>
      <c r="C276" s="232" t="s">
        <v>520</v>
      </c>
      <c r="D276" s="231" t="s">
        <v>0</v>
      </c>
      <c r="E276" s="233" t="s">
        <v>102</v>
      </c>
      <c r="F276" s="232" t="s">
        <v>523</v>
      </c>
      <c r="G276" s="281" t="s">
        <v>296</v>
      </c>
      <c r="H276" s="234" t="s">
        <v>296</v>
      </c>
      <c r="I276" s="234" t="s">
        <v>296</v>
      </c>
      <c r="J276" s="235" t="s">
        <v>296</v>
      </c>
      <c r="K276" s="235" t="s">
        <v>16</v>
      </c>
      <c r="L276" s="234" t="s">
        <v>296</v>
      </c>
      <c r="M276" s="234" t="s">
        <v>296</v>
      </c>
      <c r="N276" s="235" t="s">
        <v>296</v>
      </c>
      <c r="O276" s="236" t="s">
        <v>296</v>
      </c>
      <c r="P276" s="236" t="s">
        <v>296</v>
      </c>
      <c r="Q276" s="236" t="s">
        <v>296</v>
      </c>
      <c r="R276" s="236" t="s">
        <v>296</v>
      </c>
      <c r="S276" s="236" t="s">
        <v>296</v>
      </c>
      <c r="T276" s="236" t="s">
        <v>296</v>
      </c>
      <c r="U276" s="236" t="s">
        <v>296</v>
      </c>
      <c r="V276" s="236" t="s">
        <v>296</v>
      </c>
      <c r="W276" s="237" t="s">
        <v>296</v>
      </c>
      <c r="X276" s="237" t="s">
        <v>16</v>
      </c>
      <c r="Y276" s="238" t="s">
        <v>296</v>
      </c>
    </row>
    <row r="277" spans="1:25">
      <c r="A277" s="230">
        <v>5</v>
      </c>
      <c r="B277" s="231" t="str">
        <f>VLOOKUP(Tabel10[[#This Row],[Locatiecode]],Ruimtegroepen[[Code]:[Ruimte omschrijving]],2,FALSE)</f>
        <v>Sanitair</v>
      </c>
      <c r="C277" s="232" t="s">
        <v>520</v>
      </c>
      <c r="D277" s="231" t="s">
        <v>0</v>
      </c>
      <c r="E277" s="233" t="s">
        <v>103</v>
      </c>
      <c r="F277" s="232" t="s">
        <v>524</v>
      </c>
      <c r="G277" s="281" t="s">
        <v>296</v>
      </c>
      <c r="H277" s="234" t="s">
        <v>296</v>
      </c>
      <c r="I277" s="234" t="s">
        <v>296</v>
      </c>
      <c r="J277" s="235" t="s">
        <v>296</v>
      </c>
      <c r="K277" s="235" t="s">
        <v>16</v>
      </c>
      <c r="L277" s="234" t="s">
        <v>296</v>
      </c>
      <c r="M277" s="234" t="s">
        <v>296</v>
      </c>
      <c r="N277" s="235" t="s">
        <v>296</v>
      </c>
      <c r="O277" s="236" t="s">
        <v>296</v>
      </c>
      <c r="P277" s="236" t="s">
        <v>296</v>
      </c>
      <c r="Q277" s="236" t="s">
        <v>296</v>
      </c>
      <c r="R277" s="236" t="s">
        <v>296</v>
      </c>
      <c r="S277" s="236" t="s">
        <v>296</v>
      </c>
      <c r="T277" s="236" t="s">
        <v>296</v>
      </c>
      <c r="U277" s="236" t="s">
        <v>296</v>
      </c>
      <c r="V277" s="236" t="s">
        <v>296</v>
      </c>
      <c r="W277" s="237" t="s">
        <v>296</v>
      </c>
      <c r="X277" s="237" t="s">
        <v>16</v>
      </c>
      <c r="Y277" s="238" t="s">
        <v>296</v>
      </c>
    </row>
    <row r="278" spans="1:25">
      <c r="A278" s="230">
        <v>5</v>
      </c>
      <c r="B278" s="231" t="str">
        <f>VLOOKUP(Tabel10[[#This Row],[Locatiecode]],Ruimtegroepen[[Code]:[Ruimte omschrijving]],2,FALSE)</f>
        <v>Sanitair</v>
      </c>
      <c r="C278" s="232" t="s">
        <v>520</v>
      </c>
      <c r="D278" s="231" t="s">
        <v>0</v>
      </c>
      <c r="E278" s="233" t="s">
        <v>100</v>
      </c>
      <c r="F278" s="232" t="s">
        <v>522</v>
      </c>
      <c r="G278" s="281" t="s">
        <v>296</v>
      </c>
      <c r="H278" s="234" t="s">
        <v>296</v>
      </c>
      <c r="I278" s="234" t="s">
        <v>296</v>
      </c>
      <c r="J278" s="235" t="s">
        <v>296</v>
      </c>
      <c r="K278" s="235" t="s">
        <v>296</v>
      </c>
      <c r="L278" s="234" t="s">
        <v>296</v>
      </c>
      <c r="M278" s="234" t="s">
        <v>296</v>
      </c>
      <c r="N278" s="235" t="s">
        <v>296</v>
      </c>
      <c r="O278" s="236" t="s">
        <v>296</v>
      </c>
      <c r="P278" s="236" t="s">
        <v>296</v>
      </c>
      <c r="Q278" s="236" t="s">
        <v>296</v>
      </c>
      <c r="R278" s="236" t="s">
        <v>296</v>
      </c>
      <c r="S278" s="236" t="s">
        <v>296</v>
      </c>
      <c r="T278" s="236" t="s">
        <v>296</v>
      </c>
      <c r="U278" s="236" t="s">
        <v>296</v>
      </c>
      <c r="V278" s="236" t="s">
        <v>296</v>
      </c>
      <c r="W278" s="237" t="s">
        <v>296</v>
      </c>
      <c r="X278" s="237" t="s">
        <v>296</v>
      </c>
      <c r="Y278" s="238" t="s">
        <v>296</v>
      </c>
    </row>
    <row r="279" spans="1:25">
      <c r="A279" s="230">
        <v>5</v>
      </c>
      <c r="B279" s="231" t="str">
        <f>VLOOKUP(Tabel10[[#This Row],[Locatiecode]],Ruimtegroepen[[Code]:[Ruimte omschrijving]],2,FALSE)</f>
        <v>Sanitair</v>
      </c>
      <c r="C279" s="232" t="s">
        <v>520</v>
      </c>
      <c r="D279" s="231" t="s">
        <v>0</v>
      </c>
      <c r="E279" s="233" t="s">
        <v>1344</v>
      </c>
      <c r="F279" s="232" t="s">
        <v>1380</v>
      </c>
      <c r="G279" s="281" t="s">
        <v>296</v>
      </c>
      <c r="H279" s="234" t="s">
        <v>296</v>
      </c>
      <c r="I279" s="234" t="s">
        <v>296</v>
      </c>
      <c r="J279" s="235" t="s">
        <v>296</v>
      </c>
      <c r="K279" s="235" t="s">
        <v>16</v>
      </c>
      <c r="L279" s="234" t="s">
        <v>296</v>
      </c>
      <c r="M279" s="234" t="s">
        <v>296</v>
      </c>
      <c r="N279" s="235" t="s">
        <v>296</v>
      </c>
      <c r="O279" s="236" t="s">
        <v>296</v>
      </c>
      <c r="P279" s="236" t="s">
        <v>296</v>
      </c>
      <c r="Q279" s="236" t="s">
        <v>296</v>
      </c>
      <c r="R279" s="236" t="s">
        <v>296</v>
      </c>
      <c r="S279" s="236" t="s">
        <v>296</v>
      </c>
      <c r="T279" s="236" t="s">
        <v>296</v>
      </c>
      <c r="U279" s="236" t="s">
        <v>296</v>
      </c>
      <c r="V279" s="236" t="s">
        <v>296</v>
      </c>
      <c r="W279" s="237" t="s">
        <v>296</v>
      </c>
      <c r="X279" s="237" t="s">
        <v>16</v>
      </c>
      <c r="Y279" s="238" t="s">
        <v>296</v>
      </c>
    </row>
    <row r="280" spans="1:25">
      <c r="A280" s="230">
        <v>5</v>
      </c>
      <c r="B280" s="231" t="str">
        <f>VLOOKUP(Tabel10[[#This Row],[Locatiecode]],Ruimtegroepen[[Code]:[Ruimte omschrijving]],2,FALSE)</f>
        <v>Sanitair</v>
      </c>
      <c r="C280" s="232" t="s">
        <v>525</v>
      </c>
      <c r="D280" s="231" t="s">
        <v>27</v>
      </c>
      <c r="E280" s="233" t="s">
        <v>101</v>
      </c>
      <c r="F280" s="232" t="s">
        <v>526</v>
      </c>
      <c r="G280" s="281" t="s">
        <v>296</v>
      </c>
      <c r="H280" s="234" t="s">
        <v>296</v>
      </c>
      <c r="I280" s="234" t="s">
        <v>296</v>
      </c>
      <c r="J280" s="234" t="s">
        <v>15</v>
      </c>
      <c r="K280" s="234" t="s">
        <v>296</v>
      </c>
      <c r="L280" s="234" t="s">
        <v>296</v>
      </c>
      <c r="M280" s="234" t="s">
        <v>296</v>
      </c>
      <c r="N280" s="235" t="s">
        <v>296</v>
      </c>
      <c r="O280" s="236" t="s">
        <v>296</v>
      </c>
      <c r="P280" s="236" t="s">
        <v>296</v>
      </c>
      <c r="Q280" s="236" t="s">
        <v>296</v>
      </c>
      <c r="R280" s="236" t="s">
        <v>296</v>
      </c>
      <c r="S280" s="236" t="s">
        <v>296</v>
      </c>
      <c r="T280" s="236" t="s">
        <v>296</v>
      </c>
      <c r="U280" s="236" t="s">
        <v>296</v>
      </c>
      <c r="V280" s="236" t="s">
        <v>296</v>
      </c>
      <c r="W280" s="237" t="s">
        <v>15</v>
      </c>
      <c r="X280" s="237" t="s">
        <v>15</v>
      </c>
      <c r="Y280" s="238" t="s">
        <v>296</v>
      </c>
    </row>
    <row r="281" spans="1:25">
      <c r="A281" s="230">
        <v>5</v>
      </c>
      <c r="B281" s="231" t="str">
        <f>VLOOKUP(Tabel10[[#This Row],[Locatiecode]],Ruimtegroepen[[Code]:[Ruimte omschrijving]],2,FALSE)</f>
        <v>Sanitair</v>
      </c>
      <c r="C281" s="232" t="s">
        <v>525</v>
      </c>
      <c r="D281" s="231" t="s">
        <v>27</v>
      </c>
      <c r="E281" s="233" t="s">
        <v>100</v>
      </c>
      <c r="F281" s="232" t="s">
        <v>527</v>
      </c>
      <c r="G281" s="281" t="s">
        <v>296</v>
      </c>
      <c r="H281" s="234" t="s">
        <v>296</v>
      </c>
      <c r="I281" s="234" t="s">
        <v>296</v>
      </c>
      <c r="J281" s="235" t="s">
        <v>296</v>
      </c>
      <c r="K281" s="234" t="s">
        <v>296</v>
      </c>
      <c r="L281" s="234" t="s">
        <v>296</v>
      </c>
      <c r="M281" s="234" t="s">
        <v>296</v>
      </c>
      <c r="N281" s="235" t="s">
        <v>296</v>
      </c>
      <c r="O281" s="236" t="s">
        <v>296</v>
      </c>
      <c r="P281" s="236" t="s">
        <v>296</v>
      </c>
      <c r="Q281" s="236" t="s">
        <v>296</v>
      </c>
      <c r="R281" s="236" t="s">
        <v>296</v>
      </c>
      <c r="S281" s="236" t="s">
        <v>296</v>
      </c>
      <c r="T281" s="236" t="s">
        <v>296</v>
      </c>
      <c r="U281" s="236" t="s">
        <v>296</v>
      </c>
      <c r="V281" s="236" t="s">
        <v>296</v>
      </c>
      <c r="W281" s="237" t="s">
        <v>296</v>
      </c>
      <c r="X281" s="237" t="s">
        <v>296</v>
      </c>
      <c r="Y281" s="238" t="s">
        <v>296</v>
      </c>
    </row>
    <row r="282" spans="1:25">
      <c r="A282" s="230">
        <v>5</v>
      </c>
      <c r="B282" s="231" t="str">
        <f>VLOOKUP(Tabel10[[#This Row],[Locatiecode]],Ruimtegroepen[[Code]:[Ruimte omschrijving]],2,FALSE)</f>
        <v>Sanitair</v>
      </c>
      <c r="C282" s="232" t="s">
        <v>525</v>
      </c>
      <c r="D282" s="231" t="s">
        <v>27</v>
      </c>
      <c r="E282" s="233" t="s">
        <v>102</v>
      </c>
      <c r="F282" s="232" t="s">
        <v>528</v>
      </c>
      <c r="G282" s="281" t="s">
        <v>296</v>
      </c>
      <c r="H282" s="234" t="s">
        <v>296</v>
      </c>
      <c r="I282" s="234" t="s">
        <v>296</v>
      </c>
      <c r="J282" s="234" t="s">
        <v>15</v>
      </c>
      <c r="K282" s="234" t="s">
        <v>296</v>
      </c>
      <c r="L282" s="234" t="s">
        <v>296</v>
      </c>
      <c r="M282" s="234" t="s">
        <v>296</v>
      </c>
      <c r="N282" s="235" t="s">
        <v>296</v>
      </c>
      <c r="O282" s="236" t="s">
        <v>296</v>
      </c>
      <c r="P282" s="236" t="s">
        <v>296</v>
      </c>
      <c r="Q282" s="236" t="s">
        <v>296</v>
      </c>
      <c r="R282" s="236" t="s">
        <v>296</v>
      </c>
      <c r="S282" s="236" t="s">
        <v>296</v>
      </c>
      <c r="T282" s="236" t="s">
        <v>296</v>
      </c>
      <c r="U282" s="236" t="s">
        <v>296</v>
      </c>
      <c r="V282" s="236" t="s">
        <v>296</v>
      </c>
      <c r="W282" s="237" t="s">
        <v>15</v>
      </c>
      <c r="X282" s="237" t="s">
        <v>15</v>
      </c>
      <c r="Y282" s="238" t="s">
        <v>296</v>
      </c>
    </row>
    <row r="283" spans="1:25">
      <c r="A283" s="230">
        <v>5</v>
      </c>
      <c r="B283" s="231" t="str">
        <f>VLOOKUP(Tabel10[[#This Row],[Locatiecode]],Ruimtegroepen[[Code]:[Ruimte omschrijving]],2,FALSE)</f>
        <v>Sanitair</v>
      </c>
      <c r="C283" s="232" t="s">
        <v>525</v>
      </c>
      <c r="D283" s="231" t="s">
        <v>27</v>
      </c>
      <c r="E283" s="233" t="s">
        <v>103</v>
      </c>
      <c r="F283" s="232" t="s">
        <v>529</v>
      </c>
      <c r="G283" s="281" t="s">
        <v>296</v>
      </c>
      <c r="H283" s="234" t="s">
        <v>296</v>
      </c>
      <c r="I283" s="234" t="s">
        <v>296</v>
      </c>
      <c r="J283" s="234" t="s">
        <v>15</v>
      </c>
      <c r="K283" s="234" t="s">
        <v>296</v>
      </c>
      <c r="L283" s="234" t="s">
        <v>296</v>
      </c>
      <c r="M283" s="234" t="s">
        <v>296</v>
      </c>
      <c r="N283" s="235" t="s">
        <v>296</v>
      </c>
      <c r="O283" s="236" t="s">
        <v>296</v>
      </c>
      <c r="P283" s="236" t="s">
        <v>296</v>
      </c>
      <c r="Q283" s="236" t="s">
        <v>296</v>
      </c>
      <c r="R283" s="236" t="s">
        <v>296</v>
      </c>
      <c r="S283" s="236" t="s">
        <v>296</v>
      </c>
      <c r="T283" s="236" t="s">
        <v>296</v>
      </c>
      <c r="U283" s="236" t="s">
        <v>296</v>
      </c>
      <c r="V283" s="236" t="s">
        <v>296</v>
      </c>
      <c r="W283" s="237" t="s">
        <v>15</v>
      </c>
      <c r="X283" s="237" t="s">
        <v>15</v>
      </c>
      <c r="Y283" s="238" t="s">
        <v>296</v>
      </c>
    </row>
    <row r="284" spans="1:25">
      <c r="A284" s="230">
        <v>5</v>
      </c>
      <c r="B284" s="231" t="str">
        <f>VLOOKUP(Tabel10[[#This Row],[Locatiecode]],Ruimtegroepen[[Code]:[Ruimte omschrijving]],2,FALSE)</f>
        <v>Sanitair</v>
      </c>
      <c r="C284" s="232" t="s">
        <v>525</v>
      </c>
      <c r="D284" s="231" t="s">
        <v>27</v>
      </c>
      <c r="E284" s="233" t="s">
        <v>100</v>
      </c>
      <c r="F284" s="232" t="s">
        <v>527</v>
      </c>
      <c r="G284" s="281" t="s">
        <v>296</v>
      </c>
      <c r="H284" s="234" t="s">
        <v>296</v>
      </c>
      <c r="I284" s="234" t="s">
        <v>296</v>
      </c>
      <c r="J284" s="235" t="s">
        <v>296</v>
      </c>
      <c r="K284" s="234" t="s">
        <v>296</v>
      </c>
      <c r="L284" s="234" t="s">
        <v>296</v>
      </c>
      <c r="M284" s="234" t="s">
        <v>296</v>
      </c>
      <c r="N284" s="235" t="s">
        <v>296</v>
      </c>
      <c r="O284" s="236" t="s">
        <v>296</v>
      </c>
      <c r="P284" s="236" t="s">
        <v>296</v>
      </c>
      <c r="Q284" s="236" t="s">
        <v>296</v>
      </c>
      <c r="R284" s="236" t="s">
        <v>296</v>
      </c>
      <c r="S284" s="236" t="s">
        <v>296</v>
      </c>
      <c r="T284" s="236" t="s">
        <v>296</v>
      </c>
      <c r="U284" s="236" t="s">
        <v>296</v>
      </c>
      <c r="V284" s="236" t="s">
        <v>296</v>
      </c>
      <c r="W284" s="237" t="s">
        <v>296</v>
      </c>
      <c r="X284" s="237" t="s">
        <v>296</v>
      </c>
      <c r="Y284" s="238" t="s">
        <v>296</v>
      </c>
    </row>
    <row r="285" spans="1:25">
      <c r="A285" s="230">
        <v>5</v>
      </c>
      <c r="B285" s="231" t="str">
        <f>VLOOKUP(Tabel10[[#This Row],[Locatiecode]],Ruimtegroepen[[Code]:[Ruimte omschrijving]],2,FALSE)</f>
        <v>Sanitair</v>
      </c>
      <c r="C285" s="232" t="s">
        <v>525</v>
      </c>
      <c r="D285" s="231" t="s">
        <v>27</v>
      </c>
      <c r="E285" s="233" t="s">
        <v>1344</v>
      </c>
      <c r="F285" s="232" t="s">
        <v>1413</v>
      </c>
      <c r="G285" s="281" t="s">
        <v>296</v>
      </c>
      <c r="H285" s="234" t="s">
        <v>296</v>
      </c>
      <c r="I285" s="234" t="s">
        <v>296</v>
      </c>
      <c r="J285" s="234" t="s">
        <v>15</v>
      </c>
      <c r="K285" s="234" t="s">
        <v>296</v>
      </c>
      <c r="L285" s="234" t="s">
        <v>296</v>
      </c>
      <c r="M285" s="234" t="s">
        <v>296</v>
      </c>
      <c r="N285" s="235" t="s">
        <v>296</v>
      </c>
      <c r="O285" s="236" t="s">
        <v>296</v>
      </c>
      <c r="P285" s="236" t="s">
        <v>296</v>
      </c>
      <c r="Q285" s="236" t="s">
        <v>296</v>
      </c>
      <c r="R285" s="236" t="s">
        <v>296</v>
      </c>
      <c r="S285" s="236" t="s">
        <v>296</v>
      </c>
      <c r="T285" s="236" t="s">
        <v>296</v>
      </c>
      <c r="U285" s="236" t="s">
        <v>296</v>
      </c>
      <c r="V285" s="236" t="s">
        <v>296</v>
      </c>
      <c r="W285" s="237" t="s">
        <v>15</v>
      </c>
      <c r="X285" s="237" t="s">
        <v>15</v>
      </c>
      <c r="Y285" s="238" t="s">
        <v>296</v>
      </c>
    </row>
    <row r="286" spans="1:25">
      <c r="A286" s="230">
        <v>5</v>
      </c>
      <c r="B286" s="231" t="str">
        <f>VLOOKUP(Tabel10[[#This Row],[Locatiecode]],Ruimtegroepen[[Code]:[Ruimte omschrijving]],2,FALSE)</f>
        <v>Sanitair</v>
      </c>
      <c r="C286" s="232" t="s">
        <v>530</v>
      </c>
      <c r="D286" s="231" t="s">
        <v>28</v>
      </c>
      <c r="E286" s="233" t="s">
        <v>101</v>
      </c>
      <c r="F286" s="232" t="s">
        <v>531</v>
      </c>
      <c r="G286" s="281" t="s">
        <v>296</v>
      </c>
      <c r="H286" s="234" t="s">
        <v>296</v>
      </c>
      <c r="I286" s="234" t="s">
        <v>296</v>
      </c>
      <c r="J286" s="234" t="s">
        <v>17</v>
      </c>
      <c r="K286" s="234" t="s">
        <v>296</v>
      </c>
      <c r="L286" s="234" t="s">
        <v>296</v>
      </c>
      <c r="M286" s="234" t="s">
        <v>296</v>
      </c>
      <c r="N286" s="235" t="s">
        <v>296</v>
      </c>
      <c r="O286" s="236" t="s">
        <v>296</v>
      </c>
      <c r="P286" s="236" t="s">
        <v>296</v>
      </c>
      <c r="Q286" s="236" t="s">
        <v>296</v>
      </c>
      <c r="R286" s="236" t="s">
        <v>296</v>
      </c>
      <c r="S286" s="236" t="s">
        <v>296</v>
      </c>
      <c r="T286" s="236" t="s">
        <v>296</v>
      </c>
      <c r="U286" s="236" t="s">
        <v>296</v>
      </c>
      <c r="V286" s="236" t="s">
        <v>296</v>
      </c>
      <c r="W286" s="256" t="s">
        <v>17</v>
      </c>
      <c r="X286" s="256" t="s">
        <v>17</v>
      </c>
      <c r="Y286" s="238" t="s">
        <v>296</v>
      </c>
    </row>
    <row r="287" spans="1:25">
      <c r="A287" s="230">
        <v>5</v>
      </c>
      <c r="B287" s="231" t="str">
        <f>VLOOKUP(Tabel10[[#This Row],[Locatiecode]],Ruimtegroepen[[Code]:[Ruimte omschrijving]],2,FALSE)</f>
        <v>Sanitair</v>
      </c>
      <c r="C287" s="232" t="s">
        <v>530</v>
      </c>
      <c r="D287" s="231" t="s">
        <v>28</v>
      </c>
      <c r="E287" s="233" t="s">
        <v>100</v>
      </c>
      <c r="F287" s="232" t="s">
        <v>532</v>
      </c>
      <c r="G287" s="281" t="s">
        <v>296</v>
      </c>
      <c r="H287" s="234" t="s">
        <v>296</v>
      </c>
      <c r="I287" s="234" t="s">
        <v>296</v>
      </c>
      <c r="J287" s="235" t="s">
        <v>296</v>
      </c>
      <c r="K287" s="234" t="s">
        <v>296</v>
      </c>
      <c r="L287" s="234" t="s">
        <v>296</v>
      </c>
      <c r="M287" s="234" t="s">
        <v>296</v>
      </c>
      <c r="N287" s="235" t="s">
        <v>296</v>
      </c>
      <c r="O287" s="236" t="s">
        <v>296</v>
      </c>
      <c r="P287" s="236" t="s">
        <v>296</v>
      </c>
      <c r="Q287" s="236" t="s">
        <v>296</v>
      </c>
      <c r="R287" s="236" t="s">
        <v>296</v>
      </c>
      <c r="S287" s="236" t="s">
        <v>296</v>
      </c>
      <c r="T287" s="236" t="s">
        <v>296</v>
      </c>
      <c r="U287" s="236" t="s">
        <v>296</v>
      </c>
      <c r="V287" s="236" t="s">
        <v>296</v>
      </c>
      <c r="W287" s="237" t="s">
        <v>296</v>
      </c>
      <c r="X287" s="237" t="s">
        <v>296</v>
      </c>
      <c r="Y287" s="238" t="s">
        <v>296</v>
      </c>
    </row>
    <row r="288" spans="1:25">
      <c r="A288" s="230">
        <v>5</v>
      </c>
      <c r="B288" s="231" t="str">
        <f>VLOOKUP(Tabel10[[#This Row],[Locatiecode]],Ruimtegroepen[[Code]:[Ruimte omschrijving]],2,FALSE)</f>
        <v>Sanitair</v>
      </c>
      <c r="C288" s="232" t="s">
        <v>530</v>
      </c>
      <c r="D288" s="231" t="s">
        <v>28</v>
      </c>
      <c r="E288" s="233" t="s">
        <v>102</v>
      </c>
      <c r="F288" s="232" t="s">
        <v>533</v>
      </c>
      <c r="G288" s="281" t="s">
        <v>296</v>
      </c>
      <c r="H288" s="234" t="s">
        <v>296</v>
      </c>
      <c r="I288" s="234" t="s">
        <v>296</v>
      </c>
      <c r="J288" s="234" t="s">
        <v>17</v>
      </c>
      <c r="K288" s="234" t="s">
        <v>296</v>
      </c>
      <c r="L288" s="234" t="s">
        <v>296</v>
      </c>
      <c r="M288" s="234" t="s">
        <v>296</v>
      </c>
      <c r="N288" s="235" t="s">
        <v>296</v>
      </c>
      <c r="O288" s="236" t="s">
        <v>296</v>
      </c>
      <c r="P288" s="236" t="s">
        <v>296</v>
      </c>
      <c r="Q288" s="236" t="s">
        <v>296</v>
      </c>
      <c r="R288" s="236" t="s">
        <v>296</v>
      </c>
      <c r="S288" s="236" t="s">
        <v>296</v>
      </c>
      <c r="T288" s="236" t="s">
        <v>296</v>
      </c>
      <c r="U288" s="236" t="s">
        <v>296</v>
      </c>
      <c r="V288" s="236" t="s">
        <v>296</v>
      </c>
      <c r="W288" s="256" t="s">
        <v>17</v>
      </c>
      <c r="X288" s="256" t="s">
        <v>17</v>
      </c>
      <c r="Y288" s="238" t="s">
        <v>296</v>
      </c>
    </row>
    <row r="289" spans="1:25">
      <c r="A289" s="230">
        <v>5</v>
      </c>
      <c r="B289" s="231" t="str">
        <f>VLOOKUP(Tabel10[[#This Row],[Locatiecode]],Ruimtegroepen[[Code]:[Ruimte omschrijving]],2,FALSE)</f>
        <v>Sanitair</v>
      </c>
      <c r="C289" s="232" t="s">
        <v>530</v>
      </c>
      <c r="D289" s="231" t="s">
        <v>28</v>
      </c>
      <c r="E289" s="233" t="s">
        <v>103</v>
      </c>
      <c r="F289" s="232" t="s">
        <v>534</v>
      </c>
      <c r="G289" s="281" t="s">
        <v>296</v>
      </c>
      <c r="H289" s="234" t="s">
        <v>296</v>
      </c>
      <c r="I289" s="234" t="s">
        <v>296</v>
      </c>
      <c r="J289" s="234" t="s">
        <v>17</v>
      </c>
      <c r="K289" s="234" t="s">
        <v>296</v>
      </c>
      <c r="L289" s="234" t="s">
        <v>296</v>
      </c>
      <c r="M289" s="234" t="s">
        <v>296</v>
      </c>
      <c r="N289" s="235" t="s">
        <v>296</v>
      </c>
      <c r="O289" s="236" t="s">
        <v>296</v>
      </c>
      <c r="P289" s="236" t="s">
        <v>296</v>
      </c>
      <c r="Q289" s="236" t="s">
        <v>296</v>
      </c>
      <c r="R289" s="236" t="s">
        <v>296</v>
      </c>
      <c r="S289" s="236" t="s">
        <v>296</v>
      </c>
      <c r="T289" s="236" t="s">
        <v>296</v>
      </c>
      <c r="U289" s="236" t="s">
        <v>296</v>
      </c>
      <c r="V289" s="236" t="s">
        <v>296</v>
      </c>
      <c r="W289" s="256" t="s">
        <v>17</v>
      </c>
      <c r="X289" s="256" t="s">
        <v>17</v>
      </c>
      <c r="Y289" s="238" t="s">
        <v>296</v>
      </c>
    </row>
    <row r="290" spans="1:25">
      <c r="A290" s="230">
        <v>5</v>
      </c>
      <c r="B290" s="231" t="str">
        <f>VLOOKUP(Tabel10[[#This Row],[Locatiecode]],Ruimtegroepen[[Code]:[Ruimte omschrijving]],2,FALSE)</f>
        <v>Sanitair</v>
      </c>
      <c r="C290" s="232" t="s">
        <v>530</v>
      </c>
      <c r="D290" s="231" t="s">
        <v>28</v>
      </c>
      <c r="E290" s="233" t="s">
        <v>100</v>
      </c>
      <c r="F290" s="232" t="s">
        <v>532</v>
      </c>
      <c r="G290" s="281" t="s">
        <v>296</v>
      </c>
      <c r="H290" s="234" t="s">
        <v>296</v>
      </c>
      <c r="I290" s="234" t="s">
        <v>296</v>
      </c>
      <c r="J290" s="235" t="s">
        <v>296</v>
      </c>
      <c r="K290" s="235" t="s">
        <v>296</v>
      </c>
      <c r="L290" s="234" t="s">
        <v>296</v>
      </c>
      <c r="M290" s="234" t="s">
        <v>296</v>
      </c>
      <c r="N290" s="235" t="s">
        <v>296</v>
      </c>
      <c r="O290" s="236" t="s">
        <v>296</v>
      </c>
      <c r="P290" s="236" t="s">
        <v>296</v>
      </c>
      <c r="Q290" s="236" t="s">
        <v>296</v>
      </c>
      <c r="R290" s="236" t="s">
        <v>296</v>
      </c>
      <c r="S290" s="236" t="s">
        <v>296</v>
      </c>
      <c r="T290" s="236" t="s">
        <v>296</v>
      </c>
      <c r="U290" s="236" t="s">
        <v>296</v>
      </c>
      <c r="V290" s="236" t="s">
        <v>296</v>
      </c>
      <c r="W290" s="237" t="s">
        <v>296</v>
      </c>
      <c r="X290" s="237" t="s">
        <v>296</v>
      </c>
      <c r="Y290" s="238" t="s">
        <v>296</v>
      </c>
    </row>
    <row r="291" spans="1:25">
      <c r="A291" s="230">
        <v>5</v>
      </c>
      <c r="B291" s="231" t="str">
        <f>VLOOKUP(Tabel10[[#This Row],[Locatiecode]],Ruimtegroepen[[Code]:[Ruimte omschrijving]],2,FALSE)</f>
        <v>Sanitair</v>
      </c>
      <c r="C291" s="232" t="s">
        <v>530</v>
      </c>
      <c r="D291" s="231" t="s">
        <v>28</v>
      </c>
      <c r="E291" s="233" t="s">
        <v>1344</v>
      </c>
      <c r="F291" s="232" t="s">
        <v>1446</v>
      </c>
      <c r="G291" s="281" t="s">
        <v>296</v>
      </c>
      <c r="H291" s="234" t="s">
        <v>296</v>
      </c>
      <c r="I291" s="234" t="s">
        <v>296</v>
      </c>
      <c r="J291" s="234" t="s">
        <v>17</v>
      </c>
      <c r="K291" s="234" t="s">
        <v>296</v>
      </c>
      <c r="L291" s="234" t="s">
        <v>296</v>
      </c>
      <c r="M291" s="234" t="s">
        <v>296</v>
      </c>
      <c r="N291" s="235" t="s">
        <v>296</v>
      </c>
      <c r="O291" s="236" t="s">
        <v>296</v>
      </c>
      <c r="P291" s="236" t="s">
        <v>296</v>
      </c>
      <c r="Q291" s="236" t="s">
        <v>296</v>
      </c>
      <c r="R291" s="236" t="s">
        <v>296</v>
      </c>
      <c r="S291" s="236" t="s">
        <v>296</v>
      </c>
      <c r="T291" s="236" t="s">
        <v>296</v>
      </c>
      <c r="U291" s="236" t="s">
        <v>296</v>
      </c>
      <c r="V291" s="236" t="s">
        <v>296</v>
      </c>
      <c r="W291" s="256" t="s">
        <v>17</v>
      </c>
      <c r="X291" s="256" t="s">
        <v>17</v>
      </c>
      <c r="Y291" s="238" t="s">
        <v>296</v>
      </c>
    </row>
    <row r="292" spans="1:25">
      <c r="A292" s="230">
        <v>5</v>
      </c>
      <c r="B292" s="231" t="str">
        <f>VLOOKUP(Tabel10[[#This Row],[Locatiecode]],Ruimtegroepen[[Code]:[Ruimte omschrijving]],2,FALSE)</f>
        <v>Sanitair</v>
      </c>
      <c r="C292" s="232" t="s">
        <v>535</v>
      </c>
      <c r="D292" s="231" t="s">
        <v>536</v>
      </c>
      <c r="E292" s="233" t="s">
        <v>101</v>
      </c>
      <c r="F292" s="232" t="s">
        <v>537</v>
      </c>
      <c r="G292" s="281" t="s">
        <v>296</v>
      </c>
      <c r="H292" s="234" t="s">
        <v>296</v>
      </c>
      <c r="I292" s="234" t="s">
        <v>296</v>
      </c>
      <c r="J292" s="234" t="s">
        <v>20</v>
      </c>
      <c r="K292" s="235" t="s">
        <v>296</v>
      </c>
      <c r="L292" s="234" t="s">
        <v>296</v>
      </c>
      <c r="M292" s="234" t="s">
        <v>296</v>
      </c>
      <c r="N292" s="235" t="s">
        <v>296</v>
      </c>
      <c r="O292" s="236" t="s">
        <v>296</v>
      </c>
      <c r="P292" s="236" t="s">
        <v>296</v>
      </c>
      <c r="Q292" s="236" t="s">
        <v>296</v>
      </c>
      <c r="R292" s="236" t="s">
        <v>296</v>
      </c>
      <c r="S292" s="236" t="s">
        <v>296</v>
      </c>
      <c r="T292" s="236" t="s">
        <v>296</v>
      </c>
      <c r="U292" s="236" t="s">
        <v>296</v>
      </c>
      <c r="V292" s="236" t="s">
        <v>296</v>
      </c>
      <c r="W292" s="237" t="s">
        <v>18</v>
      </c>
      <c r="X292" s="237" t="s">
        <v>15</v>
      </c>
      <c r="Y292" s="238" t="s">
        <v>296</v>
      </c>
    </row>
    <row r="293" spans="1:25">
      <c r="A293" s="230">
        <v>5</v>
      </c>
      <c r="B293" s="231" t="str">
        <f>VLOOKUP(Tabel10[[#This Row],[Locatiecode]],Ruimtegroepen[[Code]:[Ruimte omschrijving]],2,FALSE)</f>
        <v>Sanitair</v>
      </c>
      <c r="C293" s="232" t="s">
        <v>535</v>
      </c>
      <c r="D293" s="231" t="s">
        <v>536</v>
      </c>
      <c r="E293" s="233" t="s">
        <v>100</v>
      </c>
      <c r="F293" s="232" t="s">
        <v>538</v>
      </c>
      <c r="G293" s="281" t="s">
        <v>296</v>
      </c>
      <c r="H293" s="234" t="s">
        <v>296</v>
      </c>
      <c r="I293" s="234" t="s">
        <v>296</v>
      </c>
      <c r="J293" s="235" t="s">
        <v>296</v>
      </c>
      <c r="K293" s="235" t="s">
        <v>296</v>
      </c>
      <c r="L293" s="234" t="s">
        <v>296</v>
      </c>
      <c r="M293" s="234" t="s">
        <v>296</v>
      </c>
      <c r="N293" s="235" t="s">
        <v>296</v>
      </c>
      <c r="O293" s="236" t="s">
        <v>296</v>
      </c>
      <c r="P293" s="236" t="s">
        <v>296</v>
      </c>
      <c r="Q293" s="236" t="s">
        <v>296</v>
      </c>
      <c r="R293" s="236" t="s">
        <v>296</v>
      </c>
      <c r="S293" s="236" t="s">
        <v>296</v>
      </c>
      <c r="T293" s="236" t="s">
        <v>296</v>
      </c>
      <c r="U293" s="236" t="s">
        <v>296</v>
      </c>
      <c r="V293" s="236" t="s">
        <v>296</v>
      </c>
      <c r="W293" s="237" t="s">
        <v>296</v>
      </c>
      <c r="X293" s="237" t="s">
        <v>296</v>
      </c>
      <c r="Y293" s="238" t="s">
        <v>296</v>
      </c>
    </row>
    <row r="294" spans="1:25">
      <c r="A294" s="230">
        <v>5</v>
      </c>
      <c r="B294" s="231" t="str">
        <f>VLOOKUP(Tabel10[[#This Row],[Locatiecode]],Ruimtegroepen[[Code]:[Ruimte omschrijving]],2,FALSE)</f>
        <v>Sanitair</v>
      </c>
      <c r="C294" s="232" t="s">
        <v>535</v>
      </c>
      <c r="D294" s="231" t="s">
        <v>536</v>
      </c>
      <c r="E294" s="233" t="s">
        <v>102</v>
      </c>
      <c r="F294" s="232" t="s">
        <v>539</v>
      </c>
      <c r="G294" s="281" t="s">
        <v>296</v>
      </c>
      <c r="H294" s="234" t="s">
        <v>296</v>
      </c>
      <c r="I294" s="234" t="s">
        <v>296</v>
      </c>
      <c r="J294" s="234" t="s">
        <v>20</v>
      </c>
      <c r="K294" s="235" t="s">
        <v>296</v>
      </c>
      <c r="L294" s="234" t="s">
        <v>296</v>
      </c>
      <c r="M294" s="234" t="s">
        <v>296</v>
      </c>
      <c r="N294" s="235" t="s">
        <v>296</v>
      </c>
      <c r="O294" s="236" t="s">
        <v>296</v>
      </c>
      <c r="P294" s="236" t="s">
        <v>296</v>
      </c>
      <c r="Q294" s="236" t="s">
        <v>296</v>
      </c>
      <c r="R294" s="236" t="s">
        <v>296</v>
      </c>
      <c r="S294" s="236" t="s">
        <v>296</v>
      </c>
      <c r="T294" s="236" t="s">
        <v>296</v>
      </c>
      <c r="U294" s="236" t="s">
        <v>296</v>
      </c>
      <c r="V294" s="236" t="s">
        <v>296</v>
      </c>
      <c r="W294" s="237" t="s">
        <v>18</v>
      </c>
      <c r="X294" s="237" t="s">
        <v>15</v>
      </c>
      <c r="Y294" s="238" t="s">
        <v>296</v>
      </c>
    </row>
    <row r="295" spans="1:25">
      <c r="A295" s="230">
        <v>5</v>
      </c>
      <c r="B295" s="231" t="str">
        <f>VLOOKUP(Tabel10[[#This Row],[Locatiecode]],Ruimtegroepen[[Code]:[Ruimte omschrijving]],2,FALSE)</f>
        <v>Sanitair</v>
      </c>
      <c r="C295" s="232" t="s">
        <v>535</v>
      </c>
      <c r="D295" s="231" t="s">
        <v>536</v>
      </c>
      <c r="E295" s="233" t="s">
        <v>103</v>
      </c>
      <c r="F295" s="232" t="s">
        <v>540</v>
      </c>
      <c r="G295" s="281" t="s">
        <v>296</v>
      </c>
      <c r="H295" s="234" t="s">
        <v>296</v>
      </c>
      <c r="I295" s="234" t="s">
        <v>296</v>
      </c>
      <c r="J295" s="234" t="s">
        <v>20</v>
      </c>
      <c r="K295" s="235" t="s">
        <v>296</v>
      </c>
      <c r="L295" s="234" t="s">
        <v>296</v>
      </c>
      <c r="M295" s="234" t="s">
        <v>296</v>
      </c>
      <c r="N295" s="235" t="s">
        <v>296</v>
      </c>
      <c r="O295" s="236" t="s">
        <v>296</v>
      </c>
      <c r="P295" s="236" t="s">
        <v>296</v>
      </c>
      <c r="Q295" s="236" t="s">
        <v>296</v>
      </c>
      <c r="R295" s="236" t="s">
        <v>296</v>
      </c>
      <c r="S295" s="236" t="s">
        <v>296</v>
      </c>
      <c r="T295" s="236" t="s">
        <v>296</v>
      </c>
      <c r="U295" s="236" t="s">
        <v>296</v>
      </c>
      <c r="V295" s="236" t="s">
        <v>296</v>
      </c>
      <c r="W295" s="237" t="s">
        <v>18</v>
      </c>
      <c r="X295" s="237" t="s">
        <v>15</v>
      </c>
      <c r="Y295" s="238" t="s">
        <v>296</v>
      </c>
    </row>
    <row r="296" spans="1:25">
      <c r="A296" s="230">
        <v>5</v>
      </c>
      <c r="B296" s="231" t="str">
        <f>VLOOKUP(Tabel10[[#This Row],[Locatiecode]],Ruimtegroepen[[Code]:[Ruimte omschrijving]],2,FALSE)</f>
        <v>Sanitair</v>
      </c>
      <c r="C296" s="232" t="s">
        <v>535</v>
      </c>
      <c r="D296" s="231" t="s">
        <v>536</v>
      </c>
      <c r="E296" s="233" t="s">
        <v>100</v>
      </c>
      <c r="F296" s="232" t="s">
        <v>538</v>
      </c>
      <c r="G296" s="281" t="s">
        <v>296</v>
      </c>
      <c r="H296" s="234" t="s">
        <v>296</v>
      </c>
      <c r="I296" s="234" t="s">
        <v>296</v>
      </c>
      <c r="J296" s="235" t="s">
        <v>296</v>
      </c>
      <c r="K296" s="235" t="s">
        <v>296</v>
      </c>
      <c r="L296" s="234" t="s">
        <v>296</v>
      </c>
      <c r="M296" s="234" t="s">
        <v>296</v>
      </c>
      <c r="N296" s="235" t="s">
        <v>296</v>
      </c>
      <c r="O296" s="236" t="s">
        <v>296</v>
      </c>
      <c r="P296" s="236" t="s">
        <v>296</v>
      </c>
      <c r="Q296" s="236" t="s">
        <v>296</v>
      </c>
      <c r="R296" s="236" t="s">
        <v>296</v>
      </c>
      <c r="S296" s="236" t="s">
        <v>296</v>
      </c>
      <c r="T296" s="236" t="s">
        <v>296</v>
      </c>
      <c r="U296" s="236" t="s">
        <v>296</v>
      </c>
      <c r="V296" s="236" t="s">
        <v>296</v>
      </c>
      <c r="W296" s="237" t="s">
        <v>296</v>
      </c>
      <c r="X296" s="237" t="s">
        <v>296</v>
      </c>
      <c r="Y296" s="238" t="s">
        <v>296</v>
      </c>
    </row>
    <row r="297" spans="1:25">
      <c r="A297" s="230">
        <v>5</v>
      </c>
      <c r="B297" s="231" t="str">
        <f>VLOOKUP(Tabel10[[#This Row],[Locatiecode]],Ruimtegroepen[[Code]:[Ruimte omschrijving]],2,FALSE)</f>
        <v>Sanitair</v>
      </c>
      <c r="C297" s="232" t="s">
        <v>535</v>
      </c>
      <c r="D297" s="231" t="s">
        <v>536</v>
      </c>
      <c r="E297" s="233" t="s">
        <v>1344</v>
      </c>
      <c r="F297" s="232" t="s">
        <v>1495</v>
      </c>
      <c r="G297" s="281" t="s">
        <v>296</v>
      </c>
      <c r="H297" s="234" t="s">
        <v>296</v>
      </c>
      <c r="I297" s="234" t="s">
        <v>296</v>
      </c>
      <c r="J297" s="234" t="s">
        <v>20</v>
      </c>
      <c r="K297" s="235" t="s">
        <v>296</v>
      </c>
      <c r="L297" s="234" t="s">
        <v>296</v>
      </c>
      <c r="M297" s="234" t="s">
        <v>296</v>
      </c>
      <c r="N297" s="235" t="s">
        <v>296</v>
      </c>
      <c r="O297" s="236" t="s">
        <v>296</v>
      </c>
      <c r="P297" s="236" t="s">
        <v>296</v>
      </c>
      <c r="Q297" s="236" t="s">
        <v>296</v>
      </c>
      <c r="R297" s="236" t="s">
        <v>296</v>
      </c>
      <c r="S297" s="236" t="s">
        <v>296</v>
      </c>
      <c r="T297" s="236" t="s">
        <v>296</v>
      </c>
      <c r="U297" s="236" t="s">
        <v>296</v>
      </c>
      <c r="V297" s="236" t="s">
        <v>296</v>
      </c>
      <c r="W297" s="237" t="s">
        <v>18</v>
      </c>
      <c r="X297" s="237" t="s">
        <v>15</v>
      </c>
      <c r="Y297" s="238" t="s">
        <v>296</v>
      </c>
    </row>
    <row r="298" spans="1:25">
      <c r="A298" s="230">
        <v>6</v>
      </c>
      <c r="B298" s="231" t="str">
        <f>VLOOKUP(Tabel10[[#This Row],[Locatiecode]],Ruimtegroepen[[Code]:[Ruimte omschrijving]],2,FALSE)</f>
        <v>Gangen/hallen</v>
      </c>
      <c r="C298" s="232" t="s">
        <v>541</v>
      </c>
      <c r="D298" s="231" t="s">
        <v>29</v>
      </c>
      <c r="E298" s="233" t="s">
        <v>101</v>
      </c>
      <c r="F298" s="232" t="s">
        <v>542</v>
      </c>
      <c r="G298" s="281" t="s">
        <v>296</v>
      </c>
      <c r="H298" s="234" t="s">
        <v>296</v>
      </c>
      <c r="I298" s="234" t="s">
        <v>296</v>
      </c>
      <c r="J298" s="234" t="s">
        <v>2</v>
      </c>
      <c r="K298" s="235" t="s">
        <v>296</v>
      </c>
      <c r="L298" s="234" t="s">
        <v>296</v>
      </c>
      <c r="M298" s="234" t="s">
        <v>296</v>
      </c>
      <c r="N298" s="235" t="s">
        <v>2</v>
      </c>
      <c r="O298" s="236" t="s">
        <v>2</v>
      </c>
      <c r="P298" s="236" t="s">
        <v>2</v>
      </c>
      <c r="Q298" s="236" t="s">
        <v>15</v>
      </c>
      <c r="R298" s="236" t="s">
        <v>15</v>
      </c>
      <c r="S298" s="236" t="s">
        <v>16</v>
      </c>
      <c r="T298" s="236" t="s">
        <v>343</v>
      </c>
      <c r="U298" s="236" t="s">
        <v>262</v>
      </c>
      <c r="V298" s="236" t="s">
        <v>2</v>
      </c>
      <c r="W298" s="237" t="s">
        <v>296</v>
      </c>
      <c r="X298" s="237" t="s">
        <v>296</v>
      </c>
      <c r="Y298" s="238" t="s">
        <v>296</v>
      </c>
    </row>
    <row r="299" spans="1:25">
      <c r="A299" s="230">
        <v>6</v>
      </c>
      <c r="B299" s="231" t="str">
        <f>VLOOKUP(Tabel10[[#This Row],[Locatiecode]],Ruimtegroepen[[Code]:[Ruimte omschrijving]],2,FALSE)</f>
        <v>Gangen/hallen</v>
      </c>
      <c r="C299" s="232" t="s">
        <v>541</v>
      </c>
      <c r="D299" s="231" t="s">
        <v>29</v>
      </c>
      <c r="E299" s="233" t="s">
        <v>100</v>
      </c>
      <c r="F299" s="232" t="s">
        <v>543</v>
      </c>
      <c r="G299" s="281" t="s">
        <v>296</v>
      </c>
      <c r="H299" s="235" t="s">
        <v>2</v>
      </c>
      <c r="I299" s="234" t="s">
        <v>296</v>
      </c>
      <c r="J299" s="235" t="s">
        <v>296</v>
      </c>
      <c r="K299" s="235" t="s">
        <v>296</v>
      </c>
      <c r="L299" s="234" t="s">
        <v>296</v>
      </c>
      <c r="M299" s="234" t="s">
        <v>296</v>
      </c>
      <c r="N299" s="235" t="s">
        <v>2</v>
      </c>
      <c r="O299" s="236" t="s">
        <v>2</v>
      </c>
      <c r="P299" s="236" t="s">
        <v>2</v>
      </c>
      <c r="Q299" s="236" t="s">
        <v>15</v>
      </c>
      <c r="R299" s="236" t="s">
        <v>15</v>
      </c>
      <c r="S299" s="236" t="s">
        <v>16</v>
      </c>
      <c r="T299" s="236" t="s">
        <v>343</v>
      </c>
      <c r="U299" s="236" t="s">
        <v>262</v>
      </c>
      <c r="V299" s="236" t="s">
        <v>2</v>
      </c>
      <c r="W299" s="237" t="s">
        <v>296</v>
      </c>
      <c r="X299" s="237" t="s">
        <v>296</v>
      </c>
      <c r="Y299" s="238" t="s">
        <v>296</v>
      </c>
    </row>
    <row r="300" spans="1:25">
      <c r="A300" s="230">
        <v>6</v>
      </c>
      <c r="B300" s="231" t="str">
        <f>VLOOKUP(Tabel10[[#This Row],[Locatiecode]],Ruimtegroepen[[Code]:[Ruimte omschrijving]],2,FALSE)</f>
        <v>Gangen/hallen</v>
      </c>
      <c r="C300" s="232" t="s">
        <v>541</v>
      </c>
      <c r="D300" s="231" t="s">
        <v>29</v>
      </c>
      <c r="E300" s="233" t="s">
        <v>102</v>
      </c>
      <c r="F300" s="232" t="s">
        <v>544</v>
      </c>
      <c r="G300" s="281" t="s">
        <v>296</v>
      </c>
      <c r="H300" s="234" t="s">
        <v>296</v>
      </c>
      <c r="I300" s="235" t="s">
        <v>2</v>
      </c>
      <c r="J300" s="235" t="s">
        <v>296</v>
      </c>
      <c r="K300" s="235" t="s">
        <v>2</v>
      </c>
      <c r="L300" s="234" t="s">
        <v>296</v>
      </c>
      <c r="M300" s="234" t="s">
        <v>296</v>
      </c>
      <c r="N300" s="235" t="s">
        <v>2</v>
      </c>
      <c r="O300" s="236" t="s">
        <v>2</v>
      </c>
      <c r="P300" s="236" t="s">
        <v>2</v>
      </c>
      <c r="Q300" s="236" t="s">
        <v>15</v>
      </c>
      <c r="R300" s="236" t="s">
        <v>15</v>
      </c>
      <c r="S300" s="236" t="s">
        <v>16</v>
      </c>
      <c r="T300" s="236" t="s">
        <v>343</v>
      </c>
      <c r="U300" s="236" t="s">
        <v>262</v>
      </c>
      <c r="V300" s="236" t="s">
        <v>2</v>
      </c>
      <c r="W300" s="237" t="s">
        <v>296</v>
      </c>
      <c r="X300" s="237" t="s">
        <v>296</v>
      </c>
      <c r="Y300" s="238" t="s">
        <v>296</v>
      </c>
    </row>
    <row r="301" spans="1:25">
      <c r="A301" s="230">
        <v>6</v>
      </c>
      <c r="B301" s="231" t="str">
        <f>VLOOKUP(Tabel10[[#This Row],[Locatiecode]],Ruimtegroepen[[Code]:[Ruimte omschrijving]],2,FALSE)</f>
        <v>Gangen/hallen</v>
      </c>
      <c r="C301" s="232" t="s">
        <v>541</v>
      </c>
      <c r="D301" s="231" t="s">
        <v>29</v>
      </c>
      <c r="E301" s="233" t="s">
        <v>103</v>
      </c>
      <c r="F301" s="232" t="s">
        <v>545</v>
      </c>
      <c r="G301" s="281" t="s">
        <v>296</v>
      </c>
      <c r="H301" s="234" t="s">
        <v>296</v>
      </c>
      <c r="I301" s="235" t="s">
        <v>2</v>
      </c>
      <c r="J301" s="235" t="s">
        <v>296</v>
      </c>
      <c r="K301" s="235" t="s">
        <v>2</v>
      </c>
      <c r="L301" s="234" t="s">
        <v>296</v>
      </c>
      <c r="M301" s="234" t="s">
        <v>296</v>
      </c>
      <c r="N301" s="235" t="s">
        <v>2</v>
      </c>
      <c r="O301" s="236" t="s">
        <v>2</v>
      </c>
      <c r="P301" s="236" t="s">
        <v>2</v>
      </c>
      <c r="Q301" s="236" t="s">
        <v>15</v>
      </c>
      <c r="R301" s="236" t="s">
        <v>15</v>
      </c>
      <c r="S301" s="236" t="s">
        <v>16</v>
      </c>
      <c r="T301" s="236" t="s">
        <v>343</v>
      </c>
      <c r="U301" s="236" t="s">
        <v>262</v>
      </c>
      <c r="V301" s="236" t="s">
        <v>2</v>
      </c>
      <c r="W301" s="237" t="s">
        <v>296</v>
      </c>
      <c r="X301" s="237" t="s">
        <v>296</v>
      </c>
      <c r="Y301" s="238" t="s">
        <v>296</v>
      </c>
    </row>
    <row r="302" spans="1:25">
      <c r="A302" s="230">
        <v>6</v>
      </c>
      <c r="B302" s="231" t="str">
        <f>VLOOKUP(Tabel10[[#This Row],[Locatiecode]],Ruimtegroepen[[Code]:[Ruimte omschrijving]],2,FALSE)</f>
        <v>Gangen/hallen</v>
      </c>
      <c r="C302" s="232" t="s">
        <v>541</v>
      </c>
      <c r="D302" s="231" t="s">
        <v>29</v>
      </c>
      <c r="E302" s="233" t="s">
        <v>100</v>
      </c>
      <c r="F302" s="232" t="s">
        <v>543</v>
      </c>
      <c r="G302" s="281" t="s">
        <v>296</v>
      </c>
      <c r="H302" s="235" t="s">
        <v>2</v>
      </c>
      <c r="I302" s="234" t="s">
        <v>296</v>
      </c>
      <c r="J302" s="235" t="s">
        <v>296</v>
      </c>
      <c r="K302" s="235" t="s">
        <v>296</v>
      </c>
      <c r="L302" s="234" t="s">
        <v>296</v>
      </c>
      <c r="M302" s="234" t="s">
        <v>296</v>
      </c>
      <c r="N302" s="235" t="s">
        <v>2</v>
      </c>
      <c r="O302" s="236" t="s">
        <v>2</v>
      </c>
      <c r="P302" s="236" t="s">
        <v>2</v>
      </c>
      <c r="Q302" s="236" t="s">
        <v>15</v>
      </c>
      <c r="R302" s="236" t="s">
        <v>15</v>
      </c>
      <c r="S302" s="236" t="s">
        <v>16</v>
      </c>
      <c r="T302" s="236" t="s">
        <v>343</v>
      </c>
      <c r="U302" s="236" t="s">
        <v>262</v>
      </c>
      <c r="V302" s="236" t="s">
        <v>2</v>
      </c>
      <c r="W302" s="237" t="s">
        <v>296</v>
      </c>
      <c r="X302" s="237" t="s">
        <v>296</v>
      </c>
      <c r="Y302" s="238" t="s">
        <v>296</v>
      </c>
    </row>
    <row r="303" spans="1:25">
      <c r="A303" s="230">
        <v>6</v>
      </c>
      <c r="B303" s="231" t="str">
        <f>VLOOKUP(Tabel10[[#This Row],[Locatiecode]],Ruimtegroepen[[Code]:[Ruimte omschrijving]],2,FALSE)</f>
        <v>Gangen/hallen</v>
      </c>
      <c r="C303" s="232" t="s">
        <v>541</v>
      </c>
      <c r="D303" s="231" t="s">
        <v>29</v>
      </c>
      <c r="E303" s="233" t="s">
        <v>1344</v>
      </c>
      <c r="F303" s="232" t="s">
        <v>1514</v>
      </c>
      <c r="G303" s="281" t="s">
        <v>296</v>
      </c>
      <c r="H303" s="234" t="s">
        <v>296</v>
      </c>
      <c r="I303" s="235" t="s">
        <v>2</v>
      </c>
      <c r="J303" s="235" t="s">
        <v>296</v>
      </c>
      <c r="K303" s="235" t="s">
        <v>2</v>
      </c>
      <c r="L303" s="234" t="s">
        <v>296</v>
      </c>
      <c r="M303" s="234" t="s">
        <v>296</v>
      </c>
      <c r="N303" s="235" t="s">
        <v>2</v>
      </c>
      <c r="O303" s="236" t="s">
        <v>2</v>
      </c>
      <c r="P303" s="236" t="s">
        <v>2</v>
      </c>
      <c r="Q303" s="236" t="s">
        <v>15</v>
      </c>
      <c r="R303" s="236" t="s">
        <v>15</v>
      </c>
      <c r="S303" s="236" t="s">
        <v>16</v>
      </c>
      <c r="T303" s="236" t="s">
        <v>343</v>
      </c>
      <c r="U303" s="236" t="s">
        <v>262</v>
      </c>
      <c r="V303" s="236" t="s">
        <v>2</v>
      </c>
      <c r="W303" s="237" t="s">
        <v>296</v>
      </c>
      <c r="X303" s="237" t="s">
        <v>296</v>
      </c>
      <c r="Y303" s="238" t="s">
        <v>296</v>
      </c>
    </row>
    <row r="304" spans="1:25">
      <c r="A304" s="230">
        <v>6</v>
      </c>
      <c r="B304" s="231" t="str">
        <f>VLOOKUP(Tabel10[[#This Row],[Locatiecode]],Ruimtegroepen[[Code]:[Ruimte omschrijving]],2,FALSE)</f>
        <v>Gangen/hallen</v>
      </c>
      <c r="C304" s="232" t="s">
        <v>546</v>
      </c>
      <c r="D304" s="231" t="s">
        <v>1</v>
      </c>
      <c r="E304" s="233" t="s">
        <v>101</v>
      </c>
      <c r="F304" s="232" t="s">
        <v>547</v>
      </c>
      <c r="G304" s="281" t="s">
        <v>296</v>
      </c>
      <c r="H304" s="234" t="s">
        <v>296</v>
      </c>
      <c r="I304" s="234" t="s">
        <v>296</v>
      </c>
      <c r="J304" s="234" t="s">
        <v>2</v>
      </c>
      <c r="K304" s="235" t="s">
        <v>296</v>
      </c>
      <c r="L304" s="234" t="s">
        <v>296</v>
      </c>
      <c r="M304" s="234" t="s">
        <v>296</v>
      </c>
      <c r="N304" s="235" t="s">
        <v>296</v>
      </c>
      <c r="O304" s="236" t="s">
        <v>2</v>
      </c>
      <c r="P304" s="236" t="s">
        <v>2</v>
      </c>
      <c r="Q304" s="236" t="s">
        <v>15</v>
      </c>
      <c r="R304" s="236" t="s">
        <v>15</v>
      </c>
      <c r="S304" s="236" t="s">
        <v>16</v>
      </c>
      <c r="T304" s="236" t="s">
        <v>343</v>
      </c>
      <c r="U304" s="236" t="s">
        <v>262</v>
      </c>
      <c r="V304" s="236" t="s">
        <v>296</v>
      </c>
      <c r="W304" s="237" t="s">
        <v>296</v>
      </c>
      <c r="X304" s="237" t="s">
        <v>296</v>
      </c>
      <c r="Y304" s="238" t="s">
        <v>296</v>
      </c>
    </row>
    <row r="305" spans="1:25">
      <c r="A305" s="230">
        <v>6</v>
      </c>
      <c r="B305" s="231" t="str">
        <f>VLOOKUP(Tabel10[[#This Row],[Locatiecode]],Ruimtegroepen[[Code]:[Ruimte omschrijving]],2,FALSE)</f>
        <v>Gangen/hallen</v>
      </c>
      <c r="C305" s="232" t="s">
        <v>546</v>
      </c>
      <c r="D305" s="231" t="s">
        <v>1</v>
      </c>
      <c r="E305" s="233" t="s">
        <v>100</v>
      </c>
      <c r="F305" s="232" t="s">
        <v>548</v>
      </c>
      <c r="G305" s="281" t="s">
        <v>296</v>
      </c>
      <c r="H305" s="235" t="s">
        <v>2</v>
      </c>
      <c r="I305" s="234" t="s">
        <v>296</v>
      </c>
      <c r="J305" s="235" t="s">
        <v>296</v>
      </c>
      <c r="K305" s="235" t="s">
        <v>296</v>
      </c>
      <c r="L305" s="234" t="s">
        <v>296</v>
      </c>
      <c r="M305" s="234" t="s">
        <v>296</v>
      </c>
      <c r="N305" s="235" t="s">
        <v>296</v>
      </c>
      <c r="O305" s="236" t="s">
        <v>2</v>
      </c>
      <c r="P305" s="236" t="s">
        <v>2</v>
      </c>
      <c r="Q305" s="236" t="s">
        <v>15</v>
      </c>
      <c r="R305" s="236" t="s">
        <v>15</v>
      </c>
      <c r="S305" s="236" t="s">
        <v>16</v>
      </c>
      <c r="T305" s="236" t="s">
        <v>343</v>
      </c>
      <c r="U305" s="236" t="s">
        <v>262</v>
      </c>
      <c r="V305" s="236" t="s">
        <v>296</v>
      </c>
      <c r="W305" s="237" t="s">
        <v>296</v>
      </c>
      <c r="X305" s="237" t="s">
        <v>296</v>
      </c>
      <c r="Y305" s="238" t="s">
        <v>296</v>
      </c>
    </row>
    <row r="306" spans="1:25">
      <c r="A306" s="230">
        <v>6</v>
      </c>
      <c r="B306" s="231" t="str">
        <f>VLOOKUP(Tabel10[[#This Row],[Locatiecode]],Ruimtegroepen[[Code]:[Ruimte omschrijving]],2,FALSE)</f>
        <v>Gangen/hallen</v>
      </c>
      <c r="C306" s="232" t="s">
        <v>546</v>
      </c>
      <c r="D306" s="231" t="s">
        <v>1</v>
      </c>
      <c r="E306" s="233" t="s">
        <v>102</v>
      </c>
      <c r="F306" s="232" t="s">
        <v>549</v>
      </c>
      <c r="G306" s="281" t="s">
        <v>296</v>
      </c>
      <c r="H306" s="234" t="s">
        <v>296</v>
      </c>
      <c r="I306" s="235" t="s">
        <v>2</v>
      </c>
      <c r="J306" s="235" t="s">
        <v>296</v>
      </c>
      <c r="K306" s="235" t="s">
        <v>2</v>
      </c>
      <c r="L306" s="234" t="s">
        <v>296</v>
      </c>
      <c r="M306" s="234" t="s">
        <v>296</v>
      </c>
      <c r="N306" s="235" t="s">
        <v>296</v>
      </c>
      <c r="O306" s="236" t="s">
        <v>2</v>
      </c>
      <c r="P306" s="236" t="s">
        <v>2</v>
      </c>
      <c r="Q306" s="236" t="s">
        <v>15</v>
      </c>
      <c r="R306" s="236" t="s">
        <v>15</v>
      </c>
      <c r="S306" s="236" t="s">
        <v>16</v>
      </c>
      <c r="T306" s="236" t="s">
        <v>343</v>
      </c>
      <c r="U306" s="236" t="s">
        <v>262</v>
      </c>
      <c r="V306" s="236" t="s">
        <v>296</v>
      </c>
      <c r="W306" s="237" t="s">
        <v>296</v>
      </c>
      <c r="X306" s="237" t="s">
        <v>296</v>
      </c>
      <c r="Y306" s="238" t="s">
        <v>296</v>
      </c>
    </row>
    <row r="307" spans="1:25">
      <c r="A307" s="230">
        <v>6</v>
      </c>
      <c r="B307" s="231" t="str">
        <f>VLOOKUP(Tabel10[[#This Row],[Locatiecode]],Ruimtegroepen[[Code]:[Ruimte omschrijving]],2,FALSE)</f>
        <v>Gangen/hallen</v>
      </c>
      <c r="C307" s="232" t="s">
        <v>546</v>
      </c>
      <c r="D307" s="231" t="s">
        <v>1</v>
      </c>
      <c r="E307" s="233" t="s">
        <v>103</v>
      </c>
      <c r="F307" s="232" t="s">
        <v>550</v>
      </c>
      <c r="G307" s="281" t="s">
        <v>296</v>
      </c>
      <c r="H307" s="234" t="s">
        <v>296</v>
      </c>
      <c r="I307" s="235" t="s">
        <v>2</v>
      </c>
      <c r="J307" s="235" t="s">
        <v>296</v>
      </c>
      <c r="K307" s="235" t="s">
        <v>2</v>
      </c>
      <c r="L307" s="234" t="s">
        <v>296</v>
      </c>
      <c r="M307" s="234" t="s">
        <v>296</v>
      </c>
      <c r="N307" s="235" t="s">
        <v>296</v>
      </c>
      <c r="O307" s="236" t="s">
        <v>2</v>
      </c>
      <c r="P307" s="236" t="s">
        <v>2</v>
      </c>
      <c r="Q307" s="236" t="s">
        <v>15</v>
      </c>
      <c r="R307" s="236" t="s">
        <v>15</v>
      </c>
      <c r="S307" s="236" t="s">
        <v>16</v>
      </c>
      <c r="T307" s="236" t="s">
        <v>343</v>
      </c>
      <c r="U307" s="236" t="s">
        <v>262</v>
      </c>
      <c r="V307" s="236" t="s">
        <v>296</v>
      </c>
      <c r="W307" s="237" t="s">
        <v>296</v>
      </c>
      <c r="X307" s="237" t="s">
        <v>296</v>
      </c>
      <c r="Y307" s="238" t="s">
        <v>296</v>
      </c>
    </row>
    <row r="308" spans="1:25">
      <c r="A308" s="230">
        <v>6</v>
      </c>
      <c r="B308" s="231" t="str">
        <f>VLOOKUP(Tabel10[[#This Row],[Locatiecode]],Ruimtegroepen[[Code]:[Ruimte omschrijving]],2,FALSE)</f>
        <v>Gangen/hallen</v>
      </c>
      <c r="C308" s="232" t="s">
        <v>546</v>
      </c>
      <c r="D308" s="231" t="s">
        <v>1</v>
      </c>
      <c r="E308" s="233" t="s">
        <v>100</v>
      </c>
      <c r="F308" s="232" t="s">
        <v>548</v>
      </c>
      <c r="G308" s="281" t="s">
        <v>296</v>
      </c>
      <c r="H308" s="235" t="s">
        <v>2</v>
      </c>
      <c r="I308" s="234" t="s">
        <v>296</v>
      </c>
      <c r="J308" s="235" t="s">
        <v>296</v>
      </c>
      <c r="K308" s="235" t="s">
        <v>296</v>
      </c>
      <c r="L308" s="234" t="s">
        <v>296</v>
      </c>
      <c r="M308" s="234" t="s">
        <v>296</v>
      </c>
      <c r="N308" s="235" t="s">
        <v>296</v>
      </c>
      <c r="O308" s="236" t="s">
        <v>2</v>
      </c>
      <c r="P308" s="236" t="s">
        <v>2</v>
      </c>
      <c r="Q308" s="236" t="s">
        <v>15</v>
      </c>
      <c r="R308" s="236" t="s">
        <v>15</v>
      </c>
      <c r="S308" s="236" t="s">
        <v>16</v>
      </c>
      <c r="T308" s="236" t="s">
        <v>343</v>
      </c>
      <c r="U308" s="236" t="s">
        <v>262</v>
      </c>
      <c r="V308" s="236" t="s">
        <v>296</v>
      </c>
      <c r="W308" s="237" t="s">
        <v>296</v>
      </c>
      <c r="X308" s="237" t="s">
        <v>296</v>
      </c>
      <c r="Y308" s="238" t="s">
        <v>296</v>
      </c>
    </row>
    <row r="309" spans="1:25">
      <c r="A309" s="230">
        <v>6</v>
      </c>
      <c r="B309" s="231" t="str">
        <f>VLOOKUP(Tabel10[[#This Row],[Locatiecode]],Ruimtegroepen[[Code]:[Ruimte omschrijving]],2,FALSE)</f>
        <v>Gangen/hallen</v>
      </c>
      <c r="C309" s="232" t="s">
        <v>546</v>
      </c>
      <c r="D309" s="231" t="s">
        <v>1</v>
      </c>
      <c r="E309" s="233" t="s">
        <v>1344</v>
      </c>
      <c r="F309" s="232" t="s">
        <v>1498</v>
      </c>
      <c r="G309" s="281" t="s">
        <v>296</v>
      </c>
      <c r="H309" s="234" t="s">
        <v>296</v>
      </c>
      <c r="I309" s="235" t="s">
        <v>2</v>
      </c>
      <c r="J309" s="235" t="s">
        <v>296</v>
      </c>
      <c r="K309" s="235" t="s">
        <v>2</v>
      </c>
      <c r="L309" s="234" t="s">
        <v>296</v>
      </c>
      <c r="M309" s="234" t="s">
        <v>296</v>
      </c>
      <c r="N309" s="235" t="s">
        <v>296</v>
      </c>
      <c r="O309" s="236" t="s">
        <v>2</v>
      </c>
      <c r="P309" s="236" t="s">
        <v>2</v>
      </c>
      <c r="Q309" s="236" t="s">
        <v>15</v>
      </c>
      <c r="R309" s="236" t="s">
        <v>15</v>
      </c>
      <c r="S309" s="236" t="s">
        <v>16</v>
      </c>
      <c r="T309" s="236" t="s">
        <v>343</v>
      </c>
      <c r="U309" s="236" t="s">
        <v>262</v>
      </c>
      <c r="V309" s="236" t="s">
        <v>296</v>
      </c>
      <c r="W309" s="237" t="s">
        <v>296</v>
      </c>
      <c r="X309" s="237" t="s">
        <v>296</v>
      </c>
      <c r="Y309" s="238" t="s">
        <v>296</v>
      </c>
    </row>
    <row r="310" spans="1:25">
      <c r="A310" s="230">
        <v>6</v>
      </c>
      <c r="B310" s="231" t="str">
        <f>VLOOKUP(Tabel10[[#This Row],[Locatiecode]],Ruimtegroepen[[Code]:[Ruimte omschrijving]],2,FALSE)</f>
        <v>Gangen/hallen</v>
      </c>
      <c r="C310" s="232" t="s">
        <v>551</v>
      </c>
      <c r="D310" s="231" t="s">
        <v>21</v>
      </c>
      <c r="E310" s="233" t="s">
        <v>101</v>
      </c>
      <c r="F310" s="232" t="s">
        <v>552</v>
      </c>
      <c r="G310" s="281" t="s">
        <v>296</v>
      </c>
      <c r="H310" s="234" t="s">
        <v>296</v>
      </c>
      <c r="I310" s="234" t="s">
        <v>296</v>
      </c>
      <c r="J310" s="234" t="s">
        <v>20</v>
      </c>
      <c r="K310" s="235" t="s">
        <v>296</v>
      </c>
      <c r="L310" s="234" t="s">
        <v>296</v>
      </c>
      <c r="M310" s="234" t="s">
        <v>296</v>
      </c>
      <c r="N310" s="235" t="s">
        <v>296</v>
      </c>
      <c r="O310" s="236" t="s">
        <v>20</v>
      </c>
      <c r="P310" s="236" t="s">
        <v>20</v>
      </c>
      <c r="Q310" s="236" t="s">
        <v>15</v>
      </c>
      <c r="R310" s="236" t="s">
        <v>15</v>
      </c>
      <c r="S310" s="236" t="s">
        <v>16</v>
      </c>
      <c r="T310" s="236" t="s">
        <v>343</v>
      </c>
      <c r="U310" s="236" t="s">
        <v>262</v>
      </c>
      <c r="V310" s="236" t="s">
        <v>296</v>
      </c>
      <c r="W310" s="237" t="s">
        <v>296</v>
      </c>
      <c r="X310" s="237" t="s">
        <v>296</v>
      </c>
      <c r="Y310" s="238" t="s">
        <v>296</v>
      </c>
    </row>
    <row r="311" spans="1:25">
      <c r="A311" s="230">
        <v>6</v>
      </c>
      <c r="B311" s="231" t="str">
        <f>VLOOKUP(Tabel10[[#This Row],[Locatiecode]],Ruimtegroepen[[Code]:[Ruimte omschrijving]],2,FALSE)</f>
        <v>Gangen/hallen</v>
      </c>
      <c r="C311" s="232" t="s">
        <v>551</v>
      </c>
      <c r="D311" s="231" t="s">
        <v>21</v>
      </c>
      <c r="E311" s="233" t="s">
        <v>100</v>
      </c>
      <c r="F311" s="232" t="s">
        <v>553</v>
      </c>
      <c r="G311" s="281" t="s">
        <v>296</v>
      </c>
      <c r="H311" s="235" t="s">
        <v>20</v>
      </c>
      <c r="I311" s="234" t="s">
        <v>296</v>
      </c>
      <c r="J311" s="235" t="s">
        <v>296</v>
      </c>
      <c r="K311" s="235" t="s">
        <v>296</v>
      </c>
      <c r="L311" s="234" t="s">
        <v>296</v>
      </c>
      <c r="M311" s="234" t="s">
        <v>296</v>
      </c>
      <c r="N311" s="235" t="s">
        <v>296</v>
      </c>
      <c r="O311" s="236" t="s">
        <v>20</v>
      </c>
      <c r="P311" s="236" t="s">
        <v>20</v>
      </c>
      <c r="Q311" s="236" t="s">
        <v>15</v>
      </c>
      <c r="R311" s="236" t="s">
        <v>15</v>
      </c>
      <c r="S311" s="236" t="s">
        <v>16</v>
      </c>
      <c r="T311" s="236" t="s">
        <v>343</v>
      </c>
      <c r="U311" s="236" t="s">
        <v>262</v>
      </c>
      <c r="V311" s="236" t="s">
        <v>296</v>
      </c>
      <c r="W311" s="237" t="s">
        <v>296</v>
      </c>
      <c r="X311" s="237" t="s">
        <v>296</v>
      </c>
      <c r="Y311" s="238" t="s">
        <v>296</v>
      </c>
    </row>
    <row r="312" spans="1:25">
      <c r="A312" s="230">
        <v>6</v>
      </c>
      <c r="B312" s="231" t="str">
        <f>VLOOKUP(Tabel10[[#This Row],[Locatiecode]],Ruimtegroepen[[Code]:[Ruimte omschrijving]],2,FALSE)</f>
        <v>Gangen/hallen</v>
      </c>
      <c r="C312" s="232" t="s">
        <v>551</v>
      </c>
      <c r="D312" s="231" t="s">
        <v>21</v>
      </c>
      <c r="E312" s="233" t="s">
        <v>102</v>
      </c>
      <c r="F312" s="232" t="s">
        <v>554</v>
      </c>
      <c r="G312" s="281" t="s">
        <v>296</v>
      </c>
      <c r="H312" s="234" t="s">
        <v>296</v>
      </c>
      <c r="I312" s="235" t="s">
        <v>20</v>
      </c>
      <c r="J312" s="235" t="s">
        <v>296</v>
      </c>
      <c r="K312" s="235" t="s">
        <v>20</v>
      </c>
      <c r="L312" s="234" t="s">
        <v>296</v>
      </c>
      <c r="M312" s="234" t="s">
        <v>296</v>
      </c>
      <c r="N312" s="235" t="s">
        <v>296</v>
      </c>
      <c r="O312" s="236" t="s">
        <v>20</v>
      </c>
      <c r="P312" s="236" t="s">
        <v>20</v>
      </c>
      <c r="Q312" s="236" t="s">
        <v>15</v>
      </c>
      <c r="R312" s="236" t="s">
        <v>15</v>
      </c>
      <c r="S312" s="236" t="s">
        <v>16</v>
      </c>
      <c r="T312" s="236" t="s">
        <v>343</v>
      </c>
      <c r="U312" s="236" t="s">
        <v>262</v>
      </c>
      <c r="V312" s="236" t="s">
        <v>296</v>
      </c>
      <c r="W312" s="237" t="s">
        <v>296</v>
      </c>
      <c r="X312" s="237" t="s">
        <v>296</v>
      </c>
      <c r="Y312" s="238" t="s">
        <v>296</v>
      </c>
    </row>
    <row r="313" spans="1:25">
      <c r="A313" s="230">
        <v>6</v>
      </c>
      <c r="B313" s="231" t="str">
        <f>VLOOKUP(Tabel10[[#This Row],[Locatiecode]],Ruimtegroepen[[Code]:[Ruimte omschrijving]],2,FALSE)</f>
        <v>Gangen/hallen</v>
      </c>
      <c r="C313" s="232" t="s">
        <v>551</v>
      </c>
      <c r="D313" s="231" t="s">
        <v>21</v>
      </c>
      <c r="E313" s="233" t="s">
        <v>103</v>
      </c>
      <c r="F313" s="232" t="s">
        <v>555</v>
      </c>
      <c r="G313" s="281" t="s">
        <v>296</v>
      </c>
      <c r="H313" s="234" t="s">
        <v>296</v>
      </c>
      <c r="I313" s="235" t="s">
        <v>20</v>
      </c>
      <c r="J313" s="235" t="s">
        <v>296</v>
      </c>
      <c r="K313" s="235" t="s">
        <v>20</v>
      </c>
      <c r="L313" s="234" t="s">
        <v>296</v>
      </c>
      <c r="M313" s="234" t="s">
        <v>296</v>
      </c>
      <c r="N313" s="235" t="s">
        <v>296</v>
      </c>
      <c r="O313" s="236" t="s">
        <v>20</v>
      </c>
      <c r="P313" s="236" t="s">
        <v>20</v>
      </c>
      <c r="Q313" s="236" t="s">
        <v>15</v>
      </c>
      <c r="R313" s="236" t="s">
        <v>15</v>
      </c>
      <c r="S313" s="236" t="s">
        <v>16</v>
      </c>
      <c r="T313" s="236" t="s">
        <v>343</v>
      </c>
      <c r="U313" s="236" t="s">
        <v>262</v>
      </c>
      <c r="V313" s="236" t="s">
        <v>296</v>
      </c>
      <c r="W313" s="237" t="s">
        <v>296</v>
      </c>
      <c r="X313" s="237" t="s">
        <v>296</v>
      </c>
      <c r="Y313" s="238" t="s">
        <v>296</v>
      </c>
    </row>
    <row r="314" spans="1:25">
      <c r="A314" s="230">
        <v>6</v>
      </c>
      <c r="B314" s="231" t="str">
        <f>VLOOKUP(Tabel10[[#This Row],[Locatiecode]],Ruimtegroepen[[Code]:[Ruimte omschrijving]],2,FALSE)</f>
        <v>Gangen/hallen</v>
      </c>
      <c r="C314" s="232" t="s">
        <v>551</v>
      </c>
      <c r="D314" s="231" t="s">
        <v>21</v>
      </c>
      <c r="E314" s="233" t="s">
        <v>100</v>
      </c>
      <c r="F314" s="232" t="s">
        <v>553</v>
      </c>
      <c r="G314" s="281" t="s">
        <v>296</v>
      </c>
      <c r="H314" s="235" t="s">
        <v>20</v>
      </c>
      <c r="I314" s="234" t="s">
        <v>296</v>
      </c>
      <c r="J314" s="235" t="s">
        <v>296</v>
      </c>
      <c r="K314" s="235" t="s">
        <v>296</v>
      </c>
      <c r="L314" s="234" t="s">
        <v>296</v>
      </c>
      <c r="M314" s="234" t="s">
        <v>296</v>
      </c>
      <c r="N314" s="235" t="s">
        <v>296</v>
      </c>
      <c r="O314" s="236" t="s">
        <v>20</v>
      </c>
      <c r="P314" s="236" t="s">
        <v>20</v>
      </c>
      <c r="Q314" s="236" t="s">
        <v>15</v>
      </c>
      <c r="R314" s="236" t="s">
        <v>15</v>
      </c>
      <c r="S314" s="236" t="s">
        <v>16</v>
      </c>
      <c r="T314" s="236" t="s">
        <v>343</v>
      </c>
      <c r="U314" s="236" t="s">
        <v>262</v>
      </c>
      <c r="V314" s="236" t="s">
        <v>296</v>
      </c>
      <c r="W314" s="237" t="s">
        <v>296</v>
      </c>
      <c r="X314" s="237" t="s">
        <v>296</v>
      </c>
      <c r="Y314" s="238" t="s">
        <v>296</v>
      </c>
    </row>
    <row r="315" spans="1:25">
      <c r="A315" s="230">
        <v>6</v>
      </c>
      <c r="B315" s="231" t="str">
        <f>VLOOKUP(Tabel10[[#This Row],[Locatiecode]],Ruimtegroepen[[Code]:[Ruimte omschrijving]],2,FALSE)</f>
        <v>Gangen/hallen</v>
      </c>
      <c r="C315" s="232" t="s">
        <v>551</v>
      </c>
      <c r="D315" s="231" t="s">
        <v>21</v>
      </c>
      <c r="E315" s="233" t="s">
        <v>1344</v>
      </c>
      <c r="F315" s="232" t="s">
        <v>1481</v>
      </c>
      <c r="G315" s="281" t="s">
        <v>296</v>
      </c>
      <c r="H315" s="234" t="s">
        <v>296</v>
      </c>
      <c r="I315" s="235" t="s">
        <v>20</v>
      </c>
      <c r="J315" s="235" t="s">
        <v>296</v>
      </c>
      <c r="K315" s="235" t="s">
        <v>20</v>
      </c>
      <c r="L315" s="234" t="s">
        <v>296</v>
      </c>
      <c r="M315" s="234" t="s">
        <v>296</v>
      </c>
      <c r="N315" s="235" t="s">
        <v>296</v>
      </c>
      <c r="O315" s="236" t="s">
        <v>20</v>
      </c>
      <c r="P315" s="236" t="s">
        <v>20</v>
      </c>
      <c r="Q315" s="236" t="s">
        <v>15</v>
      </c>
      <c r="R315" s="236" t="s">
        <v>15</v>
      </c>
      <c r="S315" s="236" t="s">
        <v>16</v>
      </c>
      <c r="T315" s="236" t="s">
        <v>343</v>
      </c>
      <c r="U315" s="236" t="s">
        <v>262</v>
      </c>
      <c r="V315" s="236" t="s">
        <v>296</v>
      </c>
      <c r="W315" s="237" t="s">
        <v>296</v>
      </c>
      <c r="X315" s="237" t="s">
        <v>296</v>
      </c>
      <c r="Y315" s="238" t="s">
        <v>296</v>
      </c>
    </row>
    <row r="316" spans="1:25">
      <c r="A316" s="230">
        <v>6</v>
      </c>
      <c r="B316" s="231" t="str">
        <f>VLOOKUP(Tabel10[[#This Row],[Locatiecode]],Ruimtegroepen[[Code]:[Ruimte omschrijving]],2,FALSE)</f>
        <v>Gangen/hallen</v>
      </c>
      <c r="C316" s="232" t="s">
        <v>556</v>
      </c>
      <c r="D316" s="231" t="s">
        <v>12</v>
      </c>
      <c r="E316" s="233" t="s">
        <v>101</v>
      </c>
      <c r="F316" s="232" t="s">
        <v>557</v>
      </c>
      <c r="G316" s="281" t="s">
        <v>296</v>
      </c>
      <c r="H316" s="234" t="s">
        <v>296</v>
      </c>
      <c r="I316" s="234" t="s">
        <v>296</v>
      </c>
      <c r="J316" s="234" t="s">
        <v>18</v>
      </c>
      <c r="K316" s="235" t="s">
        <v>296</v>
      </c>
      <c r="L316" s="234" t="s">
        <v>296</v>
      </c>
      <c r="M316" s="234" t="s">
        <v>296</v>
      </c>
      <c r="N316" s="235" t="s">
        <v>296</v>
      </c>
      <c r="O316" s="236" t="s">
        <v>18</v>
      </c>
      <c r="P316" s="236" t="s">
        <v>18</v>
      </c>
      <c r="Q316" s="236" t="s">
        <v>15</v>
      </c>
      <c r="R316" s="236" t="s">
        <v>15</v>
      </c>
      <c r="S316" s="236" t="s">
        <v>16</v>
      </c>
      <c r="T316" s="236" t="s">
        <v>343</v>
      </c>
      <c r="U316" s="236" t="s">
        <v>262</v>
      </c>
      <c r="V316" s="236" t="s">
        <v>296</v>
      </c>
      <c r="W316" s="237" t="s">
        <v>296</v>
      </c>
      <c r="X316" s="237" t="s">
        <v>296</v>
      </c>
      <c r="Y316" s="238" t="s">
        <v>296</v>
      </c>
    </row>
    <row r="317" spans="1:25">
      <c r="A317" s="230">
        <v>6</v>
      </c>
      <c r="B317" s="231" t="str">
        <f>VLOOKUP(Tabel10[[#This Row],[Locatiecode]],Ruimtegroepen[[Code]:[Ruimte omschrijving]],2,FALSE)</f>
        <v>Gangen/hallen</v>
      </c>
      <c r="C317" s="232" t="s">
        <v>556</v>
      </c>
      <c r="D317" s="231" t="s">
        <v>12</v>
      </c>
      <c r="E317" s="233" t="s">
        <v>100</v>
      </c>
      <c r="F317" s="232" t="s">
        <v>558</v>
      </c>
      <c r="G317" s="281" t="s">
        <v>296</v>
      </c>
      <c r="H317" s="235" t="s">
        <v>18</v>
      </c>
      <c r="I317" s="234" t="s">
        <v>296</v>
      </c>
      <c r="J317" s="235" t="s">
        <v>296</v>
      </c>
      <c r="K317" s="235" t="s">
        <v>296</v>
      </c>
      <c r="L317" s="234" t="s">
        <v>296</v>
      </c>
      <c r="M317" s="234" t="s">
        <v>296</v>
      </c>
      <c r="N317" s="235" t="s">
        <v>296</v>
      </c>
      <c r="O317" s="236" t="s">
        <v>18</v>
      </c>
      <c r="P317" s="236" t="s">
        <v>18</v>
      </c>
      <c r="Q317" s="236" t="s">
        <v>15</v>
      </c>
      <c r="R317" s="236" t="s">
        <v>15</v>
      </c>
      <c r="S317" s="236" t="s">
        <v>16</v>
      </c>
      <c r="T317" s="236" t="s">
        <v>343</v>
      </c>
      <c r="U317" s="236" t="s">
        <v>262</v>
      </c>
      <c r="V317" s="236" t="s">
        <v>296</v>
      </c>
      <c r="W317" s="237" t="s">
        <v>296</v>
      </c>
      <c r="X317" s="237" t="s">
        <v>296</v>
      </c>
      <c r="Y317" s="238" t="s">
        <v>296</v>
      </c>
    </row>
    <row r="318" spans="1:25">
      <c r="A318" s="230">
        <v>6</v>
      </c>
      <c r="B318" s="231" t="str">
        <f>VLOOKUP(Tabel10[[#This Row],[Locatiecode]],Ruimtegroepen[[Code]:[Ruimte omschrijving]],2,FALSE)</f>
        <v>Gangen/hallen</v>
      </c>
      <c r="C318" s="232" t="s">
        <v>556</v>
      </c>
      <c r="D318" s="231" t="s">
        <v>12</v>
      </c>
      <c r="E318" s="233" t="s">
        <v>102</v>
      </c>
      <c r="F318" s="232" t="s">
        <v>559</v>
      </c>
      <c r="G318" s="281" t="s">
        <v>296</v>
      </c>
      <c r="H318" s="234" t="s">
        <v>296</v>
      </c>
      <c r="I318" s="235" t="s">
        <v>18</v>
      </c>
      <c r="J318" s="235" t="s">
        <v>296</v>
      </c>
      <c r="K318" s="235" t="s">
        <v>18</v>
      </c>
      <c r="L318" s="234" t="s">
        <v>296</v>
      </c>
      <c r="M318" s="234" t="s">
        <v>296</v>
      </c>
      <c r="N318" s="235" t="s">
        <v>296</v>
      </c>
      <c r="O318" s="236" t="s">
        <v>18</v>
      </c>
      <c r="P318" s="236" t="s">
        <v>18</v>
      </c>
      <c r="Q318" s="236" t="s">
        <v>15</v>
      </c>
      <c r="R318" s="236" t="s">
        <v>15</v>
      </c>
      <c r="S318" s="236" t="s">
        <v>16</v>
      </c>
      <c r="T318" s="236" t="s">
        <v>343</v>
      </c>
      <c r="U318" s="236" t="s">
        <v>262</v>
      </c>
      <c r="V318" s="236" t="s">
        <v>296</v>
      </c>
      <c r="W318" s="237" t="s">
        <v>296</v>
      </c>
      <c r="X318" s="237" t="s">
        <v>296</v>
      </c>
      <c r="Y318" s="238" t="s">
        <v>296</v>
      </c>
    </row>
    <row r="319" spans="1:25">
      <c r="A319" s="230">
        <v>6</v>
      </c>
      <c r="B319" s="231" t="str">
        <f>VLOOKUP(Tabel10[[#This Row],[Locatiecode]],Ruimtegroepen[[Code]:[Ruimte omschrijving]],2,FALSE)</f>
        <v>Gangen/hallen</v>
      </c>
      <c r="C319" s="232" t="s">
        <v>556</v>
      </c>
      <c r="D319" s="231" t="s">
        <v>12</v>
      </c>
      <c r="E319" s="233" t="s">
        <v>103</v>
      </c>
      <c r="F319" s="232" t="s">
        <v>560</v>
      </c>
      <c r="G319" s="281" t="s">
        <v>296</v>
      </c>
      <c r="H319" s="234" t="s">
        <v>296</v>
      </c>
      <c r="I319" s="235" t="s">
        <v>18</v>
      </c>
      <c r="J319" s="235" t="s">
        <v>296</v>
      </c>
      <c r="K319" s="235" t="s">
        <v>18</v>
      </c>
      <c r="L319" s="234" t="s">
        <v>296</v>
      </c>
      <c r="M319" s="234" t="s">
        <v>296</v>
      </c>
      <c r="N319" s="235" t="s">
        <v>296</v>
      </c>
      <c r="O319" s="236" t="s">
        <v>18</v>
      </c>
      <c r="P319" s="236" t="s">
        <v>18</v>
      </c>
      <c r="Q319" s="236" t="s">
        <v>15</v>
      </c>
      <c r="R319" s="236" t="s">
        <v>15</v>
      </c>
      <c r="S319" s="236" t="s">
        <v>16</v>
      </c>
      <c r="T319" s="236" t="s">
        <v>343</v>
      </c>
      <c r="U319" s="236" t="s">
        <v>262</v>
      </c>
      <c r="V319" s="236" t="s">
        <v>296</v>
      </c>
      <c r="W319" s="237" t="s">
        <v>296</v>
      </c>
      <c r="X319" s="237" t="s">
        <v>296</v>
      </c>
      <c r="Y319" s="238" t="s">
        <v>296</v>
      </c>
    </row>
    <row r="320" spans="1:25">
      <c r="A320" s="230">
        <v>6</v>
      </c>
      <c r="B320" s="231" t="str">
        <f>VLOOKUP(Tabel10[[#This Row],[Locatiecode]],Ruimtegroepen[[Code]:[Ruimte omschrijving]],2,FALSE)</f>
        <v>Gangen/hallen</v>
      </c>
      <c r="C320" s="232" t="s">
        <v>556</v>
      </c>
      <c r="D320" s="231" t="s">
        <v>12</v>
      </c>
      <c r="E320" s="233" t="s">
        <v>100</v>
      </c>
      <c r="F320" s="232" t="s">
        <v>558</v>
      </c>
      <c r="G320" s="281" t="s">
        <v>296</v>
      </c>
      <c r="H320" s="235" t="s">
        <v>18</v>
      </c>
      <c r="I320" s="234" t="s">
        <v>296</v>
      </c>
      <c r="J320" s="235" t="s">
        <v>296</v>
      </c>
      <c r="K320" s="235" t="s">
        <v>296</v>
      </c>
      <c r="L320" s="234" t="s">
        <v>296</v>
      </c>
      <c r="M320" s="234" t="s">
        <v>296</v>
      </c>
      <c r="N320" s="235" t="s">
        <v>296</v>
      </c>
      <c r="O320" s="236" t="s">
        <v>18</v>
      </c>
      <c r="P320" s="236" t="s">
        <v>18</v>
      </c>
      <c r="Q320" s="236" t="s">
        <v>15</v>
      </c>
      <c r="R320" s="236" t="s">
        <v>15</v>
      </c>
      <c r="S320" s="236" t="s">
        <v>16</v>
      </c>
      <c r="T320" s="236" t="s">
        <v>343</v>
      </c>
      <c r="U320" s="236" t="s">
        <v>262</v>
      </c>
      <c r="V320" s="236" t="s">
        <v>296</v>
      </c>
      <c r="W320" s="237" t="s">
        <v>296</v>
      </c>
      <c r="X320" s="237" t="s">
        <v>296</v>
      </c>
      <c r="Y320" s="238" t="s">
        <v>296</v>
      </c>
    </row>
    <row r="321" spans="1:25">
      <c r="A321" s="230">
        <v>6</v>
      </c>
      <c r="B321" s="231" t="str">
        <f>VLOOKUP(Tabel10[[#This Row],[Locatiecode]],Ruimtegroepen[[Code]:[Ruimte omschrijving]],2,FALSE)</f>
        <v>Gangen/hallen</v>
      </c>
      <c r="C321" s="232" t="s">
        <v>556</v>
      </c>
      <c r="D321" s="231" t="s">
        <v>12</v>
      </c>
      <c r="E321" s="233" t="s">
        <v>1344</v>
      </c>
      <c r="F321" s="232" t="s">
        <v>1463</v>
      </c>
      <c r="G321" s="281" t="s">
        <v>296</v>
      </c>
      <c r="H321" s="234" t="s">
        <v>296</v>
      </c>
      <c r="I321" s="235" t="s">
        <v>18</v>
      </c>
      <c r="J321" s="235" t="s">
        <v>296</v>
      </c>
      <c r="K321" s="235" t="s">
        <v>18</v>
      </c>
      <c r="L321" s="234" t="s">
        <v>296</v>
      </c>
      <c r="M321" s="234" t="s">
        <v>296</v>
      </c>
      <c r="N321" s="235" t="s">
        <v>296</v>
      </c>
      <c r="O321" s="236" t="s">
        <v>18</v>
      </c>
      <c r="P321" s="236" t="s">
        <v>18</v>
      </c>
      <c r="Q321" s="236" t="s">
        <v>15</v>
      </c>
      <c r="R321" s="236" t="s">
        <v>15</v>
      </c>
      <c r="S321" s="236" t="s">
        <v>16</v>
      </c>
      <c r="T321" s="236" t="s">
        <v>343</v>
      </c>
      <c r="U321" s="236" t="s">
        <v>262</v>
      </c>
      <c r="V321" s="236" t="s">
        <v>296</v>
      </c>
      <c r="W321" s="237" t="s">
        <v>296</v>
      </c>
      <c r="X321" s="237" t="s">
        <v>296</v>
      </c>
      <c r="Y321" s="238" t="s">
        <v>296</v>
      </c>
    </row>
    <row r="322" spans="1:25">
      <c r="A322" s="230">
        <v>6</v>
      </c>
      <c r="B322" s="231" t="str">
        <f>VLOOKUP(Tabel10[[#This Row],[Locatiecode]],Ruimtegroepen[[Code]:[Ruimte omschrijving]],2,FALSE)</f>
        <v>Gangen/hallen</v>
      </c>
      <c r="C322" s="232" t="s">
        <v>561</v>
      </c>
      <c r="D322" s="231" t="s">
        <v>14</v>
      </c>
      <c r="E322" s="233" t="s">
        <v>101</v>
      </c>
      <c r="F322" s="232" t="s">
        <v>562</v>
      </c>
      <c r="G322" s="281" t="s">
        <v>296</v>
      </c>
      <c r="H322" s="234" t="s">
        <v>296</v>
      </c>
      <c r="I322" s="234" t="s">
        <v>296</v>
      </c>
      <c r="J322" s="234" t="s">
        <v>17</v>
      </c>
      <c r="K322" s="235" t="s">
        <v>296</v>
      </c>
      <c r="L322" s="234" t="s">
        <v>296</v>
      </c>
      <c r="M322" s="234" t="s">
        <v>296</v>
      </c>
      <c r="N322" s="235" t="s">
        <v>296</v>
      </c>
      <c r="O322" s="236" t="s">
        <v>17</v>
      </c>
      <c r="P322" s="236" t="s">
        <v>17</v>
      </c>
      <c r="Q322" s="236" t="s">
        <v>15</v>
      </c>
      <c r="R322" s="236" t="s">
        <v>15</v>
      </c>
      <c r="S322" s="236" t="s">
        <v>16</v>
      </c>
      <c r="T322" s="236" t="s">
        <v>343</v>
      </c>
      <c r="U322" s="236" t="s">
        <v>262</v>
      </c>
      <c r="V322" s="236" t="s">
        <v>296</v>
      </c>
      <c r="W322" s="237" t="s">
        <v>296</v>
      </c>
      <c r="X322" s="237" t="s">
        <v>296</v>
      </c>
      <c r="Y322" s="238" t="s">
        <v>296</v>
      </c>
    </row>
    <row r="323" spans="1:25">
      <c r="A323" s="230">
        <v>6</v>
      </c>
      <c r="B323" s="231" t="str">
        <f>VLOOKUP(Tabel10[[#This Row],[Locatiecode]],Ruimtegroepen[[Code]:[Ruimte omschrijving]],2,FALSE)</f>
        <v>Gangen/hallen</v>
      </c>
      <c r="C323" s="232" t="s">
        <v>561</v>
      </c>
      <c r="D323" s="231" t="s">
        <v>14</v>
      </c>
      <c r="E323" s="233" t="s">
        <v>100</v>
      </c>
      <c r="F323" s="232" t="s">
        <v>563</v>
      </c>
      <c r="G323" s="281" t="s">
        <v>296</v>
      </c>
      <c r="H323" s="235" t="s">
        <v>17</v>
      </c>
      <c r="I323" s="234" t="s">
        <v>296</v>
      </c>
      <c r="J323" s="235" t="s">
        <v>296</v>
      </c>
      <c r="K323" s="235" t="s">
        <v>296</v>
      </c>
      <c r="L323" s="234" t="s">
        <v>296</v>
      </c>
      <c r="M323" s="234" t="s">
        <v>296</v>
      </c>
      <c r="N323" s="235" t="s">
        <v>296</v>
      </c>
      <c r="O323" s="236" t="s">
        <v>17</v>
      </c>
      <c r="P323" s="236" t="s">
        <v>17</v>
      </c>
      <c r="Q323" s="236" t="s">
        <v>15</v>
      </c>
      <c r="R323" s="236" t="s">
        <v>15</v>
      </c>
      <c r="S323" s="236" t="s">
        <v>16</v>
      </c>
      <c r="T323" s="236" t="s">
        <v>343</v>
      </c>
      <c r="U323" s="236" t="s">
        <v>262</v>
      </c>
      <c r="V323" s="236" t="s">
        <v>296</v>
      </c>
      <c r="W323" s="237" t="s">
        <v>296</v>
      </c>
      <c r="X323" s="237" t="s">
        <v>296</v>
      </c>
      <c r="Y323" s="238" t="s">
        <v>296</v>
      </c>
    </row>
    <row r="324" spans="1:25">
      <c r="A324" s="230">
        <v>6</v>
      </c>
      <c r="B324" s="231" t="str">
        <f>VLOOKUP(Tabel10[[#This Row],[Locatiecode]],Ruimtegroepen[[Code]:[Ruimte omschrijving]],2,FALSE)</f>
        <v>Gangen/hallen</v>
      </c>
      <c r="C324" s="232" t="s">
        <v>561</v>
      </c>
      <c r="D324" s="231" t="s">
        <v>14</v>
      </c>
      <c r="E324" s="233" t="s">
        <v>102</v>
      </c>
      <c r="F324" s="232" t="s">
        <v>564</v>
      </c>
      <c r="G324" s="281" t="s">
        <v>296</v>
      </c>
      <c r="H324" s="234" t="s">
        <v>296</v>
      </c>
      <c r="I324" s="235" t="s">
        <v>17</v>
      </c>
      <c r="J324" s="235" t="s">
        <v>296</v>
      </c>
      <c r="K324" s="235" t="s">
        <v>17</v>
      </c>
      <c r="L324" s="234" t="s">
        <v>296</v>
      </c>
      <c r="M324" s="234" t="s">
        <v>296</v>
      </c>
      <c r="N324" s="235" t="s">
        <v>296</v>
      </c>
      <c r="O324" s="236" t="s">
        <v>17</v>
      </c>
      <c r="P324" s="236" t="s">
        <v>17</v>
      </c>
      <c r="Q324" s="236" t="s">
        <v>15</v>
      </c>
      <c r="R324" s="236" t="s">
        <v>15</v>
      </c>
      <c r="S324" s="236" t="s">
        <v>16</v>
      </c>
      <c r="T324" s="236" t="s">
        <v>343</v>
      </c>
      <c r="U324" s="236" t="s">
        <v>262</v>
      </c>
      <c r="V324" s="236" t="s">
        <v>296</v>
      </c>
      <c r="W324" s="237" t="s">
        <v>296</v>
      </c>
      <c r="X324" s="237" t="s">
        <v>296</v>
      </c>
      <c r="Y324" s="238" t="s">
        <v>296</v>
      </c>
    </row>
    <row r="325" spans="1:25">
      <c r="A325" s="230">
        <v>6</v>
      </c>
      <c r="B325" s="231" t="str">
        <f>VLOOKUP(Tabel10[[#This Row],[Locatiecode]],Ruimtegroepen[[Code]:[Ruimte omschrijving]],2,FALSE)</f>
        <v>Gangen/hallen</v>
      </c>
      <c r="C325" s="232" t="s">
        <v>561</v>
      </c>
      <c r="D325" s="231" t="s">
        <v>14</v>
      </c>
      <c r="E325" s="233" t="s">
        <v>103</v>
      </c>
      <c r="F325" s="232" t="s">
        <v>565</v>
      </c>
      <c r="G325" s="281" t="s">
        <v>296</v>
      </c>
      <c r="H325" s="234" t="s">
        <v>296</v>
      </c>
      <c r="I325" s="235" t="s">
        <v>17</v>
      </c>
      <c r="J325" s="235" t="s">
        <v>296</v>
      </c>
      <c r="K325" s="235" t="s">
        <v>17</v>
      </c>
      <c r="L325" s="234" t="s">
        <v>296</v>
      </c>
      <c r="M325" s="234" t="s">
        <v>296</v>
      </c>
      <c r="N325" s="235" t="s">
        <v>296</v>
      </c>
      <c r="O325" s="236" t="s">
        <v>17</v>
      </c>
      <c r="P325" s="236" t="s">
        <v>17</v>
      </c>
      <c r="Q325" s="236" t="s">
        <v>15</v>
      </c>
      <c r="R325" s="236" t="s">
        <v>15</v>
      </c>
      <c r="S325" s="236" t="s">
        <v>16</v>
      </c>
      <c r="T325" s="236" t="s">
        <v>343</v>
      </c>
      <c r="U325" s="236" t="s">
        <v>262</v>
      </c>
      <c r="V325" s="236" t="s">
        <v>296</v>
      </c>
      <c r="W325" s="237" t="s">
        <v>296</v>
      </c>
      <c r="X325" s="237" t="s">
        <v>296</v>
      </c>
      <c r="Y325" s="238" t="s">
        <v>296</v>
      </c>
    </row>
    <row r="326" spans="1:25">
      <c r="A326" s="230">
        <v>6</v>
      </c>
      <c r="B326" s="231" t="str">
        <f>VLOOKUP(Tabel10[[#This Row],[Locatiecode]],Ruimtegroepen[[Code]:[Ruimte omschrijving]],2,FALSE)</f>
        <v>Gangen/hallen</v>
      </c>
      <c r="C326" s="232" t="s">
        <v>561</v>
      </c>
      <c r="D326" s="231" t="s">
        <v>14</v>
      </c>
      <c r="E326" s="233" t="s">
        <v>100</v>
      </c>
      <c r="F326" s="232" t="s">
        <v>563</v>
      </c>
      <c r="G326" s="281" t="s">
        <v>296</v>
      </c>
      <c r="H326" s="235" t="s">
        <v>17</v>
      </c>
      <c r="I326" s="234" t="s">
        <v>296</v>
      </c>
      <c r="J326" s="235" t="s">
        <v>296</v>
      </c>
      <c r="K326" s="235" t="s">
        <v>296</v>
      </c>
      <c r="L326" s="234" t="s">
        <v>296</v>
      </c>
      <c r="M326" s="234" t="s">
        <v>296</v>
      </c>
      <c r="N326" s="235" t="s">
        <v>296</v>
      </c>
      <c r="O326" s="236" t="s">
        <v>17</v>
      </c>
      <c r="P326" s="236" t="s">
        <v>17</v>
      </c>
      <c r="Q326" s="236" t="s">
        <v>15</v>
      </c>
      <c r="R326" s="236" t="s">
        <v>15</v>
      </c>
      <c r="S326" s="236" t="s">
        <v>16</v>
      </c>
      <c r="T326" s="236" t="s">
        <v>343</v>
      </c>
      <c r="U326" s="236" t="s">
        <v>262</v>
      </c>
      <c r="V326" s="236" t="s">
        <v>296</v>
      </c>
      <c r="W326" s="237" t="s">
        <v>296</v>
      </c>
      <c r="X326" s="237" t="s">
        <v>296</v>
      </c>
      <c r="Y326" s="238" t="s">
        <v>296</v>
      </c>
    </row>
    <row r="327" spans="1:25">
      <c r="A327" s="230">
        <v>6</v>
      </c>
      <c r="B327" s="231" t="str">
        <f>VLOOKUP(Tabel10[[#This Row],[Locatiecode]],Ruimtegroepen[[Code]:[Ruimte omschrijving]],2,FALSE)</f>
        <v>Gangen/hallen</v>
      </c>
      <c r="C327" s="232" t="s">
        <v>561</v>
      </c>
      <c r="D327" s="231" t="s">
        <v>14</v>
      </c>
      <c r="E327" s="233" t="s">
        <v>1344</v>
      </c>
      <c r="F327" s="232" t="s">
        <v>1430</v>
      </c>
      <c r="G327" s="281" t="s">
        <v>296</v>
      </c>
      <c r="H327" s="234" t="s">
        <v>296</v>
      </c>
      <c r="I327" s="235" t="s">
        <v>17</v>
      </c>
      <c r="J327" s="235" t="s">
        <v>296</v>
      </c>
      <c r="K327" s="235" t="s">
        <v>17</v>
      </c>
      <c r="L327" s="234" t="s">
        <v>296</v>
      </c>
      <c r="M327" s="234" t="s">
        <v>296</v>
      </c>
      <c r="N327" s="235" t="s">
        <v>296</v>
      </c>
      <c r="O327" s="236" t="s">
        <v>17</v>
      </c>
      <c r="P327" s="236" t="s">
        <v>17</v>
      </c>
      <c r="Q327" s="236" t="s">
        <v>15</v>
      </c>
      <c r="R327" s="236" t="s">
        <v>15</v>
      </c>
      <c r="S327" s="236" t="s">
        <v>16</v>
      </c>
      <c r="T327" s="236" t="s">
        <v>343</v>
      </c>
      <c r="U327" s="236" t="s">
        <v>262</v>
      </c>
      <c r="V327" s="236" t="s">
        <v>296</v>
      </c>
      <c r="W327" s="237" t="s">
        <v>296</v>
      </c>
      <c r="X327" s="237" t="s">
        <v>296</v>
      </c>
      <c r="Y327" s="238" t="s">
        <v>296</v>
      </c>
    </row>
    <row r="328" spans="1:25">
      <c r="A328" s="230">
        <v>6</v>
      </c>
      <c r="B328" s="231" t="str">
        <f>VLOOKUP(Tabel10[[#This Row],[Locatiecode]],Ruimtegroepen[[Code]:[Ruimte omschrijving]],2,FALSE)</f>
        <v>Gangen/hallen</v>
      </c>
      <c r="C328" s="232" t="s">
        <v>566</v>
      </c>
      <c r="D328" s="231" t="s">
        <v>13</v>
      </c>
      <c r="E328" s="233" t="s">
        <v>101</v>
      </c>
      <c r="F328" s="232" t="s">
        <v>567</v>
      </c>
      <c r="G328" s="281" t="s">
        <v>296</v>
      </c>
      <c r="H328" s="234" t="s">
        <v>296</v>
      </c>
      <c r="I328" s="234" t="s">
        <v>296</v>
      </c>
      <c r="J328" s="235" t="s">
        <v>15</v>
      </c>
      <c r="K328" s="235" t="s">
        <v>296</v>
      </c>
      <c r="L328" s="234" t="s">
        <v>296</v>
      </c>
      <c r="M328" s="234" t="s">
        <v>296</v>
      </c>
      <c r="N328" s="235" t="s">
        <v>296</v>
      </c>
      <c r="O328" s="236" t="s">
        <v>15</v>
      </c>
      <c r="P328" s="236" t="s">
        <v>15</v>
      </c>
      <c r="Q328" s="236" t="s">
        <v>15</v>
      </c>
      <c r="R328" s="236" t="s">
        <v>15</v>
      </c>
      <c r="S328" s="236" t="s">
        <v>16</v>
      </c>
      <c r="T328" s="236" t="s">
        <v>343</v>
      </c>
      <c r="U328" s="236" t="s">
        <v>262</v>
      </c>
      <c r="V328" s="236" t="s">
        <v>296</v>
      </c>
      <c r="W328" s="237" t="s">
        <v>296</v>
      </c>
      <c r="X328" s="237" t="s">
        <v>296</v>
      </c>
      <c r="Y328" s="238" t="s">
        <v>296</v>
      </c>
    </row>
    <row r="329" spans="1:25">
      <c r="A329" s="230">
        <v>6</v>
      </c>
      <c r="B329" s="231" t="str">
        <f>VLOOKUP(Tabel10[[#This Row],[Locatiecode]],Ruimtegroepen[[Code]:[Ruimte omschrijving]],2,FALSE)</f>
        <v>Gangen/hallen</v>
      </c>
      <c r="C329" s="232" t="s">
        <v>566</v>
      </c>
      <c r="D329" s="231" t="s">
        <v>13</v>
      </c>
      <c r="E329" s="233" t="s">
        <v>100</v>
      </c>
      <c r="F329" s="232" t="s">
        <v>568</v>
      </c>
      <c r="G329" s="281" t="s">
        <v>296</v>
      </c>
      <c r="H329" s="235" t="s">
        <v>15</v>
      </c>
      <c r="I329" s="234" t="s">
        <v>296</v>
      </c>
      <c r="J329" s="235" t="s">
        <v>296</v>
      </c>
      <c r="K329" s="235" t="s">
        <v>296</v>
      </c>
      <c r="L329" s="234" t="s">
        <v>296</v>
      </c>
      <c r="M329" s="234" t="s">
        <v>296</v>
      </c>
      <c r="N329" s="235" t="s">
        <v>296</v>
      </c>
      <c r="O329" s="236" t="s">
        <v>15</v>
      </c>
      <c r="P329" s="236" t="s">
        <v>15</v>
      </c>
      <c r="Q329" s="236" t="s">
        <v>15</v>
      </c>
      <c r="R329" s="236" t="s">
        <v>15</v>
      </c>
      <c r="S329" s="236" t="s">
        <v>16</v>
      </c>
      <c r="T329" s="236" t="s">
        <v>343</v>
      </c>
      <c r="U329" s="236" t="s">
        <v>262</v>
      </c>
      <c r="V329" s="236" t="s">
        <v>296</v>
      </c>
      <c r="W329" s="237" t="s">
        <v>296</v>
      </c>
      <c r="X329" s="237" t="s">
        <v>296</v>
      </c>
      <c r="Y329" s="238" t="s">
        <v>296</v>
      </c>
    </row>
    <row r="330" spans="1:25">
      <c r="A330" s="230">
        <v>6</v>
      </c>
      <c r="B330" s="231" t="str">
        <f>VLOOKUP(Tabel10[[#This Row],[Locatiecode]],Ruimtegroepen[[Code]:[Ruimte omschrijving]],2,FALSE)</f>
        <v>Gangen/hallen</v>
      </c>
      <c r="C330" s="232" t="s">
        <v>566</v>
      </c>
      <c r="D330" s="231" t="s">
        <v>13</v>
      </c>
      <c r="E330" s="233" t="s">
        <v>102</v>
      </c>
      <c r="F330" s="232" t="s">
        <v>569</v>
      </c>
      <c r="G330" s="281" t="s">
        <v>296</v>
      </c>
      <c r="H330" s="234" t="s">
        <v>296</v>
      </c>
      <c r="I330" s="235" t="s">
        <v>15</v>
      </c>
      <c r="J330" s="235" t="s">
        <v>296</v>
      </c>
      <c r="K330" s="235" t="s">
        <v>15</v>
      </c>
      <c r="L330" s="234" t="s">
        <v>296</v>
      </c>
      <c r="M330" s="234" t="s">
        <v>296</v>
      </c>
      <c r="N330" s="235" t="s">
        <v>296</v>
      </c>
      <c r="O330" s="236" t="s">
        <v>15</v>
      </c>
      <c r="P330" s="236" t="s">
        <v>15</v>
      </c>
      <c r="Q330" s="236" t="s">
        <v>15</v>
      </c>
      <c r="R330" s="236" t="s">
        <v>15</v>
      </c>
      <c r="S330" s="236" t="s">
        <v>16</v>
      </c>
      <c r="T330" s="236" t="s">
        <v>343</v>
      </c>
      <c r="U330" s="236" t="s">
        <v>262</v>
      </c>
      <c r="V330" s="236" t="s">
        <v>296</v>
      </c>
      <c r="W330" s="237" t="s">
        <v>296</v>
      </c>
      <c r="X330" s="237" t="s">
        <v>296</v>
      </c>
      <c r="Y330" s="238" t="s">
        <v>296</v>
      </c>
    </row>
    <row r="331" spans="1:25">
      <c r="A331" s="230">
        <v>6</v>
      </c>
      <c r="B331" s="231" t="str">
        <f>VLOOKUP(Tabel10[[#This Row],[Locatiecode]],Ruimtegroepen[[Code]:[Ruimte omschrijving]],2,FALSE)</f>
        <v>Gangen/hallen</v>
      </c>
      <c r="C331" s="232" t="s">
        <v>566</v>
      </c>
      <c r="D331" s="231" t="s">
        <v>13</v>
      </c>
      <c r="E331" s="233" t="s">
        <v>103</v>
      </c>
      <c r="F331" s="232" t="s">
        <v>570</v>
      </c>
      <c r="G331" s="281" t="s">
        <v>296</v>
      </c>
      <c r="H331" s="234" t="s">
        <v>296</v>
      </c>
      <c r="I331" s="235" t="s">
        <v>15</v>
      </c>
      <c r="J331" s="235" t="s">
        <v>296</v>
      </c>
      <c r="K331" s="235" t="s">
        <v>15</v>
      </c>
      <c r="L331" s="234" t="s">
        <v>296</v>
      </c>
      <c r="M331" s="234" t="s">
        <v>296</v>
      </c>
      <c r="N331" s="235" t="s">
        <v>296</v>
      </c>
      <c r="O331" s="236" t="s">
        <v>15</v>
      </c>
      <c r="P331" s="236" t="s">
        <v>15</v>
      </c>
      <c r="Q331" s="236" t="s">
        <v>15</v>
      </c>
      <c r="R331" s="236" t="s">
        <v>15</v>
      </c>
      <c r="S331" s="236" t="s">
        <v>16</v>
      </c>
      <c r="T331" s="236" t="s">
        <v>343</v>
      </c>
      <c r="U331" s="236" t="s">
        <v>262</v>
      </c>
      <c r="V331" s="236" t="s">
        <v>296</v>
      </c>
      <c r="W331" s="237" t="s">
        <v>296</v>
      </c>
      <c r="X331" s="237" t="s">
        <v>296</v>
      </c>
      <c r="Y331" s="238" t="s">
        <v>296</v>
      </c>
    </row>
    <row r="332" spans="1:25">
      <c r="A332" s="230">
        <v>6</v>
      </c>
      <c r="B332" s="231" t="str">
        <f>VLOOKUP(Tabel10[[#This Row],[Locatiecode]],Ruimtegroepen[[Code]:[Ruimte omschrijving]],2,FALSE)</f>
        <v>Gangen/hallen</v>
      </c>
      <c r="C332" s="232" t="s">
        <v>566</v>
      </c>
      <c r="D332" s="231" t="s">
        <v>13</v>
      </c>
      <c r="E332" s="233" t="s">
        <v>100</v>
      </c>
      <c r="F332" s="232" t="s">
        <v>568</v>
      </c>
      <c r="G332" s="281" t="s">
        <v>296</v>
      </c>
      <c r="H332" s="235" t="s">
        <v>15</v>
      </c>
      <c r="I332" s="234" t="s">
        <v>296</v>
      </c>
      <c r="J332" s="235" t="s">
        <v>296</v>
      </c>
      <c r="K332" s="235" t="s">
        <v>296</v>
      </c>
      <c r="L332" s="234" t="s">
        <v>296</v>
      </c>
      <c r="M332" s="234" t="s">
        <v>296</v>
      </c>
      <c r="N332" s="235" t="s">
        <v>296</v>
      </c>
      <c r="O332" s="236" t="s">
        <v>15</v>
      </c>
      <c r="P332" s="236" t="s">
        <v>15</v>
      </c>
      <c r="Q332" s="236" t="s">
        <v>15</v>
      </c>
      <c r="R332" s="236" t="s">
        <v>15</v>
      </c>
      <c r="S332" s="236" t="s">
        <v>16</v>
      </c>
      <c r="T332" s="236" t="s">
        <v>343</v>
      </c>
      <c r="U332" s="236" t="s">
        <v>262</v>
      </c>
      <c r="V332" s="236" t="s">
        <v>296</v>
      </c>
      <c r="W332" s="237" t="s">
        <v>296</v>
      </c>
      <c r="X332" s="237" t="s">
        <v>296</v>
      </c>
      <c r="Y332" s="238" t="s">
        <v>296</v>
      </c>
    </row>
    <row r="333" spans="1:25">
      <c r="A333" s="230">
        <v>6</v>
      </c>
      <c r="B333" s="231" t="str">
        <f>VLOOKUP(Tabel10[[#This Row],[Locatiecode]],Ruimtegroepen[[Code]:[Ruimte omschrijving]],2,FALSE)</f>
        <v>Gangen/hallen</v>
      </c>
      <c r="C333" s="232" t="s">
        <v>566</v>
      </c>
      <c r="D333" s="231" t="s">
        <v>13</v>
      </c>
      <c r="E333" s="233" t="s">
        <v>1344</v>
      </c>
      <c r="F333" s="232" t="s">
        <v>1397</v>
      </c>
      <c r="G333" s="281" t="s">
        <v>296</v>
      </c>
      <c r="H333" s="234" t="s">
        <v>296</v>
      </c>
      <c r="I333" s="235" t="s">
        <v>15</v>
      </c>
      <c r="J333" s="235" t="s">
        <v>296</v>
      </c>
      <c r="K333" s="235" t="s">
        <v>15</v>
      </c>
      <c r="L333" s="234" t="s">
        <v>296</v>
      </c>
      <c r="M333" s="234" t="s">
        <v>296</v>
      </c>
      <c r="N333" s="235" t="s">
        <v>296</v>
      </c>
      <c r="O333" s="236" t="s">
        <v>15</v>
      </c>
      <c r="P333" s="236" t="s">
        <v>15</v>
      </c>
      <c r="Q333" s="236" t="s">
        <v>15</v>
      </c>
      <c r="R333" s="236" t="s">
        <v>15</v>
      </c>
      <c r="S333" s="236" t="s">
        <v>16</v>
      </c>
      <c r="T333" s="236" t="s">
        <v>343</v>
      </c>
      <c r="U333" s="236" t="s">
        <v>262</v>
      </c>
      <c r="V333" s="236" t="s">
        <v>296</v>
      </c>
      <c r="W333" s="237" t="s">
        <v>296</v>
      </c>
      <c r="X333" s="237" t="s">
        <v>296</v>
      </c>
      <c r="Y333" s="238" t="s">
        <v>296</v>
      </c>
    </row>
    <row r="334" spans="1:25">
      <c r="A334" s="230">
        <v>6</v>
      </c>
      <c r="B334" s="231" t="str">
        <f>VLOOKUP(Tabel10[[#This Row],[Locatiecode]],Ruimtegroepen[[Code]:[Ruimte omschrijving]],2,FALSE)</f>
        <v>Gangen/hallen</v>
      </c>
      <c r="C334" s="232" t="s">
        <v>571</v>
      </c>
      <c r="D334" s="231" t="s">
        <v>0</v>
      </c>
      <c r="E334" s="233" t="s">
        <v>101</v>
      </c>
      <c r="F334" s="232" t="s">
        <v>572</v>
      </c>
      <c r="G334" s="281" t="s">
        <v>296</v>
      </c>
      <c r="H334" s="234" t="s">
        <v>296</v>
      </c>
      <c r="I334" s="234" t="s">
        <v>296</v>
      </c>
      <c r="J334" s="235" t="s">
        <v>16</v>
      </c>
      <c r="K334" s="235" t="s">
        <v>296</v>
      </c>
      <c r="L334" s="234" t="s">
        <v>296</v>
      </c>
      <c r="M334" s="234" t="s">
        <v>296</v>
      </c>
      <c r="N334" s="235" t="s">
        <v>296</v>
      </c>
      <c r="O334" s="236" t="s">
        <v>16</v>
      </c>
      <c r="P334" s="236" t="s">
        <v>16</v>
      </c>
      <c r="Q334" s="236" t="s">
        <v>16</v>
      </c>
      <c r="R334" s="236" t="s">
        <v>16</v>
      </c>
      <c r="S334" s="236" t="s">
        <v>16</v>
      </c>
      <c r="T334" s="236" t="s">
        <v>343</v>
      </c>
      <c r="U334" s="236" t="s">
        <v>262</v>
      </c>
      <c r="V334" s="236" t="s">
        <v>296</v>
      </c>
      <c r="W334" s="237" t="s">
        <v>296</v>
      </c>
      <c r="X334" s="237" t="s">
        <v>296</v>
      </c>
      <c r="Y334" s="238" t="s">
        <v>296</v>
      </c>
    </row>
    <row r="335" spans="1:25">
      <c r="A335" s="230">
        <v>6</v>
      </c>
      <c r="B335" s="231" t="str">
        <f>VLOOKUP(Tabel10[[#This Row],[Locatiecode]],Ruimtegroepen[[Code]:[Ruimte omschrijving]],2,FALSE)</f>
        <v>Gangen/hallen</v>
      </c>
      <c r="C335" s="232" t="s">
        <v>571</v>
      </c>
      <c r="D335" s="231" t="s">
        <v>0</v>
      </c>
      <c r="E335" s="233" t="s">
        <v>100</v>
      </c>
      <c r="F335" s="232" t="s">
        <v>573</v>
      </c>
      <c r="G335" s="281" t="s">
        <v>296</v>
      </c>
      <c r="H335" s="235" t="s">
        <v>16</v>
      </c>
      <c r="I335" s="234" t="s">
        <v>296</v>
      </c>
      <c r="J335" s="235" t="s">
        <v>296</v>
      </c>
      <c r="K335" s="235" t="s">
        <v>296</v>
      </c>
      <c r="L335" s="234" t="s">
        <v>296</v>
      </c>
      <c r="M335" s="234" t="s">
        <v>296</v>
      </c>
      <c r="N335" s="235" t="s">
        <v>296</v>
      </c>
      <c r="O335" s="236" t="s">
        <v>16</v>
      </c>
      <c r="P335" s="236" t="s">
        <v>16</v>
      </c>
      <c r="Q335" s="236" t="s">
        <v>16</v>
      </c>
      <c r="R335" s="236" t="s">
        <v>16</v>
      </c>
      <c r="S335" s="236" t="s">
        <v>16</v>
      </c>
      <c r="T335" s="236" t="s">
        <v>343</v>
      </c>
      <c r="U335" s="236" t="s">
        <v>262</v>
      </c>
      <c r="V335" s="236" t="s">
        <v>296</v>
      </c>
      <c r="W335" s="237" t="s">
        <v>296</v>
      </c>
      <c r="X335" s="237" t="s">
        <v>296</v>
      </c>
      <c r="Y335" s="238" t="s">
        <v>296</v>
      </c>
    </row>
    <row r="336" spans="1:25">
      <c r="A336" s="230">
        <v>6</v>
      </c>
      <c r="B336" s="231" t="str">
        <f>VLOOKUP(Tabel10[[#This Row],[Locatiecode]],Ruimtegroepen[[Code]:[Ruimte omschrijving]],2,FALSE)</f>
        <v>Gangen/hallen</v>
      </c>
      <c r="C336" s="232" t="s">
        <v>571</v>
      </c>
      <c r="D336" s="231" t="s">
        <v>0</v>
      </c>
      <c r="E336" s="233" t="s">
        <v>102</v>
      </c>
      <c r="F336" s="232" t="s">
        <v>574</v>
      </c>
      <c r="G336" s="281" t="s">
        <v>296</v>
      </c>
      <c r="H336" s="234" t="s">
        <v>296</v>
      </c>
      <c r="I336" s="235" t="s">
        <v>16</v>
      </c>
      <c r="J336" s="235" t="s">
        <v>375</v>
      </c>
      <c r="K336" s="235" t="s">
        <v>16</v>
      </c>
      <c r="L336" s="234" t="s">
        <v>296</v>
      </c>
      <c r="M336" s="234" t="s">
        <v>296</v>
      </c>
      <c r="N336" s="235" t="s">
        <v>296</v>
      </c>
      <c r="O336" s="236" t="s">
        <v>16</v>
      </c>
      <c r="P336" s="236" t="s">
        <v>16</v>
      </c>
      <c r="Q336" s="236" t="s">
        <v>16</v>
      </c>
      <c r="R336" s="236" t="s">
        <v>16</v>
      </c>
      <c r="S336" s="236" t="s">
        <v>16</v>
      </c>
      <c r="T336" s="236" t="s">
        <v>343</v>
      </c>
      <c r="U336" s="236" t="s">
        <v>262</v>
      </c>
      <c r="V336" s="236" t="s">
        <v>296</v>
      </c>
      <c r="W336" s="237" t="s">
        <v>296</v>
      </c>
      <c r="X336" s="237" t="s">
        <v>296</v>
      </c>
      <c r="Y336" s="238" t="s">
        <v>296</v>
      </c>
    </row>
    <row r="337" spans="1:25">
      <c r="A337" s="230">
        <v>6</v>
      </c>
      <c r="B337" s="231" t="str">
        <f>VLOOKUP(Tabel10[[#This Row],[Locatiecode]],Ruimtegroepen[[Code]:[Ruimte omschrijving]],2,FALSE)</f>
        <v>Gangen/hallen</v>
      </c>
      <c r="C337" s="232" t="s">
        <v>571</v>
      </c>
      <c r="D337" s="231" t="s">
        <v>0</v>
      </c>
      <c r="E337" s="233" t="s">
        <v>103</v>
      </c>
      <c r="F337" s="232" t="s">
        <v>575</v>
      </c>
      <c r="G337" s="281" t="s">
        <v>296</v>
      </c>
      <c r="H337" s="234" t="s">
        <v>296</v>
      </c>
      <c r="I337" s="235" t="s">
        <v>16</v>
      </c>
      <c r="J337" s="235" t="s">
        <v>296</v>
      </c>
      <c r="K337" s="235" t="s">
        <v>16</v>
      </c>
      <c r="L337" s="234" t="s">
        <v>296</v>
      </c>
      <c r="M337" s="234" t="s">
        <v>296</v>
      </c>
      <c r="N337" s="235" t="s">
        <v>296</v>
      </c>
      <c r="O337" s="236" t="s">
        <v>16</v>
      </c>
      <c r="P337" s="236" t="s">
        <v>16</v>
      </c>
      <c r="Q337" s="236" t="s">
        <v>16</v>
      </c>
      <c r="R337" s="236" t="s">
        <v>16</v>
      </c>
      <c r="S337" s="236" t="s">
        <v>16</v>
      </c>
      <c r="T337" s="236" t="s">
        <v>343</v>
      </c>
      <c r="U337" s="236" t="s">
        <v>262</v>
      </c>
      <c r="V337" s="236" t="s">
        <v>296</v>
      </c>
      <c r="W337" s="237" t="s">
        <v>296</v>
      </c>
      <c r="X337" s="237" t="s">
        <v>296</v>
      </c>
      <c r="Y337" s="238" t="s">
        <v>296</v>
      </c>
    </row>
    <row r="338" spans="1:25">
      <c r="A338" s="230">
        <v>6</v>
      </c>
      <c r="B338" s="231" t="str">
        <f>VLOOKUP(Tabel10[[#This Row],[Locatiecode]],Ruimtegroepen[[Code]:[Ruimte omschrijving]],2,FALSE)</f>
        <v>Gangen/hallen</v>
      </c>
      <c r="C338" s="232" t="s">
        <v>571</v>
      </c>
      <c r="D338" s="231" t="s">
        <v>0</v>
      </c>
      <c r="E338" s="233" t="s">
        <v>100</v>
      </c>
      <c r="F338" s="232" t="s">
        <v>573</v>
      </c>
      <c r="G338" s="281" t="s">
        <v>296</v>
      </c>
      <c r="H338" s="235" t="s">
        <v>16</v>
      </c>
      <c r="I338" s="234" t="s">
        <v>296</v>
      </c>
      <c r="J338" s="235" t="s">
        <v>296</v>
      </c>
      <c r="K338" s="235" t="s">
        <v>296</v>
      </c>
      <c r="L338" s="234" t="s">
        <v>296</v>
      </c>
      <c r="M338" s="234" t="s">
        <v>296</v>
      </c>
      <c r="N338" s="235" t="s">
        <v>296</v>
      </c>
      <c r="O338" s="236" t="s">
        <v>16</v>
      </c>
      <c r="P338" s="236" t="s">
        <v>16</v>
      </c>
      <c r="Q338" s="236" t="s">
        <v>16</v>
      </c>
      <c r="R338" s="236" t="s">
        <v>16</v>
      </c>
      <c r="S338" s="236" t="s">
        <v>16</v>
      </c>
      <c r="T338" s="236" t="s">
        <v>343</v>
      </c>
      <c r="U338" s="236" t="s">
        <v>262</v>
      </c>
      <c r="V338" s="236" t="s">
        <v>296</v>
      </c>
      <c r="W338" s="237" t="s">
        <v>296</v>
      </c>
      <c r="X338" s="237" t="s">
        <v>296</v>
      </c>
      <c r="Y338" s="238" t="s">
        <v>296</v>
      </c>
    </row>
    <row r="339" spans="1:25">
      <c r="A339" s="230">
        <v>6</v>
      </c>
      <c r="B339" s="231" t="str">
        <f>VLOOKUP(Tabel10[[#This Row],[Locatiecode]],Ruimtegroepen[[Code]:[Ruimte omschrijving]],2,FALSE)</f>
        <v>Gangen/hallen</v>
      </c>
      <c r="C339" s="232" t="s">
        <v>571</v>
      </c>
      <c r="D339" s="231" t="s">
        <v>0</v>
      </c>
      <c r="E339" s="233" t="s">
        <v>1344</v>
      </c>
      <c r="F339" s="232" t="s">
        <v>1381</v>
      </c>
      <c r="G339" s="281" t="s">
        <v>296</v>
      </c>
      <c r="H339" s="234" t="s">
        <v>296</v>
      </c>
      <c r="I339" s="235" t="s">
        <v>16</v>
      </c>
      <c r="J339" s="235" t="s">
        <v>296</v>
      </c>
      <c r="K339" s="235" t="s">
        <v>16</v>
      </c>
      <c r="L339" s="234" t="s">
        <v>296</v>
      </c>
      <c r="M339" s="234" t="s">
        <v>296</v>
      </c>
      <c r="N339" s="235" t="s">
        <v>296</v>
      </c>
      <c r="O339" s="236" t="s">
        <v>16</v>
      </c>
      <c r="P339" s="236" t="s">
        <v>16</v>
      </c>
      <c r="Q339" s="236" t="s">
        <v>16</v>
      </c>
      <c r="R339" s="236" t="s">
        <v>16</v>
      </c>
      <c r="S339" s="236" t="s">
        <v>16</v>
      </c>
      <c r="T339" s="236" t="s">
        <v>343</v>
      </c>
      <c r="U339" s="236" t="s">
        <v>262</v>
      </c>
      <c r="V339" s="236" t="s">
        <v>296</v>
      </c>
      <c r="W339" s="237" t="s">
        <v>296</v>
      </c>
      <c r="X339" s="237" t="s">
        <v>296</v>
      </c>
      <c r="Y339" s="238" t="s">
        <v>296</v>
      </c>
    </row>
    <row r="340" spans="1:25">
      <c r="A340" s="230">
        <v>6</v>
      </c>
      <c r="B340" s="231" t="str">
        <f>VLOOKUP(Tabel10[[#This Row],[Locatiecode]],Ruimtegroepen[[Code]:[Ruimte omschrijving]],2,FALSE)</f>
        <v>Gangen/hallen</v>
      </c>
      <c r="C340" s="232" t="s">
        <v>576</v>
      </c>
      <c r="D340" s="231" t="s">
        <v>27</v>
      </c>
      <c r="E340" s="233" t="s">
        <v>101</v>
      </c>
      <c r="F340" s="232" t="s">
        <v>577</v>
      </c>
      <c r="G340" s="281" t="s">
        <v>296</v>
      </c>
      <c r="H340" s="234" t="s">
        <v>296</v>
      </c>
      <c r="I340" s="235" t="s">
        <v>15</v>
      </c>
      <c r="J340" s="234" t="s">
        <v>296</v>
      </c>
      <c r="K340" s="235" t="s">
        <v>296</v>
      </c>
      <c r="L340" s="234" t="s">
        <v>296</v>
      </c>
      <c r="M340" s="234" t="s">
        <v>296</v>
      </c>
      <c r="N340" s="235" t="s">
        <v>296</v>
      </c>
      <c r="O340" s="236" t="s">
        <v>15</v>
      </c>
      <c r="P340" s="236" t="s">
        <v>15</v>
      </c>
      <c r="Q340" s="236" t="s">
        <v>15</v>
      </c>
      <c r="R340" s="236" t="s">
        <v>296</v>
      </c>
      <c r="S340" s="236" t="s">
        <v>296</v>
      </c>
      <c r="T340" s="236" t="s">
        <v>296</v>
      </c>
      <c r="U340" s="236" t="s">
        <v>296</v>
      </c>
      <c r="V340" s="236" t="s">
        <v>296</v>
      </c>
      <c r="W340" s="237" t="s">
        <v>296</v>
      </c>
      <c r="X340" s="237" t="s">
        <v>296</v>
      </c>
      <c r="Y340" s="238" t="s">
        <v>296</v>
      </c>
    </row>
    <row r="341" spans="1:25">
      <c r="A341" s="230">
        <v>6</v>
      </c>
      <c r="B341" s="231" t="str">
        <f>VLOOKUP(Tabel10[[#This Row],[Locatiecode]],Ruimtegroepen[[Code]:[Ruimte omschrijving]],2,FALSE)</f>
        <v>Gangen/hallen</v>
      </c>
      <c r="C341" s="232" t="s">
        <v>576</v>
      </c>
      <c r="D341" s="231" t="s">
        <v>27</v>
      </c>
      <c r="E341" s="233" t="s">
        <v>100</v>
      </c>
      <c r="F341" s="232" t="s">
        <v>578</v>
      </c>
      <c r="G341" s="281" t="s">
        <v>296</v>
      </c>
      <c r="H341" s="235" t="s">
        <v>15</v>
      </c>
      <c r="I341" s="234" t="s">
        <v>296</v>
      </c>
      <c r="J341" s="235" t="s">
        <v>296</v>
      </c>
      <c r="K341" s="235" t="s">
        <v>296</v>
      </c>
      <c r="L341" s="234" t="s">
        <v>296</v>
      </c>
      <c r="M341" s="234" t="s">
        <v>296</v>
      </c>
      <c r="N341" s="235" t="s">
        <v>296</v>
      </c>
      <c r="O341" s="236" t="s">
        <v>15</v>
      </c>
      <c r="P341" s="236" t="s">
        <v>15</v>
      </c>
      <c r="Q341" s="236" t="s">
        <v>15</v>
      </c>
      <c r="R341" s="236" t="s">
        <v>296</v>
      </c>
      <c r="S341" s="236" t="s">
        <v>296</v>
      </c>
      <c r="T341" s="236" t="s">
        <v>296</v>
      </c>
      <c r="U341" s="236" t="s">
        <v>296</v>
      </c>
      <c r="V341" s="236" t="s">
        <v>296</v>
      </c>
      <c r="W341" s="237" t="s">
        <v>296</v>
      </c>
      <c r="X341" s="237" t="s">
        <v>296</v>
      </c>
      <c r="Y341" s="238" t="s">
        <v>296</v>
      </c>
    </row>
    <row r="342" spans="1:25">
      <c r="A342" s="230">
        <v>6</v>
      </c>
      <c r="B342" s="231" t="str">
        <f>VLOOKUP(Tabel10[[#This Row],[Locatiecode]],Ruimtegroepen[[Code]:[Ruimte omschrijving]],2,FALSE)</f>
        <v>Gangen/hallen</v>
      </c>
      <c r="C342" s="232" t="s">
        <v>576</v>
      </c>
      <c r="D342" s="231" t="s">
        <v>27</v>
      </c>
      <c r="E342" s="233" t="s">
        <v>102</v>
      </c>
      <c r="F342" s="232" t="s">
        <v>579</v>
      </c>
      <c r="G342" s="281" t="s">
        <v>296</v>
      </c>
      <c r="H342" s="234" t="s">
        <v>296</v>
      </c>
      <c r="I342" s="235" t="s">
        <v>15</v>
      </c>
      <c r="J342" s="235" t="s">
        <v>296</v>
      </c>
      <c r="K342" s="235" t="s">
        <v>296</v>
      </c>
      <c r="L342" s="234" t="s">
        <v>296</v>
      </c>
      <c r="M342" s="234" t="s">
        <v>296</v>
      </c>
      <c r="N342" s="235" t="s">
        <v>296</v>
      </c>
      <c r="O342" s="236" t="s">
        <v>15</v>
      </c>
      <c r="P342" s="236" t="s">
        <v>15</v>
      </c>
      <c r="Q342" s="236" t="s">
        <v>15</v>
      </c>
      <c r="R342" s="236" t="s">
        <v>296</v>
      </c>
      <c r="S342" s="236" t="s">
        <v>296</v>
      </c>
      <c r="T342" s="236" t="s">
        <v>296</v>
      </c>
      <c r="U342" s="236" t="s">
        <v>296</v>
      </c>
      <c r="V342" s="236" t="s">
        <v>296</v>
      </c>
      <c r="W342" s="237" t="s">
        <v>296</v>
      </c>
      <c r="X342" s="237" t="s">
        <v>296</v>
      </c>
      <c r="Y342" s="238" t="s">
        <v>296</v>
      </c>
    </row>
    <row r="343" spans="1:25">
      <c r="A343" s="230">
        <v>6</v>
      </c>
      <c r="B343" s="231" t="str">
        <f>VLOOKUP(Tabel10[[#This Row],[Locatiecode]],Ruimtegroepen[[Code]:[Ruimte omschrijving]],2,FALSE)</f>
        <v>Gangen/hallen</v>
      </c>
      <c r="C343" s="232" t="s">
        <v>576</v>
      </c>
      <c r="D343" s="231" t="s">
        <v>27</v>
      </c>
      <c r="E343" s="233" t="s">
        <v>103</v>
      </c>
      <c r="F343" s="232" t="s">
        <v>580</v>
      </c>
      <c r="G343" s="281" t="s">
        <v>296</v>
      </c>
      <c r="H343" s="234" t="s">
        <v>296</v>
      </c>
      <c r="I343" s="235" t="s">
        <v>15</v>
      </c>
      <c r="J343" s="235" t="s">
        <v>296</v>
      </c>
      <c r="K343" s="235" t="s">
        <v>296</v>
      </c>
      <c r="L343" s="234" t="s">
        <v>296</v>
      </c>
      <c r="M343" s="234" t="s">
        <v>296</v>
      </c>
      <c r="N343" s="235" t="s">
        <v>296</v>
      </c>
      <c r="O343" s="236" t="s">
        <v>15</v>
      </c>
      <c r="P343" s="236" t="s">
        <v>15</v>
      </c>
      <c r="Q343" s="236" t="s">
        <v>15</v>
      </c>
      <c r="R343" s="236" t="s">
        <v>296</v>
      </c>
      <c r="S343" s="236" t="s">
        <v>296</v>
      </c>
      <c r="T343" s="236" t="s">
        <v>296</v>
      </c>
      <c r="U343" s="236" t="s">
        <v>296</v>
      </c>
      <c r="V343" s="236" t="s">
        <v>296</v>
      </c>
      <c r="W343" s="237" t="s">
        <v>296</v>
      </c>
      <c r="X343" s="237" t="s">
        <v>296</v>
      </c>
      <c r="Y343" s="238" t="s">
        <v>296</v>
      </c>
    </row>
    <row r="344" spans="1:25">
      <c r="A344" s="230">
        <v>6</v>
      </c>
      <c r="B344" s="231" t="str">
        <f>VLOOKUP(Tabel10[[#This Row],[Locatiecode]],Ruimtegroepen[[Code]:[Ruimte omschrijving]],2,FALSE)</f>
        <v>Gangen/hallen</v>
      </c>
      <c r="C344" s="232" t="s">
        <v>576</v>
      </c>
      <c r="D344" s="231" t="s">
        <v>27</v>
      </c>
      <c r="E344" s="233" t="s">
        <v>100</v>
      </c>
      <c r="F344" s="232" t="s">
        <v>578</v>
      </c>
      <c r="G344" s="281" t="s">
        <v>296</v>
      </c>
      <c r="H344" s="235" t="s">
        <v>15</v>
      </c>
      <c r="I344" s="234" t="s">
        <v>296</v>
      </c>
      <c r="J344" s="235" t="s">
        <v>296</v>
      </c>
      <c r="K344" s="235" t="s">
        <v>296</v>
      </c>
      <c r="L344" s="234" t="s">
        <v>296</v>
      </c>
      <c r="M344" s="234" t="s">
        <v>296</v>
      </c>
      <c r="N344" s="235" t="s">
        <v>296</v>
      </c>
      <c r="O344" s="236" t="s">
        <v>15</v>
      </c>
      <c r="P344" s="236" t="s">
        <v>15</v>
      </c>
      <c r="Q344" s="236" t="s">
        <v>15</v>
      </c>
      <c r="R344" s="236" t="s">
        <v>296</v>
      </c>
      <c r="S344" s="236" t="s">
        <v>296</v>
      </c>
      <c r="T344" s="236" t="s">
        <v>296</v>
      </c>
      <c r="U344" s="236" t="s">
        <v>296</v>
      </c>
      <c r="V344" s="236" t="s">
        <v>296</v>
      </c>
      <c r="W344" s="237" t="s">
        <v>296</v>
      </c>
      <c r="X344" s="237" t="s">
        <v>296</v>
      </c>
      <c r="Y344" s="238" t="s">
        <v>296</v>
      </c>
    </row>
    <row r="345" spans="1:25">
      <c r="A345" s="230">
        <v>6</v>
      </c>
      <c r="B345" s="231" t="str">
        <f>VLOOKUP(Tabel10[[#This Row],[Locatiecode]],Ruimtegroepen[[Code]:[Ruimte omschrijving]],2,FALSE)</f>
        <v>Gangen/hallen</v>
      </c>
      <c r="C345" s="232" t="s">
        <v>576</v>
      </c>
      <c r="D345" s="231" t="s">
        <v>27</v>
      </c>
      <c r="E345" s="233" t="s">
        <v>1344</v>
      </c>
      <c r="F345" s="232" t="s">
        <v>1414</v>
      </c>
      <c r="G345" s="281" t="s">
        <v>296</v>
      </c>
      <c r="H345" s="234" t="s">
        <v>296</v>
      </c>
      <c r="I345" s="235" t="s">
        <v>15</v>
      </c>
      <c r="J345" s="235" t="s">
        <v>296</v>
      </c>
      <c r="K345" s="235" t="s">
        <v>296</v>
      </c>
      <c r="L345" s="234" t="s">
        <v>296</v>
      </c>
      <c r="M345" s="234" t="s">
        <v>296</v>
      </c>
      <c r="N345" s="235" t="s">
        <v>296</v>
      </c>
      <c r="O345" s="236" t="s">
        <v>15</v>
      </c>
      <c r="P345" s="236" t="s">
        <v>15</v>
      </c>
      <c r="Q345" s="236" t="s">
        <v>15</v>
      </c>
      <c r="R345" s="236" t="s">
        <v>296</v>
      </c>
      <c r="S345" s="236" t="s">
        <v>296</v>
      </c>
      <c r="T345" s="236" t="s">
        <v>296</v>
      </c>
      <c r="U345" s="236" t="s">
        <v>296</v>
      </c>
      <c r="V345" s="236" t="s">
        <v>296</v>
      </c>
      <c r="W345" s="237" t="s">
        <v>296</v>
      </c>
      <c r="X345" s="237" t="s">
        <v>296</v>
      </c>
      <c r="Y345" s="238" t="s">
        <v>296</v>
      </c>
    </row>
    <row r="346" spans="1:25">
      <c r="A346" s="230">
        <v>6</v>
      </c>
      <c r="B346" s="231" t="str">
        <f>VLOOKUP(Tabel10[[#This Row],[Locatiecode]],Ruimtegroepen[[Code]:[Ruimte omschrijving]],2,FALSE)</f>
        <v>Gangen/hallen</v>
      </c>
      <c r="C346" s="232" t="s">
        <v>581</v>
      </c>
      <c r="D346" s="231" t="s">
        <v>28</v>
      </c>
      <c r="E346" s="233" t="s">
        <v>101</v>
      </c>
      <c r="F346" s="232" t="s">
        <v>582</v>
      </c>
      <c r="G346" s="281" t="s">
        <v>296</v>
      </c>
      <c r="H346" s="234" t="s">
        <v>296</v>
      </c>
      <c r="I346" s="235" t="s">
        <v>17</v>
      </c>
      <c r="J346" s="234" t="s">
        <v>296</v>
      </c>
      <c r="K346" s="235" t="s">
        <v>296</v>
      </c>
      <c r="L346" s="234" t="s">
        <v>296</v>
      </c>
      <c r="M346" s="234" t="s">
        <v>296</v>
      </c>
      <c r="N346" s="235" t="s">
        <v>296</v>
      </c>
      <c r="O346" s="236" t="s">
        <v>17</v>
      </c>
      <c r="P346" s="236" t="s">
        <v>17</v>
      </c>
      <c r="Q346" s="236" t="s">
        <v>15</v>
      </c>
      <c r="R346" s="236" t="s">
        <v>296</v>
      </c>
      <c r="S346" s="236" t="s">
        <v>296</v>
      </c>
      <c r="T346" s="236" t="s">
        <v>296</v>
      </c>
      <c r="U346" s="236" t="s">
        <v>296</v>
      </c>
      <c r="V346" s="236" t="s">
        <v>296</v>
      </c>
      <c r="W346" s="237" t="s">
        <v>296</v>
      </c>
      <c r="X346" s="237" t="s">
        <v>296</v>
      </c>
      <c r="Y346" s="238" t="s">
        <v>296</v>
      </c>
    </row>
    <row r="347" spans="1:25">
      <c r="A347" s="230">
        <v>6</v>
      </c>
      <c r="B347" s="231" t="str">
        <f>VLOOKUP(Tabel10[[#This Row],[Locatiecode]],Ruimtegroepen[[Code]:[Ruimte omschrijving]],2,FALSE)</f>
        <v>Gangen/hallen</v>
      </c>
      <c r="C347" s="232" t="s">
        <v>581</v>
      </c>
      <c r="D347" s="231" t="s">
        <v>28</v>
      </c>
      <c r="E347" s="233" t="s">
        <v>100</v>
      </c>
      <c r="F347" s="232" t="s">
        <v>583</v>
      </c>
      <c r="G347" s="281" t="s">
        <v>296</v>
      </c>
      <c r="H347" s="235" t="s">
        <v>17</v>
      </c>
      <c r="I347" s="234" t="s">
        <v>296</v>
      </c>
      <c r="J347" s="235" t="s">
        <v>296</v>
      </c>
      <c r="K347" s="235" t="s">
        <v>296</v>
      </c>
      <c r="L347" s="234" t="s">
        <v>296</v>
      </c>
      <c r="M347" s="234" t="s">
        <v>296</v>
      </c>
      <c r="N347" s="235" t="s">
        <v>296</v>
      </c>
      <c r="O347" s="236" t="s">
        <v>17</v>
      </c>
      <c r="P347" s="236" t="s">
        <v>17</v>
      </c>
      <c r="Q347" s="236" t="s">
        <v>15</v>
      </c>
      <c r="R347" s="236" t="s">
        <v>296</v>
      </c>
      <c r="S347" s="236" t="s">
        <v>296</v>
      </c>
      <c r="T347" s="236" t="s">
        <v>296</v>
      </c>
      <c r="U347" s="236" t="s">
        <v>296</v>
      </c>
      <c r="V347" s="236" t="s">
        <v>296</v>
      </c>
      <c r="W347" s="237" t="s">
        <v>296</v>
      </c>
      <c r="X347" s="237" t="s">
        <v>296</v>
      </c>
      <c r="Y347" s="238" t="s">
        <v>296</v>
      </c>
    </row>
    <row r="348" spans="1:25">
      <c r="A348" s="230">
        <v>6</v>
      </c>
      <c r="B348" s="231" t="str">
        <f>VLOOKUP(Tabel10[[#This Row],[Locatiecode]],Ruimtegroepen[[Code]:[Ruimte omschrijving]],2,FALSE)</f>
        <v>Gangen/hallen</v>
      </c>
      <c r="C348" s="232" t="s">
        <v>581</v>
      </c>
      <c r="D348" s="231" t="s">
        <v>28</v>
      </c>
      <c r="E348" s="233" t="s">
        <v>102</v>
      </c>
      <c r="F348" s="232" t="s">
        <v>584</v>
      </c>
      <c r="G348" s="281" t="s">
        <v>296</v>
      </c>
      <c r="H348" s="234" t="s">
        <v>296</v>
      </c>
      <c r="I348" s="235" t="s">
        <v>17</v>
      </c>
      <c r="J348" s="235" t="s">
        <v>296</v>
      </c>
      <c r="K348" s="235" t="s">
        <v>296</v>
      </c>
      <c r="L348" s="234" t="s">
        <v>296</v>
      </c>
      <c r="M348" s="234" t="s">
        <v>296</v>
      </c>
      <c r="N348" s="235" t="s">
        <v>296</v>
      </c>
      <c r="O348" s="236" t="s">
        <v>17</v>
      </c>
      <c r="P348" s="236" t="s">
        <v>17</v>
      </c>
      <c r="Q348" s="236" t="s">
        <v>15</v>
      </c>
      <c r="R348" s="236" t="s">
        <v>296</v>
      </c>
      <c r="S348" s="236" t="s">
        <v>296</v>
      </c>
      <c r="T348" s="236" t="s">
        <v>296</v>
      </c>
      <c r="U348" s="236" t="s">
        <v>296</v>
      </c>
      <c r="V348" s="236" t="s">
        <v>296</v>
      </c>
      <c r="W348" s="237" t="s">
        <v>296</v>
      </c>
      <c r="X348" s="237" t="s">
        <v>296</v>
      </c>
      <c r="Y348" s="238" t="s">
        <v>296</v>
      </c>
    </row>
    <row r="349" spans="1:25">
      <c r="A349" s="230">
        <v>6</v>
      </c>
      <c r="B349" s="231" t="str">
        <f>VLOOKUP(Tabel10[[#This Row],[Locatiecode]],Ruimtegroepen[[Code]:[Ruimte omschrijving]],2,FALSE)</f>
        <v>Gangen/hallen</v>
      </c>
      <c r="C349" s="232" t="s">
        <v>581</v>
      </c>
      <c r="D349" s="231" t="s">
        <v>28</v>
      </c>
      <c r="E349" s="233" t="s">
        <v>103</v>
      </c>
      <c r="F349" s="232" t="s">
        <v>585</v>
      </c>
      <c r="G349" s="281" t="s">
        <v>296</v>
      </c>
      <c r="H349" s="234" t="s">
        <v>296</v>
      </c>
      <c r="I349" s="235" t="s">
        <v>17</v>
      </c>
      <c r="J349" s="235" t="s">
        <v>296</v>
      </c>
      <c r="K349" s="235" t="s">
        <v>296</v>
      </c>
      <c r="L349" s="234" t="s">
        <v>296</v>
      </c>
      <c r="M349" s="234" t="s">
        <v>296</v>
      </c>
      <c r="N349" s="235" t="s">
        <v>296</v>
      </c>
      <c r="O349" s="236" t="s">
        <v>17</v>
      </c>
      <c r="P349" s="236" t="s">
        <v>17</v>
      </c>
      <c r="Q349" s="236" t="s">
        <v>15</v>
      </c>
      <c r="R349" s="236" t="s">
        <v>296</v>
      </c>
      <c r="S349" s="236" t="s">
        <v>296</v>
      </c>
      <c r="T349" s="236" t="s">
        <v>296</v>
      </c>
      <c r="U349" s="236" t="s">
        <v>296</v>
      </c>
      <c r="V349" s="236" t="s">
        <v>296</v>
      </c>
      <c r="W349" s="237" t="s">
        <v>296</v>
      </c>
      <c r="X349" s="237" t="s">
        <v>296</v>
      </c>
      <c r="Y349" s="238" t="s">
        <v>296</v>
      </c>
    </row>
    <row r="350" spans="1:25">
      <c r="A350" s="230">
        <v>6</v>
      </c>
      <c r="B350" s="231" t="str">
        <f>VLOOKUP(Tabel10[[#This Row],[Locatiecode]],Ruimtegroepen[[Code]:[Ruimte omschrijving]],2,FALSE)</f>
        <v>Gangen/hallen</v>
      </c>
      <c r="C350" s="232" t="s">
        <v>581</v>
      </c>
      <c r="D350" s="231" t="s">
        <v>28</v>
      </c>
      <c r="E350" s="233" t="s">
        <v>100</v>
      </c>
      <c r="F350" s="232" t="s">
        <v>583</v>
      </c>
      <c r="G350" s="281" t="s">
        <v>296</v>
      </c>
      <c r="H350" s="235" t="s">
        <v>17</v>
      </c>
      <c r="I350" s="234" t="s">
        <v>296</v>
      </c>
      <c r="J350" s="235" t="s">
        <v>296</v>
      </c>
      <c r="K350" s="235" t="s">
        <v>296</v>
      </c>
      <c r="L350" s="234" t="s">
        <v>296</v>
      </c>
      <c r="M350" s="234" t="s">
        <v>296</v>
      </c>
      <c r="N350" s="235" t="s">
        <v>296</v>
      </c>
      <c r="O350" s="236" t="s">
        <v>17</v>
      </c>
      <c r="P350" s="236" t="s">
        <v>17</v>
      </c>
      <c r="Q350" s="236" t="s">
        <v>15</v>
      </c>
      <c r="R350" s="236" t="s">
        <v>296</v>
      </c>
      <c r="S350" s="236" t="s">
        <v>296</v>
      </c>
      <c r="T350" s="236" t="s">
        <v>296</v>
      </c>
      <c r="U350" s="236" t="s">
        <v>296</v>
      </c>
      <c r="V350" s="236" t="s">
        <v>296</v>
      </c>
      <c r="W350" s="237" t="s">
        <v>296</v>
      </c>
      <c r="X350" s="237" t="s">
        <v>296</v>
      </c>
      <c r="Y350" s="238" t="s">
        <v>296</v>
      </c>
    </row>
    <row r="351" spans="1:25">
      <c r="A351" s="230">
        <v>6</v>
      </c>
      <c r="B351" s="231" t="str">
        <f>VLOOKUP(Tabel10[[#This Row],[Locatiecode]],Ruimtegroepen[[Code]:[Ruimte omschrijving]],2,FALSE)</f>
        <v>Gangen/hallen</v>
      </c>
      <c r="C351" s="232" t="s">
        <v>581</v>
      </c>
      <c r="D351" s="231" t="s">
        <v>28</v>
      </c>
      <c r="E351" s="233" t="s">
        <v>1344</v>
      </c>
      <c r="F351" s="232" t="s">
        <v>1447</v>
      </c>
      <c r="G351" s="281" t="s">
        <v>296</v>
      </c>
      <c r="H351" s="234" t="s">
        <v>296</v>
      </c>
      <c r="I351" s="235" t="s">
        <v>17</v>
      </c>
      <c r="J351" s="235" t="s">
        <v>296</v>
      </c>
      <c r="K351" s="235" t="s">
        <v>296</v>
      </c>
      <c r="L351" s="234" t="s">
        <v>296</v>
      </c>
      <c r="M351" s="234" t="s">
        <v>296</v>
      </c>
      <c r="N351" s="235" t="s">
        <v>296</v>
      </c>
      <c r="O351" s="236" t="s">
        <v>17</v>
      </c>
      <c r="P351" s="236" t="s">
        <v>17</v>
      </c>
      <c r="Q351" s="236" t="s">
        <v>15</v>
      </c>
      <c r="R351" s="236" t="s">
        <v>296</v>
      </c>
      <c r="S351" s="236" t="s">
        <v>296</v>
      </c>
      <c r="T351" s="236" t="s">
        <v>296</v>
      </c>
      <c r="U351" s="236" t="s">
        <v>296</v>
      </c>
      <c r="V351" s="236" t="s">
        <v>296</v>
      </c>
      <c r="W351" s="237" t="s">
        <v>296</v>
      </c>
      <c r="X351" s="237" t="s">
        <v>296</v>
      </c>
      <c r="Y351" s="238" t="s">
        <v>296</v>
      </c>
    </row>
    <row r="352" spans="1:25">
      <c r="A352" s="230">
        <v>7</v>
      </c>
      <c r="B352" s="231" t="str">
        <f>VLOOKUP(Tabel10[[#This Row],[Locatiecode]],Ruimtegroepen[[Code]:[Ruimte omschrijving]],2,FALSE)</f>
        <v>Entree</v>
      </c>
      <c r="C352" s="232" t="s">
        <v>586</v>
      </c>
      <c r="D352" s="231" t="s">
        <v>29</v>
      </c>
      <c r="E352" s="233" t="s">
        <v>101</v>
      </c>
      <c r="F352" s="232" t="s">
        <v>587</v>
      </c>
      <c r="G352" s="281" t="s">
        <v>296</v>
      </c>
      <c r="H352" s="234" t="s">
        <v>296</v>
      </c>
      <c r="I352" s="234" t="s">
        <v>296</v>
      </c>
      <c r="J352" s="234" t="s">
        <v>2</v>
      </c>
      <c r="K352" s="234" t="s">
        <v>296</v>
      </c>
      <c r="L352" s="234" t="s">
        <v>296</v>
      </c>
      <c r="M352" s="234" t="s">
        <v>296</v>
      </c>
      <c r="N352" s="235" t="s">
        <v>2</v>
      </c>
      <c r="O352" s="236" t="s">
        <v>2</v>
      </c>
      <c r="P352" s="236" t="s">
        <v>2</v>
      </c>
      <c r="Q352" s="236" t="s">
        <v>15</v>
      </c>
      <c r="R352" s="236" t="s">
        <v>15</v>
      </c>
      <c r="S352" s="236" t="s">
        <v>16</v>
      </c>
      <c r="T352" s="236" t="s">
        <v>343</v>
      </c>
      <c r="U352" s="236" t="s">
        <v>262</v>
      </c>
      <c r="V352" s="236" t="s">
        <v>2</v>
      </c>
      <c r="W352" s="237" t="s">
        <v>296</v>
      </c>
      <c r="X352" s="237" t="s">
        <v>296</v>
      </c>
      <c r="Y352" s="238" t="s">
        <v>296</v>
      </c>
    </row>
    <row r="353" spans="1:25">
      <c r="A353" s="230">
        <v>7</v>
      </c>
      <c r="B353" s="231" t="str">
        <f>VLOOKUP(Tabel10[[#This Row],[Locatiecode]],Ruimtegroepen[[Code]:[Ruimte omschrijving]],2,FALSE)</f>
        <v>Entree</v>
      </c>
      <c r="C353" s="232" t="s">
        <v>586</v>
      </c>
      <c r="D353" s="231" t="s">
        <v>29</v>
      </c>
      <c r="E353" s="233" t="s">
        <v>100</v>
      </c>
      <c r="F353" s="232" t="s">
        <v>588</v>
      </c>
      <c r="G353" s="281" t="s">
        <v>296</v>
      </c>
      <c r="H353" s="234" t="s">
        <v>2</v>
      </c>
      <c r="I353" s="234" t="s">
        <v>296</v>
      </c>
      <c r="J353" s="235" t="s">
        <v>296</v>
      </c>
      <c r="K353" s="235" t="s">
        <v>296</v>
      </c>
      <c r="L353" s="234" t="s">
        <v>296</v>
      </c>
      <c r="M353" s="234" t="s">
        <v>296</v>
      </c>
      <c r="N353" s="235" t="s">
        <v>2</v>
      </c>
      <c r="O353" s="236" t="s">
        <v>2</v>
      </c>
      <c r="P353" s="236" t="s">
        <v>2</v>
      </c>
      <c r="Q353" s="236" t="s">
        <v>15</v>
      </c>
      <c r="R353" s="236" t="s">
        <v>15</v>
      </c>
      <c r="S353" s="236" t="s">
        <v>16</v>
      </c>
      <c r="T353" s="236" t="s">
        <v>343</v>
      </c>
      <c r="U353" s="236" t="s">
        <v>262</v>
      </c>
      <c r="V353" s="236" t="s">
        <v>2</v>
      </c>
      <c r="W353" s="237" t="s">
        <v>296</v>
      </c>
      <c r="X353" s="237" t="s">
        <v>296</v>
      </c>
      <c r="Y353" s="238" t="s">
        <v>296</v>
      </c>
    </row>
    <row r="354" spans="1:25">
      <c r="A354" s="230">
        <v>7</v>
      </c>
      <c r="B354" s="231" t="str">
        <f>VLOOKUP(Tabel10[[#This Row],[Locatiecode]],Ruimtegroepen[[Code]:[Ruimte omschrijving]],2,FALSE)</f>
        <v>Entree</v>
      </c>
      <c r="C354" s="232" t="s">
        <v>586</v>
      </c>
      <c r="D354" s="231" t="s">
        <v>29</v>
      </c>
      <c r="E354" s="233" t="s">
        <v>102</v>
      </c>
      <c r="F354" s="232" t="s">
        <v>589</v>
      </c>
      <c r="G354" s="281" t="s">
        <v>296</v>
      </c>
      <c r="H354" s="234" t="s">
        <v>296</v>
      </c>
      <c r="I354" s="234" t="s">
        <v>2</v>
      </c>
      <c r="J354" s="235" t="s">
        <v>296</v>
      </c>
      <c r="K354" s="234" t="s">
        <v>2</v>
      </c>
      <c r="L354" s="234" t="s">
        <v>296</v>
      </c>
      <c r="M354" s="234" t="s">
        <v>296</v>
      </c>
      <c r="N354" s="235" t="s">
        <v>2</v>
      </c>
      <c r="O354" s="236" t="s">
        <v>2</v>
      </c>
      <c r="P354" s="236" t="s">
        <v>2</v>
      </c>
      <c r="Q354" s="236" t="s">
        <v>15</v>
      </c>
      <c r="R354" s="236" t="s">
        <v>15</v>
      </c>
      <c r="S354" s="236" t="s">
        <v>16</v>
      </c>
      <c r="T354" s="236" t="s">
        <v>343</v>
      </c>
      <c r="U354" s="236" t="s">
        <v>262</v>
      </c>
      <c r="V354" s="236" t="s">
        <v>2</v>
      </c>
      <c r="W354" s="237" t="s">
        <v>296</v>
      </c>
      <c r="X354" s="237" t="s">
        <v>296</v>
      </c>
      <c r="Y354" s="238" t="s">
        <v>296</v>
      </c>
    </row>
    <row r="355" spans="1:25">
      <c r="A355" s="230">
        <v>7</v>
      </c>
      <c r="B355" s="231" t="str">
        <f>VLOOKUP(Tabel10[[#This Row],[Locatiecode]],Ruimtegroepen[[Code]:[Ruimte omschrijving]],2,FALSE)</f>
        <v>Entree</v>
      </c>
      <c r="C355" s="232" t="s">
        <v>586</v>
      </c>
      <c r="D355" s="231" t="s">
        <v>29</v>
      </c>
      <c r="E355" s="233" t="s">
        <v>103</v>
      </c>
      <c r="F355" s="232" t="s">
        <v>590</v>
      </c>
      <c r="G355" s="281" t="s">
        <v>296</v>
      </c>
      <c r="H355" s="234" t="s">
        <v>296</v>
      </c>
      <c r="I355" s="234" t="s">
        <v>2</v>
      </c>
      <c r="J355" s="235" t="s">
        <v>296</v>
      </c>
      <c r="K355" s="235" t="s">
        <v>2</v>
      </c>
      <c r="L355" s="234" t="s">
        <v>296</v>
      </c>
      <c r="M355" s="234" t="s">
        <v>296</v>
      </c>
      <c r="N355" s="235" t="s">
        <v>2</v>
      </c>
      <c r="O355" s="236" t="s">
        <v>2</v>
      </c>
      <c r="P355" s="236" t="s">
        <v>2</v>
      </c>
      <c r="Q355" s="236" t="s">
        <v>15</v>
      </c>
      <c r="R355" s="236" t="s">
        <v>15</v>
      </c>
      <c r="S355" s="236" t="s">
        <v>16</v>
      </c>
      <c r="T355" s="236" t="s">
        <v>343</v>
      </c>
      <c r="U355" s="236" t="s">
        <v>262</v>
      </c>
      <c r="V355" s="236" t="s">
        <v>2</v>
      </c>
      <c r="W355" s="237" t="s">
        <v>296</v>
      </c>
      <c r="X355" s="237" t="s">
        <v>296</v>
      </c>
      <c r="Y355" s="238" t="s">
        <v>296</v>
      </c>
    </row>
    <row r="356" spans="1:25">
      <c r="A356" s="230">
        <v>7</v>
      </c>
      <c r="B356" s="231" t="str">
        <f>VLOOKUP(Tabel10[[#This Row],[Locatiecode]],Ruimtegroepen[[Code]:[Ruimte omschrijving]],2,FALSE)</f>
        <v>Entree</v>
      </c>
      <c r="C356" s="232" t="s">
        <v>586</v>
      </c>
      <c r="D356" s="231" t="s">
        <v>29</v>
      </c>
      <c r="E356" s="233" t="s">
        <v>100</v>
      </c>
      <c r="F356" s="232" t="s">
        <v>588</v>
      </c>
      <c r="G356" s="281" t="s">
        <v>296</v>
      </c>
      <c r="H356" s="235" t="s">
        <v>2</v>
      </c>
      <c r="I356" s="234" t="s">
        <v>296</v>
      </c>
      <c r="J356" s="235" t="s">
        <v>296</v>
      </c>
      <c r="K356" s="235" t="s">
        <v>296</v>
      </c>
      <c r="L356" s="234" t="s">
        <v>296</v>
      </c>
      <c r="M356" s="234" t="s">
        <v>296</v>
      </c>
      <c r="N356" s="235" t="s">
        <v>2</v>
      </c>
      <c r="O356" s="236" t="s">
        <v>2</v>
      </c>
      <c r="P356" s="236" t="s">
        <v>2</v>
      </c>
      <c r="Q356" s="236" t="s">
        <v>15</v>
      </c>
      <c r="R356" s="236" t="s">
        <v>15</v>
      </c>
      <c r="S356" s="236" t="s">
        <v>16</v>
      </c>
      <c r="T356" s="236" t="s">
        <v>343</v>
      </c>
      <c r="U356" s="236" t="s">
        <v>262</v>
      </c>
      <c r="V356" s="236" t="s">
        <v>2</v>
      </c>
      <c r="W356" s="237" t="s">
        <v>296</v>
      </c>
      <c r="X356" s="237" t="s">
        <v>296</v>
      </c>
      <c r="Y356" s="238" t="s">
        <v>296</v>
      </c>
    </row>
    <row r="357" spans="1:25">
      <c r="A357" s="230">
        <v>7</v>
      </c>
      <c r="B357" s="231" t="str">
        <f>VLOOKUP(Tabel10[[#This Row],[Locatiecode]],Ruimtegroepen[[Code]:[Ruimte omschrijving]],2,FALSE)</f>
        <v>Entree</v>
      </c>
      <c r="C357" s="232" t="s">
        <v>586</v>
      </c>
      <c r="D357" s="231" t="s">
        <v>29</v>
      </c>
      <c r="E357" s="233" t="s">
        <v>1344</v>
      </c>
      <c r="F357" s="232" t="s">
        <v>1515</v>
      </c>
      <c r="G357" s="281" t="s">
        <v>296</v>
      </c>
      <c r="H357" s="234" t="s">
        <v>296</v>
      </c>
      <c r="I357" s="234" t="s">
        <v>2</v>
      </c>
      <c r="J357" s="235" t="s">
        <v>296</v>
      </c>
      <c r="K357" s="235" t="s">
        <v>2</v>
      </c>
      <c r="L357" s="234" t="s">
        <v>296</v>
      </c>
      <c r="M357" s="234" t="s">
        <v>296</v>
      </c>
      <c r="N357" s="235" t="s">
        <v>2</v>
      </c>
      <c r="O357" s="236" t="s">
        <v>2</v>
      </c>
      <c r="P357" s="236" t="s">
        <v>2</v>
      </c>
      <c r="Q357" s="236" t="s">
        <v>15</v>
      </c>
      <c r="R357" s="236" t="s">
        <v>15</v>
      </c>
      <c r="S357" s="236" t="s">
        <v>16</v>
      </c>
      <c r="T357" s="236" t="s">
        <v>343</v>
      </c>
      <c r="U357" s="236" t="s">
        <v>262</v>
      </c>
      <c r="V357" s="236" t="s">
        <v>2</v>
      </c>
      <c r="W357" s="237" t="s">
        <v>296</v>
      </c>
      <c r="X357" s="237" t="s">
        <v>296</v>
      </c>
      <c r="Y357" s="238" t="s">
        <v>296</v>
      </c>
    </row>
    <row r="358" spans="1:25">
      <c r="A358" s="230">
        <v>7</v>
      </c>
      <c r="B358" s="231" t="str">
        <f>VLOOKUP(Tabel10[[#This Row],[Locatiecode]],Ruimtegroepen[[Code]:[Ruimte omschrijving]],2,FALSE)</f>
        <v>Entree</v>
      </c>
      <c r="C358" s="232" t="s">
        <v>591</v>
      </c>
      <c r="D358" s="231" t="s">
        <v>1</v>
      </c>
      <c r="E358" s="233" t="s">
        <v>101</v>
      </c>
      <c r="F358" s="232" t="s">
        <v>592</v>
      </c>
      <c r="G358" s="281" t="s">
        <v>296</v>
      </c>
      <c r="H358" s="234" t="s">
        <v>296</v>
      </c>
      <c r="I358" s="234" t="s">
        <v>296</v>
      </c>
      <c r="J358" s="234" t="s">
        <v>2</v>
      </c>
      <c r="K358" s="234" t="s">
        <v>296</v>
      </c>
      <c r="L358" s="234" t="s">
        <v>296</v>
      </c>
      <c r="M358" s="234" t="s">
        <v>296</v>
      </c>
      <c r="N358" s="235" t="s">
        <v>296</v>
      </c>
      <c r="O358" s="236" t="s">
        <v>2</v>
      </c>
      <c r="P358" s="236" t="s">
        <v>2</v>
      </c>
      <c r="Q358" s="236" t="s">
        <v>15</v>
      </c>
      <c r="R358" s="236" t="s">
        <v>15</v>
      </c>
      <c r="S358" s="236" t="s">
        <v>16</v>
      </c>
      <c r="T358" s="236" t="s">
        <v>343</v>
      </c>
      <c r="U358" s="236" t="s">
        <v>262</v>
      </c>
      <c r="V358" s="236" t="s">
        <v>296</v>
      </c>
      <c r="W358" s="237" t="s">
        <v>296</v>
      </c>
      <c r="X358" s="237" t="s">
        <v>296</v>
      </c>
      <c r="Y358" s="238" t="s">
        <v>296</v>
      </c>
    </row>
    <row r="359" spans="1:25">
      <c r="A359" s="230">
        <v>7</v>
      </c>
      <c r="B359" s="231" t="str">
        <f>VLOOKUP(Tabel10[[#This Row],[Locatiecode]],Ruimtegroepen[[Code]:[Ruimte omschrijving]],2,FALSE)</f>
        <v>Entree</v>
      </c>
      <c r="C359" s="232" t="s">
        <v>591</v>
      </c>
      <c r="D359" s="231" t="s">
        <v>1</v>
      </c>
      <c r="E359" s="233" t="s">
        <v>100</v>
      </c>
      <c r="F359" s="232" t="s">
        <v>593</v>
      </c>
      <c r="G359" s="281" t="s">
        <v>296</v>
      </c>
      <c r="H359" s="234" t="s">
        <v>2</v>
      </c>
      <c r="I359" s="234" t="s">
        <v>296</v>
      </c>
      <c r="J359" s="235" t="s">
        <v>296</v>
      </c>
      <c r="K359" s="235" t="s">
        <v>296</v>
      </c>
      <c r="L359" s="234" t="s">
        <v>296</v>
      </c>
      <c r="M359" s="234" t="s">
        <v>296</v>
      </c>
      <c r="N359" s="235" t="s">
        <v>296</v>
      </c>
      <c r="O359" s="236" t="s">
        <v>2</v>
      </c>
      <c r="P359" s="236" t="s">
        <v>2</v>
      </c>
      <c r="Q359" s="236" t="s">
        <v>15</v>
      </c>
      <c r="R359" s="236" t="s">
        <v>15</v>
      </c>
      <c r="S359" s="236" t="s">
        <v>16</v>
      </c>
      <c r="T359" s="236" t="s">
        <v>343</v>
      </c>
      <c r="U359" s="236" t="s">
        <v>262</v>
      </c>
      <c r="V359" s="236" t="s">
        <v>296</v>
      </c>
      <c r="W359" s="237" t="s">
        <v>296</v>
      </c>
      <c r="X359" s="237" t="s">
        <v>296</v>
      </c>
      <c r="Y359" s="238" t="s">
        <v>296</v>
      </c>
    </row>
    <row r="360" spans="1:25">
      <c r="A360" s="230">
        <v>7</v>
      </c>
      <c r="B360" s="231" t="str">
        <f>VLOOKUP(Tabel10[[#This Row],[Locatiecode]],Ruimtegroepen[[Code]:[Ruimte omschrijving]],2,FALSE)</f>
        <v>Entree</v>
      </c>
      <c r="C360" s="232" t="s">
        <v>591</v>
      </c>
      <c r="D360" s="231" t="s">
        <v>1</v>
      </c>
      <c r="E360" s="233" t="s">
        <v>102</v>
      </c>
      <c r="F360" s="232" t="s">
        <v>594</v>
      </c>
      <c r="G360" s="281" t="s">
        <v>296</v>
      </c>
      <c r="H360" s="234" t="s">
        <v>296</v>
      </c>
      <c r="I360" s="234" t="s">
        <v>2</v>
      </c>
      <c r="J360" s="235" t="s">
        <v>296</v>
      </c>
      <c r="K360" s="234" t="s">
        <v>2</v>
      </c>
      <c r="L360" s="234" t="s">
        <v>296</v>
      </c>
      <c r="M360" s="234" t="s">
        <v>296</v>
      </c>
      <c r="N360" s="235" t="s">
        <v>296</v>
      </c>
      <c r="O360" s="236" t="s">
        <v>2</v>
      </c>
      <c r="P360" s="236" t="s">
        <v>2</v>
      </c>
      <c r="Q360" s="236" t="s">
        <v>15</v>
      </c>
      <c r="R360" s="236" t="s">
        <v>15</v>
      </c>
      <c r="S360" s="236" t="s">
        <v>16</v>
      </c>
      <c r="T360" s="236" t="s">
        <v>343</v>
      </c>
      <c r="U360" s="236" t="s">
        <v>262</v>
      </c>
      <c r="V360" s="236" t="s">
        <v>296</v>
      </c>
      <c r="W360" s="237" t="s">
        <v>296</v>
      </c>
      <c r="X360" s="237" t="s">
        <v>296</v>
      </c>
      <c r="Y360" s="238" t="s">
        <v>296</v>
      </c>
    </row>
    <row r="361" spans="1:25">
      <c r="A361" s="230">
        <v>7</v>
      </c>
      <c r="B361" s="231" t="str">
        <f>VLOOKUP(Tabel10[[#This Row],[Locatiecode]],Ruimtegroepen[[Code]:[Ruimte omschrijving]],2,FALSE)</f>
        <v>Entree</v>
      </c>
      <c r="C361" s="232" t="s">
        <v>591</v>
      </c>
      <c r="D361" s="231" t="s">
        <v>1</v>
      </c>
      <c r="E361" s="233" t="s">
        <v>103</v>
      </c>
      <c r="F361" s="232" t="s">
        <v>595</v>
      </c>
      <c r="G361" s="281" t="s">
        <v>296</v>
      </c>
      <c r="H361" s="234" t="s">
        <v>296</v>
      </c>
      <c r="I361" s="234" t="s">
        <v>2</v>
      </c>
      <c r="J361" s="235" t="s">
        <v>296</v>
      </c>
      <c r="K361" s="235" t="s">
        <v>2</v>
      </c>
      <c r="L361" s="234" t="s">
        <v>296</v>
      </c>
      <c r="M361" s="234" t="s">
        <v>296</v>
      </c>
      <c r="N361" s="235" t="s">
        <v>296</v>
      </c>
      <c r="O361" s="236" t="s">
        <v>2</v>
      </c>
      <c r="P361" s="236" t="s">
        <v>2</v>
      </c>
      <c r="Q361" s="236" t="s">
        <v>15</v>
      </c>
      <c r="R361" s="236" t="s">
        <v>15</v>
      </c>
      <c r="S361" s="236" t="s">
        <v>16</v>
      </c>
      <c r="T361" s="236" t="s">
        <v>343</v>
      </c>
      <c r="U361" s="236" t="s">
        <v>262</v>
      </c>
      <c r="V361" s="236" t="s">
        <v>296</v>
      </c>
      <c r="W361" s="237" t="s">
        <v>296</v>
      </c>
      <c r="X361" s="237" t="s">
        <v>296</v>
      </c>
      <c r="Y361" s="238" t="s">
        <v>296</v>
      </c>
    </row>
    <row r="362" spans="1:25">
      <c r="A362" s="230">
        <v>7</v>
      </c>
      <c r="B362" s="231" t="str">
        <f>VLOOKUP(Tabel10[[#This Row],[Locatiecode]],Ruimtegroepen[[Code]:[Ruimte omschrijving]],2,FALSE)</f>
        <v>Entree</v>
      </c>
      <c r="C362" s="232" t="s">
        <v>591</v>
      </c>
      <c r="D362" s="231" t="s">
        <v>1</v>
      </c>
      <c r="E362" s="233" t="s">
        <v>100</v>
      </c>
      <c r="F362" s="232" t="s">
        <v>593</v>
      </c>
      <c r="G362" s="281" t="s">
        <v>296</v>
      </c>
      <c r="H362" s="235" t="s">
        <v>2</v>
      </c>
      <c r="I362" s="234" t="s">
        <v>296</v>
      </c>
      <c r="J362" s="235" t="s">
        <v>296</v>
      </c>
      <c r="K362" s="235" t="s">
        <v>296</v>
      </c>
      <c r="L362" s="234" t="s">
        <v>296</v>
      </c>
      <c r="M362" s="234" t="s">
        <v>296</v>
      </c>
      <c r="N362" s="235" t="s">
        <v>296</v>
      </c>
      <c r="O362" s="236" t="s">
        <v>2</v>
      </c>
      <c r="P362" s="236" t="s">
        <v>2</v>
      </c>
      <c r="Q362" s="236" t="s">
        <v>15</v>
      </c>
      <c r="R362" s="236" t="s">
        <v>15</v>
      </c>
      <c r="S362" s="236" t="s">
        <v>16</v>
      </c>
      <c r="T362" s="236" t="s">
        <v>343</v>
      </c>
      <c r="U362" s="236" t="s">
        <v>262</v>
      </c>
      <c r="V362" s="236" t="s">
        <v>296</v>
      </c>
      <c r="W362" s="237" t="s">
        <v>296</v>
      </c>
      <c r="X362" s="237" t="s">
        <v>296</v>
      </c>
      <c r="Y362" s="238" t="s">
        <v>296</v>
      </c>
    </row>
    <row r="363" spans="1:25">
      <c r="A363" s="230">
        <v>7</v>
      </c>
      <c r="B363" s="231" t="str">
        <f>VLOOKUP(Tabel10[[#This Row],[Locatiecode]],Ruimtegroepen[[Code]:[Ruimte omschrijving]],2,FALSE)</f>
        <v>Entree</v>
      </c>
      <c r="C363" s="232" t="s">
        <v>591</v>
      </c>
      <c r="D363" s="231" t="s">
        <v>1</v>
      </c>
      <c r="E363" s="233" t="s">
        <v>1344</v>
      </c>
      <c r="F363" s="232" t="s">
        <v>1499</v>
      </c>
      <c r="G363" s="281" t="s">
        <v>296</v>
      </c>
      <c r="H363" s="234" t="s">
        <v>296</v>
      </c>
      <c r="I363" s="234" t="s">
        <v>2</v>
      </c>
      <c r="J363" s="235" t="s">
        <v>296</v>
      </c>
      <c r="K363" s="235" t="s">
        <v>2</v>
      </c>
      <c r="L363" s="234" t="s">
        <v>296</v>
      </c>
      <c r="M363" s="234" t="s">
        <v>296</v>
      </c>
      <c r="N363" s="235" t="s">
        <v>296</v>
      </c>
      <c r="O363" s="236" t="s">
        <v>2</v>
      </c>
      <c r="P363" s="236" t="s">
        <v>2</v>
      </c>
      <c r="Q363" s="236" t="s">
        <v>15</v>
      </c>
      <c r="R363" s="236" t="s">
        <v>15</v>
      </c>
      <c r="S363" s="236" t="s">
        <v>16</v>
      </c>
      <c r="T363" s="236" t="s">
        <v>343</v>
      </c>
      <c r="U363" s="236" t="s">
        <v>262</v>
      </c>
      <c r="V363" s="236" t="s">
        <v>296</v>
      </c>
      <c r="W363" s="237" t="s">
        <v>296</v>
      </c>
      <c r="X363" s="237" t="s">
        <v>296</v>
      </c>
      <c r="Y363" s="238" t="s">
        <v>296</v>
      </c>
    </row>
    <row r="364" spans="1:25">
      <c r="A364" s="230">
        <v>7</v>
      </c>
      <c r="B364" s="231" t="str">
        <f>VLOOKUP(Tabel10[[#This Row],[Locatiecode]],Ruimtegroepen[[Code]:[Ruimte omschrijving]],2,FALSE)</f>
        <v>Entree</v>
      </c>
      <c r="C364" s="232" t="s">
        <v>596</v>
      </c>
      <c r="D364" s="231" t="s">
        <v>21</v>
      </c>
      <c r="E364" s="233" t="s">
        <v>101</v>
      </c>
      <c r="F364" s="232" t="s">
        <v>597</v>
      </c>
      <c r="G364" s="281" t="s">
        <v>296</v>
      </c>
      <c r="H364" s="234" t="s">
        <v>296</v>
      </c>
      <c r="I364" s="234" t="s">
        <v>296</v>
      </c>
      <c r="J364" s="234" t="s">
        <v>20</v>
      </c>
      <c r="K364" s="234" t="s">
        <v>296</v>
      </c>
      <c r="L364" s="234" t="s">
        <v>296</v>
      </c>
      <c r="M364" s="234" t="s">
        <v>296</v>
      </c>
      <c r="N364" s="235" t="s">
        <v>296</v>
      </c>
      <c r="O364" s="236" t="s">
        <v>20</v>
      </c>
      <c r="P364" s="236" t="s">
        <v>20</v>
      </c>
      <c r="Q364" s="236" t="s">
        <v>15</v>
      </c>
      <c r="R364" s="236" t="s">
        <v>15</v>
      </c>
      <c r="S364" s="236" t="s">
        <v>16</v>
      </c>
      <c r="T364" s="236" t="s">
        <v>343</v>
      </c>
      <c r="U364" s="236" t="s">
        <v>262</v>
      </c>
      <c r="V364" s="236" t="s">
        <v>296</v>
      </c>
      <c r="W364" s="237" t="s">
        <v>296</v>
      </c>
      <c r="X364" s="237" t="s">
        <v>296</v>
      </c>
      <c r="Y364" s="238" t="s">
        <v>296</v>
      </c>
    </row>
    <row r="365" spans="1:25">
      <c r="A365" s="230">
        <v>7</v>
      </c>
      <c r="B365" s="231" t="str">
        <f>VLOOKUP(Tabel10[[#This Row],[Locatiecode]],Ruimtegroepen[[Code]:[Ruimte omschrijving]],2,FALSE)</f>
        <v>Entree</v>
      </c>
      <c r="C365" s="232" t="s">
        <v>596</v>
      </c>
      <c r="D365" s="231" t="s">
        <v>21</v>
      </c>
      <c r="E365" s="233" t="s">
        <v>100</v>
      </c>
      <c r="F365" s="232" t="s">
        <v>598</v>
      </c>
      <c r="G365" s="281" t="s">
        <v>296</v>
      </c>
      <c r="H365" s="234" t="s">
        <v>20</v>
      </c>
      <c r="I365" s="234" t="s">
        <v>296</v>
      </c>
      <c r="J365" s="235" t="s">
        <v>296</v>
      </c>
      <c r="K365" s="235" t="s">
        <v>296</v>
      </c>
      <c r="L365" s="234" t="s">
        <v>296</v>
      </c>
      <c r="M365" s="234" t="s">
        <v>296</v>
      </c>
      <c r="N365" s="235" t="s">
        <v>296</v>
      </c>
      <c r="O365" s="236" t="s">
        <v>20</v>
      </c>
      <c r="P365" s="236" t="s">
        <v>20</v>
      </c>
      <c r="Q365" s="236" t="s">
        <v>15</v>
      </c>
      <c r="R365" s="236" t="s">
        <v>15</v>
      </c>
      <c r="S365" s="236" t="s">
        <v>16</v>
      </c>
      <c r="T365" s="236" t="s">
        <v>343</v>
      </c>
      <c r="U365" s="236" t="s">
        <v>262</v>
      </c>
      <c r="V365" s="236" t="s">
        <v>296</v>
      </c>
      <c r="W365" s="237" t="s">
        <v>296</v>
      </c>
      <c r="X365" s="237" t="s">
        <v>296</v>
      </c>
      <c r="Y365" s="238" t="s">
        <v>296</v>
      </c>
    </row>
    <row r="366" spans="1:25">
      <c r="A366" s="230">
        <v>7</v>
      </c>
      <c r="B366" s="231" t="str">
        <f>VLOOKUP(Tabel10[[#This Row],[Locatiecode]],Ruimtegroepen[[Code]:[Ruimte omschrijving]],2,FALSE)</f>
        <v>Entree</v>
      </c>
      <c r="C366" s="232" t="s">
        <v>596</v>
      </c>
      <c r="D366" s="231" t="s">
        <v>21</v>
      </c>
      <c r="E366" s="233" t="s">
        <v>102</v>
      </c>
      <c r="F366" s="232" t="s">
        <v>599</v>
      </c>
      <c r="G366" s="281" t="s">
        <v>296</v>
      </c>
      <c r="H366" s="234" t="s">
        <v>296</v>
      </c>
      <c r="I366" s="234" t="s">
        <v>20</v>
      </c>
      <c r="J366" s="235" t="s">
        <v>296</v>
      </c>
      <c r="K366" s="234" t="s">
        <v>20</v>
      </c>
      <c r="L366" s="234" t="s">
        <v>296</v>
      </c>
      <c r="M366" s="234" t="s">
        <v>296</v>
      </c>
      <c r="N366" s="235" t="s">
        <v>296</v>
      </c>
      <c r="O366" s="236" t="s">
        <v>20</v>
      </c>
      <c r="P366" s="236" t="s">
        <v>20</v>
      </c>
      <c r="Q366" s="236" t="s">
        <v>15</v>
      </c>
      <c r="R366" s="236" t="s">
        <v>15</v>
      </c>
      <c r="S366" s="236" t="s">
        <v>16</v>
      </c>
      <c r="T366" s="236" t="s">
        <v>343</v>
      </c>
      <c r="U366" s="236" t="s">
        <v>262</v>
      </c>
      <c r="V366" s="236" t="s">
        <v>296</v>
      </c>
      <c r="W366" s="237" t="s">
        <v>296</v>
      </c>
      <c r="X366" s="237" t="s">
        <v>296</v>
      </c>
      <c r="Y366" s="238" t="s">
        <v>296</v>
      </c>
    </row>
    <row r="367" spans="1:25">
      <c r="A367" s="230">
        <v>7</v>
      </c>
      <c r="B367" s="231" t="str">
        <f>VLOOKUP(Tabel10[[#This Row],[Locatiecode]],Ruimtegroepen[[Code]:[Ruimte omschrijving]],2,FALSE)</f>
        <v>Entree</v>
      </c>
      <c r="C367" s="232" t="s">
        <v>596</v>
      </c>
      <c r="D367" s="231" t="s">
        <v>21</v>
      </c>
      <c r="E367" s="233" t="s">
        <v>103</v>
      </c>
      <c r="F367" s="232" t="s">
        <v>600</v>
      </c>
      <c r="G367" s="281" t="s">
        <v>296</v>
      </c>
      <c r="H367" s="234" t="s">
        <v>296</v>
      </c>
      <c r="I367" s="234" t="s">
        <v>20</v>
      </c>
      <c r="J367" s="234" t="s">
        <v>296</v>
      </c>
      <c r="K367" s="234" t="s">
        <v>20</v>
      </c>
      <c r="L367" s="234" t="s">
        <v>296</v>
      </c>
      <c r="M367" s="234" t="s">
        <v>296</v>
      </c>
      <c r="N367" s="235" t="s">
        <v>296</v>
      </c>
      <c r="O367" s="236" t="s">
        <v>20</v>
      </c>
      <c r="P367" s="236" t="s">
        <v>20</v>
      </c>
      <c r="Q367" s="236" t="s">
        <v>15</v>
      </c>
      <c r="R367" s="236" t="s">
        <v>15</v>
      </c>
      <c r="S367" s="236" t="s">
        <v>16</v>
      </c>
      <c r="T367" s="236" t="s">
        <v>343</v>
      </c>
      <c r="U367" s="236" t="s">
        <v>262</v>
      </c>
      <c r="V367" s="236" t="s">
        <v>296</v>
      </c>
      <c r="W367" s="237" t="s">
        <v>296</v>
      </c>
      <c r="X367" s="237" t="s">
        <v>296</v>
      </c>
      <c r="Y367" s="238" t="s">
        <v>296</v>
      </c>
    </row>
    <row r="368" spans="1:25">
      <c r="A368" s="230">
        <v>7</v>
      </c>
      <c r="B368" s="231" t="str">
        <f>VLOOKUP(Tabel10[[#This Row],[Locatiecode]],Ruimtegroepen[[Code]:[Ruimte omschrijving]],2,FALSE)</f>
        <v>Entree</v>
      </c>
      <c r="C368" s="232" t="s">
        <v>596</v>
      </c>
      <c r="D368" s="231" t="s">
        <v>21</v>
      </c>
      <c r="E368" s="233" t="s">
        <v>100</v>
      </c>
      <c r="F368" s="232" t="s">
        <v>598</v>
      </c>
      <c r="G368" s="281" t="s">
        <v>296</v>
      </c>
      <c r="H368" s="235" t="s">
        <v>20</v>
      </c>
      <c r="I368" s="234" t="s">
        <v>296</v>
      </c>
      <c r="J368" s="235" t="s">
        <v>296</v>
      </c>
      <c r="K368" s="235" t="s">
        <v>296</v>
      </c>
      <c r="L368" s="234" t="s">
        <v>296</v>
      </c>
      <c r="M368" s="234" t="s">
        <v>296</v>
      </c>
      <c r="N368" s="235" t="s">
        <v>296</v>
      </c>
      <c r="O368" s="236" t="s">
        <v>20</v>
      </c>
      <c r="P368" s="236" t="s">
        <v>20</v>
      </c>
      <c r="Q368" s="236" t="s">
        <v>15</v>
      </c>
      <c r="R368" s="236" t="s">
        <v>15</v>
      </c>
      <c r="S368" s="236" t="s">
        <v>16</v>
      </c>
      <c r="T368" s="236" t="s">
        <v>343</v>
      </c>
      <c r="U368" s="236" t="s">
        <v>262</v>
      </c>
      <c r="V368" s="236" t="s">
        <v>296</v>
      </c>
      <c r="W368" s="237" t="s">
        <v>296</v>
      </c>
      <c r="X368" s="237" t="s">
        <v>296</v>
      </c>
      <c r="Y368" s="238" t="s">
        <v>296</v>
      </c>
    </row>
    <row r="369" spans="1:25">
      <c r="A369" s="230">
        <v>7</v>
      </c>
      <c r="B369" s="231" t="str">
        <f>VLOOKUP(Tabel10[[#This Row],[Locatiecode]],Ruimtegroepen[[Code]:[Ruimte omschrijving]],2,FALSE)</f>
        <v>Entree</v>
      </c>
      <c r="C369" s="232" t="s">
        <v>596</v>
      </c>
      <c r="D369" s="231" t="s">
        <v>21</v>
      </c>
      <c r="E369" s="233" t="s">
        <v>1344</v>
      </c>
      <c r="F369" s="232" t="s">
        <v>1482</v>
      </c>
      <c r="G369" s="281" t="s">
        <v>296</v>
      </c>
      <c r="H369" s="234" t="s">
        <v>296</v>
      </c>
      <c r="I369" s="234" t="s">
        <v>20</v>
      </c>
      <c r="J369" s="234" t="s">
        <v>296</v>
      </c>
      <c r="K369" s="234" t="s">
        <v>20</v>
      </c>
      <c r="L369" s="234" t="s">
        <v>296</v>
      </c>
      <c r="M369" s="234" t="s">
        <v>296</v>
      </c>
      <c r="N369" s="235" t="s">
        <v>296</v>
      </c>
      <c r="O369" s="236" t="s">
        <v>20</v>
      </c>
      <c r="P369" s="236" t="s">
        <v>20</v>
      </c>
      <c r="Q369" s="236" t="s">
        <v>15</v>
      </c>
      <c r="R369" s="236" t="s">
        <v>15</v>
      </c>
      <c r="S369" s="236" t="s">
        <v>16</v>
      </c>
      <c r="T369" s="236" t="s">
        <v>343</v>
      </c>
      <c r="U369" s="236" t="s">
        <v>262</v>
      </c>
      <c r="V369" s="236" t="s">
        <v>296</v>
      </c>
      <c r="W369" s="237" t="s">
        <v>296</v>
      </c>
      <c r="X369" s="237" t="s">
        <v>296</v>
      </c>
      <c r="Y369" s="238" t="s">
        <v>296</v>
      </c>
    </row>
    <row r="370" spans="1:25">
      <c r="A370" s="230">
        <v>7</v>
      </c>
      <c r="B370" s="231" t="str">
        <f>VLOOKUP(Tabel10[[#This Row],[Locatiecode]],Ruimtegroepen[[Code]:[Ruimte omschrijving]],2,FALSE)</f>
        <v>Entree</v>
      </c>
      <c r="C370" s="232" t="s">
        <v>601</v>
      </c>
      <c r="D370" s="231" t="s">
        <v>12</v>
      </c>
      <c r="E370" s="233" t="s">
        <v>101</v>
      </c>
      <c r="F370" s="232" t="s">
        <v>602</v>
      </c>
      <c r="G370" s="281" t="s">
        <v>296</v>
      </c>
      <c r="H370" s="234" t="s">
        <v>296</v>
      </c>
      <c r="I370" s="234" t="s">
        <v>296</v>
      </c>
      <c r="J370" s="234" t="s">
        <v>18</v>
      </c>
      <c r="K370" s="234" t="s">
        <v>296</v>
      </c>
      <c r="L370" s="234" t="s">
        <v>296</v>
      </c>
      <c r="M370" s="234" t="s">
        <v>296</v>
      </c>
      <c r="N370" s="235" t="s">
        <v>296</v>
      </c>
      <c r="O370" s="236" t="s">
        <v>18</v>
      </c>
      <c r="P370" s="236" t="s">
        <v>18</v>
      </c>
      <c r="Q370" s="236" t="s">
        <v>15</v>
      </c>
      <c r="R370" s="236" t="s">
        <v>15</v>
      </c>
      <c r="S370" s="236" t="s">
        <v>16</v>
      </c>
      <c r="T370" s="236" t="s">
        <v>343</v>
      </c>
      <c r="U370" s="236" t="s">
        <v>262</v>
      </c>
      <c r="V370" s="236" t="s">
        <v>296</v>
      </c>
      <c r="W370" s="237" t="s">
        <v>296</v>
      </c>
      <c r="X370" s="237" t="s">
        <v>296</v>
      </c>
      <c r="Y370" s="238" t="s">
        <v>296</v>
      </c>
    </row>
    <row r="371" spans="1:25">
      <c r="A371" s="230">
        <v>7</v>
      </c>
      <c r="B371" s="231" t="str">
        <f>VLOOKUP(Tabel10[[#This Row],[Locatiecode]],Ruimtegroepen[[Code]:[Ruimte omschrijving]],2,FALSE)</f>
        <v>Entree</v>
      </c>
      <c r="C371" s="232" t="s">
        <v>601</v>
      </c>
      <c r="D371" s="231" t="s">
        <v>12</v>
      </c>
      <c r="E371" s="233" t="s">
        <v>100</v>
      </c>
      <c r="F371" s="232" t="s">
        <v>603</v>
      </c>
      <c r="G371" s="281" t="s">
        <v>296</v>
      </c>
      <c r="H371" s="234" t="s">
        <v>18</v>
      </c>
      <c r="I371" s="234" t="s">
        <v>296</v>
      </c>
      <c r="J371" s="235" t="s">
        <v>296</v>
      </c>
      <c r="K371" s="235" t="s">
        <v>296</v>
      </c>
      <c r="L371" s="234" t="s">
        <v>296</v>
      </c>
      <c r="M371" s="234" t="s">
        <v>296</v>
      </c>
      <c r="N371" s="235" t="s">
        <v>296</v>
      </c>
      <c r="O371" s="236" t="s">
        <v>18</v>
      </c>
      <c r="P371" s="236" t="s">
        <v>18</v>
      </c>
      <c r="Q371" s="236" t="s">
        <v>15</v>
      </c>
      <c r="R371" s="236" t="s">
        <v>15</v>
      </c>
      <c r="S371" s="236" t="s">
        <v>16</v>
      </c>
      <c r="T371" s="236" t="s">
        <v>343</v>
      </c>
      <c r="U371" s="236" t="s">
        <v>262</v>
      </c>
      <c r="V371" s="236" t="s">
        <v>296</v>
      </c>
      <c r="W371" s="237" t="s">
        <v>296</v>
      </c>
      <c r="X371" s="237" t="s">
        <v>296</v>
      </c>
      <c r="Y371" s="238" t="s">
        <v>296</v>
      </c>
    </row>
    <row r="372" spans="1:25">
      <c r="A372" s="230">
        <v>7</v>
      </c>
      <c r="B372" s="231" t="str">
        <f>VLOOKUP(Tabel10[[#This Row],[Locatiecode]],Ruimtegroepen[[Code]:[Ruimte omschrijving]],2,FALSE)</f>
        <v>Entree</v>
      </c>
      <c r="C372" s="232" t="s">
        <v>601</v>
      </c>
      <c r="D372" s="231" t="s">
        <v>12</v>
      </c>
      <c r="E372" s="233" t="s">
        <v>102</v>
      </c>
      <c r="F372" s="232" t="s">
        <v>604</v>
      </c>
      <c r="G372" s="281" t="s">
        <v>296</v>
      </c>
      <c r="H372" s="234" t="s">
        <v>296</v>
      </c>
      <c r="I372" s="234" t="s">
        <v>18</v>
      </c>
      <c r="J372" s="235" t="s">
        <v>296</v>
      </c>
      <c r="K372" s="234" t="s">
        <v>18</v>
      </c>
      <c r="L372" s="234" t="s">
        <v>296</v>
      </c>
      <c r="M372" s="234" t="s">
        <v>296</v>
      </c>
      <c r="N372" s="235" t="s">
        <v>296</v>
      </c>
      <c r="O372" s="236" t="s">
        <v>18</v>
      </c>
      <c r="P372" s="236" t="s">
        <v>18</v>
      </c>
      <c r="Q372" s="236" t="s">
        <v>15</v>
      </c>
      <c r="R372" s="236" t="s">
        <v>15</v>
      </c>
      <c r="S372" s="236" t="s">
        <v>16</v>
      </c>
      <c r="T372" s="236" t="s">
        <v>343</v>
      </c>
      <c r="U372" s="236" t="s">
        <v>262</v>
      </c>
      <c r="V372" s="236" t="s">
        <v>296</v>
      </c>
      <c r="W372" s="237" t="s">
        <v>296</v>
      </c>
      <c r="X372" s="237" t="s">
        <v>296</v>
      </c>
      <c r="Y372" s="238" t="s">
        <v>296</v>
      </c>
    </row>
    <row r="373" spans="1:25">
      <c r="A373" s="230">
        <v>7</v>
      </c>
      <c r="B373" s="231" t="str">
        <f>VLOOKUP(Tabel10[[#This Row],[Locatiecode]],Ruimtegroepen[[Code]:[Ruimte omschrijving]],2,FALSE)</f>
        <v>Entree</v>
      </c>
      <c r="C373" s="232" t="s">
        <v>601</v>
      </c>
      <c r="D373" s="231" t="s">
        <v>12</v>
      </c>
      <c r="E373" s="233" t="s">
        <v>103</v>
      </c>
      <c r="F373" s="232" t="s">
        <v>605</v>
      </c>
      <c r="G373" s="281" t="s">
        <v>296</v>
      </c>
      <c r="H373" s="234" t="s">
        <v>296</v>
      </c>
      <c r="I373" s="235" t="s">
        <v>18</v>
      </c>
      <c r="J373" s="235" t="s">
        <v>296</v>
      </c>
      <c r="K373" s="235" t="s">
        <v>18</v>
      </c>
      <c r="L373" s="234" t="s">
        <v>296</v>
      </c>
      <c r="M373" s="234" t="s">
        <v>296</v>
      </c>
      <c r="N373" s="235" t="s">
        <v>296</v>
      </c>
      <c r="O373" s="236" t="s">
        <v>18</v>
      </c>
      <c r="P373" s="236" t="s">
        <v>18</v>
      </c>
      <c r="Q373" s="236" t="s">
        <v>15</v>
      </c>
      <c r="R373" s="236" t="s">
        <v>15</v>
      </c>
      <c r="S373" s="236" t="s">
        <v>16</v>
      </c>
      <c r="T373" s="236" t="s">
        <v>343</v>
      </c>
      <c r="U373" s="236" t="s">
        <v>262</v>
      </c>
      <c r="V373" s="236" t="s">
        <v>296</v>
      </c>
      <c r="W373" s="237" t="s">
        <v>296</v>
      </c>
      <c r="X373" s="237" t="s">
        <v>296</v>
      </c>
      <c r="Y373" s="238" t="s">
        <v>296</v>
      </c>
    </row>
    <row r="374" spans="1:25">
      <c r="A374" s="230">
        <v>7</v>
      </c>
      <c r="B374" s="231" t="str">
        <f>VLOOKUP(Tabel10[[#This Row],[Locatiecode]],Ruimtegroepen[[Code]:[Ruimte omschrijving]],2,FALSE)</f>
        <v>Entree</v>
      </c>
      <c r="C374" s="232" t="s">
        <v>601</v>
      </c>
      <c r="D374" s="231" t="s">
        <v>12</v>
      </c>
      <c r="E374" s="233" t="s">
        <v>100</v>
      </c>
      <c r="F374" s="232" t="s">
        <v>603</v>
      </c>
      <c r="G374" s="281" t="s">
        <v>296</v>
      </c>
      <c r="H374" s="235" t="s">
        <v>18</v>
      </c>
      <c r="I374" s="234" t="s">
        <v>296</v>
      </c>
      <c r="J374" s="235" t="s">
        <v>296</v>
      </c>
      <c r="K374" s="235" t="s">
        <v>296</v>
      </c>
      <c r="L374" s="234" t="s">
        <v>296</v>
      </c>
      <c r="M374" s="234" t="s">
        <v>296</v>
      </c>
      <c r="N374" s="235" t="s">
        <v>296</v>
      </c>
      <c r="O374" s="236" t="s">
        <v>18</v>
      </c>
      <c r="P374" s="236" t="s">
        <v>18</v>
      </c>
      <c r="Q374" s="236" t="s">
        <v>15</v>
      </c>
      <c r="R374" s="236" t="s">
        <v>15</v>
      </c>
      <c r="S374" s="236" t="s">
        <v>16</v>
      </c>
      <c r="T374" s="236" t="s">
        <v>343</v>
      </c>
      <c r="U374" s="236" t="s">
        <v>262</v>
      </c>
      <c r="V374" s="236" t="s">
        <v>296</v>
      </c>
      <c r="W374" s="237" t="s">
        <v>296</v>
      </c>
      <c r="X374" s="237" t="s">
        <v>296</v>
      </c>
      <c r="Y374" s="238" t="s">
        <v>296</v>
      </c>
    </row>
    <row r="375" spans="1:25">
      <c r="A375" s="230">
        <v>7</v>
      </c>
      <c r="B375" s="231" t="str">
        <f>VLOOKUP(Tabel10[[#This Row],[Locatiecode]],Ruimtegroepen[[Code]:[Ruimte omschrijving]],2,FALSE)</f>
        <v>Entree</v>
      </c>
      <c r="C375" s="232" t="s">
        <v>601</v>
      </c>
      <c r="D375" s="231" t="s">
        <v>12</v>
      </c>
      <c r="E375" s="233" t="s">
        <v>1344</v>
      </c>
      <c r="F375" s="232" t="s">
        <v>1464</v>
      </c>
      <c r="G375" s="281" t="s">
        <v>296</v>
      </c>
      <c r="H375" s="234" t="s">
        <v>296</v>
      </c>
      <c r="I375" s="235" t="s">
        <v>18</v>
      </c>
      <c r="J375" s="235" t="s">
        <v>296</v>
      </c>
      <c r="K375" s="235" t="s">
        <v>18</v>
      </c>
      <c r="L375" s="234" t="s">
        <v>296</v>
      </c>
      <c r="M375" s="234" t="s">
        <v>296</v>
      </c>
      <c r="N375" s="235" t="s">
        <v>296</v>
      </c>
      <c r="O375" s="236" t="s">
        <v>18</v>
      </c>
      <c r="P375" s="236" t="s">
        <v>18</v>
      </c>
      <c r="Q375" s="236" t="s">
        <v>15</v>
      </c>
      <c r="R375" s="236" t="s">
        <v>15</v>
      </c>
      <c r="S375" s="236" t="s">
        <v>16</v>
      </c>
      <c r="T375" s="236" t="s">
        <v>343</v>
      </c>
      <c r="U375" s="236" t="s">
        <v>262</v>
      </c>
      <c r="V375" s="236" t="s">
        <v>296</v>
      </c>
      <c r="W375" s="237" t="s">
        <v>296</v>
      </c>
      <c r="X375" s="237" t="s">
        <v>296</v>
      </c>
      <c r="Y375" s="238" t="s">
        <v>296</v>
      </c>
    </row>
    <row r="376" spans="1:25">
      <c r="A376" s="230">
        <v>7</v>
      </c>
      <c r="B376" s="231" t="str">
        <f>VLOOKUP(Tabel10[[#This Row],[Locatiecode]],Ruimtegroepen[[Code]:[Ruimte omschrijving]],2,FALSE)</f>
        <v>Entree</v>
      </c>
      <c r="C376" s="232" t="s">
        <v>606</v>
      </c>
      <c r="D376" s="231" t="s">
        <v>14</v>
      </c>
      <c r="E376" s="233" t="s">
        <v>101</v>
      </c>
      <c r="F376" s="232" t="s">
        <v>607</v>
      </c>
      <c r="G376" s="281" t="s">
        <v>296</v>
      </c>
      <c r="H376" s="234" t="s">
        <v>296</v>
      </c>
      <c r="I376" s="235" t="s">
        <v>17</v>
      </c>
      <c r="J376" s="235" t="s">
        <v>296</v>
      </c>
      <c r="K376" s="235" t="s">
        <v>15</v>
      </c>
      <c r="L376" s="234" t="s">
        <v>296</v>
      </c>
      <c r="M376" s="234" t="s">
        <v>296</v>
      </c>
      <c r="N376" s="235" t="s">
        <v>296</v>
      </c>
      <c r="O376" s="236" t="s">
        <v>17</v>
      </c>
      <c r="P376" s="236" t="s">
        <v>17</v>
      </c>
      <c r="Q376" s="236" t="s">
        <v>15</v>
      </c>
      <c r="R376" s="236" t="s">
        <v>15</v>
      </c>
      <c r="S376" s="236" t="s">
        <v>16</v>
      </c>
      <c r="T376" s="236" t="s">
        <v>343</v>
      </c>
      <c r="U376" s="236" t="s">
        <v>262</v>
      </c>
      <c r="V376" s="236" t="s">
        <v>296</v>
      </c>
      <c r="W376" s="237" t="s">
        <v>296</v>
      </c>
      <c r="X376" s="237" t="s">
        <v>296</v>
      </c>
      <c r="Y376" s="238" t="s">
        <v>296</v>
      </c>
    </row>
    <row r="377" spans="1:25">
      <c r="A377" s="230">
        <v>7</v>
      </c>
      <c r="B377" s="231" t="str">
        <f>VLOOKUP(Tabel10[[#This Row],[Locatiecode]],Ruimtegroepen[[Code]:[Ruimte omschrijving]],2,FALSE)</f>
        <v>Entree</v>
      </c>
      <c r="C377" s="232" t="s">
        <v>606</v>
      </c>
      <c r="D377" s="231" t="s">
        <v>14</v>
      </c>
      <c r="E377" s="233" t="s">
        <v>100</v>
      </c>
      <c r="F377" s="232" t="s">
        <v>608</v>
      </c>
      <c r="G377" s="281" t="s">
        <v>296</v>
      </c>
      <c r="H377" s="234" t="s">
        <v>17</v>
      </c>
      <c r="I377" s="234" t="s">
        <v>296</v>
      </c>
      <c r="J377" s="235" t="s">
        <v>296</v>
      </c>
      <c r="K377" s="235" t="s">
        <v>296</v>
      </c>
      <c r="L377" s="234" t="s">
        <v>296</v>
      </c>
      <c r="M377" s="234" t="s">
        <v>296</v>
      </c>
      <c r="N377" s="235" t="s">
        <v>296</v>
      </c>
      <c r="O377" s="236" t="s">
        <v>17</v>
      </c>
      <c r="P377" s="236" t="s">
        <v>17</v>
      </c>
      <c r="Q377" s="236" t="s">
        <v>15</v>
      </c>
      <c r="R377" s="236" t="s">
        <v>15</v>
      </c>
      <c r="S377" s="236" t="s">
        <v>16</v>
      </c>
      <c r="T377" s="236" t="s">
        <v>343</v>
      </c>
      <c r="U377" s="236" t="s">
        <v>262</v>
      </c>
      <c r="V377" s="236" t="s">
        <v>296</v>
      </c>
      <c r="W377" s="237" t="s">
        <v>296</v>
      </c>
      <c r="X377" s="237" t="s">
        <v>296</v>
      </c>
      <c r="Y377" s="238" t="s">
        <v>296</v>
      </c>
    </row>
    <row r="378" spans="1:25">
      <c r="A378" s="230">
        <v>7</v>
      </c>
      <c r="B378" s="231" t="str">
        <f>VLOOKUP(Tabel10[[#This Row],[Locatiecode]],Ruimtegroepen[[Code]:[Ruimte omschrijving]],2,FALSE)</f>
        <v>Entree</v>
      </c>
      <c r="C378" s="232" t="s">
        <v>606</v>
      </c>
      <c r="D378" s="231" t="s">
        <v>14</v>
      </c>
      <c r="E378" s="233" t="s">
        <v>102</v>
      </c>
      <c r="F378" s="232" t="s">
        <v>609</v>
      </c>
      <c r="G378" s="281" t="s">
        <v>296</v>
      </c>
      <c r="H378" s="234" t="s">
        <v>296</v>
      </c>
      <c r="I378" s="234" t="s">
        <v>17</v>
      </c>
      <c r="J378" s="235" t="s">
        <v>296</v>
      </c>
      <c r="K378" s="234" t="s">
        <v>17</v>
      </c>
      <c r="L378" s="234" t="s">
        <v>296</v>
      </c>
      <c r="M378" s="234" t="s">
        <v>296</v>
      </c>
      <c r="N378" s="235" t="s">
        <v>296</v>
      </c>
      <c r="O378" s="236" t="s">
        <v>17</v>
      </c>
      <c r="P378" s="236" t="s">
        <v>17</v>
      </c>
      <c r="Q378" s="236" t="s">
        <v>15</v>
      </c>
      <c r="R378" s="236" t="s">
        <v>15</v>
      </c>
      <c r="S378" s="236" t="s">
        <v>16</v>
      </c>
      <c r="T378" s="236" t="s">
        <v>343</v>
      </c>
      <c r="U378" s="236" t="s">
        <v>262</v>
      </c>
      <c r="V378" s="236" t="s">
        <v>296</v>
      </c>
      <c r="W378" s="237" t="s">
        <v>296</v>
      </c>
      <c r="X378" s="237" t="s">
        <v>296</v>
      </c>
      <c r="Y378" s="238" t="s">
        <v>296</v>
      </c>
    </row>
    <row r="379" spans="1:25">
      <c r="A379" s="230">
        <v>7</v>
      </c>
      <c r="B379" s="231" t="str">
        <f>VLOOKUP(Tabel10[[#This Row],[Locatiecode]],Ruimtegroepen[[Code]:[Ruimte omschrijving]],2,FALSE)</f>
        <v>Entree</v>
      </c>
      <c r="C379" s="232" t="s">
        <v>606</v>
      </c>
      <c r="D379" s="231" t="s">
        <v>14</v>
      </c>
      <c r="E379" s="233" t="s">
        <v>103</v>
      </c>
      <c r="F379" s="232" t="s">
        <v>610</v>
      </c>
      <c r="G379" s="281" t="s">
        <v>296</v>
      </c>
      <c r="H379" s="234" t="s">
        <v>296</v>
      </c>
      <c r="I379" s="235" t="s">
        <v>17</v>
      </c>
      <c r="J379" s="235" t="s">
        <v>296</v>
      </c>
      <c r="K379" s="235" t="s">
        <v>17</v>
      </c>
      <c r="L379" s="234" t="s">
        <v>296</v>
      </c>
      <c r="M379" s="234" t="s">
        <v>296</v>
      </c>
      <c r="N379" s="235" t="s">
        <v>296</v>
      </c>
      <c r="O379" s="236" t="s">
        <v>17</v>
      </c>
      <c r="P379" s="236" t="s">
        <v>17</v>
      </c>
      <c r="Q379" s="236" t="s">
        <v>15</v>
      </c>
      <c r="R379" s="236" t="s">
        <v>15</v>
      </c>
      <c r="S379" s="236" t="s">
        <v>16</v>
      </c>
      <c r="T379" s="236" t="s">
        <v>343</v>
      </c>
      <c r="U379" s="236" t="s">
        <v>262</v>
      </c>
      <c r="V379" s="236" t="s">
        <v>296</v>
      </c>
      <c r="W379" s="237" t="s">
        <v>296</v>
      </c>
      <c r="X379" s="237" t="s">
        <v>296</v>
      </c>
      <c r="Y379" s="238" t="s">
        <v>296</v>
      </c>
    </row>
    <row r="380" spans="1:25">
      <c r="A380" s="230">
        <v>7</v>
      </c>
      <c r="B380" s="231" t="str">
        <f>VLOOKUP(Tabel10[[#This Row],[Locatiecode]],Ruimtegroepen[[Code]:[Ruimte omschrijving]],2,FALSE)</f>
        <v>Entree</v>
      </c>
      <c r="C380" s="232" t="s">
        <v>606</v>
      </c>
      <c r="D380" s="231" t="s">
        <v>14</v>
      </c>
      <c r="E380" s="233" t="s">
        <v>100</v>
      </c>
      <c r="F380" s="232" t="s">
        <v>608</v>
      </c>
      <c r="G380" s="281" t="s">
        <v>296</v>
      </c>
      <c r="H380" s="235" t="s">
        <v>17</v>
      </c>
      <c r="I380" s="234" t="s">
        <v>296</v>
      </c>
      <c r="J380" s="235" t="s">
        <v>296</v>
      </c>
      <c r="K380" s="235" t="s">
        <v>296</v>
      </c>
      <c r="L380" s="234" t="s">
        <v>296</v>
      </c>
      <c r="M380" s="234" t="s">
        <v>296</v>
      </c>
      <c r="N380" s="235" t="s">
        <v>296</v>
      </c>
      <c r="O380" s="236" t="s">
        <v>17</v>
      </c>
      <c r="P380" s="236" t="s">
        <v>17</v>
      </c>
      <c r="Q380" s="236" t="s">
        <v>15</v>
      </c>
      <c r="R380" s="236" t="s">
        <v>15</v>
      </c>
      <c r="S380" s="236" t="s">
        <v>16</v>
      </c>
      <c r="T380" s="236" t="s">
        <v>343</v>
      </c>
      <c r="U380" s="236" t="s">
        <v>262</v>
      </c>
      <c r="V380" s="236" t="s">
        <v>296</v>
      </c>
      <c r="W380" s="237" t="s">
        <v>296</v>
      </c>
      <c r="X380" s="237" t="s">
        <v>296</v>
      </c>
      <c r="Y380" s="238" t="s">
        <v>296</v>
      </c>
    </row>
    <row r="381" spans="1:25">
      <c r="A381" s="230">
        <v>7</v>
      </c>
      <c r="B381" s="231" t="str">
        <f>VLOOKUP(Tabel10[[#This Row],[Locatiecode]],Ruimtegroepen[[Code]:[Ruimte omschrijving]],2,FALSE)</f>
        <v>Entree</v>
      </c>
      <c r="C381" s="232" t="s">
        <v>606</v>
      </c>
      <c r="D381" s="231" t="s">
        <v>14</v>
      </c>
      <c r="E381" s="233" t="s">
        <v>1344</v>
      </c>
      <c r="F381" s="232" t="s">
        <v>1431</v>
      </c>
      <c r="G381" s="281" t="s">
        <v>296</v>
      </c>
      <c r="H381" s="234" t="s">
        <v>296</v>
      </c>
      <c r="I381" s="235" t="s">
        <v>17</v>
      </c>
      <c r="J381" s="235" t="s">
        <v>296</v>
      </c>
      <c r="K381" s="235" t="s">
        <v>17</v>
      </c>
      <c r="L381" s="234" t="s">
        <v>296</v>
      </c>
      <c r="M381" s="234" t="s">
        <v>296</v>
      </c>
      <c r="N381" s="235" t="s">
        <v>296</v>
      </c>
      <c r="O381" s="236" t="s">
        <v>17</v>
      </c>
      <c r="P381" s="236" t="s">
        <v>17</v>
      </c>
      <c r="Q381" s="236" t="s">
        <v>15</v>
      </c>
      <c r="R381" s="236" t="s">
        <v>15</v>
      </c>
      <c r="S381" s="236" t="s">
        <v>16</v>
      </c>
      <c r="T381" s="236" t="s">
        <v>343</v>
      </c>
      <c r="U381" s="236" t="s">
        <v>262</v>
      </c>
      <c r="V381" s="236" t="s">
        <v>296</v>
      </c>
      <c r="W381" s="237" t="s">
        <v>296</v>
      </c>
      <c r="X381" s="237" t="s">
        <v>296</v>
      </c>
      <c r="Y381" s="238" t="s">
        <v>296</v>
      </c>
    </row>
    <row r="382" spans="1:25">
      <c r="A382" s="230">
        <v>7</v>
      </c>
      <c r="B382" s="231" t="str">
        <f>VLOOKUP(Tabel10[[#This Row],[Locatiecode]],Ruimtegroepen[[Code]:[Ruimte omschrijving]],2,FALSE)</f>
        <v>Entree</v>
      </c>
      <c r="C382" s="232" t="s">
        <v>611</v>
      </c>
      <c r="D382" s="231" t="s">
        <v>13</v>
      </c>
      <c r="E382" s="233" t="s">
        <v>101</v>
      </c>
      <c r="F382" s="232" t="s">
        <v>612</v>
      </c>
      <c r="G382" s="281" t="s">
        <v>296</v>
      </c>
      <c r="H382" s="234" t="s">
        <v>296</v>
      </c>
      <c r="I382" s="234" t="s">
        <v>296</v>
      </c>
      <c r="J382" s="234" t="s">
        <v>15</v>
      </c>
      <c r="K382" s="234" t="s">
        <v>296</v>
      </c>
      <c r="L382" s="234" t="s">
        <v>296</v>
      </c>
      <c r="M382" s="234" t="s">
        <v>296</v>
      </c>
      <c r="N382" s="235" t="s">
        <v>296</v>
      </c>
      <c r="O382" s="236" t="s">
        <v>15</v>
      </c>
      <c r="P382" s="236" t="s">
        <v>15</v>
      </c>
      <c r="Q382" s="236" t="s">
        <v>15</v>
      </c>
      <c r="R382" s="236" t="s">
        <v>15</v>
      </c>
      <c r="S382" s="236" t="s">
        <v>16</v>
      </c>
      <c r="T382" s="236" t="s">
        <v>343</v>
      </c>
      <c r="U382" s="236" t="s">
        <v>262</v>
      </c>
      <c r="V382" s="236" t="s">
        <v>296</v>
      </c>
      <c r="W382" s="237" t="s">
        <v>296</v>
      </c>
      <c r="X382" s="237" t="s">
        <v>296</v>
      </c>
      <c r="Y382" s="238" t="s">
        <v>296</v>
      </c>
    </row>
    <row r="383" spans="1:25">
      <c r="A383" s="230">
        <v>7</v>
      </c>
      <c r="B383" s="231" t="str">
        <f>VLOOKUP(Tabel10[[#This Row],[Locatiecode]],Ruimtegroepen[[Code]:[Ruimte omschrijving]],2,FALSE)</f>
        <v>Entree</v>
      </c>
      <c r="C383" s="232" t="s">
        <v>611</v>
      </c>
      <c r="D383" s="231" t="s">
        <v>13</v>
      </c>
      <c r="E383" s="233" t="s">
        <v>100</v>
      </c>
      <c r="F383" s="232" t="s">
        <v>613</v>
      </c>
      <c r="G383" s="281" t="s">
        <v>296</v>
      </c>
      <c r="H383" s="235" t="s">
        <v>15</v>
      </c>
      <c r="I383" s="234" t="s">
        <v>296</v>
      </c>
      <c r="J383" s="235" t="s">
        <v>296</v>
      </c>
      <c r="K383" s="235" t="s">
        <v>296</v>
      </c>
      <c r="L383" s="234" t="s">
        <v>296</v>
      </c>
      <c r="M383" s="234" t="s">
        <v>296</v>
      </c>
      <c r="N383" s="235" t="s">
        <v>296</v>
      </c>
      <c r="O383" s="236" t="s">
        <v>15</v>
      </c>
      <c r="P383" s="236" t="s">
        <v>15</v>
      </c>
      <c r="Q383" s="236" t="s">
        <v>15</v>
      </c>
      <c r="R383" s="236" t="s">
        <v>15</v>
      </c>
      <c r="S383" s="236" t="s">
        <v>16</v>
      </c>
      <c r="T383" s="236" t="s">
        <v>343</v>
      </c>
      <c r="U383" s="236" t="s">
        <v>262</v>
      </c>
      <c r="V383" s="236" t="s">
        <v>296</v>
      </c>
      <c r="W383" s="237" t="s">
        <v>296</v>
      </c>
      <c r="X383" s="237" t="s">
        <v>296</v>
      </c>
      <c r="Y383" s="238" t="s">
        <v>296</v>
      </c>
    </row>
    <row r="384" spans="1:25">
      <c r="A384" s="230">
        <v>7</v>
      </c>
      <c r="B384" s="231" t="str">
        <f>VLOOKUP(Tabel10[[#This Row],[Locatiecode]],Ruimtegroepen[[Code]:[Ruimte omschrijving]],2,FALSE)</f>
        <v>Entree</v>
      </c>
      <c r="C384" s="232" t="s">
        <v>611</v>
      </c>
      <c r="D384" s="231" t="s">
        <v>13</v>
      </c>
      <c r="E384" s="233" t="s">
        <v>102</v>
      </c>
      <c r="F384" s="232" t="s">
        <v>614</v>
      </c>
      <c r="G384" s="281" t="s">
        <v>296</v>
      </c>
      <c r="H384" s="234" t="s">
        <v>296</v>
      </c>
      <c r="I384" s="235" t="s">
        <v>15</v>
      </c>
      <c r="J384" s="235" t="s">
        <v>296</v>
      </c>
      <c r="K384" s="235" t="s">
        <v>15</v>
      </c>
      <c r="L384" s="234" t="s">
        <v>296</v>
      </c>
      <c r="M384" s="234" t="s">
        <v>296</v>
      </c>
      <c r="N384" s="235" t="s">
        <v>296</v>
      </c>
      <c r="O384" s="236" t="s">
        <v>15</v>
      </c>
      <c r="P384" s="236" t="s">
        <v>15</v>
      </c>
      <c r="Q384" s="236" t="s">
        <v>15</v>
      </c>
      <c r="R384" s="236" t="s">
        <v>15</v>
      </c>
      <c r="S384" s="236" t="s">
        <v>16</v>
      </c>
      <c r="T384" s="236" t="s">
        <v>343</v>
      </c>
      <c r="U384" s="236" t="s">
        <v>262</v>
      </c>
      <c r="V384" s="236" t="s">
        <v>296</v>
      </c>
      <c r="W384" s="237" t="s">
        <v>296</v>
      </c>
      <c r="X384" s="237" t="s">
        <v>296</v>
      </c>
      <c r="Y384" s="238" t="s">
        <v>296</v>
      </c>
    </row>
    <row r="385" spans="1:25">
      <c r="A385" s="230">
        <v>7</v>
      </c>
      <c r="B385" s="231" t="str">
        <f>VLOOKUP(Tabel10[[#This Row],[Locatiecode]],Ruimtegroepen[[Code]:[Ruimte omschrijving]],2,FALSE)</f>
        <v>Entree</v>
      </c>
      <c r="C385" s="232" t="s">
        <v>611</v>
      </c>
      <c r="D385" s="231" t="s">
        <v>13</v>
      </c>
      <c r="E385" s="233" t="s">
        <v>103</v>
      </c>
      <c r="F385" s="232" t="s">
        <v>615</v>
      </c>
      <c r="G385" s="281" t="s">
        <v>296</v>
      </c>
      <c r="H385" s="234" t="s">
        <v>296</v>
      </c>
      <c r="I385" s="235" t="s">
        <v>15</v>
      </c>
      <c r="J385" s="235" t="s">
        <v>296</v>
      </c>
      <c r="K385" s="235" t="s">
        <v>15</v>
      </c>
      <c r="L385" s="234" t="s">
        <v>296</v>
      </c>
      <c r="M385" s="234" t="s">
        <v>296</v>
      </c>
      <c r="N385" s="235" t="s">
        <v>296</v>
      </c>
      <c r="O385" s="236" t="s">
        <v>15</v>
      </c>
      <c r="P385" s="236" t="s">
        <v>15</v>
      </c>
      <c r="Q385" s="236" t="s">
        <v>15</v>
      </c>
      <c r="R385" s="236" t="s">
        <v>15</v>
      </c>
      <c r="S385" s="236" t="s">
        <v>16</v>
      </c>
      <c r="T385" s="236" t="s">
        <v>343</v>
      </c>
      <c r="U385" s="236" t="s">
        <v>262</v>
      </c>
      <c r="V385" s="236" t="s">
        <v>296</v>
      </c>
      <c r="W385" s="237" t="s">
        <v>296</v>
      </c>
      <c r="X385" s="237" t="s">
        <v>296</v>
      </c>
      <c r="Y385" s="238" t="s">
        <v>296</v>
      </c>
    </row>
    <row r="386" spans="1:25">
      <c r="A386" s="230">
        <v>7</v>
      </c>
      <c r="B386" s="231" t="str">
        <f>VLOOKUP(Tabel10[[#This Row],[Locatiecode]],Ruimtegroepen[[Code]:[Ruimte omschrijving]],2,FALSE)</f>
        <v>Entree</v>
      </c>
      <c r="C386" s="232" t="s">
        <v>611</v>
      </c>
      <c r="D386" s="231" t="s">
        <v>13</v>
      </c>
      <c r="E386" s="233" t="s">
        <v>100</v>
      </c>
      <c r="F386" s="232" t="s">
        <v>613</v>
      </c>
      <c r="G386" s="281" t="s">
        <v>296</v>
      </c>
      <c r="H386" s="235" t="s">
        <v>15</v>
      </c>
      <c r="I386" s="234" t="s">
        <v>296</v>
      </c>
      <c r="J386" s="235" t="s">
        <v>296</v>
      </c>
      <c r="K386" s="235" t="s">
        <v>296</v>
      </c>
      <c r="L386" s="234" t="s">
        <v>296</v>
      </c>
      <c r="M386" s="234" t="s">
        <v>296</v>
      </c>
      <c r="N386" s="235" t="s">
        <v>296</v>
      </c>
      <c r="O386" s="236" t="s">
        <v>15</v>
      </c>
      <c r="P386" s="236" t="s">
        <v>15</v>
      </c>
      <c r="Q386" s="236" t="s">
        <v>15</v>
      </c>
      <c r="R386" s="236" t="s">
        <v>15</v>
      </c>
      <c r="S386" s="236" t="s">
        <v>16</v>
      </c>
      <c r="T386" s="236" t="s">
        <v>343</v>
      </c>
      <c r="U386" s="236" t="s">
        <v>262</v>
      </c>
      <c r="V386" s="236" t="s">
        <v>296</v>
      </c>
      <c r="W386" s="237" t="s">
        <v>296</v>
      </c>
      <c r="X386" s="237" t="s">
        <v>296</v>
      </c>
      <c r="Y386" s="238" t="s">
        <v>296</v>
      </c>
    </row>
    <row r="387" spans="1:25">
      <c r="A387" s="230">
        <v>7</v>
      </c>
      <c r="B387" s="231" t="str">
        <f>VLOOKUP(Tabel10[[#This Row],[Locatiecode]],Ruimtegroepen[[Code]:[Ruimte omschrijving]],2,FALSE)</f>
        <v>Entree</v>
      </c>
      <c r="C387" s="232" t="s">
        <v>611</v>
      </c>
      <c r="D387" s="231" t="s">
        <v>13</v>
      </c>
      <c r="E387" s="233" t="s">
        <v>1344</v>
      </c>
      <c r="F387" s="232" t="s">
        <v>1398</v>
      </c>
      <c r="G387" s="281" t="s">
        <v>296</v>
      </c>
      <c r="H387" s="234" t="s">
        <v>296</v>
      </c>
      <c r="I387" s="235" t="s">
        <v>15</v>
      </c>
      <c r="J387" s="235" t="s">
        <v>296</v>
      </c>
      <c r="K387" s="235" t="s">
        <v>15</v>
      </c>
      <c r="L387" s="234" t="s">
        <v>296</v>
      </c>
      <c r="M387" s="234" t="s">
        <v>296</v>
      </c>
      <c r="N387" s="235" t="s">
        <v>296</v>
      </c>
      <c r="O387" s="236" t="s">
        <v>15</v>
      </c>
      <c r="P387" s="236" t="s">
        <v>15</v>
      </c>
      <c r="Q387" s="236" t="s">
        <v>15</v>
      </c>
      <c r="R387" s="236" t="s">
        <v>15</v>
      </c>
      <c r="S387" s="236" t="s">
        <v>16</v>
      </c>
      <c r="T387" s="236" t="s">
        <v>343</v>
      </c>
      <c r="U387" s="236" t="s">
        <v>262</v>
      </c>
      <c r="V387" s="236" t="s">
        <v>296</v>
      </c>
      <c r="W387" s="237" t="s">
        <v>296</v>
      </c>
      <c r="X387" s="237" t="s">
        <v>296</v>
      </c>
      <c r="Y387" s="238" t="s">
        <v>296</v>
      </c>
    </row>
    <row r="388" spans="1:25">
      <c r="A388" s="230">
        <v>7</v>
      </c>
      <c r="B388" s="231" t="str">
        <f>VLOOKUP(Tabel10[[#This Row],[Locatiecode]],Ruimtegroepen[[Code]:[Ruimte omschrijving]],2,FALSE)</f>
        <v>Entree</v>
      </c>
      <c r="C388" s="232" t="s">
        <v>616</v>
      </c>
      <c r="D388" s="231" t="s">
        <v>0</v>
      </c>
      <c r="E388" s="233" t="s">
        <v>101</v>
      </c>
      <c r="F388" s="232" t="s">
        <v>617</v>
      </c>
      <c r="G388" s="281" t="s">
        <v>296</v>
      </c>
      <c r="H388" s="234" t="s">
        <v>296</v>
      </c>
      <c r="I388" s="234" t="s">
        <v>296</v>
      </c>
      <c r="J388" s="235" t="s">
        <v>16</v>
      </c>
      <c r="K388" s="234" t="s">
        <v>296</v>
      </c>
      <c r="L388" s="234" t="s">
        <v>296</v>
      </c>
      <c r="M388" s="234" t="s">
        <v>296</v>
      </c>
      <c r="N388" s="235" t="s">
        <v>296</v>
      </c>
      <c r="O388" s="236" t="s">
        <v>16</v>
      </c>
      <c r="P388" s="236" t="s">
        <v>16</v>
      </c>
      <c r="Q388" s="236" t="s">
        <v>16</v>
      </c>
      <c r="R388" s="236" t="s">
        <v>16</v>
      </c>
      <c r="S388" s="236" t="s">
        <v>16</v>
      </c>
      <c r="T388" s="236" t="s">
        <v>343</v>
      </c>
      <c r="U388" s="236" t="s">
        <v>262</v>
      </c>
      <c r="V388" s="236" t="s">
        <v>296</v>
      </c>
      <c r="W388" s="237" t="s">
        <v>296</v>
      </c>
      <c r="X388" s="237" t="s">
        <v>296</v>
      </c>
      <c r="Y388" s="238" t="s">
        <v>296</v>
      </c>
    </row>
    <row r="389" spans="1:25">
      <c r="A389" s="230">
        <v>7</v>
      </c>
      <c r="B389" s="231" t="str">
        <f>VLOOKUP(Tabel10[[#This Row],[Locatiecode]],Ruimtegroepen[[Code]:[Ruimte omschrijving]],2,FALSE)</f>
        <v>Entree</v>
      </c>
      <c r="C389" s="232" t="s">
        <v>616</v>
      </c>
      <c r="D389" s="231" t="s">
        <v>0</v>
      </c>
      <c r="E389" s="233" t="s">
        <v>100</v>
      </c>
      <c r="F389" s="232" t="s">
        <v>618</v>
      </c>
      <c r="G389" s="281" t="s">
        <v>296</v>
      </c>
      <c r="H389" s="235" t="s">
        <v>16</v>
      </c>
      <c r="I389" s="234" t="s">
        <v>296</v>
      </c>
      <c r="J389" s="235" t="s">
        <v>296</v>
      </c>
      <c r="K389" s="235" t="s">
        <v>296</v>
      </c>
      <c r="L389" s="234" t="s">
        <v>296</v>
      </c>
      <c r="M389" s="234" t="s">
        <v>296</v>
      </c>
      <c r="N389" s="235" t="s">
        <v>296</v>
      </c>
      <c r="O389" s="236" t="s">
        <v>16</v>
      </c>
      <c r="P389" s="236" t="s">
        <v>16</v>
      </c>
      <c r="Q389" s="236" t="s">
        <v>16</v>
      </c>
      <c r="R389" s="236" t="s">
        <v>16</v>
      </c>
      <c r="S389" s="236" t="s">
        <v>16</v>
      </c>
      <c r="T389" s="236" t="s">
        <v>343</v>
      </c>
      <c r="U389" s="236" t="s">
        <v>262</v>
      </c>
      <c r="V389" s="236" t="s">
        <v>296</v>
      </c>
      <c r="W389" s="237" t="s">
        <v>296</v>
      </c>
      <c r="X389" s="237" t="s">
        <v>296</v>
      </c>
      <c r="Y389" s="238" t="s">
        <v>296</v>
      </c>
    </row>
    <row r="390" spans="1:25">
      <c r="A390" s="230">
        <v>7</v>
      </c>
      <c r="B390" s="231" t="str">
        <f>VLOOKUP(Tabel10[[#This Row],[Locatiecode]],Ruimtegroepen[[Code]:[Ruimte omschrijving]],2,FALSE)</f>
        <v>Entree</v>
      </c>
      <c r="C390" s="232" t="s">
        <v>616</v>
      </c>
      <c r="D390" s="231" t="s">
        <v>0</v>
      </c>
      <c r="E390" s="233" t="s">
        <v>102</v>
      </c>
      <c r="F390" s="232" t="s">
        <v>619</v>
      </c>
      <c r="G390" s="281" t="s">
        <v>296</v>
      </c>
      <c r="H390" s="234" t="s">
        <v>296</v>
      </c>
      <c r="I390" s="235" t="s">
        <v>16</v>
      </c>
      <c r="J390" s="235" t="s">
        <v>296</v>
      </c>
      <c r="K390" s="235" t="s">
        <v>16</v>
      </c>
      <c r="L390" s="234" t="s">
        <v>296</v>
      </c>
      <c r="M390" s="234" t="s">
        <v>296</v>
      </c>
      <c r="N390" s="235" t="s">
        <v>296</v>
      </c>
      <c r="O390" s="236" t="s">
        <v>16</v>
      </c>
      <c r="P390" s="236" t="s">
        <v>16</v>
      </c>
      <c r="Q390" s="236" t="s">
        <v>16</v>
      </c>
      <c r="R390" s="236" t="s">
        <v>16</v>
      </c>
      <c r="S390" s="236" t="s">
        <v>16</v>
      </c>
      <c r="T390" s="236" t="s">
        <v>343</v>
      </c>
      <c r="U390" s="236" t="s">
        <v>262</v>
      </c>
      <c r="V390" s="236" t="s">
        <v>296</v>
      </c>
      <c r="W390" s="237" t="s">
        <v>296</v>
      </c>
      <c r="X390" s="237" t="s">
        <v>296</v>
      </c>
      <c r="Y390" s="238" t="s">
        <v>296</v>
      </c>
    </row>
    <row r="391" spans="1:25">
      <c r="A391" s="230">
        <v>7</v>
      </c>
      <c r="B391" s="231" t="str">
        <f>VLOOKUP(Tabel10[[#This Row],[Locatiecode]],Ruimtegroepen[[Code]:[Ruimte omschrijving]],2,FALSE)</f>
        <v>Entree</v>
      </c>
      <c r="C391" s="232" t="s">
        <v>616</v>
      </c>
      <c r="D391" s="231" t="s">
        <v>0</v>
      </c>
      <c r="E391" s="233" t="s">
        <v>103</v>
      </c>
      <c r="F391" s="232" t="s">
        <v>620</v>
      </c>
      <c r="G391" s="281" t="s">
        <v>296</v>
      </c>
      <c r="H391" s="234" t="s">
        <v>296</v>
      </c>
      <c r="I391" s="235" t="s">
        <v>16</v>
      </c>
      <c r="J391" s="235" t="s">
        <v>296</v>
      </c>
      <c r="K391" s="235" t="s">
        <v>16</v>
      </c>
      <c r="L391" s="234" t="s">
        <v>296</v>
      </c>
      <c r="M391" s="234" t="s">
        <v>296</v>
      </c>
      <c r="N391" s="235" t="s">
        <v>296</v>
      </c>
      <c r="O391" s="236" t="s">
        <v>16</v>
      </c>
      <c r="P391" s="236" t="s">
        <v>16</v>
      </c>
      <c r="Q391" s="236" t="s">
        <v>16</v>
      </c>
      <c r="R391" s="236" t="s">
        <v>16</v>
      </c>
      <c r="S391" s="236" t="s">
        <v>16</v>
      </c>
      <c r="T391" s="236" t="s">
        <v>343</v>
      </c>
      <c r="U391" s="236" t="s">
        <v>262</v>
      </c>
      <c r="V391" s="236" t="s">
        <v>296</v>
      </c>
      <c r="W391" s="237" t="s">
        <v>296</v>
      </c>
      <c r="X391" s="237" t="s">
        <v>296</v>
      </c>
      <c r="Y391" s="238" t="s">
        <v>296</v>
      </c>
    </row>
    <row r="392" spans="1:25">
      <c r="A392" s="230">
        <v>7</v>
      </c>
      <c r="B392" s="231" t="str">
        <f>VLOOKUP(Tabel10[[#This Row],[Locatiecode]],Ruimtegroepen[[Code]:[Ruimte omschrijving]],2,FALSE)</f>
        <v>Entree</v>
      </c>
      <c r="C392" s="232" t="s">
        <v>616</v>
      </c>
      <c r="D392" s="231" t="s">
        <v>0</v>
      </c>
      <c r="E392" s="233" t="s">
        <v>100</v>
      </c>
      <c r="F392" s="232" t="s">
        <v>618</v>
      </c>
      <c r="G392" s="281" t="s">
        <v>296</v>
      </c>
      <c r="H392" s="235" t="s">
        <v>16</v>
      </c>
      <c r="I392" s="234" t="s">
        <v>296</v>
      </c>
      <c r="J392" s="235" t="s">
        <v>296</v>
      </c>
      <c r="K392" s="235" t="s">
        <v>296</v>
      </c>
      <c r="L392" s="234" t="s">
        <v>296</v>
      </c>
      <c r="M392" s="234" t="s">
        <v>296</v>
      </c>
      <c r="N392" s="235" t="s">
        <v>296</v>
      </c>
      <c r="O392" s="236" t="s">
        <v>16</v>
      </c>
      <c r="P392" s="236" t="s">
        <v>16</v>
      </c>
      <c r="Q392" s="236" t="s">
        <v>16</v>
      </c>
      <c r="R392" s="236" t="s">
        <v>16</v>
      </c>
      <c r="S392" s="236" t="s">
        <v>16</v>
      </c>
      <c r="T392" s="236" t="s">
        <v>343</v>
      </c>
      <c r="U392" s="236" t="s">
        <v>262</v>
      </c>
      <c r="V392" s="236" t="s">
        <v>296</v>
      </c>
      <c r="W392" s="237" t="s">
        <v>296</v>
      </c>
      <c r="X392" s="237" t="s">
        <v>296</v>
      </c>
      <c r="Y392" s="238" t="s">
        <v>296</v>
      </c>
    </row>
    <row r="393" spans="1:25">
      <c r="A393" s="230">
        <v>7</v>
      </c>
      <c r="B393" s="231" t="str">
        <f>VLOOKUP(Tabel10[[#This Row],[Locatiecode]],Ruimtegroepen[[Code]:[Ruimte omschrijving]],2,FALSE)</f>
        <v>Entree</v>
      </c>
      <c r="C393" s="232" t="s">
        <v>616</v>
      </c>
      <c r="D393" s="231" t="s">
        <v>0</v>
      </c>
      <c r="E393" s="233" t="s">
        <v>1344</v>
      </c>
      <c r="F393" s="232" t="s">
        <v>1382</v>
      </c>
      <c r="G393" s="281" t="s">
        <v>296</v>
      </c>
      <c r="H393" s="234" t="s">
        <v>296</v>
      </c>
      <c r="I393" s="235" t="s">
        <v>16</v>
      </c>
      <c r="J393" s="235" t="s">
        <v>296</v>
      </c>
      <c r="K393" s="235" t="s">
        <v>16</v>
      </c>
      <c r="L393" s="234" t="s">
        <v>296</v>
      </c>
      <c r="M393" s="234" t="s">
        <v>296</v>
      </c>
      <c r="N393" s="235" t="s">
        <v>296</v>
      </c>
      <c r="O393" s="236" t="s">
        <v>16</v>
      </c>
      <c r="P393" s="236" t="s">
        <v>16</v>
      </c>
      <c r="Q393" s="236" t="s">
        <v>16</v>
      </c>
      <c r="R393" s="236" t="s">
        <v>16</v>
      </c>
      <c r="S393" s="236" t="s">
        <v>16</v>
      </c>
      <c r="T393" s="236" t="s">
        <v>343</v>
      </c>
      <c r="U393" s="236" t="s">
        <v>262</v>
      </c>
      <c r="V393" s="236" t="s">
        <v>296</v>
      </c>
      <c r="W393" s="237" t="s">
        <v>296</v>
      </c>
      <c r="X393" s="237" t="s">
        <v>296</v>
      </c>
      <c r="Y393" s="238" t="s">
        <v>296</v>
      </c>
    </row>
    <row r="394" spans="1:25">
      <c r="A394" s="230">
        <v>7</v>
      </c>
      <c r="B394" s="231" t="str">
        <f>VLOOKUP(Tabel10[[#This Row],[Locatiecode]],Ruimtegroepen[[Code]:[Ruimte omschrijving]],2,FALSE)</f>
        <v>Entree</v>
      </c>
      <c r="C394" s="232" t="s">
        <v>621</v>
      </c>
      <c r="D394" s="231" t="s">
        <v>27</v>
      </c>
      <c r="E394" s="233" t="s">
        <v>101</v>
      </c>
      <c r="F394" s="232" t="s">
        <v>622</v>
      </c>
      <c r="G394" s="281" t="s">
        <v>296</v>
      </c>
      <c r="H394" s="234" t="s">
        <v>296</v>
      </c>
      <c r="I394" s="235" t="s">
        <v>15</v>
      </c>
      <c r="J394" s="235" t="s">
        <v>296</v>
      </c>
      <c r="K394" s="235" t="s">
        <v>296</v>
      </c>
      <c r="L394" s="234" t="s">
        <v>296</v>
      </c>
      <c r="M394" s="234" t="s">
        <v>296</v>
      </c>
      <c r="N394" s="235" t="s">
        <v>296</v>
      </c>
      <c r="O394" s="236" t="s">
        <v>15</v>
      </c>
      <c r="P394" s="236" t="s">
        <v>15</v>
      </c>
      <c r="Q394" s="236" t="s">
        <v>15</v>
      </c>
      <c r="R394" s="236" t="s">
        <v>296</v>
      </c>
      <c r="S394" s="236" t="s">
        <v>296</v>
      </c>
      <c r="T394" s="236" t="s">
        <v>296</v>
      </c>
      <c r="U394" s="236" t="s">
        <v>296</v>
      </c>
      <c r="V394" s="236" t="s">
        <v>296</v>
      </c>
      <c r="W394" s="237" t="s">
        <v>296</v>
      </c>
      <c r="X394" s="237" t="s">
        <v>296</v>
      </c>
      <c r="Y394" s="238" t="s">
        <v>296</v>
      </c>
    </row>
    <row r="395" spans="1:25">
      <c r="A395" s="230">
        <v>7</v>
      </c>
      <c r="B395" s="231" t="str">
        <f>VLOOKUP(Tabel10[[#This Row],[Locatiecode]],Ruimtegroepen[[Code]:[Ruimte omschrijving]],2,FALSE)</f>
        <v>Entree</v>
      </c>
      <c r="C395" s="232" t="s">
        <v>621</v>
      </c>
      <c r="D395" s="231" t="s">
        <v>27</v>
      </c>
      <c r="E395" s="233" t="s">
        <v>100</v>
      </c>
      <c r="F395" s="232" t="s">
        <v>623</v>
      </c>
      <c r="G395" s="281" t="s">
        <v>296</v>
      </c>
      <c r="H395" s="235" t="s">
        <v>15</v>
      </c>
      <c r="I395" s="234" t="s">
        <v>296</v>
      </c>
      <c r="J395" s="235" t="s">
        <v>296</v>
      </c>
      <c r="K395" s="235" t="s">
        <v>296</v>
      </c>
      <c r="L395" s="234" t="s">
        <v>296</v>
      </c>
      <c r="M395" s="234" t="s">
        <v>296</v>
      </c>
      <c r="N395" s="235" t="s">
        <v>296</v>
      </c>
      <c r="O395" s="236" t="s">
        <v>15</v>
      </c>
      <c r="P395" s="236" t="s">
        <v>15</v>
      </c>
      <c r="Q395" s="236" t="s">
        <v>15</v>
      </c>
      <c r="R395" s="236" t="s">
        <v>296</v>
      </c>
      <c r="S395" s="236" t="s">
        <v>296</v>
      </c>
      <c r="T395" s="236" t="s">
        <v>296</v>
      </c>
      <c r="U395" s="236" t="s">
        <v>296</v>
      </c>
      <c r="V395" s="236" t="s">
        <v>296</v>
      </c>
      <c r="W395" s="237" t="s">
        <v>296</v>
      </c>
      <c r="X395" s="237" t="s">
        <v>296</v>
      </c>
      <c r="Y395" s="238" t="s">
        <v>296</v>
      </c>
    </row>
    <row r="396" spans="1:25">
      <c r="A396" s="230">
        <v>7</v>
      </c>
      <c r="B396" s="231" t="str">
        <f>VLOOKUP(Tabel10[[#This Row],[Locatiecode]],Ruimtegroepen[[Code]:[Ruimte omschrijving]],2,FALSE)</f>
        <v>Entree</v>
      </c>
      <c r="C396" s="232" t="s">
        <v>621</v>
      </c>
      <c r="D396" s="231" t="s">
        <v>27</v>
      </c>
      <c r="E396" s="233" t="s">
        <v>102</v>
      </c>
      <c r="F396" s="232" t="s">
        <v>624</v>
      </c>
      <c r="G396" s="281" t="s">
        <v>296</v>
      </c>
      <c r="H396" s="234" t="s">
        <v>296</v>
      </c>
      <c r="I396" s="235" t="s">
        <v>15</v>
      </c>
      <c r="J396" s="235" t="s">
        <v>296</v>
      </c>
      <c r="K396" s="235" t="s">
        <v>296</v>
      </c>
      <c r="L396" s="234" t="s">
        <v>296</v>
      </c>
      <c r="M396" s="234" t="s">
        <v>296</v>
      </c>
      <c r="N396" s="235" t="s">
        <v>296</v>
      </c>
      <c r="O396" s="236" t="s">
        <v>15</v>
      </c>
      <c r="P396" s="236" t="s">
        <v>15</v>
      </c>
      <c r="Q396" s="236" t="s">
        <v>15</v>
      </c>
      <c r="R396" s="236" t="s">
        <v>296</v>
      </c>
      <c r="S396" s="236" t="s">
        <v>296</v>
      </c>
      <c r="T396" s="236" t="s">
        <v>296</v>
      </c>
      <c r="U396" s="236" t="s">
        <v>296</v>
      </c>
      <c r="V396" s="236" t="s">
        <v>296</v>
      </c>
      <c r="W396" s="237" t="s">
        <v>296</v>
      </c>
      <c r="X396" s="237" t="s">
        <v>296</v>
      </c>
      <c r="Y396" s="238" t="s">
        <v>296</v>
      </c>
    </row>
    <row r="397" spans="1:25">
      <c r="A397" s="230">
        <v>7</v>
      </c>
      <c r="B397" s="231" t="str">
        <f>VLOOKUP(Tabel10[[#This Row],[Locatiecode]],Ruimtegroepen[[Code]:[Ruimte omschrijving]],2,FALSE)</f>
        <v>Entree</v>
      </c>
      <c r="C397" s="232" t="s">
        <v>621</v>
      </c>
      <c r="D397" s="231" t="s">
        <v>27</v>
      </c>
      <c r="E397" s="233" t="s">
        <v>103</v>
      </c>
      <c r="F397" s="232" t="s">
        <v>625</v>
      </c>
      <c r="G397" s="281" t="s">
        <v>296</v>
      </c>
      <c r="H397" s="234" t="s">
        <v>296</v>
      </c>
      <c r="I397" s="235" t="s">
        <v>15</v>
      </c>
      <c r="J397" s="235" t="s">
        <v>296</v>
      </c>
      <c r="K397" s="235" t="s">
        <v>296</v>
      </c>
      <c r="L397" s="234" t="s">
        <v>296</v>
      </c>
      <c r="M397" s="234" t="s">
        <v>296</v>
      </c>
      <c r="N397" s="235" t="s">
        <v>296</v>
      </c>
      <c r="O397" s="236" t="s">
        <v>15</v>
      </c>
      <c r="P397" s="236" t="s">
        <v>15</v>
      </c>
      <c r="Q397" s="236" t="s">
        <v>15</v>
      </c>
      <c r="R397" s="236" t="s">
        <v>296</v>
      </c>
      <c r="S397" s="236" t="s">
        <v>296</v>
      </c>
      <c r="T397" s="236" t="s">
        <v>296</v>
      </c>
      <c r="U397" s="236" t="s">
        <v>296</v>
      </c>
      <c r="V397" s="236" t="s">
        <v>296</v>
      </c>
      <c r="W397" s="237" t="s">
        <v>296</v>
      </c>
      <c r="X397" s="237" t="s">
        <v>296</v>
      </c>
      <c r="Y397" s="238" t="s">
        <v>296</v>
      </c>
    </row>
    <row r="398" spans="1:25">
      <c r="A398" s="230">
        <v>7</v>
      </c>
      <c r="B398" s="231" t="str">
        <f>VLOOKUP(Tabel10[[#This Row],[Locatiecode]],Ruimtegroepen[[Code]:[Ruimte omschrijving]],2,FALSE)</f>
        <v>Entree</v>
      </c>
      <c r="C398" s="232" t="s">
        <v>621</v>
      </c>
      <c r="D398" s="231" t="s">
        <v>27</v>
      </c>
      <c r="E398" s="233" t="s">
        <v>100</v>
      </c>
      <c r="F398" s="232" t="s">
        <v>623</v>
      </c>
      <c r="G398" s="281" t="s">
        <v>296</v>
      </c>
      <c r="H398" s="235" t="s">
        <v>15</v>
      </c>
      <c r="I398" s="234" t="s">
        <v>296</v>
      </c>
      <c r="J398" s="235" t="s">
        <v>296</v>
      </c>
      <c r="K398" s="235" t="s">
        <v>296</v>
      </c>
      <c r="L398" s="234" t="s">
        <v>296</v>
      </c>
      <c r="M398" s="234" t="s">
        <v>296</v>
      </c>
      <c r="N398" s="235" t="s">
        <v>296</v>
      </c>
      <c r="O398" s="236" t="s">
        <v>15</v>
      </c>
      <c r="P398" s="236" t="s">
        <v>15</v>
      </c>
      <c r="Q398" s="236" t="s">
        <v>15</v>
      </c>
      <c r="R398" s="236" t="s">
        <v>296</v>
      </c>
      <c r="S398" s="236" t="s">
        <v>296</v>
      </c>
      <c r="T398" s="236" t="s">
        <v>296</v>
      </c>
      <c r="U398" s="236" t="s">
        <v>296</v>
      </c>
      <c r="V398" s="236" t="s">
        <v>296</v>
      </c>
      <c r="W398" s="237" t="s">
        <v>296</v>
      </c>
      <c r="X398" s="237" t="s">
        <v>296</v>
      </c>
      <c r="Y398" s="238" t="s">
        <v>296</v>
      </c>
    </row>
    <row r="399" spans="1:25">
      <c r="A399" s="230">
        <v>7</v>
      </c>
      <c r="B399" s="231" t="str">
        <f>VLOOKUP(Tabel10[[#This Row],[Locatiecode]],Ruimtegroepen[[Code]:[Ruimte omschrijving]],2,FALSE)</f>
        <v>Entree</v>
      </c>
      <c r="C399" s="232" t="s">
        <v>621</v>
      </c>
      <c r="D399" s="231" t="s">
        <v>27</v>
      </c>
      <c r="E399" s="233" t="s">
        <v>1344</v>
      </c>
      <c r="F399" s="232" t="s">
        <v>1415</v>
      </c>
      <c r="G399" s="281" t="s">
        <v>296</v>
      </c>
      <c r="H399" s="234" t="s">
        <v>296</v>
      </c>
      <c r="I399" s="235" t="s">
        <v>15</v>
      </c>
      <c r="J399" s="235" t="s">
        <v>296</v>
      </c>
      <c r="K399" s="235" t="s">
        <v>296</v>
      </c>
      <c r="L399" s="234" t="s">
        <v>296</v>
      </c>
      <c r="M399" s="234" t="s">
        <v>296</v>
      </c>
      <c r="N399" s="235" t="s">
        <v>296</v>
      </c>
      <c r="O399" s="236" t="s">
        <v>15</v>
      </c>
      <c r="P399" s="236" t="s">
        <v>15</v>
      </c>
      <c r="Q399" s="236" t="s">
        <v>15</v>
      </c>
      <c r="R399" s="236" t="s">
        <v>296</v>
      </c>
      <c r="S399" s="236" t="s">
        <v>296</v>
      </c>
      <c r="T399" s="236" t="s">
        <v>296</v>
      </c>
      <c r="U399" s="236" t="s">
        <v>296</v>
      </c>
      <c r="V399" s="236" t="s">
        <v>296</v>
      </c>
      <c r="W399" s="237" t="s">
        <v>296</v>
      </c>
      <c r="X399" s="237" t="s">
        <v>296</v>
      </c>
      <c r="Y399" s="238" t="s">
        <v>296</v>
      </c>
    </row>
    <row r="400" spans="1:25">
      <c r="A400" s="230">
        <v>7</v>
      </c>
      <c r="B400" s="231" t="str">
        <f>VLOOKUP(Tabel10[[#This Row],[Locatiecode]],Ruimtegroepen[[Code]:[Ruimte omschrijving]],2,FALSE)</f>
        <v>Entree</v>
      </c>
      <c r="C400" s="232" t="s">
        <v>626</v>
      </c>
      <c r="D400" s="231" t="s">
        <v>28</v>
      </c>
      <c r="E400" s="233" t="s">
        <v>101</v>
      </c>
      <c r="F400" s="232" t="s">
        <v>627</v>
      </c>
      <c r="G400" s="281" t="s">
        <v>296</v>
      </c>
      <c r="H400" s="234" t="s">
        <v>296</v>
      </c>
      <c r="I400" s="235" t="s">
        <v>17</v>
      </c>
      <c r="J400" s="235" t="s">
        <v>296</v>
      </c>
      <c r="K400" s="235" t="s">
        <v>296</v>
      </c>
      <c r="L400" s="234" t="s">
        <v>296</v>
      </c>
      <c r="M400" s="234" t="s">
        <v>296</v>
      </c>
      <c r="N400" s="235" t="s">
        <v>296</v>
      </c>
      <c r="O400" s="236" t="s">
        <v>17</v>
      </c>
      <c r="P400" s="236" t="s">
        <v>17</v>
      </c>
      <c r="Q400" s="236" t="s">
        <v>15</v>
      </c>
      <c r="R400" s="236" t="s">
        <v>296</v>
      </c>
      <c r="S400" s="236" t="s">
        <v>296</v>
      </c>
      <c r="T400" s="236" t="s">
        <v>296</v>
      </c>
      <c r="U400" s="236" t="s">
        <v>296</v>
      </c>
      <c r="V400" s="236" t="s">
        <v>296</v>
      </c>
      <c r="W400" s="237" t="s">
        <v>296</v>
      </c>
      <c r="X400" s="237" t="s">
        <v>296</v>
      </c>
      <c r="Y400" s="238" t="s">
        <v>296</v>
      </c>
    </row>
    <row r="401" spans="1:25">
      <c r="A401" s="230">
        <v>7</v>
      </c>
      <c r="B401" s="231" t="str">
        <f>VLOOKUP(Tabel10[[#This Row],[Locatiecode]],Ruimtegroepen[[Code]:[Ruimte omschrijving]],2,FALSE)</f>
        <v>Entree</v>
      </c>
      <c r="C401" s="232" t="s">
        <v>626</v>
      </c>
      <c r="D401" s="231" t="s">
        <v>28</v>
      </c>
      <c r="E401" s="233" t="s">
        <v>100</v>
      </c>
      <c r="F401" s="232" t="s">
        <v>628</v>
      </c>
      <c r="G401" s="281" t="s">
        <v>296</v>
      </c>
      <c r="H401" s="235" t="s">
        <v>17</v>
      </c>
      <c r="I401" s="234" t="s">
        <v>296</v>
      </c>
      <c r="J401" s="235" t="s">
        <v>296</v>
      </c>
      <c r="K401" s="235" t="s">
        <v>296</v>
      </c>
      <c r="L401" s="234" t="s">
        <v>296</v>
      </c>
      <c r="M401" s="234" t="s">
        <v>296</v>
      </c>
      <c r="N401" s="235" t="s">
        <v>296</v>
      </c>
      <c r="O401" s="236" t="s">
        <v>17</v>
      </c>
      <c r="P401" s="236" t="s">
        <v>17</v>
      </c>
      <c r="Q401" s="236" t="s">
        <v>15</v>
      </c>
      <c r="R401" s="236" t="s">
        <v>296</v>
      </c>
      <c r="S401" s="236" t="s">
        <v>296</v>
      </c>
      <c r="T401" s="236" t="s">
        <v>296</v>
      </c>
      <c r="U401" s="236" t="s">
        <v>296</v>
      </c>
      <c r="V401" s="236" t="s">
        <v>296</v>
      </c>
      <c r="W401" s="237" t="s">
        <v>296</v>
      </c>
      <c r="X401" s="237" t="s">
        <v>296</v>
      </c>
      <c r="Y401" s="238" t="s">
        <v>296</v>
      </c>
    </row>
    <row r="402" spans="1:25">
      <c r="A402" s="230">
        <v>7</v>
      </c>
      <c r="B402" s="231" t="str">
        <f>VLOOKUP(Tabel10[[#This Row],[Locatiecode]],Ruimtegroepen[[Code]:[Ruimte omschrijving]],2,FALSE)</f>
        <v>Entree</v>
      </c>
      <c r="C402" s="232" t="s">
        <v>626</v>
      </c>
      <c r="D402" s="231" t="s">
        <v>28</v>
      </c>
      <c r="E402" s="233" t="s">
        <v>102</v>
      </c>
      <c r="F402" s="232" t="s">
        <v>629</v>
      </c>
      <c r="G402" s="281" t="s">
        <v>296</v>
      </c>
      <c r="H402" s="234" t="s">
        <v>296</v>
      </c>
      <c r="I402" s="235" t="s">
        <v>17</v>
      </c>
      <c r="J402" s="235" t="s">
        <v>296</v>
      </c>
      <c r="K402" s="235" t="s">
        <v>296</v>
      </c>
      <c r="L402" s="234" t="s">
        <v>296</v>
      </c>
      <c r="M402" s="234" t="s">
        <v>296</v>
      </c>
      <c r="N402" s="235" t="s">
        <v>296</v>
      </c>
      <c r="O402" s="236" t="s">
        <v>17</v>
      </c>
      <c r="P402" s="236" t="s">
        <v>17</v>
      </c>
      <c r="Q402" s="236" t="s">
        <v>15</v>
      </c>
      <c r="R402" s="236" t="s">
        <v>296</v>
      </c>
      <c r="S402" s="236" t="s">
        <v>296</v>
      </c>
      <c r="T402" s="236" t="s">
        <v>296</v>
      </c>
      <c r="U402" s="236" t="s">
        <v>296</v>
      </c>
      <c r="V402" s="236" t="s">
        <v>296</v>
      </c>
      <c r="W402" s="237" t="s">
        <v>296</v>
      </c>
      <c r="X402" s="237" t="s">
        <v>296</v>
      </c>
      <c r="Y402" s="238" t="s">
        <v>296</v>
      </c>
    </row>
    <row r="403" spans="1:25">
      <c r="A403" s="230">
        <v>7</v>
      </c>
      <c r="B403" s="231" t="str">
        <f>VLOOKUP(Tabel10[[#This Row],[Locatiecode]],Ruimtegroepen[[Code]:[Ruimte omschrijving]],2,FALSE)</f>
        <v>Entree</v>
      </c>
      <c r="C403" s="232" t="s">
        <v>626</v>
      </c>
      <c r="D403" s="231" t="s">
        <v>28</v>
      </c>
      <c r="E403" s="233" t="s">
        <v>103</v>
      </c>
      <c r="F403" s="232" t="s">
        <v>630</v>
      </c>
      <c r="G403" s="281" t="s">
        <v>296</v>
      </c>
      <c r="H403" s="234" t="s">
        <v>296</v>
      </c>
      <c r="I403" s="235" t="s">
        <v>17</v>
      </c>
      <c r="J403" s="235" t="s">
        <v>296</v>
      </c>
      <c r="K403" s="235" t="s">
        <v>296</v>
      </c>
      <c r="L403" s="234" t="s">
        <v>296</v>
      </c>
      <c r="M403" s="234" t="s">
        <v>296</v>
      </c>
      <c r="N403" s="235" t="s">
        <v>296</v>
      </c>
      <c r="O403" s="236" t="s">
        <v>17</v>
      </c>
      <c r="P403" s="236" t="s">
        <v>17</v>
      </c>
      <c r="Q403" s="236" t="s">
        <v>15</v>
      </c>
      <c r="R403" s="236" t="s">
        <v>296</v>
      </c>
      <c r="S403" s="236" t="s">
        <v>296</v>
      </c>
      <c r="T403" s="236" t="s">
        <v>296</v>
      </c>
      <c r="U403" s="236" t="s">
        <v>296</v>
      </c>
      <c r="V403" s="236" t="s">
        <v>296</v>
      </c>
      <c r="W403" s="237" t="s">
        <v>296</v>
      </c>
      <c r="X403" s="237" t="s">
        <v>296</v>
      </c>
      <c r="Y403" s="238" t="s">
        <v>296</v>
      </c>
    </row>
    <row r="404" spans="1:25">
      <c r="A404" s="230">
        <v>7</v>
      </c>
      <c r="B404" s="231" t="str">
        <f>VLOOKUP(Tabel10[[#This Row],[Locatiecode]],Ruimtegroepen[[Code]:[Ruimte omschrijving]],2,FALSE)</f>
        <v>Entree</v>
      </c>
      <c r="C404" s="232" t="s">
        <v>626</v>
      </c>
      <c r="D404" s="231" t="s">
        <v>28</v>
      </c>
      <c r="E404" s="233" t="s">
        <v>100</v>
      </c>
      <c r="F404" s="232" t="s">
        <v>628</v>
      </c>
      <c r="G404" s="281" t="s">
        <v>296</v>
      </c>
      <c r="H404" s="235" t="s">
        <v>17</v>
      </c>
      <c r="I404" s="234" t="s">
        <v>296</v>
      </c>
      <c r="J404" s="235" t="s">
        <v>296</v>
      </c>
      <c r="K404" s="235" t="s">
        <v>296</v>
      </c>
      <c r="L404" s="234" t="s">
        <v>296</v>
      </c>
      <c r="M404" s="234" t="s">
        <v>296</v>
      </c>
      <c r="N404" s="235" t="s">
        <v>296</v>
      </c>
      <c r="O404" s="236" t="s">
        <v>17</v>
      </c>
      <c r="P404" s="236" t="s">
        <v>17</v>
      </c>
      <c r="Q404" s="236" t="s">
        <v>15</v>
      </c>
      <c r="R404" s="236" t="s">
        <v>296</v>
      </c>
      <c r="S404" s="236" t="s">
        <v>296</v>
      </c>
      <c r="T404" s="236" t="s">
        <v>296</v>
      </c>
      <c r="U404" s="236" t="s">
        <v>296</v>
      </c>
      <c r="V404" s="236" t="s">
        <v>296</v>
      </c>
      <c r="W404" s="237" t="s">
        <v>296</v>
      </c>
      <c r="X404" s="237" t="s">
        <v>296</v>
      </c>
      <c r="Y404" s="238" t="s">
        <v>296</v>
      </c>
    </row>
    <row r="405" spans="1:25">
      <c r="A405" s="230">
        <v>7</v>
      </c>
      <c r="B405" s="231" t="str">
        <f>VLOOKUP(Tabel10[[#This Row],[Locatiecode]],Ruimtegroepen[[Code]:[Ruimte omschrijving]],2,FALSE)</f>
        <v>Entree</v>
      </c>
      <c r="C405" s="232" t="s">
        <v>626</v>
      </c>
      <c r="D405" s="231" t="s">
        <v>28</v>
      </c>
      <c r="E405" s="233" t="s">
        <v>1344</v>
      </c>
      <c r="F405" s="232" t="s">
        <v>1448</v>
      </c>
      <c r="G405" s="281" t="s">
        <v>296</v>
      </c>
      <c r="H405" s="234" t="s">
        <v>296</v>
      </c>
      <c r="I405" s="235" t="s">
        <v>17</v>
      </c>
      <c r="J405" s="235" t="s">
        <v>296</v>
      </c>
      <c r="K405" s="235" t="s">
        <v>296</v>
      </c>
      <c r="L405" s="234" t="s">
        <v>296</v>
      </c>
      <c r="M405" s="234" t="s">
        <v>296</v>
      </c>
      <c r="N405" s="235" t="s">
        <v>296</v>
      </c>
      <c r="O405" s="236" t="s">
        <v>17</v>
      </c>
      <c r="P405" s="236" t="s">
        <v>17</v>
      </c>
      <c r="Q405" s="236" t="s">
        <v>15</v>
      </c>
      <c r="R405" s="236" t="s">
        <v>296</v>
      </c>
      <c r="S405" s="236" t="s">
        <v>296</v>
      </c>
      <c r="T405" s="236" t="s">
        <v>296</v>
      </c>
      <c r="U405" s="236" t="s">
        <v>296</v>
      </c>
      <c r="V405" s="236" t="s">
        <v>296</v>
      </c>
      <c r="W405" s="237" t="s">
        <v>296</v>
      </c>
      <c r="X405" s="237" t="s">
        <v>296</v>
      </c>
      <c r="Y405" s="238" t="s">
        <v>296</v>
      </c>
    </row>
    <row r="406" spans="1:25">
      <c r="A406" s="230">
        <v>8</v>
      </c>
      <c r="B406" s="231" t="str">
        <f>VLOOKUP(Tabel10[[#This Row],[Locatiecode]],Ruimtegroepen[[Code]:[Ruimte omschrijving]],2,FALSE)</f>
        <v>receptie</v>
      </c>
      <c r="C406" s="232" t="s">
        <v>631</v>
      </c>
      <c r="D406" s="231" t="s">
        <v>29</v>
      </c>
      <c r="E406" s="233" t="s">
        <v>101</v>
      </c>
      <c r="F406" s="232" t="s">
        <v>632</v>
      </c>
      <c r="G406" s="281" t="s">
        <v>296</v>
      </c>
      <c r="H406" s="234" t="s">
        <v>296</v>
      </c>
      <c r="I406" s="234" t="s">
        <v>20</v>
      </c>
      <c r="J406" s="235" t="s">
        <v>15</v>
      </c>
      <c r="K406" s="235" t="s">
        <v>296</v>
      </c>
      <c r="L406" s="234" t="s">
        <v>296</v>
      </c>
      <c r="M406" s="234" t="s">
        <v>296</v>
      </c>
      <c r="N406" s="235" t="s">
        <v>2</v>
      </c>
      <c r="O406" s="236" t="s">
        <v>2</v>
      </c>
      <c r="P406" s="236" t="s">
        <v>2</v>
      </c>
      <c r="Q406" s="236" t="s">
        <v>15</v>
      </c>
      <c r="R406" s="236" t="s">
        <v>15</v>
      </c>
      <c r="S406" s="236" t="s">
        <v>16</v>
      </c>
      <c r="T406" s="236" t="s">
        <v>343</v>
      </c>
      <c r="U406" s="236" t="s">
        <v>262</v>
      </c>
      <c r="V406" s="236" t="s">
        <v>2</v>
      </c>
      <c r="W406" s="237" t="s">
        <v>296</v>
      </c>
      <c r="X406" s="237" t="s">
        <v>296</v>
      </c>
      <c r="Y406" s="238" t="s">
        <v>296</v>
      </c>
    </row>
    <row r="407" spans="1:25">
      <c r="A407" s="230">
        <v>8</v>
      </c>
      <c r="B407" s="231" t="str">
        <f>VLOOKUP(Tabel10[[#This Row],[Locatiecode]],Ruimtegroepen[[Code]:[Ruimte omschrijving]],2,FALSE)</f>
        <v>receptie</v>
      </c>
      <c r="C407" s="232" t="s">
        <v>631</v>
      </c>
      <c r="D407" s="231" t="s">
        <v>29</v>
      </c>
      <c r="E407" s="233" t="s">
        <v>100</v>
      </c>
      <c r="F407" s="232" t="s">
        <v>633</v>
      </c>
      <c r="G407" s="281" t="s">
        <v>296</v>
      </c>
      <c r="H407" s="235" t="s">
        <v>2</v>
      </c>
      <c r="I407" s="234" t="s">
        <v>296</v>
      </c>
      <c r="J407" s="235" t="s">
        <v>296</v>
      </c>
      <c r="K407" s="235" t="s">
        <v>296</v>
      </c>
      <c r="L407" s="234" t="s">
        <v>296</v>
      </c>
      <c r="M407" s="234" t="s">
        <v>296</v>
      </c>
      <c r="N407" s="235" t="s">
        <v>2</v>
      </c>
      <c r="O407" s="236" t="s">
        <v>2</v>
      </c>
      <c r="P407" s="236" t="s">
        <v>2</v>
      </c>
      <c r="Q407" s="236" t="s">
        <v>15</v>
      </c>
      <c r="R407" s="236" t="s">
        <v>15</v>
      </c>
      <c r="S407" s="236" t="s">
        <v>16</v>
      </c>
      <c r="T407" s="236" t="s">
        <v>343</v>
      </c>
      <c r="U407" s="236" t="s">
        <v>262</v>
      </c>
      <c r="V407" s="236" t="s">
        <v>2</v>
      </c>
      <c r="W407" s="237" t="s">
        <v>296</v>
      </c>
      <c r="X407" s="237" t="s">
        <v>296</v>
      </c>
      <c r="Y407" s="238" t="s">
        <v>296</v>
      </c>
    </row>
    <row r="408" spans="1:25">
      <c r="A408" s="230">
        <v>8</v>
      </c>
      <c r="B408" s="231" t="str">
        <f>VLOOKUP(Tabel10[[#This Row],[Locatiecode]],Ruimtegroepen[[Code]:[Ruimte omschrijving]],2,FALSE)</f>
        <v>receptie</v>
      </c>
      <c r="C408" s="232" t="s">
        <v>631</v>
      </c>
      <c r="D408" s="231" t="s">
        <v>29</v>
      </c>
      <c r="E408" s="233" t="s">
        <v>102</v>
      </c>
      <c r="F408" s="232" t="s">
        <v>634</v>
      </c>
      <c r="G408" s="281" t="s">
        <v>296</v>
      </c>
      <c r="H408" s="234" t="s">
        <v>296</v>
      </c>
      <c r="I408" s="234" t="s">
        <v>20</v>
      </c>
      <c r="J408" s="234" t="s">
        <v>15</v>
      </c>
      <c r="K408" s="234" t="s">
        <v>297</v>
      </c>
      <c r="L408" s="234" t="s">
        <v>296</v>
      </c>
      <c r="M408" s="234" t="s">
        <v>296</v>
      </c>
      <c r="N408" s="235" t="s">
        <v>2</v>
      </c>
      <c r="O408" s="236" t="s">
        <v>2</v>
      </c>
      <c r="P408" s="236" t="s">
        <v>2</v>
      </c>
      <c r="Q408" s="236" t="s">
        <v>15</v>
      </c>
      <c r="R408" s="236" t="s">
        <v>15</v>
      </c>
      <c r="S408" s="236" t="s">
        <v>16</v>
      </c>
      <c r="T408" s="236" t="s">
        <v>343</v>
      </c>
      <c r="U408" s="236" t="s">
        <v>262</v>
      </c>
      <c r="V408" s="236" t="s">
        <v>2</v>
      </c>
      <c r="W408" s="237" t="s">
        <v>296</v>
      </c>
      <c r="X408" s="237" t="s">
        <v>296</v>
      </c>
      <c r="Y408" s="238" t="s">
        <v>296</v>
      </c>
    </row>
    <row r="409" spans="1:25">
      <c r="A409" s="230">
        <v>8</v>
      </c>
      <c r="B409" s="231" t="str">
        <f>VLOOKUP(Tabel10[[#This Row],[Locatiecode]],Ruimtegroepen[[Code]:[Ruimte omschrijving]],2,FALSE)</f>
        <v>receptie</v>
      </c>
      <c r="C409" s="232" t="s">
        <v>631</v>
      </c>
      <c r="D409" s="231" t="s">
        <v>29</v>
      </c>
      <c r="E409" s="233" t="s">
        <v>103</v>
      </c>
      <c r="F409" s="232" t="s">
        <v>635</v>
      </c>
      <c r="G409" s="281" t="s">
        <v>296</v>
      </c>
      <c r="H409" s="234" t="s">
        <v>296</v>
      </c>
      <c r="I409" s="234" t="s">
        <v>20</v>
      </c>
      <c r="J409" s="234" t="s">
        <v>15</v>
      </c>
      <c r="K409" s="234" t="s">
        <v>297</v>
      </c>
      <c r="L409" s="234" t="s">
        <v>296</v>
      </c>
      <c r="M409" s="234" t="s">
        <v>296</v>
      </c>
      <c r="N409" s="235" t="s">
        <v>2</v>
      </c>
      <c r="O409" s="236" t="s">
        <v>2</v>
      </c>
      <c r="P409" s="236" t="s">
        <v>2</v>
      </c>
      <c r="Q409" s="236" t="s">
        <v>15</v>
      </c>
      <c r="R409" s="236" t="s">
        <v>15</v>
      </c>
      <c r="S409" s="236" t="s">
        <v>16</v>
      </c>
      <c r="T409" s="236" t="s">
        <v>343</v>
      </c>
      <c r="U409" s="236" t="s">
        <v>262</v>
      </c>
      <c r="V409" s="236" t="s">
        <v>2</v>
      </c>
      <c r="W409" s="237" t="s">
        <v>296</v>
      </c>
      <c r="X409" s="237" t="s">
        <v>296</v>
      </c>
      <c r="Y409" s="238" t="s">
        <v>296</v>
      </c>
    </row>
    <row r="410" spans="1:25">
      <c r="A410" s="230">
        <v>8</v>
      </c>
      <c r="B410" s="231" t="str">
        <f>VLOOKUP(Tabel10[[#This Row],[Locatiecode]],Ruimtegroepen[[Code]:[Ruimte omschrijving]],2,FALSE)</f>
        <v>receptie</v>
      </c>
      <c r="C410" s="232" t="s">
        <v>631</v>
      </c>
      <c r="D410" s="231" t="s">
        <v>29</v>
      </c>
      <c r="E410" s="233" t="s">
        <v>100</v>
      </c>
      <c r="F410" s="232" t="s">
        <v>633</v>
      </c>
      <c r="G410" s="281" t="s">
        <v>296</v>
      </c>
      <c r="H410" s="235" t="s">
        <v>2</v>
      </c>
      <c r="I410" s="234" t="s">
        <v>296</v>
      </c>
      <c r="J410" s="235" t="s">
        <v>296</v>
      </c>
      <c r="K410" s="235" t="s">
        <v>296</v>
      </c>
      <c r="L410" s="234" t="s">
        <v>296</v>
      </c>
      <c r="M410" s="234" t="s">
        <v>296</v>
      </c>
      <c r="N410" s="235" t="s">
        <v>2</v>
      </c>
      <c r="O410" s="236" t="s">
        <v>2</v>
      </c>
      <c r="P410" s="236" t="s">
        <v>2</v>
      </c>
      <c r="Q410" s="236" t="s">
        <v>15</v>
      </c>
      <c r="R410" s="236" t="s">
        <v>15</v>
      </c>
      <c r="S410" s="236" t="s">
        <v>16</v>
      </c>
      <c r="T410" s="236" t="s">
        <v>343</v>
      </c>
      <c r="U410" s="236" t="s">
        <v>262</v>
      </c>
      <c r="V410" s="236" t="s">
        <v>2</v>
      </c>
      <c r="W410" s="237" t="s">
        <v>296</v>
      </c>
      <c r="X410" s="237" t="s">
        <v>296</v>
      </c>
      <c r="Y410" s="238" t="s">
        <v>296</v>
      </c>
    </row>
    <row r="411" spans="1:25">
      <c r="A411" s="230">
        <v>8</v>
      </c>
      <c r="B411" s="231" t="str">
        <f>VLOOKUP(Tabel10[[#This Row],[Locatiecode]],Ruimtegroepen[[Code]:[Ruimte omschrijving]],2,FALSE)</f>
        <v>receptie</v>
      </c>
      <c r="C411" s="232" t="s">
        <v>631</v>
      </c>
      <c r="D411" s="231" t="s">
        <v>29</v>
      </c>
      <c r="E411" s="233" t="s">
        <v>1344</v>
      </c>
      <c r="F411" s="232" t="s">
        <v>1516</v>
      </c>
      <c r="G411" s="281" t="s">
        <v>296</v>
      </c>
      <c r="H411" s="234" t="s">
        <v>296</v>
      </c>
      <c r="I411" s="234" t="s">
        <v>20</v>
      </c>
      <c r="J411" s="234" t="s">
        <v>15</v>
      </c>
      <c r="K411" s="234" t="s">
        <v>297</v>
      </c>
      <c r="L411" s="234" t="s">
        <v>296</v>
      </c>
      <c r="M411" s="234" t="s">
        <v>296</v>
      </c>
      <c r="N411" s="235" t="s">
        <v>2</v>
      </c>
      <c r="O411" s="236" t="s">
        <v>2</v>
      </c>
      <c r="P411" s="236" t="s">
        <v>2</v>
      </c>
      <c r="Q411" s="236" t="s">
        <v>15</v>
      </c>
      <c r="R411" s="236" t="s">
        <v>15</v>
      </c>
      <c r="S411" s="236" t="s">
        <v>16</v>
      </c>
      <c r="T411" s="236" t="s">
        <v>343</v>
      </c>
      <c r="U411" s="236" t="s">
        <v>262</v>
      </c>
      <c r="V411" s="236" t="s">
        <v>2</v>
      </c>
      <c r="W411" s="237" t="s">
        <v>296</v>
      </c>
      <c r="X411" s="237" t="s">
        <v>296</v>
      </c>
      <c r="Y411" s="238" t="s">
        <v>296</v>
      </c>
    </row>
    <row r="412" spans="1:25">
      <c r="A412" s="230">
        <v>8</v>
      </c>
      <c r="B412" s="231" t="str">
        <f>VLOOKUP(Tabel10[[#This Row],[Locatiecode]],Ruimtegroepen[[Code]:[Ruimte omschrijving]],2,FALSE)</f>
        <v>receptie</v>
      </c>
      <c r="C412" s="232" t="s">
        <v>636</v>
      </c>
      <c r="D412" s="231" t="s">
        <v>1</v>
      </c>
      <c r="E412" s="233" t="s">
        <v>101</v>
      </c>
      <c r="F412" s="232" t="s">
        <v>637</v>
      </c>
      <c r="G412" s="281" t="s">
        <v>296</v>
      </c>
      <c r="H412" s="234" t="s">
        <v>296</v>
      </c>
      <c r="I412" s="234" t="s">
        <v>20</v>
      </c>
      <c r="J412" s="235" t="s">
        <v>15</v>
      </c>
      <c r="K412" s="235" t="s">
        <v>296</v>
      </c>
      <c r="L412" s="234" t="s">
        <v>296</v>
      </c>
      <c r="M412" s="234" t="s">
        <v>296</v>
      </c>
      <c r="N412" s="235" t="s">
        <v>296</v>
      </c>
      <c r="O412" s="236" t="s">
        <v>2</v>
      </c>
      <c r="P412" s="236" t="s">
        <v>2</v>
      </c>
      <c r="Q412" s="236" t="s">
        <v>15</v>
      </c>
      <c r="R412" s="236" t="s">
        <v>15</v>
      </c>
      <c r="S412" s="236" t="s">
        <v>16</v>
      </c>
      <c r="T412" s="236" t="s">
        <v>343</v>
      </c>
      <c r="U412" s="236" t="s">
        <v>262</v>
      </c>
      <c r="V412" s="236" t="s">
        <v>296</v>
      </c>
      <c r="W412" s="237" t="s">
        <v>296</v>
      </c>
      <c r="X412" s="237" t="s">
        <v>296</v>
      </c>
      <c r="Y412" s="238" t="s">
        <v>296</v>
      </c>
    </row>
    <row r="413" spans="1:25">
      <c r="A413" s="230">
        <v>8</v>
      </c>
      <c r="B413" s="231" t="str">
        <f>VLOOKUP(Tabel10[[#This Row],[Locatiecode]],Ruimtegroepen[[Code]:[Ruimte omschrijving]],2,FALSE)</f>
        <v>receptie</v>
      </c>
      <c r="C413" s="232" t="s">
        <v>636</v>
      </c>
      <c r="D413" s="231" t="s">
        <v>1</v>
      </c>
      <c r="E413" s="233" t="s">
        <v>100</v>
      </c>
      <c r="F413" s="232" t="s">
        <v>638</v>
      </c>
      <c r="G413" s="281" t="s">
        <v>296</v>
      </c>
      <c r="H413" s="235" t="s">
        <v>2</v>
      </c>
      <c r="I413" s="234" t="s">
        <v>296</v>
      </c>
      <c r="J413" s="235" t="s">
        <v>296</v>
      </c>
      <c r="K413" s="235" t="s">
        <v>296</v>
      </c>
      <c r="L413" s="234" t="s">
        <v>296</v>
      </c>
      <c r="M413" s="234" t="s">
        <v>296</v>
      </c>
      <c r="N413" s="235" t="s">
        <v>296</v>
      </c>
      <c r="O413" s="236" t="s">
        <v>2</v>
      </c>
      <c r="P413" s="236" t="s">
        <v>2</v>
      </c>
      <c r="Q413" s="236" t="s">
        <v>15</v>
      </c>
      <c r="R413" s="236" t="s">
        <v>15</v>
      </c>
      <c r="S413" s="236" t="s">
        <v>16</v>
      </c>
      <c r="T413" s="236" t="s">
        <v>343</v>
      </c>
      <c r="U413" s="236" t="s">
        <v>262</v>
      </c>
      <c r="V413" s="236" t="s">
        <v>296</v>
      </c>
      <c r="W413" s="237" t="s">
        <v>296</v>
      </c>
      <c r="X413" s="237" t="s">
        <v>296</v>
      </c>
      <c r="Y413" s="238" t="s">
        <v>296</v>
      </c>
    </row>
    <row r="414" spans="1:25">
      <c r="A414" s="230">
        <v>8</v>
      </c>
      <c r="B414" s="231" t="str">
        <f>VLOOKUP(Tabel10[[#This Row],[Locatiecode]],Ruimtegroepen[[Code]:[Ruimte omschrijving]],2,FALSE)</f>
        <v>receptie</v>
      </c>
      <c r="C414" s="232" t="s">
        <v>636</v>
      </c>
      <c r="D414" s="231" t="s">
        <v>1</v>
      </c>
      <c r="E414" s="233" t="s">
        <v>102</v>
      </c>
      <c r="F414" s="232" t="s">
        <v>639</v>
      </c>
      <c r="G414" s="281" t="s">
        <v>296</v>
      </c>
      <c r="H414" s="234" t="s">
        <v>296</v>
      </c>
      <c r="I414" s="234" t="s">
        <v>20</v>
      </c>
      <c r="J414" s="234" t="s">
        <v>15</v>
      </c>
      <c r="K414" s="234" t="s">
        <v>297</v>
      </c>
      <c r="L414" s="234" t="s">
        <v>296</v>
      </c>
      <c r="M414" s="234" t="s">
        <v>296</v>
      </c>
      <c r="N414" s="235" t="s">
        <v>296</v>
      </c>
      <c r="O414" s="236" t="s">
        <v>2</v>
      </c>
      <c r="P414" s="236" t="s">
        <v>2</v>
      </c>
      <c r="Q414" s="236" t="s">
        <v>15</v>
      </c>
      <c r="R414" s="236" t="s">
        <v>15</v>
      </c>
      <c r="S414" s="236" t="s">
        <v>16</v>
      </c>
      <c r="T414" s="236" t="s">
        <v>343</v>
      </c>
      <c r="U414" s="236" t="s">
        <v>262</v>
      </c>
      <c r="V414" s="236" t="s">
        <v>296</v>
      </c>
      <c r="W414" s="237" t="s">
        <v>296</v>
      </c>
      <c r="X414" s="237" t="s">
        <v>296</v>
      </c>
      <c r="Y414" s="238" t="s">
        <v>296</v>
      </c>
    </row>
    <row r="415" spans="1:25">
      <c r="A415" s="230">
        <v>8</v>
      </c>
      <c r="B415" s="231" t="str">
        <f>VLOOKUP(Tabel10[[#This Row],[Locatiecode]],Ruimtegroepen[[Code]:[Ruimte omschrijving]],2,FALSE)</f>
        <v>receptie</v>
      </c>
      <c r="C415" s="232" t="s">
        <v>636</v>
      </c>
      <c r="D415" s="231" t="s">
        <v>1</v>
      </c>
      <c r="E415" s="233" t="s">
        <v>103</v>
      </c>
      <c r="F415" s="232" t="s">
        <v>640</v>
      </c>
      <c r="G415" s="281" t="s">
        <v>296</v>
      </c>
      <c r="H415" s="234" t="s">
        <v>296</v>
      </c>
      <c r="I415" s="235" t="s">
        <v>2</v>
      </c>
      <c r="J415" s="235" t="s">
        <v>296</v>
      </c>
      <c r="K415" s="234" t="s">
        <v>297</v>
      </c>
      <c r="L415" s="234" t="s">
        <v>296</v>
      </c>
      <c r="M415" s="234" t="s">
        <v>296</v>
      </c>
      <c r="N415" s="235" t="s">
        <v>296</v>
      </c>
      <c r="O415" s="236" t="s">
        <v>2</v>
      </c>
      <c r="P415" s="236" t="s">
        <v>2</v>
      </c>
      <c r="Q415" s="236" t="s">
        <v>15</v>
      </c>
      <c r="R415" s="236" t="s">
        <v>15</v>
      </c>
      <c r="S415" s="236" t="s">
        <v>16</v>
      </c>
      <c r="T415" s="236" t="s">
        <v>343</v>
      </c>
      <c r="U415" s="236" t="s">
        <v>262</v>
      </c>
      <c r="V415" s="236" t="s">
        <v>296</v>
      </c>
      <c r="W415" s="237" t="s">
        <v>296</v>
      </c>
      <c r="X415" s="237" t="s">
        <v>296</v>
      </c>
      <c r="Y415" s="238" t="s">
        <v>296</v>
      </c>
    </row>
    <row r="416" spans="1:25">
      <c r="A416" s="230">
        <v>8</v>
      </c>
      <c r="B416" s="231" t="str">
        <f>VLOOKUP(Tabel10[[#This Row],[Locatiecode]],Ruimtegroepen[[Code]:[Ruimte omschrijving]],2,FALSE)</f>
        <v>receptie</v>
      </c>
      <c r="C416" s="232" t="s">
        <v>636</v>
      </c>
      <c r="D416" s="231" t="s">
        <v>1</v>
      </c>
      <c r="E416" s="233" t="s">
        <v>100</v>
      </c>
      <c r="F416" s="232" t="s">
        <v>638</v>
      </c>
      <c r="G416" s="281" t="s">
        <v>296</v>
      </c>
      <c r="H416" s="235" t="s">
        <v>2</v>
      </c>
      <c r="I416" s="234" t="s">
        <v>296</v>
      </c>
      <c r="J416" s="235" t="s">
        <v>296</v>
      </c>
      <c r="K416" s="235" t="s">
        <v>296</v>
      </c>
      <c r="L416" s="234" t="s">
        <v>296</v>
      </c>
      <c r="M416" s="234" t="s">
        <v>296</v>
      </c>
      <c r="N416" s="235" t="s">
        <v>296</v>
      </c>
      <c r="O416" s="236" t="s">
        <v>2</v>
      </c>
      <c r="P416" s="236" t="s">
        <v>2</v>
      </c>
      <c r="Q416" s="236" t="s">
        <v>15</v>
      </c>
      <c r="R416" s="236" t="s">
        <v>15</v>
      </c>
      <c r="S416" s="236" t="s">
        <v>16</v>
      </c>
      <c r="T416" s="236" t="s">
        <v>343</v>
      </c>
      <c r="U416" s="236" t="s">
        <v>262</v>
      </c>
      <c r="V416" s="236" t="s">
        <v>296</v>
      </c>
      <c r="W416" s="237" t="s">
        <v>296</v>
      </c>
      <c r="X416" s="237" t="s">
        <v>296</v>
      </c>
      <c r="Y416" s="238" t="s">
        <v>296</v>
      </c>
    </row>
    <row r="417" spans="1:25">
      <c r="A417" s="230">
        <v>8</v>
      </c>
      <c r="B417" s="231" t="str">
        <f>VLOOKUP(Tabel10[[#This Row],[Locatiecode]],Ruimtegroepen[[Code]:[Ruimte omschrijving]],2,FALSE)</f>
        <v>receptie</v>
      </c>
      <c r="C417" s="232" t="s">
        <v>636</v>
      </c>
      <c r="D417" s="231" t="s">
        <v>1</v>
      </c>
      <c r="E417" s="233" t="s">
        <v>1344</v>
      </c>
      <c r="F417" s="232" t="s">
        <v>1500</v>
      </c>
      <c r="G417" s="281" t="s">
        <v>296</v>
      </c>
      <c r="H417" s="234" t="s">
        <v>296</v>
      </c>
      <c r="I417" s="235" t="s">
        <v>2</v>
      </c>
      <c r="J417" s="235" t="s">
        <v>296</v>
      </c>
      <c r="K417" s="234" t="s">
        <v>297</v>
      </c>
      <c r="L417" s="234" t="s">
        <v>296</v>
      </c>
      <c r="M417" s="234" t="s">
        <v>296</v>
      </c>
      <c r="N417" s="235" t="s">
        <v>296</v>
      </c>
      <c r="O417" s="236" t="s">
        <v>2</v>
      </c>
      <c r="P417" s="236" t="s">
        <v>2</v>
      </c>
      <c r="Q417" s="236" t="s">
        <v>15</v>
      </c>
      <c r="R417" s="236" t="s">
        <v>15</v>
      </c>
      <c r="S417" s="236" t="s">
        <v>16</v>
      </c>
      <c r="T417" s="236" t="s">
        <v>343</v>
      </c>
      <c r="U417" s="236" t="s">
        <v>262</v>
      </c>
      <c r="V417" s="236" t="s">
        <v>296</v>
      </c>
      <c r="W417" s="237" t="s">
        <v>296</v>
      </c>
      <c r="X417" s="237" t="s">
        <v>296</v>
      </c>
      <c r="Y417" s="238" t="s">
        <v>296</v>
      </c>
    </row>
    <row r="418" spans="1:25">
      <c r="A418" s="230">
        <v>8</v>
      </c>
      <c r="B418" s="231" t="str">
        <f>VLOOKUP(Tabel10[[#This Row],[Locatiecode]],Ruimtegroepen[[Code]:[Ruimte omschrijving]],2,FALSE)</f>
        <v>receptie</v>
      </c>
      <c r="C418" s="232" t="s">
        <v>641</v>
      </c>
      <c r="D418" s="231" t="s">
        <v>21</v>
      </c>
      <c r="E418" s="233" t="s">
        <v>101</v>
      </c>
      <c r="F418" s="232" t="s">
        <v>642</v>
      </c>
      <c r="G418" s="281" t="s">
        <v>296</v>
      </c>
      <c r="H418" s="234" t="s">
        <v>296</v>
      </c>
      <c r="I418" s="234" t="s">
        <v>18</v>
      </c>
      <c r="J418" s="235" t="s">
        <v>15</v>
      </c>
      <c r="K418" s="235" t="s">
        <v>296</v>
      </c>
      <c r="L418" s="234" t="s">
        <v>296</v>
      </c>
      <c r="M418" s="234" t="s">
        <v>296</v>
      </c>
      <c r="N418" s="235" t="s">
        <v>296</v>
      </c>
      <c r="O418" s="236" t="s">
        <v>20</v>
      </c>
      <c r="P418" s="236" t="s">
        <v>20</v>
      </c>
      <c r="Q418" s="236" t="s">
        <v>15</v>
      </c>
      <c r="R418" s="236" t="s">
        <v>15</v>
      </c>
      <c r="S418" s="236" t="s">
        <v>16</v>
      </c>
      <c r="T418" s="236" t="s">
        <v>343</v>
      </c>
      <c r="U418" s="236" t="s">
        <v>262</v>
      </c>
      <c r="V418" s="236" t="s">
        <v>296</v>
      </c>
      <c r="W418" s="237" t="s">
        <v>296</v>
      </c>
      <c r="X418" s="237" t="s">
        <v>296</v>
      </c>
      <c r="Y418" s="238" t="s">
        <v>296</v>
      </c>
    </row>
    <row r="419" spans="1:25">
      <c r="A419" s="230">
        <v>8</v>
      </c>
      <c r="B419" s="231" t="str">
        <f>VLOOKUP(Tabel10[[#This Row],[Locatiecode]],Ruimtegroepen[[Code]:[Ruimte omschrijving]],2,FALSE)</f>
        <v>receptie</v>
      </c>
      <c r="C419" s="232" t="s">
        <v>641</v>
      </c>
      <c r="D419" s="231" t="s">
        <v>21</v>
      </c>
      <c r="E419" s="233" t="s">
        <v>100</v>
      </c>
      <c r="F419" s="232" t="s">
        <v>643</v>
      </c>
      <c r="G419" s="281" t="s">
        <v>296</v>
      </c>
      <c r="H419" s="235" t="s">
        <v>20</v>
      </c>
      <c r="I419" s="234" t="s">
        <v>296</v>
      </c>
      <c r="J419" s="235" t="s">
        <v>296</v>
      </c>
      <c r="K419" s="235" t="s">
        <v>296</v>
      </c>
      <c r="L419" s="234" t="s">
        <v>296</v>
      </c>
      <c r="M419" s="234" t="s">
        <v>296</v>
      </c>
      <c r="N419" s="235" t="s">
        <v>296</v>
      </c>
      <c r="O419" s="236" t="s">
        <v>20</v>
      </c>
      <c r="P419" s="236" t="s">
        <v>20</v>
      </c>
      <c r="Q419" s="236" t="s">
        <v>15</v>
      </c>
      <c r="R419" s="236" t="s">
        <v>15</v>
      </c>
      <c r="S419" s="236" t="s">
        <v>16</v>
      </c>
      <c r="T419" s="236" t="s">
        <v>343</v>
      </c>
      <c r="U419" s="236" t="s">
        <v>262</v>
      </c>
      <c r="V419" s="236" t="s">
        <v>296</v>
      </c>
      <c r="W419" s="237" t="s">
        <v>296</v>
      </c>
      <c r="X419" s="237" t="s">
        <v>296</v>
      </c>
      <c r="Y419" s="238" t="s">
        <v>296</v>
      </c>
    </row>
    <row r="420" spans="1:25">
      <c r="A420" s="230">
        <v>8</v>
      </c>
      <c r="B420" s="231" t="str">
        <f>VLOOKUP(Tabel10[[#This Row],[Locatiecode]],Ruimtegroepen[[Code]:[Ruimte omschrijving]],2,FALSE)</f>
        <v>receptie</v>
      </c>
      <c r="C420" s="232" t="s">
        <v>641</v>
      </c>
      <c r="D420" s="231" t="s">
        <v>21</v>
      </c>
      <c r="E420" s="233" t="s">
        <v>102</v>
      </c>
      <c r="F420" s="232" t="s">
        <v>644</v>
      </c>
      <c r="G420" s="281" t="s">
        <v>296</v>
      </c>
      <c r="H420" s="234" t="s">
        <v>296</v>
      </c>
      <c r="I420" s="234" t="s">
        <v>18</v>
      </c>
      <c r="J420" s="234" t="s">
        <v>15</v>
      </c>
      <c r="K420" s="234" t="s">
        <v>297</v>
      </c>
      <c r="L420" s="234" t="s">
        <v>296</v>
      </c>
      <c r="M420" s="234" t="s">
        <v>296</v>
      </c>
      <c r="N420" s="235" t="s">
        <v>296</v>
      </c>
      <c r="O420" s="236" t="s">
        <v>20</v>
      </c>
      <c r="P420" s="236" t="s">
        <v>20</v>
      </c>
      <c r="Q420" s="236" t="s">
        <v>15</v>
      </c>
      <c r="R420" s="236" t="s">
        <v>15</v>
      </c>
      <c r="S420" s="236" t="s">
        <v>16</v>
      </c>
      <c r="T420" s="236" t="s">
        <v>343</v>
      </c>
      <c r="U420" s="236" t="s">
        <v>262</v>
      </c>
      <c r="V420" s="236" t="s">
        <v>296</v>
      </c>
      <c r="W420" s="237" t="s">
        <v>296</v>
      </c>
      <c r="X420" s="237" t="s">
        <v>296</v>
      </c>
      <c r="Y420" s="238" t="s">
        <v>296</v>
      </c>
    </row>
    <row r="421" spans="1:25">
      <c r="A421" s="230">
        <v>8</v>
      </c>
      <c r="B421" s="231" t="str">
        <f>VLOOKUP(Tabel10[[#This Row],[Locatiecode]],Ruimtegroepen[[Code]:[Ruimte omschrijving]],2,FALSE)</f>
        <v>receptie</v>
      </c>
      <c r="C421" s="232" t="s">
        <v>641</v>
      </c>
      <c r="D421" s="231" t="s">
        <v>21</v>
      </c>
      <c r="E421" s="233" t="s">
        <v>103</v>
      </c>
      <c r="F421" s="232" t="s">
        <v>645</v>
      </c>
      <c r="G421" s="281" t="s">
        <v>296</v>
      </c>
      <c r="H421" s="234" t="s">
        <v>296</v>
      </c>
      <c r="I421" s="234" t="s">
        <v>18</v>
      </c>
      <c r="J421" s="234" t="s">
        <v>15</v>
      </c>
      <c r="K421" s="234" t="s">
        <v>297</v>
      </c>
      <c r="L421" s="234" t="s">
        <v>296</v>
      </c>
      <c r="M421" s="234" t="s">
        <v>296</v>
      </c>
      <c r="N421" s="235" t="s">
        <v>296</v>
      </c>
      <c r="O421" s="236" t="s">
        <v>20</v>
      </c>
      <c r="P421" s="236" t="s">
        <v>20</v>
      </c>
      <c r="Q421" s="236" t="s">
        <v>15</v>
      </c>
      <c r="R421" s="236" t="s">
        <v>15</v>
      </c>
      <c r="S421" s="236" t="s">
        <v>16</v>
      </c>
      <c r="T421" s="236" t="s">
        <v>343</v>
      </c>
      <c r="U421" s="236" t="s">
        <v>262</v>
      </c>
      <c r="V421" s="236" t="s">
        <v>296</v>
      </c>
      <c r="W421" s="237" t="s">
        <v>296</v>
      </c>
      <c r="X421" s="237" t="s">
        <v>296</v>
      </c>
      <c r="Y421" s="238" t="s">
        <v>296</v>
      </c>
    </row>
    <row r="422" spans="1:25">
      <c r="A422" s="230">
        <v>8</v>
      </c>
      <c r="B422" s="231" t="str">
        <f>VLOOKUP(Tabel10[[#This Row],[Locatiecode]],Ruimtegroepen[[Code]:[Ruimte omschrijving]],2,FALSE)</f>
        <v>receptie</v>
      </c>
      <c r="C422" s="232" t="s">
        <v>641</v>
      </c>
      <c r="D422" s="231" t="s">
        <v>21</v>
      </c>
      <c r="E422" s="233" t="s">
        <v>100</v>
      </c>
      <c r="F422" s="232" t="s">
        <v>643</v>
      </c>
      <c r="G422" s="281" t="s">
        <v>296</v>
      </c>
      <c r="H422" s="235" t="s">
        <v>20</v>
      </c>
      <c r="I422" s="234" t="s">
        <v>296</v>
      </c>
      <c r="J422" s="235" t="s">
        <v>296</v>
      </c>
      <c r="K422" s="235" t="s">
        <v>296</v>
      </c>
      <c r="L422" s="234" t="s">
        <v>296</v>
      </c>
      <c r="M422" s="234" t="s">
        <v>296</v>
      </c>
      <c r="N422" s="235" t="s">
        <v>296</v>
      </c>
      <c r="O422" s="236" t="s">
        <v>20</v>
      </c>
      <c r="P422" s="236" t="s">
        <v>20</v>
      </c>
      <c r="Q422" s="236" t="s">
        <v>15</v>
      </c>
      <c r="R422" s="236" t="s">
        <v>15</v>
      </c>
      <c r="S422" s="236" t="s">
        <v>16</v>
      </c>
      <c r="T422" s="236" t="s">
        <v>343</v>
      </c>
      <c r="U422" s="236" t="s">
        <v>262</v>
      </c>
      <c r="V422" s="236" t="s">
        <v>296</v>
      </c>
      <c r="W422" s="237" t="s">
        <v>296</v>
      </c>
      <c r="X422" s="237" t="s">
        <v>296</v>
      </c>
      <c r="Y422" s="238" t="s">
        <v>296</v>
      </c>
    </row>
    <row r="423" spans="1:25">
      <c r="A423" s="230">
        <v>8</v>
      </c>
      <c r="B423" s="231" t="str">
        <f>VLOOKUP(Tabel10[[#This Row],[Locatiecode]],Ruimtegroepen[[Code]:[Ruimte omschrijving]],2,FALSE)</f>
        <v>receptie</v>
      </c>
      <c r="C423" s="232" t="s">
        <v>641</v>
      </c>
      <c r="D423" s="231" t="s">
        <v>21</v>
      </c>
      <c r="E423" s="233" t="s">
        <v>1344</v>
      </c>
      <c r="F423" s="232" t="s">
        <v>1483</v>
      </c>
      <c r="G423" s="281" t="s">
        <v>296</v>
      </c>
      <c r="H423" s="234" t="s">
        <v>296</v>
      </c>
      <c r="I423" s="234" t="s">
        <v>18</v>
      </c>
      <c r="J423" s="234" t="s">
        <v>15</v>
      </c>
      <c r="K423" s="234" t="s">
        <v>297</v>
      </c>
      <c r="L423" s="234" t="s">
        <v>296</v>
      </c>
      <c r="M423" s="234" t="s">
        <v>296</v>
      </c>
      <c r="N423" s="235" t="s">
        <v>296</v>
      </c>
      <c r="O423" s="236" t="s">
        <v>20</v>
      </c>
      <c r="P423" s="236" t="s">
        <v>20</v>
      </c>
      <c r="Q423" s="236" t="s">
        <v>15</v>
      </c>
      <c r="R423" s="236" t="s">
        <v>15</v>
      </c>
      <c r="S423" s="236" t="s">
        <v>16</v>
      </c>
      <c r="T423" s="236" t="s">
        <v>343</v>
      </c>
      <c r="U423" s="236" t="s">
        <v>262</v>
      </c>
      <c r="V423" s="236" t="s">
        <v>296</v>
      </c>
      <c r="W423" s="237" t="s">
        <v>296</v>
      </c>
      <c r="X423" s="237" t="s">
        <v>296</v>
      </c>
      <c r="Y423" s="238" t="s">
        <v>296</v>
      </c>
    </row>
    <row r="424" spans="1:25">
      <c r="A424" s="230">
        <v>8</v>
      </c>
      <c r="B424" s="231" t="str">
        <f>VLOOKUP(Tabel10[[#This Row],[Locatiecode]],Ruimtegroepen[[Code]:[Ruimte omschrijving]],2,FALSE)</f>
        <v>receptie</v>
      </c>
      <c r="C424" s="232" t="s">
        <v>646</v>
      </c>
      <c r="D424" s="231" t="s">
        <v>12</v>
      </c>
      <c r="E424" s="233" t="s">
        <v>101</v>
      </c>
      <c r="F424" s="232" t="s">
        <v>647</v>
      </c>
      <c r="G424" s="281" t="s">
        <v>296</v>
      </c>
      <c r="H424" s="234" t="s">
        <v>296</v>
      </c>
      <c r="I424" s="234" t="s">
        <v>17</v>
      </c>
      <c r="J424" s="235" t="s">
        <v>15</v>
      </c>
      <c r="K424" s="235" t="s">
        <v>296</v>
      </c>
      <c r="L424" s="234" t="s">
        <v>296</v>
      </c>
      <c r="M424" s="234" t="s">
        <v>296</v>
      </c>
      <c r="N424" s="235" t="s">
        <v>296</v>
      </c>
      <c r="O424" s="236" t="s">
        <v>18</v>
      </c>
      <c r="P424" s="236" t="s">
        <v>18</v>
      </c>
      <c r="Q424" s="236" t="s">
        <v>15</v>
      </c>
      <c r="R424" s="236" t="s">
        <v>15</v>
      </c>
      <c r="S424" s="236" t="s">
        <v>16</v>
      </c>
      <c r="T424" s="236" t="s">
        <v>343</v>
      </c>
      <c r="U424" s="236" t="s">
        <v>262</v>
      </c>
      <c r="V424" s="236" t="s">
        <v>296</v>
      </c>
      <c r="W424" s="237" t="s">
        <v>296</v>
      </c>
      <c r="X424" s="237" t="s">
        <v>296</v>
      </c>
      <c r="Y424" s="238" t="s">
        <v>296</v>
      </c>
    </row>
    <row r="425" spans="1:25">
      <c r="A425" s="230">
        <v>8</v>
      </c>
      <c r="B425" s="231" t="str">
        <f>VLOOKUP(Tabel10[[#This Row],[Locatiecode]],Ruimtegroepen[[Code]:[Ruimte omschrijving]],2,FALSE)</f>
        <v>receptie</v>
      </c>
      <c r="C425" s="232" t="s">
        <v>646</v>
      </c>
      <c r="D425" s="231" t="s">
        <v>12</v>
      </c>
      <c r="E425" s="233" t="s">
        <v>100</v>
      </c>
      <c r="F425" s="232" t="s">
        <v>648</v>
      </c>
      <c r="G425" s="281" t="s">
        <v>296</v>
      </c>
      <c r="H425" s="235" t="s">
        <v>18</v>
      </c>
      <c r="I425" s="234" t="s">
        <v>296</v>
      </c>
      <c r="J425" s="235" t="s">
        <v>296</v>
      </c>
      <c r="K425" s="235" t="s">
        <v>296</v>
      </c>
      <c r="L425" s="234" t="s">
        <v>296</v>
      </c>
      <c r="M425" s="234" t="s">
        <v>296</v>
      </c>
      <c r="N425" s="235" t="s">
        <v>296</v>
      </c>
      <c r="O425" s="236" t="s">
        <v>18</v>
      </c>
      <c r="P425" s="236" t="s">
        <v>18</v>
      </c>
      <c r="Q425" s="236" t="s">
        <v>15</v>
      </c>
      <c r="R425" s="236" t="s">
        <v>15</v>
      </c>
      <c r="S425" s="236" t="s">
        <v>16</v>
      </c>
      <c r="T425" s="236" t="s">
        <v>343</v>
      </c>
      <c r="U425" s="236" t="s">
        <v>262</v>
      </c>
      <c r="V425" s="236" t="s">
        <v>296</v>
      </c>
      <c r="W425" s="237" t="s">
        <v>296</v>
      </c>
      <c r="X425" s="237" t="s">
        <v>296</v>
      </c>
      <c r="Y425" s="238" t="s">
        <v>296</v>
      </c>
    </row>
    <row r="426" spans="1:25">
      <c r="A426" s="230">
        <v>8</v>
      </c>
      <c r="B426" s="231" t="str">
        <f>VLOOKUP(Tabel10[[#This Row],[Locatiecode]],Ruimtegroepen[[Code]:[Ruimte omschrijving]],2,FALSE)</f>
        <v>receptie</v>
      </c>
      <c r="C426" s="232" t="s">
        <v>646</v>
      </c>
      <c r="D426" s="231" t="s">
        <v>12</v>
      </c>
      <c r="E426" s="233" t="s">
        <v>102</v>
      </c>
      <c r="F426" s="232" t="s">
        <v>649</v>
      </c>
      <c r="G426" s="281" t="s">
        <v>296</v>
      </c>
      <c r="H426" s="234" t="s">
        <v>296</v>
      </c>
      <c r="I426" s="234" t="s">
        <v>17</v>
      </c>
      <c r="J426" s="234" t="s">
        <v>15</v>
      </c>
      <c r="K426" s="234" t="s">
        <v>297</v>
      </c>
      <c r="L426" s="234" t="s">
        <v>296</v>
      </c>
      <c r="M426" s="234" t="s">
        <v>296</v>
      </c>
      <c r="N426" s="235" t="s">
        <v>296</v>
      </c>
      <c r="O426" s="236" t="s">
        <v>18</v>
      </c>
      <c r="P426" s="236" t="s">
        <v>18</v>
      </c>
      <c r="Q426" s="236" t="s">
        <v>15</v>
      </c>
      <c r="R426" s="236" t="s">
        <v>15</v>
      </c>
      <c r="S426" s="236" t="s">
        <v>16</v>
      </c>
      <c r="T426" s="236" t="s">
        <v>343</v>
      </c>
      <c r="U426" s="236" t="s">
        <v>262</v>
      </c>
      <c r="V426" s="236" t="s">
        <v>296</v>
      </c>
      <c r="W426" s="237" t="s">
        <v>296</v>
      </c>
      <c r="X426" s="237" t="s">
        <v>296</v>
      </c>
      <c r="Y426" s="238" t="s">
        <v>296</v>
      </c>
    </row>
    <row r="427" spans="1:25">
      <c r="A427" s="230">
        <v>8</v>
      </c>
      <c r="B427" s="231" t="str">
        <f>VLOOKUP(Tabel10[[#This Row],[Locatiecode]],Ruimtegroepen[[Code]:[Ruimte omschrijving]],2,FALSE)</f>
        <v>receptie</v>
      </c>
      <c r="C427" s="232" t="s">
        <v>646</v>
      </c>
      <c r="D427" s="231" t="s">
        <v>12</v>
      </c>
      <c r="E427" s="233" t="s">
        <v>103</v>
      </c>
      <c r="F427" s="232" t="s">
        <v>650</v>
      </c>
      <c r="G427" s="281" t="s">
        <v>296</v>
      </c>
      <c r="H427" s="234" t="s">
        <v>296</v>
      </c>
      <c r="I427" s="234" t="s">
        <v>17</v>
      </c>
      <c r="J427" s="234" t="s">
        <v>15</v>
      </c>
      <c r="K427" s="234" t="s">
        <v>297</v>
      </c>
      <c r="L427" s="234" t="s">
        <v>296</v>
      </c>
      <c r="M427" s="234" t="s">
        <v>296</v>
      </c>
      <c r="N427" s="235" t="s">
        <v>296</v>
      </c>
      <c r="O427" s="236" t="s">
        <v>18</v>
      </c>
      <c r="P427" s="236" t="s">
        <v>18</v>
      </c>
      <c r="Q427" s="236" t="s">
        <v>15</v>
      </c>
      <c r="R427" s="236" t="s">
        <v>15</v>
      </c>
      <c r="S427" s="236" t="s">
        <v>16</v>
      </c>
      <c r="T427" s="236" t="s">
        <v>343</v>
      </c>
      <c r="U427" s="236" t="s">
        <v>262</v>
      </c>
      <c r="V427" s="236" t="s">
        <v>296</v>
      </c>
      <c r="W427" s="237" t="s">
        <v>296</v>
      </c>
      <c r="X427" s="237" t="s">
        <v>296</v>
      </c>
      <c r="Y427" s="238" t="s">
        <v>296</v>
      </c>
    </row>
    <row r="428" spans="1:25">
      <c r="A428" s="230">
        <v>8</v>
      </c>
      <c r="B428" s="231" t="str">
        <f>VLOOKUP(Tabel10[[#This Row],[Locatiecode]],Ruimtegroepen[[Code]:[Ruimte omschrijving]],2,FALSE)</f>
        <v>receptie</v>
      </c>
      <c r="C428" s="232" t="s">
        <v>646</v>
      </c>
      <c r="D428" s="231" t="s">
        <v>12</v>
      </c>
      <c r="E428" s="233" t="s">
        <v>100</v>
      </c>
      <c r="F428" s="232" t="s">
        <v>648</v>
      </c>
      <c r="G428" s="281" t="s">
        <v>296</v>
      </c>
      <c r="H428" s="235" t="s">
        <v>18</v>
      </c>
      <c r="I428" s="234" t="s">
        <v>296</v>
      </c>
      <c r="J428" s="235" t="s">
        <v>296</v>
      </c>
      <c r="K428" s="235" t="s">
        <v>296</v>
      </c>
      <c r="L428" s="234" t="s">
        <v>296</v>
      </c>
      <c r="M428" s="234" t="s">
        <v>296</v>
      </c>
      <c r="N428" s="235" t="s">
        <v>296</v>
      </c>
      <c r="O428" s="236" t="s">
        <v>18</v>
      </c>
      <c r="P428" s="236" t="s">
        <v>18</v>
      </c>
      <c r="Q428" s="236" t="s">
        <v>15</v>
      </c>
      <c r="R428" s="236" t="s">
        <v>15</v>
      </c>
      <c r="S428" s="236" t="s">
        <v>16</v>
      </c>
      <c r="T428" s="236" t="s">
        <v>343</v>
      </c>
      <c r="U428" s="236" t="s">
        <v>262</v>
      </c>
      <c r="V428" s="236" t="s">
        <v>296</v>
      </c>
      <c r="W428" s="237" t="s">
        <v>296</v>
      </c>
      <c r="X428" s="237" t="s">
        <v>296</v>
      </c>
      <c r="Y428" s="238" t="s">
        <v>296</v>
      </c>
    </row>
    <row r="429" spans="1:25">
      <c r="A429" s="230">
        <v>8</v>
      </c>
      <c r="B429" s="231" t="str">
        <f>VLOOKUP(Tabel10[[#This Row],[Locatiecode]],Ruimtegroepen[[Code]:[Ruimte omschrijving]],2,FALSE)</f>
        <v>receptie</v>
      </c>
      <c r="C429" s="232" t="s">
        <v>646</v>
      </c>
      <c r="D429" s="231" t="s">
        <v>12</v>
      </c>
      <c r="E429" s="233" t="s">
        <v>1344</v>
      </c>
      <c r="F429" s="232" t="s">
        <v>1465</v>
      </c>
      <c r="G429" s="281" t="s">
        <v>296</v>
      </c>
      <c r="H429" s="234" t="s">
        <v>296</v>
      </c>
      <c r="I429" s="234" t="s">
        <v>17</v>
      </c>
      <c r="J429" s="234" t="s">
        <v>15</v>
      </c>
      <c r="K429" s="234" t="s">
        <v>297</v>
      </c>
      <c r="L429" s="234" t="s">
        <v>296</v>
      </c>
      <c r="M429" s="234" t="s">
        <v>296</v>
      </c>
      <c r="N429" s="235" t="s">
        <v>296</v>
      </c>
      <c r="O429" s="236" t="s">
        <v>18</v>
      </c>
      <c r="P429" s="236" t="s">
        <v>18</v>
      </c>
      <c r="Q429" s="236" t="s">
        <v>15</v>
      </c>
      <c r="R429" s="236" t="s">
        <v>15</v>
      </c>
      <c r="S429" s="236" t="s">
        <v>16</v>
      </c>
      <c r="T429" s="236" t="s">
        <v>343</v>
      </c>
      <c r="U429" s="236" t="s">
        <v>262</v>
      </c>
      <c r="V429" s="236" t="s">
        <v>296</v>
      </c>
      <c r="W429" s="237" t="s">
        <v>296</v>
      </c>
      <c r="X429" s="237" t="s">
        <v>296</v>
      </c>
      <c r="Y429" s="238" t="s">
        <v>296</v>
      </c>
    </row>
    <row r="430" spans="1:25">
      <c r="A430" s="230">
        <v>8</v>
      </c>
      <c r="B430" s="231" t="str">
        <f>VLOOKUP(Tabel10[[#This Row],[Locatiecode]],Ruimtegroepen[[Code]:[Ruimte omschrijving]],2,FALSE)</f>
        <v>receptie</v>
      </c>
      <c r="C430" s="232" t="s">
        <v>651</v>
      </c>
      <c r="D430" s="231" t="s">
        <v>14</v>
      </c>
      <c r="E430" s="233" t="s">
        <v>101</v>
      </c>
      <c r="F430" s="232" t="s">
        <v>652</v>
      </c>
      <c r="G430" s="281" t="s">
        <v>296</v>
      </c>
      <c r="H430" s="234" t="s">
        <v>296</v>
      </c>
      <c r="I430" s="234" t="s">
        <v>15</v>
      </c>
      <c r="J430" s="235" t="s">
        <v>15</v>
      </c>
      <c r="K430" s="235" t="s">
        <v>296</v>
      </c>
      <c r="L430" s="234" t="s">
        <v>296</v>
      </c>
      <c r="M430" s="234" t="s">
        <v>296</v>
      </c>
      <c r="N430" s="235" t="s">
        <v>296</v>
      </c>
      <c r="O430" s="236" t="s">
        <v>17</v>
      </c>
      <c r="P430" s="236" t="s">
        <v>17</v>
      </c>
      <c r="Q430" s="236" t="s">
        <v>15</v>
      </c>
      <c r="R430" s="236" t="s">
        <v>15</v>
      </c>
      <c r="S430" s="236" t="s">
        <v>16</v>
      </c>
      <c r="T430" s="236" t="s">
        <v>343</v>
      </c>
      <c r="U430" s="236" t="s">
        <v>262</v>
      </c>
      <c r="V430" s="236" t="s">
        <v>296</v>
      </c>
      <c r="W430" s="237" t="s">
        <v>296</v>
      </c>
      <c r="X430" s="237" t="s">
        <v>296</v>
      </c>
      <c r="Y430" s="238" t="s">
        <v>296</v>
      </c>
    </row>
    <row r="431" spans="1:25">
      <c r="A431" s="230">
        <v>8</v>
      </c>
      <c r="B431" s="231" t="str">
        <f>VLOOKUP(Tabel10[[#This Row],[Locatiecode]],Ruimtegroepen[[Code]:[Ruimte omschrijving]],2,FALSE)</f>
        <v>receptie</v>
      </c>
      <c r="C431" s="232" t="s">
        <v>651</v>
      </c>
      <c r="D431" s="231" t="s">
        <v>14</v>
      </c>
      <c r="E431" s="233" t="s">
        <v>100</v>
      </c>
      <c r="F431" s="232" t="s">
        <v>653</v>
      </c>
      <c r="G431" s="281" t="s">
        <v>296</v>
      </c>
      <c r="H431" s="235" t="s">
        <v>17</v>
      </c>
      <c r="I431" s="234" t="s">
        <v>296</v>
      </c>
      <c r="J431" s="235" t="s">
        <v>296</v>
      </c>
      <c r="K431" s="235" t="s">
        <v>296</v>
      </c>
      <c r="L431" s="234" t="s">
        <v>296</v>
      </c>
      <c r="M431" s="234" t="s">
        <v>296</v>
      </c>
      <c r="N431" s="235" t="s">
        <v>296</v>
      </c>
      <c r="O431" s="236" t="s">
        <v>17</v>
      </c>
      <c r="P431" s="236" t="s">
        <v>17</v>
      </c>
      <c r="Q431" s="236" t="s">
        <v>15</v>
      </c>
      <c r="R431" s="236" t="s">
        <v>15</v>
      </c>
      <c r="S431" s="236" t="s">
        <v>16</v>
      </c>
      <c r="T431" s="236" t="s">
        <v>343</v>
      </c>
      <c r="U431" s="236" t="s">
        <v>262</v>
      </c>
      <c r="V431" s="236" t="s">
        <v>296</v>
      </c>
      <c r="W431" s="237" t="s">
        <v>296</v>
      </c>
      <c r="X431" s="237" t="s">
        <v>296</v>
      </c>
      <c r="Y431" s="238" t="s">
        <v>296</v>
      </c>
    </row>
    <row r="432" spans="1:25">
      <c r="A432" s="230">
        <v>8</v>
      </c>
      <c r="B432" s="231" t="str">
        <f>VLOOKUP(Tabel10[[#This Row],[Locatiecode]],Ruimtegroepen[[Code]:[Ruimte omschrijving]],2,FALSE)</f>
        <v>receptie</v>
      </c>
      <c r="C432" s="232" t="s">
        <v>651</v>
      </c>
      <c r="D432" s="231" t="s">
        <v>14</v>
      </c>
      <c r="E432" s="233" t="s">
        <v>102</v>
      </c>
      <c r="F432" s="232" t="s">
        <v>654</v>
      </c>
      <c r="G432" s="281" t="s">
        <v>296</v>
      </c>
      <c r="H432" s="234" t="s">
        <v>296</v>
      </c>
      <c r="I432" s="234" t="s">
        <v>15</v>
      </c>
      <c r="J432" s="234" t="s">
        <v>15</v>
      </c>
      <c r="K432" s="234" t="s">
        <v>297</v>
      </c>
      <c r="L432" s="234" t="s">
        <v>296</v>
      </c>
      <c r="M432" s="234" t="s">
        <v>296</v>
      </c>
      <c r="N432" s="235" t="s">
        <v>296</v>
      </c>
      <c r="O432" s="236" t="s">
        <v>17</v>
      </c>
      <c r="P432" s="236" t="s">
        <v>17</v>
      </c>
      <c r="Q432" s="236" t="s">
        <v>15</v>
      </c>
      <c r="R432" s="236" t="s">
        <v>15</v>
      </c>
      <c r="S432" s="236" t="s">
        <v>16</v>
      </c>
      <c r="T432" s="236" t="s">
        <v>343</v>
      </c>
      <c r="U432" s="236" t="s">
        <v>262</v>
      </c>
      <c r="V432" s="236" t="s">
        <v>296</v>
      </c>
      <c r="W432" s="237" t="s">
        <v>296</v>
      </c>
      <c r="X432" s="237" t="s">
        <v>296</v>
      </c>
      <c r="Y432" s="238" t="s">
        <v>296</v>
      </c>
    </row>
    <row r="433" spans="1:25">
      <c r="A433" s="230">
        <v>8</v>
      </c>
      <c r="B433" s="231" t="str">
        <f>VLOOKUP(Tabel10[[#This Row],[Locatiecode]],Ruimtegroepen[[Code]:[Ruimte omschrijving]],2,FALSE)</f>
        <v>receptie</v>
      </c>
      <c r="C433" s="232" t="s">
        <v>651</v>
      </c>
      <c r="D433" s="231" t="s">
        <v>14</v>
      </c>
      <c r="E433" s="233" t="s">
        <v>103</v>
      </c>
      <c r="F433" s="232" t="s">
        <v>655</v>
      </c>
      <c r="G433" s="281" t="s">
        <v>296</v>
      </c>
      <c r="H433" s="234" t="s">
        <v>296</v>
      </c>
      <c r="I433" s="234" t="s">
        <v>15</v>
      </c>
      <c r="J433" s="234" t="s">
        <v>15</v>
      </c>
      <c r="K433" s="234" t="s">
        <v>297</v>
      </c>
      <c r="L433" s="234" t="s">
        <v>296</v>
      </c>
      <c r="M433" s="234" t="s">
        <v>296</v>
      </c>
      <c r="N433" s="235" t="s">
        <v>296</v>
      </c>
      <c r="O433" s="236" t="s">
        <v>17</v>
      </c>
      <c r="P433" s="236" t="s">
        <v>17</v>
      </c>
      <c r="Q433" s="236" t="s">
        <v>15</v>
      </c>
      <c r="R433" s="236" t="s">
        <v>15</v>
      </c>
      <c r="S433" s="236" t="s">
        <v>16</v>
      </c>
      <c r="T433" s="236" t="s">
        <v>343</v>
      </c>
      <c r="U433" s="236" t="s">
        <v>262</v>
      </c>
      <c r="V433" s="236" t="s">
        <v>296</v>
      </c>
      <c r="W433" s="237" t="s">
        <v>296</v>
      </c>
      <c r="X433" s="237" t="s">
        <v>296</v>
      </c>
      <c r="Y433" s="238" t="s">
        <v>296</v>
      </c>
    </row>
    <row r="434" spans="1:25">
      <c r="A434" s="230">
        <v>8</v>
      </c>
      <c r="B434" s="231" t="str">
        <f>VLOOKUP(Tabel10[[#This Row],[Locatiecode]],Ruimtegroepen[[Code]:[Ruimte omschrijving]],2,FALSE)</f>
        <v>receptie</v>
      </c>
      <c r="C434" s="232" t="s">
        <v>651</v>
      </c>
      <c r="D434" s="231" t="s">
        <v>14</v>
      </c>
      <c r="E434" s="233" t="s">
        <v>100</v>
      </c>
      <c r="F434" s="232" t="s">
        <v>653</v>
      </c>
      <c r="G434" s="281" t="s">
        <v>296</v>
      </c>
      <c r="H434" s="235" t="s">
        <v>17</v>
      </c>
      <c r="I434" s="234" t="s">
        <v>296</v>
      </c>
      <c r="J434" s="235" t="s">
        <v>296</v>
      </c>
      <c r="K434" s="235" t="s">
        <v>296</v>
      </c>
      <c r="L434" s="234" t="s">
        <v>296</v>
      </c>
      <c r="M434" s="234" t="s">
        <v>296</v>
      </c>
      <c r="N434" s="235" t="s">
        <v>296</v>
      </c>
      <c r="O434" s="236" t="s">
        <v>17</v>
      </c>
      <c r="P434" s="236" t="s">
        <v>17</v>
      </c>
      <c r="Q434" s="236" t="s">
        <v>15</v>
      </c>
      <c r="R434" s="236" t="s">
        <v>15</v>
      </c>
      <c r="S434" s="236" t="s">
        <v>16</v>
      </c>
      <c r="T434" s="236" t="s">
        <v>343</v>
      </c>
      <c r="U434" s="236" t="s">
        <v>262</v>
      </c>
      <c r="V434" s="236" t="s">
        <v>296</v>
      </c>
      <c r="W434" s="237" t="s">
        <v>296</v>
      </c>
      <c r="X434" s="237" t="s">
        <v>296</v>
      </c>
      <c r="Y434" s="238" t="s">
        <v>296</v>
      </c>
    </row>
    <row r="435" spans="1:25">
      <c r="A435" s="230">
        <v>8</v>
      </c>
      <c r="B435" s="231" t="str">
        <f>VLOOKUP(Tabel10[[#This Row],[Locatiecode]],Ruimtegroepen[[Code]:[Ruimte omschrijving]],2,FALSE)</f>
        <v>receptie</v>
      </c>
      <c r="C435" s="232" t="s">
        <v>651</v>
      </c>
      <c r="D435" s="231" t="s">
        <v>14</v>
      </c>
      <c r="E435" s="233" t="s">
        <v>1344</v>
      </c>
      <c r="F435" s="232" t="s">
        <v>1432</v>
      </c>
      <c r="G435" s="281" t="s">
        <v>296</v>
      </c>
      <c r="H435" s="234" t="s">
        <v>296</v>
      </c>
      <c r="I435" s="234" t="s">
        <v>15</v>
      </c>
      <c r="J435" s="234" t="s">
        <v>15</v>
      </c>
      <c r="K435" s="234" t="s">
        <v>297</v>
      </c>
      <c r="L435" s="234" t="s">
        <v>296</v>
      </c>
      <c r="M435" s="234" t="s">
        <v>296</v>
      </c>
      <c r="N435" s="235" t="s">
        <v>296</v>
      </c>
      <c r="O435" s="236" t="s">
        <v>17</v>
      </c>
      <c r="P435" s="236" t="s">
        <v>17</v>
      </c>
      <c r="Q435" s="236" t="s">
        <v>15</v>
      </c>
      <c r="R435" s="236" t="s">
        <v>15</v>
      </c>
      <c r="S435" s="236" t="s">
        <v>16</v>
      </c>
      <c r="T435" s="236" t="s">
        <v>343</v>
      </c>
      <c r="U435" s="236" t="s">
        <v>262</v>
      </c>
      <c r="V435" s="236" t="s">
        <v>296</v>
      </c>
      <c r="W435" s="237" t="s">
        <v>296</v>
      </c>
      <c r="X435" s="237" t="s">
        <v>296</v>
      </c>
      <c r="Y435" s="238" t="s">
        <v>296</v>
      </c>
    </row>
    <row r="436" spans="1:25">
      <c r="A436" s="230">
        <v>8</v>
      </c>
      <c r="B436" s="231" t="str">
        <f>VLOOKUP(Tabel10[[#This Row],[Locatiecode]],Ruimtegroepen[[Code]:[Ruimte omschrijving]],2,FALSE)</f>
        <v>receptie</v>
      </c>
      <c r="C436" s="232" t="s">
        <v>656</v>
      </c>
      <c r="D436" s="231" t="s">
        <v>13</v>
      </c>
      <c r="E436" s="233" t="s">
        <v>101</v>
      </c>
      <c r="F436" s="232" t="s">
        <v>657</v>
      </c>
      <c r="G436" s="281" t="s">
        <v>296</v>
      </c>
      <c r="H436" s="234" t="s">
        <v>296</v>
      </c>
      <c r="I436" s="234" t="s">
        <v>296</v>
      </c>
      <c r="J436" s="235" t="s">
        <v>15</v>
      </c>
      <c r="K436" s="235" t="s">
        <v>296</v>
      </c>
      <c r="L436" s="234" t="s">
        <v>296</v>
      </c>
      <c r="M436" s="234" t="s">
        <v>296</v>
      </c>
      <c r="N436" s="235" t="s">
        <v>296</v>
      </c>
      <c r="O436" s="236" t="s">
        <v>15</v>
      </c>
      <c r="P436" s="236" t="s">
        <v>15</v>
      </c>
      <c r="Q436" s="236" t="s">
        <v>15</v>
      </c>
      <c r="R436" s="236" t="s">
        <v>15</v>
      </c>
      <c r="S436" s="236" t="s">
        <v>16</v>
      </c>
      <c r="T436" s="236" t="s">
        <v>343</v>
      </c>
      <c r="U436" s="236" t="s">
        <v>262</v>
      </c>
      <c r="V436" s="236" t="s">
        <v>296</v>
      </c>
      <c r="W436" s="237" t="s">
        <v>296</v>
      </c>
      <c r="X436" s="237" t="s">
        <v>296</v>
      </c>
      <c r="Y436" s="238" t="s">
        <v>296</v>
      </c>
    </row>
    <row r="437" spans="1:25">
      <c r="A437" s="230">
        <v>8</v>
      </c>
      <c r="B437" s="231" t="str">
        <f>VLOOKUP(Tabel10[[#This Row],[Locatiecode]],Ruimtegroepen[[Code]:[Ruimte omschrijving]],2,FALSE)</f>
        <v>receptie</v>
      </c>
      <c r="C437" s="232" t="s">
        <v>656</v>
      </c>
      <c r="D437" s="231" t="s">
        <v>13</v>
      </c>
      <c r="E437" s="233" t="s">
        <v>100</v>
      </c>
      <c r="F437" s="232" t="s">
        <v>658</v>
      </c>
      <c r="G437" s="281" t="s">
        <v>296</v>
      </c>
      <c r="H437" s="235" t="s">
        <v>15</v>
      </c>
      <c r="I437" s="234" t="s">
        <v>296</v>
      </c>
      <c r="J437" s="235" t="s">
        <v>296</v>
      </c>
      <c r="K437" s="235" t="s">
        <v>296</v>
      </c>
      <c r="L437" s="234" t="s">
        <v>296</v>
      </c>
      <c r="M437" s="234" t="s">
        <v>296</v>
      </c>
      <c r="N437" s="235" t="s">
        <v>296</v>
      </c>
      <c r="O437" s="236" t="s">
        <v>15</v>
      </c>
      <c r="P437" s="236" t="s">
        <v>15</v>
      </c>
      <c r="Q437" s="236" t="s">
        <v>15</v>
      </c>
      <c r="R437" s="236" t="s">
        <v>15</v>
      </c>
      <c r="S437" s="236" t="s">
        <v>16</v>
      </c>
      <c r="T437" s="236" t="s">
        <v>343</v>
      </c>
      <c r="U437" s="236" t="s">
        <v>262</v>
      </c>
      <c r="V437" s="236" t="s">
        <v>296</v>
      </c>
      <c r="W437" s="237" t="s">
        <v>296</v>
      </c>
      <c r="X437" s="237" t="s">
        <v>296</v>
      </c>
      <c r="Y437" s="238" t="s">
        <v>296</v>
      </c>
    </row>
    <row r="438" spans="1:25">
      <c r="A438" s="230">
        <v>8</v>
      </c>
      <c r="B438" s="231" t="str">
        <f>VLOOKUP(Tabel10[[#This Row],[Locatiecode]],Ruimtegroepen[[Code]:[Ruimte omschrijving]],2,FALSE)</f>
        <v>receptie</v>
      </c>
      <c r="C438" s="232" t="s">
        <v>656</v>
      </c>
      <c r="D438" s="231" t="s">
        <v>13</v>
      </c>
      <c r="E438" s="233" t="s">
        <v>102</v>
      </c>
      <c r="F438" s="232" t="s">
        <v>659</v>
      </c>
      <c r="G438" s="281" t="s">
        <v>296</v>
      </c>
      <c r="H438" s="234" t="s">
        <v>296</v>
      </c>
      <c r="I438" s="234" t="s">
        <v>296</v>
      </c>
      <c r="J438" s="234" t="s">
        <v>15</v>
      </c>
      <c r="K438" s="234" t="s">
        <v>297</v>
      </c>
      <c r="L438" s="234" t="s">
        <v>296</v>
      </c>
      <c r="M438" s="234" t="s">
        <v>296</v>
      </c>
      <c r="N438" s="235" t="s">
        <v>296</v>
      </c>
      <c r="O438" s="236" t="s">
        <v>15</v>
      </c>
      <c r="P438" s="236" t="s">
        <v>15</v>
      </c>
      <c r="Q438" s="236" t="s">
        <v>15</v>
      </c>
      <c r="R438" s="236" t="s">
        <v>15</v>
      </c>
      <c r="S438" s="236" t="s">
        <v>16</v>
      </c>
      <c r="T438" s="236" t="s">
        <v>343</v>
      </c>
      <c r="U438" s="236" t="s">
        <v>262</v>
      </c>
      <c r="V438" s="236" t="s">
        <v>296</v>
      </c>
      <c r="W438" s="237" t="s">
        <v>296</v>
      </c>
      <c r="X438" s="237" t="s">
        <v>296</v>
      </c>
      <c r="Y438" s="238" t="s">
        <v>296</v>
      </c>
    </row>
    <row r="439" spans="1:25">
      <c r="A439" s="230">
        <v>8</v>
      </c>
      <c r="B439" s="231" t="str">
        <f>VLOOKUP(Tabel10[[#This Row],[Locatiecode]],Ruimtegroepen[[Code]:[Ruimte omschrijving]],2,FALSE)</f>
        <v>receptie</v>
      </c>
      <c r="C439" s="232" t="s">
        <v>656</v>
      </c>
      <c r="D439" s="231" t="s">
        <v>13</v>
      </c>
      <c r="E439" s="233" t="s">
        <v>103</v>
      </c>
      <c r="F439" s="232" t="s">
        <v>660</v>
      </c>
      <c r="G439" s="281" t="s">
        <v>296</v>
      </c>
      <c r="H439" s="234" t="s">
        <v>296</v>
      </c>
      <c r="I439" s="234" t="s">
        <v>296</v>
      </c>
      <c r="J439" s="234" t="s">
        <v>15</v>
      </c>
      <c r="K439" s="234" t="s">
        <v>297</v>
      </c>
      <c r="L439" s="234" t="s">
        <v>296</v>
      </c>
      <c r="M439" s="234" t="s">
        <v>296</v>
      </c>
      <c r="N439" s="235" t="s">
        <v>296</v>
      </c>
      <c r="O439" s="236" t="s">
        <v>15</v>
      </c>
      <c r="P439" s="236" t="s">
        <v>15</v>
      </c>
      <c r="Q439" s="236" t="s">
        <v>15</v>
      </c>
      <c r="R439" s="236" t="s">
        <v>15</v>
      </c>
      <c r="S439" s="236" t="s">
        <v>16</v>
      </c>
      <c r="T439" s="236" t="s">
        <v>343</v>
      </c>
      <c r="U439" s="236" t="s">
        <v>262</v>
      </c>
      <c r="V439" s="236" t="s">
        <v>296</v>
      </c>
      <c r="W439" s="237" t="s">
        <v>296</v>
      </c>
      <c r="X439" s="237" t="s">
        <v>296</v>
      </c>
      <c r="Y439" s="238" t="s">
        <v>296</v>
      </c>
    </row>
    <row r="440" spans="1:25">
      <c r="A440" s="230">
        <v>8</v>
      </c>
      <c r="B440" s="231" t="str">
        <f>VLOOKUP(Tabel10[[#This Row],[Locatiecode]],Ruimtegroepen[[Code]:[Ruimte omschrijving]],2,FALSE)</f>
        <v>receptie</v>
      </c>
      <c r="C440" s="232" t="s">
        <v>656</v>
      </c>
      <c r="D440" s="231" t="s">
        <v>13</v>
      </c>
      <c r="E440" s="233" t="s">
        <v>100</v>
      </c>
      <c r="F440" s="232" t="s">
        <v>658</v>
      </c>
      <c r="G440" s="281" t="s">
        <v>296</v>
      </c>
      <c r="H440" s="235" t="s">
        <v>15</v>
      </c>
      <c r="I440" s="234" t="s">
        <v>296</v>
      </c>
      <c r="J440" s="235" t="s">
        <v>296</v>
      </c>
      <c r="K440" s="235" t="s">
        <v>296</v>
      </c>
      <c r="L440" s="234" t="s">
        <v>296</v>
      </c>
      <c r="M440" s="234" t="s">
        <v>296</v>
      </c>
      <c r="N440" s="235" t="s">
        <v>296</v>
      </c>
      <c r="O440" s="236" t="s">
        <v>15</v>
      </c>
      <c r="P440" s="236" t="s">
        <v>15</v>
      </c>
      <c r="Q440" s="236" t="s">
        <v>15</v>
      </c>
      <c r="R440" s="236" t="s">
        <v>15</v>
      </c>
      <c r="S440" s="236" t="s">
        <v>16</v>
      </c>
      <c r="T440" s="236" t="s">
        <v>343</v>
      </c>
      <c r="U440" s="236" t="s">
        <v>262</v>
      </c>
      <c r="V440" s="236" t="s">
        <v>296</v>
      </c>
      <c r="W440" s="237" t="s">
        <v>296</v>
      </c>
      <c r="X440" s="237" t="s">
        <v>296</v>
      </c>
      <c r="Y440" s="238" t="s">
        <v>296</v>
      </c>
    </row>
    <row r="441" spans="1:25">
      <c r="A441" s="230">
        <v>8</v>
      </c>
      <c r="B441" s="231" t="str">
        <f>VLOOKUP(Tabel10[[#This Row],[Locatiecode]],Ruimtegroepen[[Code]:[Ruimte omschrijving]],2,FALSE)</f>
        <v>receptie</v>
      </c>
      <c r="C441" s="232" t="s">
        <v>656</v>
      </c>
      <c r="D441" s="231" t="s">
        <v>13</v>
      </c>
      <c r="E441" s="233" t="s">
        <v>1344</v>
      </c>
      <c r="F441" s="232" t="s">
        <v>1399</v>
      </c>
      <c r="G441" s="281" t="s">
        <v>296</v>
      </c>
      <c r="H441" s="234" t="s">
        <v>296</v>
      </c>
      <c r="I441" s="234" t="s">
        <v>296</v>
      </c>
      <c r="J441" s="234" t="s">
        <v>15</v>
      </c>
      <c r="K441" s="234" t="s">
        <v>297</v>
      </c>
      <c r="L441" s="234" t="s">
        <v>296</v>
      </c>
      <c r="M441" s="234" t="s">
        <v>296</v>
      </c>
      <c r="N441" s="235" t="s">
        <v>296</v>
      </c>
      <c r="O441" s="236" t="s">
        <v>15</v>
      </c>
      <c r="P441" s="236" t="s">
        <v>15</v>
      </c>
      <c r="Q441" s="236" t="s">
        <v>15</v>
      </c>
      <c r="R441" s="236" t="s">
        <v>15</v>
      </c>
      <c r="S441" s="236" t="s">
        <v>16</v>
      </c>
      <c r="T441" s="236" t="s">
        <v>343</v>
      </c>
      <c r="U441" s="236" t="s">
        <v>262</v>
      </c>
      <c r="V441" s="236" t="s">
        <v>296</v>
      </c>
      <c r="W441" s="237" t="s">
        <v>296</v>
      </c>
      <c r="X441" s="237" t="s">
        <v>296</v>
      </c>
      <c r="Y441" s="238" t="s">
        <v>296</v>
      </c>
    </row>
    <row r="442" spans="1:25">
      <c r="A442" s="230">
        <v>8</v>
      </c>
      <c r="B442" s="231" t="str">
        <f>VLOOKUP(Tabel10[[#This Row],[Locatiecode]],Ruimtegroepen[[Code]:[Ruimte omschrijving]],2,FALSE)</f>
        <v>receptie</v>
      </c>
      <c r="C442" s="232" t="s">
        <v>661</v>
      </c>
      <c r="D442" s="231" t="s">
        <v>0</v>
      </c>
      <c r="E442" s="233" t="s">
        <v>101</v>
      </c>
      <c r="F442" s="232" t="s">
        <v>662</v>
      </c>
      <c r="G442" s="281" t="s">
        <v>296</v>
      </c>
      <c r="H442" s="234" t="s">
        <v>296</v>
      </c>
      <c r="I442" s="234" t="s">
        <v>296</v>
      </c>
      <c r="J442" s="235" t="s">
        <v>16</v>
      </c>
      <c r="K442" s="235" t="s">
        <v>296</v>
      </c>
      <c r="L442" s="234" t="s">
        <v>296</v>
      </c>
      <c r="M442" s="234" t="s">
        <v>296</v>
      </c>
      <c r="N442" s="235" t="s">
        <v>296</v>
      </c>
      <c r="O442" s="236" t="s">
        <v>16</v>
      </c>
      <c r="P442" s="236" t="s">
        <v>16</v>
      </c>
      <c r="Q442" s="236" t="s">
        <v>16</v>
      </c>
      <c r="R442" s="236" t="s">
        <v>16</v>
      </c>
      <c r="S442" s="236" t="s">
        <v>16</v>
      </c>
      <c r="T442" s="236" t="s">
        <v>343</v>
      </c>
      <c r="U442" s="236" t="s">
        <v>262</v>
      </c>
      <c r="V442" s="236" t="s">
        <v>296</v>
      </c>
      <c r="W442" s="237" t="s">
        <v>296</v>
      </c>
      <c r="X442" s="237" t="s">
        <v>296</v>
      </c>
      <c r="Y442" s="238" t="s">
        <v>296</v>
      </c>
    </row>
    <row r="443" spans="1:25">
      <c r="A443" s="230">
        <v>8</v>
      </c>
      <c r="B443" s="231" t="str">
        <f>VLOOKUP(Tabel10[[#This Row],[Locatiecode]],Ruimtegroepen[[Code]:[Ruimte omschrijving]],2,FALSE)</f>
        <v>receptie</v>
      </c>
      <c r="C443" s="232" t="s">
        <v>661</v>
      </c>
      <c r="D443" s="231" t="s">
        <v>0</v>
      </c>
      <c r="E443" s="233" t="s">
        <v>100</v>
      </c>
      <c r="F443" s="232" t="s">
        <v>663</v>
      </c>
      <c r="G443" s="281" t="s">
        <v>296</v>
      </c>
      <c r="H443" s="235" t="s">
        <v>16</v>
      </c>
      <c r="I443" s="234" t="s">
        <v>296</v>
      </c>
      <c r="J443" s="235" t="s">
        <v>296</v>
      </c>
      <c r="K443" s="235" t="s">
        <v>296</v>
      </c>
      <c r="L443" s="234" t="s">
        <v>296</v>
      </c>
      <c r="M443" s="234" t="s">
        <v>296</v>
      </c>
      <c r="N443" s="235" t="s">
        <v>296</v>
      </c>
      <c r="O443" s="236" t="s">
        <v>16</v>
      </c>
      <c r="P443" s="236" t="s">
        <v>16</v>
      </c>
      <c r="Q443" s="236" t="s">
        <v>16</v>
      </c>
      <c r="R443" s="236" t="s">
        <v>16</v>
      </c>
      <c r="S443" s="236" t="s">
        <v>16</v>
      </c>
      <c r="T443" s="236" t="s">
        <v>343</v>
      </c>
      <c r="U443" s="236" t="s">
        <v>262</v>
      </c>
      <c r="V443" s="236" t="s">
        <v>296</v>
      </c>
      <c r="W443" s="237" t="s">
        <v>296</v>
      </c>
      <c r="X443" s="237" t="s">
        <v>296</v>
      </c>
      <c r="Y443" s="238" t="s">
        <v>296</v>
      </c>
    </row>
    <row r="444" spans="1:25">
      <c r="A444" s="230">
        <v>8</v>
      </c>
      <c r="B444" s="231" t="str">
        <f>VLOOKUP(Tabel10[[#This Row],[Locatiecode]],Ruimtegroepen[[Code]:[Ruimte omschrijving]],2,FALSE)</f>
        <v>receptie</v>
      </c>
      <c r="C444" s="232" t="s">
        <v>661</v>
      </c>
      <c r="D444" s="231" t="s">
        <v>0</v>
      </c>
      <c r="E444" s="233" t="s">
        <v>102</v>
      </c>
      <c r="F444" s="232" t="s">
        <v>664</v>
      </c>
      <c r="G444" s="281" t="s">
        <v>296</v>
      </c>
      <c r="H444" s="234" t="s">
        <v>296</v>
      </c>
      <c r="I444" s="234" t="s">
        <v>296</v>
      </c>
      <c r="J444" s="234" t="s">
        <v>16</v>
      </c>
      <c r="K444" s="234" t="s">
        <v>297</v>
      </c>
      <c r="L444" s="234" t="s">
        <v>296</v>
      </c>
      <c r="M444" s="234" t="s">
        <v>296</v>
      </c>
      <c r="N444" s="235" t="s">
        <v>296</v>
      </c>
      <c r="O444" s="236" t="s">
        <v>16</v>
      </c>
      <c r="P444" s="236" t="s">
        <v>16</v>
      </c>
      <c r="Q444" s="236" t="s">
        <v>16</v>
      </c>
      <c r="R444" s="236" t="s">
        <v>16</v>
      </c>
      <c r="S444" s="236" t="s">
        <v>16</v>
      </c>
      <c r="T444" s="236" t="s">
        <v>343</v>
      </c>
      <c r="U444" s="236" t="s">
        <v>262</v>
      </c>
      <c r="V444" s="236" t="s">
        <v>296</v>
      </c>
      <c r="W444" s="237" t="s">
        <v>296</v>
      </c>
      <c r="X444" s="237" t="s">
        <v>296</v>
      </c>
      <c r="Y444" s="238" t="s">
        <v>296</v>
      </c>
    </row>
    <row r="445" spans="1:25">
      <c r="A445" s="230">
        <v>8</v>
      </c>
      <c r="B445" s="231" t="str">
        <f>VLOOKUP(Tabel10[[#This Row],[Locatiecode]],Ruimtegroepen[[Code]:[Ruimte omschrijving]],2,FALSE)</f>
        <v>receptie</v>
      </c>
      <c r="C445" s="232" t="s">
        <v>661</v>
      </c>
      <c r="D445" s="231" t="s">
        <v>0</v>
      </c>
      <c r="E445" s="233" t="s">
        <v>103</v>
      </c>
      <c r="F445" s="232" t="s">
        <v>665</v>
      </c>
      <c r="G445" s="281" t="s">
        <v>296</v>
      </c>
      <c r="H445" s="234" t="s">
        <v>296</v>
      </c>
      <c r="I445" s="234" t="s">
        <v>296</v>
      </c>
      <c r="J445" s="234" t="s">
        <v>16</v>
      </c>
      <c r="K445" s="234" t="s">
        <v>297</v>
      </c>
      <c r="L445" s="234" t="s">
        <v>296</v>
      </c>
      <c r="M445" s="234" t="s">
        <v>296</v>
      </c>
      <c r="N445" s="235" t="s">
        <v>296</v>
      </c>
      <c r="O445" s="236" t="s">
        <v>16</v>
      </c>
      <c r="P445" s="236" t="s">
        <v>16</v>
      </c>
      <c r="Q445" s="236" t="s">
        <v>16</v>
      </c>
      <c r="R445" s="236" t="s">
        <v>16</v>
      </c>
      <c r="S445" s="236" t="s">
        <v>16</v>
      </c>
      <c r="T445" s="236" t="s">
        <v>343</v>
      </c>
      <c r="U445" s="236" t="s">
        <v>262</v>
      </c>
      <c r="V445" s="236" t="s">
        <v>296</v>
      </c>
      <c r="W445" s="237" t="s">
        <v>296</v>
      </c>
      <c r="X445" s="237" t="s">
        <v>296</v>
      </c>
      <c r="Y445" s="238" t="s">
        <v>296</v>
      </c>
    </row>
    <row r="446" spans="1:25">
      <c r="A446" s="230">
        <v>8</v>
      </c>
      <c r="B446" s="231" t="str">
        <f>VLOOKUP(Tabel10[[#This Row],[Locatiecode]],Ruimtegroepen[[Code]:[Ruimte omschrijving]],2,FALSE)</f>
        <v>receptie</v>
      </c>
      <c r="C446" s="232" t="s">
        <v>661</v>
      </c>
      <c r="D446" s="231" t="s">
        <v>0</v>
      </c>
      <c r="E446" s="233" t="s">
        <v>100</v>
      </c>
      <c r="F446" s="232" t="s">
        <v>663</v>
      </c>
      <c r="G446" s="281" t="s">
        <v>296</v>
      </c>
      <c r="H446" s="235" t="s">
        <v>16</v>
      </c>
      <c r="I446" s="234" t="s">
        <v>296</v>
      </c>
      <c r="J446" s="235" t="s">
        <v>296</v>
      </c>
      <c r="K446" s="235" t="s">
        <v>296</v>
      </c>
      <c r="L446" s="234" t="s">
        <v>296</v>
      </c>
      <c r="M446" s="234" t="s">
        <v>296</v>
      </c>
      <c r="N446" s="235" t="s">
        <v>296</v>
      </c>
      <c r="O446" s="236" t="s">
        <v>16</v>
      </c>
      <c r="P446" s="236" t="s">
        <v>16</v>
      </c>
      <c r="Q446" s="236" t="s">
        <v>16</v>
      </c>
      <c r="R446" s="236" t="s">
        <v>16</v>
      </c>
      <c r="S446" s="236" t="s">
        <v>16</v>
      </c>
      <c r="T446" s="236" t="s">
        <v>343</v>
      </c>
      <c r="U446" s="236" t="s">
        <v>262</v>
      </c>
      <c r="V446" s="236" t="s">
        <v>296</v>
      </c>
      <c r="W446" s="237" t="s">
        <v>296</v>
      </c>
      <c r="X446" s="237" t="s">
        <v>296</v>
      </c>
      <c r="Y446" s="238" t="s">
        <v>296</v>
      </c>
    </row>
    <row r="447" spans="1:25">
      <c r="A447" s="230">
        <v>8</v>
      </c>
      <c r="B447" s="231" t="str">
        <f>VLOOKUP(Tabel10[[#This Row],[Locatiecode]],Ruimtegroepen[[Code]:[Ruimte omschrijving]],2,FALSE)</f>
        <v>receptie</v>
      </c>
      <c r="C447" s="232" t="s">
        <v>661</v>
      </c>
      <c r="D447" s="231" t="s">
        <v>0</v>
      </c>
      <c r="E447" s="233" t="s">
        <v>1344</v>
      </c>
      <c r="F447" s="232" t="s">
        <v>1383</v>
      </c>
      <c r="G447" s="281" t="s">
        <v>296</v>
      </c>
      <c r="H447" s="234" t="s">
        <v>296</v>
      </c>
      <c r="I447" s="234" t="s">
        <v>296</v>
      </c>
      <c r="J447" s="234" t="s">
        <v>16</v>
      </c>
      <c r="K447" s="234" t="s">
        <v>297</v>
      </c>
      <c r="L447" s="234" t="s">
        <v>296</v>
      </c>
      <c r="M447" s="234" t="s">
        <v>296</v>
      </c>
      <c r="N447" s="235" t="s">
        <v>296</v>
      </c>
      <c r="O447" s="236" t="s">
        <v>16</v>
      </c>
      <c r="P447" s="236" t="s">
        <v>16</v>
      </c>
      <c r="Q447" s="236" t="s">
        <v>16</v>
      </c>
      <c r="R447" s="236" t="s">
        <v>16</v>
      </c>
      <c r="S447" s="236" t="s">
        <v>16</v>
      </c>
      <c r="T447" s="236" t="s">
        <v>343</v>
      </c>
      <c r="U447" s="236" t="s">
        <v>262</v>
      </c>
      <c r="V447" s="236" t="s">
        <v>296</v>
      </c>
      <c r="W447" s="237" t="s">
        <v>296</v>
      </c>
      <c r="X447" s="237" t="s">
        <v>296</v>
      </c>
      <c r="Y447" s="238" t="s">
        <v>296</v>
      </c>
    </row>
    <row r="448" spans="1:25">
      <c r="A448" s="230">
        <v>8</v>
      </c>
      <c r="B448" s="231" t="str">
        <f>VLOOKUP(Tabel10[[#This Row],[Locatiecode]],Ruimtegroepen[[Code]:[Ruimte omschrijving]],2,FALSE)</f>
        <v>receptie</v>
      </c>
      <c r="C448" s="232" t="s">
        <v>666</v>
      </c>
      <c r="D448" s="231" t="s">
        <v>27</v>
      </c>
      <c r="E448" s="233" t="s">
        <v>101</v>
      </c>
      <c r="F448" s="232" t="s">
        <v>667</v>
      </c>
      <c r="G448" s="281" t="s">
        <v>296</v>
      </c>
      <c r="H448" s="234" t="s">
        <v>296</v>
      </c>
      <c r="I448" s="235" t="s">
        <v>15</v>
      </c>
      <c r="J448" s="234" t="s">
        <v>296</v>
      </c>
      <c r="K448" s="235" t="s">
        <v>296</v>
      </c>
      <c r="L448" s="234" t="s">
        <v>296</v>
      </c>
      <c r="M448" s="234" t="s">
        <v>296</v>
      </c>
      <c r="N448" s="235" t="s">
        <v>296</v>
      </c>
      <c r="O448" s="236" t="s">
        <v>15</v>
      </c>
      <c r="P448" s="236" t="s">
        <v>15</v>
      </c>
      <c r="Q448" s="236" t="s">
        <v>15</v>
      </c>
      <c r="R448" s="236" t="s">
        <v>296</v>
      </c>
      <c r="S448" s="236" t="s">
        <v>296</v>
      </c>
      <c r="T448" s="236" t="s">
        <v>296</v>
      </c>
      <c r="U448" s="236" t="s">
        <v>296</v>
      </c>
      <c r="V448" s="236" t="s">
        <v>296</v>
      </c>
      <c r="W448" s="237" t="s">
        <v>296</v>
      </c>
      <c r="X448" s="237" t="s">
        <v>296</v>
      </c>
      <c r="Y448" s="238" t="s">
        <v>296</v>
      </c>
    </row>
    <row r="449" spans="1:25">
      <c r="A449" s="230">
        <v>8</v>
      </c>
      <c r="B449" s="231" t="str">
        <f>VLOOKUP(Tabel10[[#This Row],[Locatiecode]],Ruimtegroepen[[Code]:[Ruimte omschrijving]],2,FALSE)</f>
        <v>receptie</v>
      </c>
      <c r="C449" s="232" t="s">
        <v>666</v>
      </c>
      <c r="D449" s="231" t="s">
        <v>27</v>
      </c>
      <c r="E449" s="233" t="s">
        <v>100</v>
      </c>
      <c r="F449" s="232" t="s">
        <v>668</v>
      </c>
      <c r="G449" s="281" t="s">
        <v>296</v>
      </c>
      <c r="H449" s="235" t="s">
        <v>15</v>
      </c>
      <c r="I449" s="234" t="s">
        <v>296</v>
      </c>
      <c r="J449" s="235" t="s">
        <v>296</v>
      </c>
      <c r="K449" s="235" t="s">
        <v>296</v>
      </c>
      <c r="L449" s="234" t="s">
        <v>296</v>
      </c>
      <c r="M449" s="234" t="s">
        <v>296</v>
      </c>
      <c r="N449" s="235" t="s">
        <v>296</v>
      </c>
      <c r="O449" s="236" t="s">
        <v>15</v>
      </c>
      <c r="P449" s="236" t="s">
        <v>15</v>
      </c>
      <c r="Q449" s="236" t="s">
        <v>15</v>
      </c>
      <c r="R449" s="236" t="s">
        <v>296</v>
      </c>
      <c r="S449" s="236" t="s">
        <v>296</v>
      </c>
      <c r="T449" s="236" t="s">
        <v>296</v>
      </c>
      <c r="U449" s="236" t="s">
        <v>296</v>
      </c>
      <c r="V449" s="236" t="s">
        <v>296</v>
      </c>
      <c r="W449" s="237" t="s">
        <v>296</v>
      </c>
      <c r="X449" s="237" t="s">
        <v>296</v>
      </c>
      <c r="Y449" s="238" t="s">
        <v>296</v>
      </c>
    </row>
    <row r="450" spans="1:25">
      <c r="A450" s="230">
        <v>8</v>
      </c>
      <c r="B450" s="231" t="str">
        <f>VLOOKUP(Tabel10[[#This Row],[Locatiecode]],Ruimtegroepen[[Code]:[Ruimte omschrijving]],2,FALSE)</f>
        <v>receptie</v>
      </c>
      <c r="C450" s="232" t="s">
        <v>666</v>
      </c>
      <c r="D450" s="231" t="s">
        <v>27</v>
      </c>
      <c r="E450" s="233" t="s">
        <v>102</v>
      </c>
      <c r="F450" s="232" t="s">
        <v>669</v>
      </c>
      <c r="G450" s="281" t="s">
        <v>296</v>
      </c>
      <c r="H450" s="234" t="s">
        <v>296</v>
      </c>
      <c r="I450" s="235" t="s">
        <v>15</v>
      </c>
      <c r="J450" s="235" t="s">
        <v>296</v>
      </c>
      <c r="K450" s="235" t="s">
        <v>296</v>
      </c>
      <c r="L450" s="234" t="s">
        <v>296</v>
      </c>
      <c r="M450" s="234" t="s">
        <v>296</v>
      </c>
      <c r="N450" s="235" t="s">
        <v>296</v>
      </c>
      <c r="O450" s="236" t="s">
        <v>15</v>
      </c>
      <c r="P450" s="236" t="s">
        <v>15</v>
      </c>
      <c r="Q450" s="236" t="s">
        <v>15</v>
      </c>
      <c r="R450" s="236" t="s">
        <v>296</v>
      </c>
      <c r="S450" s="236" t="s">
        <v>296</v>
      </c>
      <c r="T450" s="236" t="s">
        <v>296</v>
      </c>
      <c r="U450" s="236" t="s">
        <v>296</v>
      </c>
      <c r="V450" s="236" t="s">
        <v>296</v>
      </c>
      <c r="W450" s="237" t="s">
        <v>296</v>
      </c>
      <c r="X450" s="237" t="s">
        <v>296</v>
      </c>
      <c r="Y450" s="238" t="s">
        <v>296</v>
      </c>
    </row>
    <row r="451" spans="1:25">
      <c r="A451" s="230">
        <v>8</v>
      </c>
      <c r="B451" s="231" t="str">
        <f>VLOOKUP(Tabel10[[#This Row],[Locatiecode]],Ruimtegroepen[[Code]:[Ruimte omschrijving]],2,FALSE)</f>
        <v>receptie</v>
      </c>
      <c r="C451" s="232" t="s">
        <v>666</v>
      </c>
      <c r="D451" s="231" t="s">
        <v>27</v>
      </c>
      <c r="E451" s="233" t="s">
        <v>103</v>
      </c>
      <c r="F451" s="232" t="s">
        <v>670</v>
      </c>
      <c r="G451" s="281" t="s">
        <v>296</v>
      </c>
      <c r="H451" s="234" t="s">
        <v>296</v>
      </c>
      <c r="I451" s="235" t="s">
        <v>15</v>
      </c>
      <c r="J451" s="235" t="s">
        <v>296</v>
      </c>
      <c r="K451" s="235" t="s">
        <v>296</v>
      </c>
      <c r="L451" s="234" t="s">
        <v>296</v>
      </c>
      <c r="M451" s="234" t="s">
        <v>296</v>
      </c>
      <c r="N451" s="235" t="s">
        <v>296</v>
      </c>
      <c r="O451" s="236" t="s">
        <v>15</v>
      </c>
      <c r="P451" s="236" t="s">
        <v>15</v>
      </c>
      <c r="Q451" s="236" t="s">
        <v>15</v>
      </c>
      <c r="R451" s="236" t="s">
        <v>296</v>
      </c>
      <c r="S451" s="236" t="s">
        <v>296</v>
      </c>
      <c r="T451" s="236" t="s">
        <v>296</v>
      </c>
      <c r="U451" s="236" t="s">
        <v>296</v>
      </c>
      <c r="V451" s="236" t="s">
        <v>296</v>
      </c>
      <c r="W451" s="237" t="s">
        <v>296</v>
      </c>
      <c r="X451" s="237" t="s">
        <v>296</v>
      </c>
      <c r="Y451" s="238" t="s">
        <v>296</v>
      </c>
    </row>
    <row r="452" spans="1:25">
      <c r="A452" s="230">
        <v>8</v>
      </c>
      <c r="B452" s="231" t="str">
        <f>VLOOKUP(Tabel10[[#This Row],[Locatiecode]],Ruimtegroepen[[Code]:[Ruimte omschrijving]],2,FALSE)</f>
        <v>receptie</v>
      </c>
      <c r="C452" s="232" t="s">
        <v>666</v>
      </c>
      <c r="D452" s="231" t="s">
        <v>27</v>
      </c>
      <c r="E452" s="233" t="s">
        <v>100</v>
      </c>
      <c r="F452" s="232" t="s">
        <v>668</v>
      </c>
      <c r="G452" s="281" t="s">
        <v>296</v>
      </c>
      <c r="H452" s="235" t="s">
        <v>15</v>
      </c>
      <c r="I452" s="234" t="s">
        <v>296</v>
      </c>
      <c r="J452" s="235" t="s">
        <v>296</v>
      </c>
      <c r="K452" s="235" t="s">
        <v>296</v>
      </c>
      <c r="L452" s="234" t="s">
        <v>296</v>
      </c>
      <c r="M452" s="234" t="s">
        <v>296</v>
      </c>
      <c r="N452" s="235" t="s">
        <v>296</v>
      </c>
      <c r="O452" s="236" t="s">
        <v>15</v>
      </c>
      <c r="P452" s="236" t="s">
        <v>15</v>
      </c>
      <c r="Q452" s="236" t="s">
        <v>15</v>
      </c>
      <c r="R452" s="236" t="s">
        <v>296</v>
      </c>
      <c r="S452" s="236" t="s">
        <v>296</v>
      </c>
      <c r="T452" s="236" t="s">
        <v>296</v>
      </c>
      <c r="U452" s="236" t="s">
        <v>296</v>
      </c>
      <c r="V452" s="236" t="s">
        <v>296</v>
      </c>
      <c r="W452" s="237" t="s">
        <v>296</v>
      </c>
      <c r="X452" s="237" t="s">
        <v>296</v>
      </c>
      <c r="Y452" s="238" t="s">
        <v>296</v>
      </c>
    </row>
    <row r="453" spans="1:25">
      <c r="A453" s="230">
        <v>8</v>
      </c>
      <c r="B453" s="231" t="str">
        <f>VLOOKUP(Tabel10[[#This Row],[Locatiecode]],Ruimtegroepen[[Code]:[Ruimte omschrijving]],2,FALSE)</f>
        <v>receptie</v>
      </c>
      <c r="C453" s="232" t="s">
        <v>666</v>
      </c>
      <c r="D453" s="231" t="s">
        <v>27</v>
      </c>
      <c r="E453" s="233" t="s">
        <v>1344</v>
      </c>
      <c r="F453" s="232" t="s">
        <v>1416</v>
      </c>
      <c r="G453" s="281" t="s">
        <v>296</v>
      </c>
      <c r="H453" s="234" t="s">
        <v>296</v>
      </c>
      <c r="I453" s="235" t="s">
        <v>15</v>
      </c>
      <c r="J453" s="235" t="s">
        <v>296</v>
      </c>
      <c r="K453" s="235" t="s">
        <v>296</v>
      </c>
      <c r="L453" s="234" t="s">
        <v>296</v>
      </c>
      <c r="M453" s="234" t="s">
        <v>296</v>
      </c>
      <c r="N453" s="235" t="s">
        <v>296</v>
      </c>
      <c r="O453" s="236" t="s">
        <v>15</v>
      </c>
      <c r="P453" s="236" t="s">
        <v>15</v>
      </c>
      <c r="Q453" s="236" t="s">
        <v>15</v>
      </c>
      <c r="R453" s="236" t="s">
        <v>296</v>
      </c>
      <c r="S453" s="236" t="s">
        <v>296</v>
      </c>
      <c r="T453" s="236" t="s">
        <v>296</v>
      </c>
      <c r="U453" s="236" t="s">
        <v>296</v>
      </c>
      <c r="V453" s="236" t="s">
        <v>296</v>
      </c>
      <c r="W453" s="237" t="s">
        <v>296</v>
      </c>
      <c r="X453" s="237" t="s">
        <v>296</v>
      </c>
      <c r="Y453" s="238" t="s">
        <v>296</v>
      </c>
    </row>
    <row r="454" spans="1:25">
      <c r="A454" s="230">
        <v>8</v>
      </c>
      <c r="B454" s="231" t="str">
        <f>VLOOKUP(Tabel10[[#This Row],[Locatiecode]],Ruimtegroepen[[Code]:[Ruimte omschrijving]],2,FALSE)</f>
        <v>receptie</v>
      </c>
      <c r="C454" s="232" t="s">
        <v>671</v>
      </c>
      <c r="D454" s="231" t="s">
        <v>28</v>
      </c>
      <c r="E454" s="233" t="s">
        <v>101</v>
      </c>
      <c r="F454" s="232" t="s">
        <v>672</v>
      </c>
      <c r="G454" s="281" t="s">
        <v>296</v>
      </c>
      <c r="H454" s="234" t="s">
        <v>296</v>
      </c>
      <c r="I454" s="235" t="s">
        <v>17</v>
      </c>
      <c r="J454" s="234" t="s">
        <v>296</v>
      </c>
      <c r="K454" s="235" t="s">
        <v>296</v>
      </c>
      <c r="L454" s="234" t="s">
        <v>296</v>
      </c>
      <c r="M454" s="234" t="s">
        <v>296</v>
      </c>
      <c r="N454" s="235" t="s">
        <v>296</v>
      </c>
      <c r="O454" s="236" t="s">
        <v>17</v>
      </c>
      <c r="P454" s="236" t="s">
        <v>17</v>
      </c>
      <c r="Q454" s="236" t="s">
        <v>15</v>
      </c>
      <c r="R454" s="236" t="s">
        <v>296</v>
      </c>
      <c r="S454" s="236" t="s">
        <v>296</v>
      </c>
      <c r="T454" s="236" t="s">
        <v>296</v>
      </c>
      <c r="U454" s="236" t="s">
        <v>296</v>
      </c>
      <c r="V454" s="236" t="s">
        <v>296</v>
      </c>
      <c r="W454" s="237" t="s">
        <v>296</v>
      </c>
      <c r="X454" s="237" t="s">
        <v>296</v>
      </c>
      <c r="Y454" s="238" t="s">
        <v>296</v>
      </c>
    </row>
    <row r="455" spans="1:25">
      <c r="A455" s="230">
        <v>8</v>
      </c>
      <c r="B455" s="231" t="str">
        <f>VLOOKUP(Tabel10[[#This Row],[Locatiecode]],Ruimtegroepen[[Code]:[Ruimte omschrijving]],2,FALSE)</f>
        <v>receptie</v>
      </c>
      <c r="C455" s="232" t="s">
        <v>671</v>
      </c>
      <c r="D455" s="231" t="s">
        <v>28</v>
      </c>
      <c r="E455" s="233" t="s">
        <v>100</v>
      </c>
      <c r="F455" s="232" t="s">
        <v>673</v>
      </c>
      <c r="G455" s="281" t="s">
        <v>296</v>
      </c>
      <c r="H455" s="235" t="s">
        <v>17</v>
      </c>
      <c r="I455" s="234" t="s">
        <v>296</v>
      </c>
      <c r="J455" s="235" t="s">
        <v>296</v>
      </c>
      <c r="K455" s="235" t="s">
        <v>296</v>
      </c>
      <c r="L455" s="234" t="s">
        <v>296</v>
      </c>
      <c r="M455" s="234" t="s">
        <v>296</v>
      </c>
      <c r="N455" s="235" t="s">
        <v>296</v>
      </c>
      <c r="O455" s="236" t="s">
        <v>17</v>
      </c>
      <c r="P455" s="236" t="s">
        <v>17</v>
      </c>
      <c r="Q455" s="236" t="s">
        <v>15</v>
      </c>
      <c r="R455" s="236" t="s">
        <v>296</v>
      </c>
      <c r="S455" s="236" t="s">
        <v>296</v>
      </c>
      <c r="T455" s="236" t="s">
        <v>296</v>
      </c>
      <c r="U455" s="236" t="s">
        <v>296</v>
      </c>
      <c r="V455" s="236" t="s">
        <v>296</v>
      </c>
      <c r="W455" s="237" t="s">
        <v>296</v>
      </c>
      <c r="X455" s="237" t="s">
        <v>296</v>
      </c>
      <c r="Y455" s="238" t="s">
        <v>296</v>
      </c>
    </row>
    <row r="456" spans="1:25">
      <c r="A456" s="230">
        <v>8</v>
      </c>
      <c r="B456" s="231" t="str">
        <f>VLOOKUP(Tabel10[[#This Row],[Locatiecode]],Ruimtegroepen[[Code]:[Ruimte omschrijving]],2,FALSE)</f>
        <v>receptie</v>
      </c>
      <c r="C456" s="232" t="s">
        <v>671</v>
      </c>
      <c r="D456" s="231" t="s">
        <v>28</v>
      </c>
      <c r="E456" s="233" t="s">
        <v>102</v>
      </c>
      <c r="F456" s="232" t="s">
        <v>674</v>
      </c>
      <c r="G456" s="281" t="s">
        <v>296</v>
      </c>
      <c r="H456" s="234" t="s">
        <v>296</v>
      </c>
      <c r="I456" s="235" t="s">
        <v>17</v>
      </c>
      <c r="J456" s="235" t="s">
        <v>296</v>
      </c>
      <c r="K456" s="235" t="s">
        <v>296</v>
      </c>
      <c r="L456" s="234" t="s">
        <v>296</v>
      </c>
      <c r="M456" s="234" t="s">
        <v>296</v>
      </c>
      <c r="N456" s="235" t="s">
        <v>296</v>
      </c>
      <c r="O456" s="236" t="s">
        <v>17</v>
      </c>
      <c r="P456" s="236" t="s">
        <v>17</v>
      </c>
      <c r="Q456" s="236" t="s">
        <v>15</v>
      </c>
      <c r="R456" s="236" t="s">
        <v>296</v>
      </c>
      <c r="S456" s="236" t="s">
        <v>296</v>
      </c>
      <c r="T456" s="236" t="s">
        <v>296</v>
      </c>
      <c r="U456" s="236" t="s">
        <v>296</v>
      </c>
      <c r="V456" s="236" t="s">
        <v>296</v>
      </c>
      <c r="W456" s="237" t="s">
        <v>296</v>
      </c>
      <c r="X456" s="237" t="s">
        <v>296</v>
      </c>
      <c r="Y456" s="238" t="s">
        <v>296</v>
      </c>
    </row>
    <row r="457" spans="1:25">
      <c r="A457" s="230">
        <v>8</v>
      </c>
      <c r="B457" s="231" t="str">
        <f>VLOOKUP(Tabel10[[#This Row],[Locatiecode]],Ruimtegroepen[[Code]:[Ruimte omschrijving]],2,FALSE)</f>
        <v>receptie</v>
      </c>
      <c r="C457" s="232" t="s">
        <v>671</v>
      </c>
      <c r="D457" s="231" t="s">
        <v>28</v>
      </c>
      <c r="E457" s="233" t="s">
        <v>103</v>
      </c>
      <c r="F457" s="232" t="s">
        <v>675</v>
      </c>
      <c r="G457" s="281" t="s">
        <v>296</v>
      </c>
      <c r="H457" s="234" t="s">
        <v>296</v>
      </c>
      <c r="I457" s="235" t="s">
        <v>17</v>
      </c>
      <c r="J457" s="235" t="s">
        <v>296</v>
      </c>
      <c r="K457" s="235" t="s">
        <v>296</v>
      </c>
      <c r="L457" s="234" t="s">
        <v>296</v>
      </c>
      <c r="M457" s="234" t="s">
        <v>296</v>
      </c>
      <c r="N457" s="235" t="s">
        <v>296</v>
      </c>
      <c r="O457" s="236" t="s">
        <v>17</v>
      </c>
      <c r="P457" s="236" t="s">
        <v>17</v>
      </c>
      <c r="Q457" s="236" t="s">
        <v>15</v>
      </c>
      <c r="R457" s="236" t="s">
        <v>296</v>
      </c>
      <c r="S457" s="236" t="s">
        <v>296</v>
      </c>
      <c r="T457" s="236" t="s">
        <v>296</v>
      </c>
      <c r="U457" s="236" t="s">
        <v>296</v>
      </c>
      <c r="V457" s="236" t="s">
        <v>296</v>
      </c>
      <c r="W457" s="237" t="s">
        <v>296</v>
      </c>
      <c r="X457" s="237" t="s">
        <v>296</v>
      </c>
      <c r="Y457" s="238" t="s">
        <v>296</v>
      </c>
    </row>
    <row r="458" spans="1:25">
      <c r="A458" s="230">
        <v>8</v>
      </c>
      <c r="B458" s="231" t="str">
        <f>VLOOKUP(Tabel10[[#This Row],[Locatiecode]],Ruimtegroepen[[Code]:[Ruimte omschrijving]],2,FALSE)</f>
        <v>receptie</v>
      </c>
      <c r="C458" s="232" t="s">
        <v>671</v>
      </c>
      <c r="D458" s="231" t="s">
        <v>28</v>
      </c>
      <c r="E458" s="233" t="s">
        <v>100</v>
      </c>
      <c r="F458" s="232" t="s">
        <v>673</v>
      </c>
      <c r="G458" s="281" t="s">
        <v>296</v>
      </c>
      <c r="H458" s="235" t="s">
        <v>17</v>
      </c>
      <c r="I458" s="234" t="s">
        <v>296</v>
      </c>
      <c r="J458" s="235" t="s">
        <v>296</v>
      </c>
      <c r="K458" s="235" t="s">
        <v>296</v>
      </c>
      <c r="L458" s="234" t="s">
        <v>296</v>
      </c>
      <c r="M458" s="234" t="s">
        <v>296</v>
      </c>
      <c r="N458" s="235" t="s">
        <v>296</v>
      </c>
      <c r="O458" s="236" t="s">
        <v>17</v>
      </c>
      <c r="P458" s="236" t="s">
        <v>17</v>
      </c>
      <c r="Q458" s="236" t="s">
        <v>15</v>
      </c>
      <c r="R458" s="236" t="s">
        <v>296</v>
      </c>
      <c r="S458" s="236" t="s">
        <v>296</v>
      </c>
      <c r="T458" s="236" t="s">
        <v>296</v>
      </c>
      <c r="U458" s="236" t="s">
        <v>296</v>
      </c>
      <c r="V458" s="236" t="s">
        <v>296</v>
      </c>
      <c r="W458" s="237" t="s">
        <v>296</v>
      </c>
      <c r="X458" s="237" t="s">
        <v>296</v>
      </c>
      <c r="Y458" s="238" t="s">
        <v>296</v>
      </c>
    </row>
    <row r="459" spans="1:25">
      <c r="A459" s="230">
        <v>8</v>
      </c>
      <c r="B459" s="231" t="str">
        <f>VLOOKUP(Tabel10[[#This Row],[Locatiecode]],Ruimtegroepen[[Code]:[Ruimte omschrijving]],2,FALSE)</f>
        <v>receptie</v>
      </c>
      <c r="C459" s="232" t="s">
        <v>671</v>
      </c>
      <c r="D459" s="231" t="s">
        <v>28</v>
      </c>
      <c r="E459" s="233" t="s">
        <v>1344</v>
      </c>
      <c r="F459" s="232" t="s">
        <v>1449</v>
      </c>
      <c r="G459" s="281" t="s">
        <v>296</v>
      </c>
      <c r="H459" s="234" t="s">
        <v>296</v>
      </c>
      <c r="I459" s="235" t="s">
        <v>17</v>
      </c>
      <c r="J459" s="235" t="s">
        <v>296</v>
      </c>
      <c r="K459" s="235" t="s">
        <v>296</v>
      </c>
      <c r="L459" s="234" t="s">
        <v>296</v>
      </c>
      <c r="M459" s="234" t="s">
        <v>296</v>
      </c>
      <c r="N459" s="235" t="s">
        <v>296</v>
      </c>
      <c r="O459" s="236" t="s">
        <v>17</v>
      </c>
      <c r="P459" s="236" t="s">
        <v>17</v>
      </c>
      <c r="Q459" s="236" t="s">
        <v>15</v>
      </c>
      <c r="R459" s="236" t="s">
        <v>296</v>
      </c>
      <c r="S459" s="236" t="s">
        <v>296</v>
      </c>
      <c r="T459" s="236" t="s">
        <v>296</v>
      </c>
      <c r="U459" s="236" t="s">
        <v>296</v>
      </c>
      <c r="V459" s="236" t="s">
        <v>296</v>
      </c>
      <c r="W459" s="237" t="s">
        <v>296</v>
      </c>
      <c r="X459" s="237" t="s">
        <v>296</v>
      </c>
      <c r="Y459" s="238" t="s">
        <v>296</v>
      </c>
    </row>
    <row r="460" spans="1:25">
      <c r="A460" s="230">
        <v>9</v>
      </c>
      <c r="B460" s="231" t="str">
        <f>VLOOKUP(Tabel10[[#This Row],[Locatiecode]],Ruimtegroepen[[Code]:[Ruimte omschrijving]],2,FALSE)</f>
        <v>publieksruimte</v>
      </c>
      <c r="C460" s="232" t="s">
        <v>676</v>
      </c>
      <c r="D460" s="231" t="s">
        <v>29</v>
      </c>
      <c r="E460" s="233" t="s">
        <v>101</v>
      </c>
      <c r="F460" s="232" t="s">
        <v>677</v>
      </c>
      <c r="G460" s="281" t="s">
        <v>296</v>
      </c>
      <c r="H460" s="234" t="s">
        <v>296</v>
      </c>
      <c r="I460" s="234" t="s">
        <v>20</v>
      </c>
      <c r="J460" s="235" t="s">
        <v>15</v>
      </c>
      <c r="K460" s="235" t="s">
        <v>296</v>
      </c>
      <c r="L460" s="234" t="s">
        <v>296</v>
      </c>
      <c r="M460" s="234" t="s">
        <v>296</v>
      </c>
      <c r="N460" s="235" t="s">
        <v>2</v>
      </c>
      <c r="O460" s="236" t="s">
        <v>2</v>
      </c>
      <c r="P460" s="236" t="s">
        <v>2</v>
      </c>
      <c r="Q460" s="236" t="s">
        <v>15</v>
      </c>
      <c r="R460" s="236" t="s">
        <v>15</v>
      </c>
      <c r="S460" s="236" t="s">
        <v>16</v>
      </c>
      <c r="T460" s="236" t="s">
        <v>343</v>
      </c>
      <c r="U460" s="236" t="s">
        <v>262</v>
      </c>
      <c r="V460" s="236" t="s">
        <v>2</v>
      </c>
      <c r="W460" s="237" t="s">
        <v>296</v>
      </c>
      <c r="X460" s="237" t="s">
        <v>296</v>
      </c>
      <c r="Y460" s="238" t="s">
        <v>296</v>
      </c>
    </row>
    <row r="461" spans="1:25">
      <c r="A461" s="230">
        <v>9</v>
      </c>
      <c r="B461" s="231" t="str">
        <f>VLOOKUP(Tabel10[[#This Row],[Locatiecode]],Ruimtegroepen[[Code]:[Ruimte omschrijving]],2,FALSE)</f>
        <v>publieksruimte</v>
      </c>
      <c r="C461" s="232" t="s">
        <v>676</v>
      </c>
      <c r="D461" s="231" t="s">
        <v>29</v>
      </c>
      <c r="E461" s="233" t="s">
        <v>100</v>
      </c>
      <c r="F461" s="232" t="s">
        <v>678</v>
      </c>
      <c r="G461" s="281" t="s">
        <v>296</v>
      </c>
      <c r="H461" s="235" t="s">
        <v>2</v>
      </c>
      <c r="I461" s="234" t="s">
        <v>296</v>
      </c>
      <c r="J461" s="235" t="s">
        <v>296</v>
      </c>
      <c r="K461" s="235" t="s">
        <v>296</v>
      </c>
      <c r="L461" s="234" t="s">
        <v>296</v>
      </c>
      <c r="M461" s="234" t="s">
        <v>296</v>
      </c>
      <c r="N461" s="235" t="s">
        <v>2</v>
      </c>
      <c r="O461" s="236" t="s">
        <v>2</v>
      </c>
      <c r="P461" s="236" t="s">
        <v>2</v>
      </c>
      <c r="Q461" s="236" t="s">
        <v>15</v>
      </c>
      <c r="R461" s="236" t="s">
        <v>15</v>
      </c>
      <c r="S461" s="236" t="s">
        <v>16</v>
      </c>
      <c r="T461" s="236" t="s">
        <v>343</v>
      </c>
      <c r="U461" s="236" t="s">
        <v>262</v>
      </c>
      <c r="V461" s="236" t="s">
        <v>2</v>
      </c>
      <c r="W461" s="237" t="s">
        <v>296</v>
      </c>
      <c r="X461" s="237" t="s">
        <v>296</v>
      </c>
      <c r="Y461" s="238" t="s">
        <v>296</v>
      </c>
    </row>
    <row r="462" spans="1:25">
      <c r="A462" s="230">
        <v>9</v>
      </c>
      <c r="B462" s="231" t="str">
        <f>VLOOKUP(Tabel10[[#This Row],[Locatiecode]],Ruimtegroepen[[Code]:[Ruimte omschrijving]],2,FALSE)</f>
        <v>publieksruimte</v>
      </c>
      <c r="C462" s="232" t="s">
        <v>676</v>
      </c>
      <c r="D462" s="231" t="s">
        <v>29</v>
      </c>
      <c r="E462" s="233" t="s">
        <v>102</v>
      </c>
      <c r="F462" s="232" t="s">
        <v>679</v>
      </c>
      <c r="G462" s="281" t="s">
        <v>296</v>
      </c>
      <c r="H462" s="234" t="s">
        <v>296</v>
      </c>
      <c r="I462" s="234" t="s">
        <v>20</v>
      </c>
      <c r="J462" s="234" t="s">
        <v>15</v>
      </c>
      <c r="K462" s="234" t="s">
        <v>297</v>
      </c>
      <c r="L462" s="234" t="s">
        <v>296</v>
      </c>
      <c r="M462" s="234" t="s">
        <v>296</v>
      </c>
      <c r="N462" s="235" t="s">
        <v>2</v>
      </c>
      <c r="O462" s="236" t="s">
        <v>2</v>
      </c>
      <c r="P462" s="236" t="s">
        <v>2</v>
      </c>
      <c r="Q462" s="236" t="s">
        <v>15</v>
      </c>
      <c r="R462" s="236" t="s">
        <v>15</v>
      </c>
      <c r="S462" s="236" t="s">
        <v>16</v>
      </c>
      <c r="T462" s="236" t="s">
        <v>343</v>
      </c>
      <c r="U462" s="236" t="s">
        <v>262</v>
      </c>
      <c r="V462" s="236" t="s">
        <v>2</v>
      </c>
      <c r="W462" s="237" t="s">
        <v>296</v>
      </c>
      <c r="X462" s="237" t="s">
        <v>296</v>
      </c>
      <c r="Y462" s="238" t="s">
        <v>296</v>
      </c>
    </row>
    <row r="463" spans="1:25">
      <c r="A463" s="230">
        <v>9</v>
      </c>
      <c r="B463" s="231" t="str">
        <f>VLOOKUP(Tabel10[[#This Row],[Locatiecode]],Ruimtegroepen[[Code]:[Ruimte omschrijving]],2,FALSE)</f>
        <v>publieksruimte</v>
      </c>
      <c r="C463" s="232" t="s">
        <v>676</v>
      </c>
      <c r="D463" s="231" t="s">
        <v>29</v>
      </c>
      <c r="E463" s="233" t="s">
        <v>103</v>
      </c>
      <c r="F463" s="232" t="s">
        <v>680</v>
      </c>
      <c r="G463" s="281" t="s">
        <v>296</v>
      </c>
      <c r="H463" s="234" t="s">
        <v>296</v>
      </c>
      <c r="I463" s="234" t="s">
        <v>20</v>
      </c>
      <c r="J463" s="234" t="s">
        <v>15</v>
      </c>
      <c r="K463" s="234" t="s">
        <v>297</v>
      </c>
      <c r="L463" s="234" t="s">
        <v>296</v>
      </c>
      <c r="M463" s="234" t="s">
        <v>296</v>
      </c>
      <c r="N463" s="235" t="s">
        <v>2</v>
      </c>
      <c r="O463" s="236" t="s">
        <v>2</v>
      </c>
      <c r="P463" s="236" t="s">
        <v>2</v>
      </c>
      <c r="Q463" s="236" t="s">
        <v>15</v>
      </c>
      <c r="R463" s="236" t="s">
        <v>15</v>
      </c>
      <c r="S463" s="236" t="s">
        <v>16</v>
      </c>
      <c r="T463" s="236" t="s">
        <v>343</v>
      </c>
      <c r="U463" s="236" t="s">
        <v>262</v>
      </c>
      <c r="V463" s="236" t="s">
        <v>2</v>
      </c>
      <c r="W463" s="237" t="s">
        <v>296</v>
      </c>
      <c r="X463" s="237" t="s">
        <v>296</v>
      </c>
      <c r="Y463" s="238" t="s">
        <v>296</v>
      </c>
    </row>
    <row r="464" spans="1:25">
      <c r="A464" s="230">
        <v>9</v>
      </c>
      <c r="B464" s="231" t="str">
        <f>VLOOKUP(Tabel10[[#This Row],[Locatiecode]],Ruimtegroepen[[Code]:[Ruimte omschrijving]],2,FALSE)</f>
        <v>publieksruimte</v>
      </c>
      <c r="C464" s="232" t="s">
        <v>676</v>
      </c>
      <c r="D464" s="231" t="s">
        <v>29</v>
      </c>
      <c r="E464" s="233" t="s">
        <v>100</v>
      </c>
      <c r="F464" s="232" t="s">
        <v>678</v>
      </c>
      <c r="G464" s="281" t="s">
        <v>296</v>
      </c>
      <c r="H464" s="235" t="s">
        <v>2</v>
      </c>
      <c r="I464" s="234" t="s">
        <v>296</v>
      </c>
      <c r="J464" s="235" t="s">
        <v>296</v>
      </c>
      <c r="K464" s="235" t="s">
        <v>296</v>
      </c>
      <c r="L464" s="234" t="s">
        <v>296</v>
      </c>
      <c r="M464" s="234" t="s">
        <v>296</v>
      </c>
      <c r="N464" s="235" t="s">
        <v>2</v>
      </c>
      <c r="O464" s="236" t="s">
        <v>2</v>
      </c>
      <c r="P464" s="236" t="s">
        <v>2</v>
      </c>
      <c r="Q464" s="236" t="s">
        <v>15</v>
      </c>
      <c r="R464" s="236" t="s">
        <v>15</v>
      </c>
      <c r="S464" s="236" t="s">
        <v>16</v>
      </c>
      <c r="T464" s="236" t="s">
        <v>343</v>
      </c>
      <c r="U464" s="236" t="s">
        <v>262</v>
      </c>
      <c r="V464" s="236" t="s">
        <v>2</v>
      </c>
      <c r="W464" s="237" t="s">
        <v>296</v>
      </c>
      <c r="X464" s="237" t="s">
        <v>296</v>
      </c>
      <c r="Y464" s="238" t="s">
        <v>296</v>
      </c>
    </row>
    <row r="465" spans="1:25">
      <c r="A465" s="230">
        <v>9</v>
      </c>
      <c r="B465" s="231" t="str">
        <f>VLOOKUP(Tabel10[[#This Row],[Locatiecode]],Ruimtegroepen[[Code]:[Ruimte omschrijving]],2,FALSE)</f>
        <v>publieksruimte</v>
      </c>
      <c r="C465" s="232" t="s">
        <v>676</v>
      </c>
      <c r="D465" s="231" t="s">
        <v>29</v>
      </c>
      <c r="E465" s="233" t="s">
        <v>1344</v>
      </c>
      <c r="F465" s="232" t="s">
        <v>1517</v>
      </c>
      <c r="G465" s="281" t="s">
        <v>296</v>
      </c>
      <c r="H465" s="234" t="s">
        <v>296</v>
      </c>
      <c r="I465" s="234" t="s">
        <v>20</v>
      </c>
      <c r="J465" s="234" t="s">
        <v>15</v>
      </c>
      <c r="K465" s="234" t="s">
        <v>297</v>
      </c>
      <c r="L465" s="234" t="s">
        <v>296</v>
      </c>
      <c r="M465" s="234" t="s">
        <v>296</v>
      </c>
      <c r="N465" s="235" t="s">
        <v>2</v>
      </c>
      <c r="O465" s="236" t="s">
        <v>2</v>
      </c>
      <c r="P465" s="236" t="s">
        <v>2</v>
      </c>
      <c r="Q465" s="236" t="s">
        <v>15</v>
      </c>
      <c r="R465" s="236" t="s">
        <v>15</v>
      </c>
      <c r="S465" s="236" t="s">
        <v>16</v>
      </c>
      <c r="T465" s="236" t="s">
        <v>343</v>
      </c>
      <c r="U465" s="236" t="s">
        <v>262</v>
      </c>
      <c r="V465" s="236" t="s">
        <v>2</v>
      </c>
      <c r="W465" s="237" t="s">
        <v>296</v>
      </c>
      <c r="X465" s="237" t="s">
        <v>296</v>
      </c>
      <c r="Y465" s="238" t="s">
        <v>296</v>
      </c>
    </row>
    <row r="466" spans="1:25">
      <c r="A466" s="230">
        <v>9</v>
      </c>
      <c r="B466" s="231" t="str">
        <f>VLOOKUP(Tabel10[[#This Row],[Locatiecode]],Ruimtegroepen[[Code]:[Ruimte omschrijving]],2,FALSE)</f>
        <v>publieksruimte</v>
      </c>
      <c r="C466" s="232" t="s">
        <v>681</v>
      </c>
      <c r="D466" s="231" t="s">
        <v>1</v>
      </c>
      <c r="E466" s="233" t="s">
        <v>101</v>
      </c>
      <c r="F466" s="232" t="s">
        <v>682</v>
      </c>
      <c r="G466" s="281" t="s">
        <v>296</v>
      </c>
      <c r="H466" s="234" t="s">
        <v>296</v>
      </c>
      <c r="I466" s="234" t="s">
        <v>20</v>
      </c>
      <c r="J466" s="235" t="s">
        <v>15</v>
      </c>
      <c r="K466" s="235" t="s">
        <v>296</v>
      </c>
      <c r="L466" s="234" t="s">
        <v>296</v>
      </c>
      <c r="M466" s="234" t="s">
        <v>296</v>
      </c>
      <c r="N466" s="235" t="s">
        <v>296</v>
      </c>
      <c r="O466" s="236" t="s">
        <v>2</v>
      </c>
      <c r="P466" s="236" t="s">
        <v>2</v>
      </c>
      <c r="Q466" s="236" t="s">
        <v>15</v>
      </c>
      <c r="R466" s="236" t="s">
        <v>15</v>
      </c>
      <c r="S466" s="236" t="s">
        <v>16</v>
      </c>
      <c r="T466" s="236" t="s">
        <v>343</v>
      </c>
      <c r="U466" s="236" t="s">
        <v>262</v>
      </c>
      <c r="V466" s="236" t="s">
        <v>296</v>
      </c>
      <c r="W466" s="237" t="s">
        <v>296</v>
      </c>
      <c r="X466" s="237" t="s">
        <v>296</v>
      </c>
      <c r="Y466" s="238" t="s">
        <v>296</v>
      </c>
    </row>
    <row r="467" spans="1:25">
      <c r="A467" s="230">
        <v>9</v>
      </c>
      <c r="B467" s="231" t="str">
        <f>VLOOKUP(Tabel10[[#This Row],[Locatiecode]],Ruimtegroepen[[Code]:[Ruimte omschrijving]],2,FALSE)</f>
        <v>publieksruimte</v>
      </c>
      <c r="C467" s="232" t="s">
        <v>681</v>
      </c>
      <c r="D467" s="231" t="s">
        <v>1</v>
      </c>
      <c r="E467" s="233" t="s">
        <v>100</v>
      </c>
      <c r="F467" s="232" t="s">
        <v>683</v>
      </c>
      <c r="G467" s="281" t="s">
        <v>296</v>
      </c>
      <c r="H467" s="235" t="s">
        <v>2</v>
      </c>
      <c r="I467" s="234" t="s">
        <v>296</v>
      </c>
      <c r="J467" s="235" t="s">
        <v>296</v>
      </c>
      <c r="K467" s="235" t="s">
        <v>296</v>
      </c>
      <c r="L467" s="234" t="s">
        <v>296</v>
      </c>
      <c r="M467" s="234" t="s">
        <v>296</v>
      </c>
      <c r="N467" s="235" t="s">
        <v>296</v>
      </c>
      <c r="O467" s="236" t="s">
        <v>2</v>
      </c>
      <c r="P467" s="236" t="s">
        <v>2</v>
      </c>
      <c r="Q467" s="236" t="s">
        <v>15</v>
      </c>
      <c r="R467" s="236" t="s">
        <v>15</v>
      </c>
      <c r="S467" s="236" t="s">
        <v>16</v>
      </c>
      <c r="T467" s="236" t="s">
        <v>343</v>
      </c>
      <c r="U467" s="236" t="s">
        <v>262</v>
      </c>
      <c r="V467" s="236" t="s">
        <v>296</v>
      </c>
      <c r="W467" s="237" t="s">
        <v>296</v>
      </c>
      <c r="X467" s="237" t="s">
        <v>296</v>
      </c>
      <c r="Y467" s="238" t="s">
        <v>296</v>
      </c>
    </row>
    <row r="468" spans="1:25">
      <c r="A468" s="230">
        <v>9</v>
      </c>
      <c r="B468" s="231" t="str">
        <f>VLOOKUP(Tabel10[[#This Row],[Locatiecode]],Ruimtegroepen[[Code]:[Ruimte omschrijving]],2,FALSE)</f>
        <v>publieksruimte</v>
      </c>
      <c r="C468" s="232" t="s">
        <v>681</v>
      </c>
      <c r="D468" s="231" t="s">
        <v>1</v>
      </c>
      <c r="E468" s="233" t="s">
        <v>102</v>
      </c>
      <c r="F468" s="232" t="s">
        <v>684</v>
      </c>
      <c r="G468" s="281" t="s">
        <v>296</v>
      </c>
      <c r="H468" s="234" t="s">
        <v>296</v>
      </c>
      <c r="I468" s="234" t="s">
        <v>20</v>
      </c>
      <c r="J468" s="234" t="s">
        <v>15</v>
      </c>
      <c r="K468" s="234" t="s">
        <v>297</v>
      </c>
      <c r="L468" s="234" t="s">
        <v>296</v>
      </c>
      <c r="M468" s="234" t="s">
        <v>296</v>
      </c>
      <c r="N468" s="235" t="s">
        <v>296</v>
      </c>
      <c r="O468" s="236" t="s">
        <v>2</v>
      </c>
      <c r="P468" s="236" t="s">
        <v>2</v>
      </c>
      <c r="Q468" s="236" t="s">
        <v>15</v>
      </c>
      <c r="R468" s="236" t="s">
        <v>15</v>
      </c>
      <c r="S468" s="236" t="s">
        <v>16</v>
      </c>
      <c r="T468" s="236" t="s">
        <v>343</v>
      </c>
      <c r="U468" s="236" t="s">
        <v>262</v>
      </c>
      <c r="V468" s="236" t="s">
        <v>296</v>
      </c>
      <c r="W468" s="237" t="s">
        <v>296</v>
      </c>
      <c r="X468" s="237" t="s">
        <v>296</v>
      </c>
      <c r="Y468" s="238" t="s">
        <v>296</v>
      </c>
    </row>
    <row r="469" spans="1:25">
      <c r="A469" s="230">
        <v>9</v>
      </c>
      <c r="B469" s="231" t="str">
        <f>VLOOKUP(Tabel10[[#This Row],[Locatiecode]],Ruimtegroepen[[Code]:[Ruimte omschrijving]],2,FALSE)</f>
        <v>publieksruimte</v>
      </c>
      <c r="C469" s="232" t="s">
        <v>681</v>
      </c>
      <c r="D469" s="231" t="s">
        <v>1</v>
      </c>
      <c r="E469" s="233" t="s">
        <v>103</v>
      </c>
      <c r="F469" s="232" t="s">
        <v>685</v>
      </c>
      <c r="G469" s="281" t="s">
        <v>296</v>
      </c>
      <c r="H469" s="234" t="s">
        <v>296</v>
      </c>
      <c r="I469" s="235" t="s">
        <v>2</v>
      </c>
      <c r="J469" s="235" t="s">
        <v>296</v>
      </c>
      <c r="K469" s="234" t="s">
        <v>297</v>
      </c>
      <c r="L469" s="234" t="s">
        <v>296</v>
      </c>
      <c r="M469" s="234" t="s">
        <v>296</v>
      </c>
      <c r="N469" s="235" t="s">
        <v>296</v>
      </c>
      <c r="O469" s="236" t="s">
        <v>2</v>
      </c>
      <c r="P469" s="236" t="s">
        <v>2</v>
      </c>
      <c r="Q469" s="236" t="s">
        <v>15</v>
      </c>
      <c r="R469" s="236" t="s">
        <v>15</v>
      </c>
      <c r="S469" s="236" t="s">
        <v>16</v>
      </c>
      <c r="T469" s="236" t="s">
        <v>343</v>
      </c>
      <c r="U469" s="236" t="s">
        <v>262</v>
      </c>
      <c r="V469" s="236" t="s">
        <v>296</v>
      </c>
      <c r="W469" s="237" t="s">
        <v>296</v>
      </c>
      <c r="X469" s="237" t="s">
        <v>296</v>
      </c>
      <c r="Y469" s="238" t="s">
        <v>296</v>
      </c>
    </row>
    <row r="470" spans="1:25">
      <c r="A470" s="230">
        <v>9</v>
      </c>
      <c r="B470" s="231" t="str">
        <f>VLOOKUP(Tabel10[[#This Row],[Locatiecode]],Ruimtegroepen[[Code]:[Ruimte omschrijving]],2,FALSE)</f>
        <v>publieksruimte</v>
      </c>
      <c r="C470" s="232" t="s">
        <v>681</v>
      </c>
      <c r="D470" s="231" t="s">
        <v>1</v>
      </c>
      <c r="E470" s="233" t="s">
        <v>100</v>
      </c>
      <c r="F470" s="232" t="s">
        <v>683</v>
      </c>
      <c r="G470" s="281" t="s">
        <v>296</v>
      </c>
      <c r="H470" s="235" t="s">
        <v>2</v>
      </c>
      <c r="I470" s="234" t="s">
        <v>296</v>
      </c>
      <c r="J470" s="235" t="s">
        <v>296</v>
      </c>
      <c r="K470" s="235" t="s">
        <v>296</v>
      </c>
      <c r="L470" s="234" t="s">
        <v>296</v>
      </c>
      <c r="M470" s="234" t="s">
        <v>296</v>
      </c>
      <c r="N470" s="235" t="s">
        <v>296</v>
      </c>
      <c r="O470" s="236" t="s">
        <v>2</v>
      </c>
      <c r="P470" s="236" t="s">
        <v>2</v>
      </c>
      <c r="Q470" s="236" t="s">
        <v>15</v>
      </c>
      <c r="R470" s="236" t="s">
        <v>15</v>
      </c>
      <c r="S470" s="236" t="s">
        <v>16</v>
      </c>
      <c r="T470" s="236" t="s">
        <v>343</v>
      </c>
      <c r="U470" s="236" t="s">
        <v>262</v>
      </c>
      <c r="V470" s="236" t="s">
        <v>296</v>
      </c>
      <c r="W470" s="237" t="s">
        <v>296</v>
      </c>
      <c r="X470" s="237" t="s">
        <v>296</v>
      </c>
      <c r="Y470" s="238" t="s">
        <v>296</v>
      </c>
    </row>
    <row r="471" spans="1:25">
      <c r="A471" s="230">
        <v>9</v>
      </c>
      <c r="B471" s="231" t="str">
        <f>VLOOKUP(Tabel10[[#This Row],[Locatiecode]],Ruimtegroepen[[Code]:[Ruimte omschrijving]],2,FALSE)</f>
        <v>publieksruimte</v>
      </c>
      <c r="C471" s="232" t="s">
        <v>681</v>
      </c>
      <c r="D471" s="231" t="s">
        <v>1</v>
      </c>
      <c r="E471" s="233" t="s">
        <v>1344</v>
      </c>
      <c r="F471" s="232" t="s">
        <v>1501</v>
      </c>
      <c r="G471" s="281" t="s">
        <v>296</v>
      </c>
      <c r="H471" s="234" t="s">
        <v>296</v>
      </c>
      <c r="I471" s="235" t="s">
        <v>2</v>
      </c>
      <c r="J471" s="235" t="s">
        <v>296</v>
      </c>
      <c r="K471" s="234" t="s">
        <v>297</v>
      </c>
      <c r="L471" s="234" t="s">
        <v>296</v>
      </c>
      <c r="M471" s="234" t="s">
        <v>296</v>
      </c>
      <c r="N471" s="235" t="s">
        <v>296</v>
      </c>
      <c r="O471" s="236" t="s">
        <v>2</v>
      </c>
      <c r="P471" s="236" t="s">
        <v>2</v>
      </c>
      <c r="Q471" s="236" t="s">
        <v>15</v>
      </c>
      <c r="R471" s="236" t="s">
        <v>15</v>
      </c>
      <c r="S471" s="236" t="s">
        <v>16</v>
      </c>
      <c r="T471" s="236" t="s">
        <v>343</v>
      </c>
      <c r="U471" s="236" t="s">
        <v>262</v>
      </c>
      <c r="V471" s="236" t="s">
        <v>296</v>
      </c>
      <c r="W471" s="237" t="s">
        <v>296</v>
      </c>
      <c r="X471" s="237" t="s">
        <v>296</v>
      </c>
      <c r="Y471" s="238" t="s">
        <v>296</v>
      </c>
    </row>
    <row r="472" spans="1:25">
      <c r="A472" s="230">
        <v>9</v>
      </c>
      <c r="B472" s="231" t="str">
        <f>VLOOKUP(Tabel10[[#This Row],[Locatiecode]],Ruimtegroepen[[Code]:[Ruimte omschrijving]],2,FALSE)</f>
        <v>publieksruimte</v>
      </c>
      <c r="C472" s="232" t="s">
        <v>686</v>
      </c>
      <c r="D472" s="231" t="s">
        <v>21</v>
      </c>
      <c r="E472" s="233" t="s">
        <v>101</v>
      </c>
      <c r="F472" s="232" t="s">
        <v>687</v>
      </c>
      <c r="G472" s="281" t="s">
        <v>296</v>
      </c>
      <c r="H472" s="234" t="s">
        <v>296</v>
      </c>
      <c r="I472" s="234" t="s">
        <v>18</v>
      </c>
      <c r="J472" s="235" t="s">
        <v>15</v>
      </c>
      <c r="K472" s="235" t="s">
        <v>296</v>
      </c>
      <c r="L472" s="234" t="s">
        <v>296</v>
      </c>
      <c r="M472" s="234" t="s">
        <v>296</v>
      </c>
      <c r="N472" s="235" t="s">
        <v>296</v>
      </c>
      <c r="O472" s="236" t="s">
        <v>20</v>
      </c>
      <c r="P472" s="236" t="s">
        <v>20</v>
      </c>
      <c r="Q472" s="236" t="s">
        <v>15</v>
      </c>
      <c r="R472" s="236" t="s">
        <v>15</v>
      </c>
      <c r="S472" s="236" t="s">
        <v>16</v>
      </c>
      <c r="T472" s="236" t="s">
        <v>343</v>
      </c>
      <c r="U472" s="236" t="s">
        <v>262</v>
      </c>
      <c r="V472" s="236" t="s">
        <v>296</v>
      </c>
      <c r="W472" s="237" t="s">
        <v>296</v>
      </c>
      <c r="X472" s="237" t="s">
        <v>296</v>
      </c>
      <c r="Y472" s="238" t="s">
        <v>296</v>
      </c>
    </row>
    <row r="473" spans="1:25">
      <c r="A473" s="230">
        <v>9</v>
      </c>
      <c r="B473" s="231" t="str">
        <f>VLOOKUP(Tabel10[[#This Row],[Locatiecode]],Ruimtegroepen[[Code]:[Ruimte omschrijving]],2,FALSE)</f>
        <v>publieksruimte</v>
      </c>
      <c r="C473" s="232" t="s">
        <v>686</v>
      </c>
      <c r="D473" s="231" t="s">
        <v>21</v>
      </c>
      <c r="E473" s="233" t="s">
        <v>100</v>
      </c>
      <c r="F473" s="232" t="s">
        <v>688</v>
      </c>
      <c r="G473" s="281" t="s">
        <v>296</v>
      </c>
      <c r="H473" s="235" t="s">
        <v>20</v>
      </c>
      <c r="I473" s="234" t="s">
        <v>296</v>
      </c>
      <c r="J473" s="235" t="s">
        <v>296</v>
      </c>
      <c r="K473" s="235" t="s">
        <v>296</v>
      </c>
      <c r="L473" s="234" t="s">
        <v>296</v>
      </c>
      <c r="M473" s="234" t="s">
        <v>296</v>
      </c>
      <c r="N473" s="235" t="s">
        <v>296</v>
      </c>
      <c r="O473" s="236" t="s">
        <v>20</v>
      </c>
      <c r="P473" s="236" t="s">
        <v>20</v>
      </c>
      <c r="Q473" s="236" t="s">
        <v>15</v>
      </c>
      <c r="R473" s="236" t="s">
        <v>15</v>
      </c>
      <c r="S473" s="236" t="s">
        <v>16</v>
      </c>
      <c r="T473" s="236" t="s">
        <v>343</v>
      </c>
      <c r="U473" s="236" t="s">
        <v>262</v>
      </c>
      <c r="V473" s="236" t="s">
        <v>296</v>
      </c>
      <c r="W473" s="237" t="s">
        <v>296</v>
      </c>
      <c r="X473" s="237" t="s">
        <v>296</v>
      </c>
      <c r="Y473" s="238" t="s">
        <v>296</v>
      </c>
    </row>
    <row r="474" spans="1:25">
      <c r="A474" s="230">
        <v>9</v>
      </c>
      <c r="B474" s="231" t="str">
        <f>VLOOKUP(Tabel10[[#This Row],[Locatiecode]],Ruimtegroepen[[Code]:[Ruimte omschrijving]],2,FALSE)</f>
        <v>publieksruimte</v>
      </c>
      <c r="C474" s="232" t="s">
        <v>686</v>
      </c>
      <c r="D474" s="231" t="s">
        <v>21</v>
      </c>
      <c r="E474" s="233" t="s">
        <v>102</v>
      </c>
      <c r="F474" s="232" t="s">
        <v>689</v>
      </c>
      <c r="G474" s="281" t="s">
        <v>296</v>
      </c>
      <c r="H474" s="234" t="s">
        <v>296</v>
      </c>
      <c r="I474" s="234" t="s">
        <v>18</v>
      </c>
      <c r="J474" s="234" t="s">
        <v>15</v>
      </c>
      <c r="K474" s="234" t="s">
        <v>297</v>
      </c>
      <c r="L474" s="234" t="s">
        <v>296</v>
      </c>
      <c r="M474" s="234" t="s">
        <v>296</v>
      </c>
      <c r="N474" s="235" t="s">
        <v>296</v>
      </c>
      <c r="O474" s="236" t="s">
        <v>20</v>
      </c>
      <c r="P474" s="236" t="s">
        <v>20</v>
      </c>
      <c r="Q474" s="236" t="s">
        <v>15</v>
      </c>
      <c r="R474" s="236" t="s">
        <v>15</v>
      </c>
      <c r="S474" s="236" t="s">
        <v>16</v>
      </c>
      <c r="T474" s="236" t="s">
        <v>343</v>
      </c>
      <c r="U474" s="236" t="s">
        <v>262</v>
      </c>
      <c r="V474" s="236" t="s">
        <v>296</v>
      </c>
      <c r="W474" s="237" t="s">
        <v>296</v>
      </c>
      <c r="X474" s="237" t="s">
        <v>296</v>
      </c>
      <c r="Y474" s="238" t="s">
        <v>296</v>
      </c>
    </row>
    <row r="475" spans="1:25">
      <c r="A475" s="230">
        <v>9</v>
      </c>
      <c r="B475" s="231" t="str">
        <f>VLOOKUP(Tabel10[[#This Row],[Locatiecode]],Ruimtegroepen[[Code]:[Ruimte omschrijving]],2,FALSE)</f>
        <v>publieksruimte</v>
      </c>
      <c r="C475" s="232" t="s">
        <v>686</v>
      </c>
      <c r="D475" s="231" t="s">
        <v>21</v>
      </c>
      <c r="E475" s="233" t="s">
        <v>103</v>
      </c>
      <c r="F475" s="232" t="s">
        <v>690</v>
      </c>
      <c r="G475" s="281" t="s">
        <v>296</v>
      </c>
      <c r="H475" s="234" t="s">
        <v>296</v>
      </c>
      <c r="I475" s="234" t="s">
        <v>18</v>
      </c>
      <c r="J475" s="234" t="s">
        <v>15</v>
      </c>
      <c r="K475" s="234" t="s">
        <v>297</v>
      </c>
      <c r="L475" s="234" t="s">
        <v>296</v>
      </c>
      <c r="M475" s="234" t="s">
        <v>296</v>
      </c>
      <c r="N475" s="235" t="s">
        <v>296</v>
      </c>
      <c r="O475" s="236" t="s">
        <v>20</v>
      </c>
      <c r="P475" s="236" t="s">
        <v>20</v>
      </c>
      <c r="Q475" s="236" t="s">
        <v>15</v>
      </c>
      <c r="R475" s="236" t="s">
        <v>15</v>
      </c>
      <c r="S475" s="236" t="s">
        <v>16</v>
      </c>
      <c r="T475" s="236" t="s">
        <v>343</v>
      </c>
      <c r="U475" s="236" t="s">
        <v>262</v>
      </c>
      <c r="V475" s="236" t="s">
        <v>296</v>
      </c>
      <c r="W475" s="237" t="s">
        <v>296</v>
      </c>
      <c r="X475" s="237" t="s">
        <v>296</v>
      </c>
      <c r="Y475" s="238" t="s">
        <v>296</v>
      </c>
    </row>
    <row r="476" spans="1:25">
      <c r="A476" s="230">
        <v>9</v>
      </c>
      <c r="B476" s="231" t="str">
        <f>VLOOKUP(Tabel10[[#This Row],[Locatiecode]],Ruimtegroepen[[Code]:[Ruimte omschrijving]],2,FALSE)</f>
        <v>publieksruimte</v>
      </c>
      <c r="C476" s="232" t="s">
        <v>686</v>
      </c>
      <c r="D476" s="231" t="s">
        <v>21</v>
      </c>
      <c r="E476" s="233" t="s">
        <v>100</v>
      </c>
      <c r="F476" s="232" t="s">
        <v>688</v>
      </c>
      <c r="G476" s="281" t="s">
        <v>296</v>
      </c>
      <c r="H476" s="235" t="s">
        <v>20</v>
      </c>
      <c r="I476" s="234" t="s">
        <v>296</v>
      </c>
      <c r="J476" s="235" t="s">
        <v>296</v>
      </c>
      <c r="K476" s="235" t="s">
        <v>296</v>
      </c>
      <c r="L476" s="234" t="s">
        <v>296</v>
      </c>
      <c r="M476" s="234" t="s">
        <v>296</v>
      </c>
      <c r="N476" s="235" t="s">
        <v>296</v>
      </c>
      <c r="O476" s="236" t="s">
        <v>20</v>
      </c>
      <c r="P476" s="236" t="s">
        <v>20</v>
      </c>
      <c r="Q476" s="236" t="s">
        <v>15</v>
      </c>
      <c r="R476" s="236" t="s">
        <v>15</v>
      </c>
      <c r="S476" s="236" t="s">
        <v>16</v>
      </c>
      <c r="T476" s="236" t="s">
        <v>343</v>
      </c>
      <c r="U476" s="236" t="s">
        <v>262</v>
      </c>
      <c r="V476" s="236" t="s">
        <v>296</v>
      </c>
      <c r="W476" s="237" t="s">
        <v>296</v>
      </c>
      <c r="X476" s="237" t="s">
        <v>296</v>
      </c>
      <c r="Y476" s="238" t="s">
        <v>296</v>
      </c>
    </row>
    <row r="477" spans="1:25">
      <c r="A477" s="230">
        <v>9</v>
      </c>
      <c r="B477" s="231" t="str">
        <f>VLOOKUP(Tabel10[[#This Row],[Locatiecode]],Ruimtegroepen[[Code]:[Ruimte omschrijving]],2,FALSE)</f>
        <v>publieksruimte</v>
      </c>
      <c r="C477" s="232" t="s">
        <v>686</v>
      </c>
      <c r="D477" s="231" t="s">
        <v>21</v>
      </c>
      <c r="E477" s="233" t="s">
        <v>1344</v>
      </c>
      <c r="F477" s="232" t="s">
        <v>1484</v>
      </c>
      <c r="G477" s="281" t="s">
        <v>296</v>
      </c>
      <c r="H477" s="234" t="s">
        <v>296</v>
      </c>
      <c r="I477" s="234" t="s">
        <v>18</v>
      </c>
      <c r="J477" s="234" t="s">
        <v>15</v>
      </c>
      <c r="K477" s="234" t="s">
        <v>297</v>
      </c>
      <c r="L477" s="234" t="s">
        <v>296</v>
      </c>
      <c r="M477" s="234" t="s">
        <v>296</v>
      </c>
      <c r="N477" s="235" t="s">
        <v>296</v>
      </c>
      <c r="O477" s="236" t="s">
        <v>20</v>
      </c>
      <c r="P477" s="236" t="s">
        <v>20</v>
      </c>
      <c r="Q477" s="236" t="s">
        <v>15</v>
      </c>
      <c r="R477" s="236" t="s">
        <v>15</v>
      </c>
      <c r="S477" s="236" t="s">
        <v>16</v>
      </c>
      <c r="T477" s="236" t="s">
        <v>343</v>
      </c>
      <c r="U477" s="236" t="s">
        <v>262</v>
      </c>
      <c r="V477" s="236" t="s">
        <v>296</v>
      </c>
      <c r="W477" s="237" t="s">
        <v>296</v>
      </c>
      <c r="X477" s="237" t="s">
        <v>296</v>
      </c>
      <c r="Y477" s="238" t="s">
        <v>296</v>
      </c>
    </row>
    <row r="478" spans="1:25">
      <c r="A478" s="230">
        <v>9</v>
      </c>
      <c r="B478" s="231" t="str">
        <f>VLOOKUP(Tabel10[[#This Row],[Locatiecode]],Ruimtegroepen[[Code]:[Ruimte omschrijving]],2,FALSE)</f>
        <v>publieksruimte</v>
      </c>
      <c r="C478" s="232" t="s">
        <v>691</v>
      </c>
      <c r="D478" s="231" t="s">
        <v>12</v>
      </c>
      <c r="E478" s="233" t="s">
        <v>101</v>
      </c>
      <c r="F478" s="232" t="s">
        <v>692</v>
      </c>
      <c r="G478" s="281" t="s">
        <v>296</v>
      </c>
      <c r="H478" s="234" t="s">
        <v>296</v>
      </c>
      <c r="I478" s="234" t="s">
        <v>17</v>
      </c>
      <c r="J478" s="235" t="s">
        <v>15</v>
      </c>
      <c r="K478" s="235" t="s">
        <v>296</v>
      </c>
      <c r="L478" s="234" t="s">
        <v>296</v>
      </c>
      <c r="M478" s="234" t="s">
        <v>296</v>
      </c>
      <c r="N478" s="235" t="s">
        <v>296</v>
      </c>
      <c r="O478" s="236" t="s">
        <v>18</v>
      </c>
      <c r="P478" s="236" t="s">
        <v>18</v>
      </c>
      <c r="Q478" s="236" t="s">
        <v>15</v>
      </c>
      <c r="R478" s="236" t="s">
        <v>15</v>
      </c>
      <c r="S478" s="236" t="s">
        <v>16</v>
      </c>
      <c r="T478" s="236" t="s">
        <v>343</v>
      </c>
      <c r="U478" s="236" t="s">
        <v>262</v>
      </c>
      <c r="V478" s="236" t="s">
        <v>296</v>
      </c>
      <c r="W478" s="237" t="s">
        <v>296</v>
      </c>
      <c r="X478" s="237" t="s">
        <v>296</v>
      </c>
      <c r="Y478" s="238" t="s">
        <v>296</v>
      </c>
    </row>
    <row r="479" spans="1:25">
      <c r="A479" s="230">
        <v>9</v>
      </c>
      <c r="B479" s="231" t="str">
        <f>VLOOKUP(Tabel10[[#This Row],[Locatiecode]],Ruimtegroepen[[Code]:[Ruimte omschrijving]],2,FALSE)</f>
        <v>publieksruimte</v>
      </c>
      <c r="C479" s="232" t="s">
        <v>691</v>
      </c>
      <c r="D479" s="231" t="s">
        <v>12</v>
      </c>
      <c r="E479" s="233" t="s">
        <v>100</v>
      </c>
      <c r="F479" s="232" t="s">
        <v>693</v>
      </c>
      <c r="G479" s="281" t="s">
        <v>296</v>
      </c>
      <c r="H479" s="235" t="s">
        <v>18</v>
      </c>
      <c r="I479" s="234" t="s">
        <v>296</v>
      </c>
      <c r="J479" s="235" t="s">
        <v>296</v>
      </c>
      <c r="K479" s="235" t="s">
        <v>296</v>
      </c>
      <c r="L479" s="234" t="s">
        <v>296</v>
      </c>
      <c r="M479" s="234" t="s">
        <v>296</v>
      </c>
      <c r="N479" s="235" t="s">
        <v>296</v>
      </c>
      <c r="O479" s="236" t="s">
        <v>18</v>
      </c>
      <c r="P479" s="236" t="s">
        <v>18</v>
      </c>
      <c r="Q479" s="236" t="s">
        <v>15</v>
      </c>
      <c r="R479" s="236" t="s">
        <v>15</v>
      </c>
      <c r="S479" s="236" t="s">
        <v>16</v>
      </c>
      <c r="T479" s="236" t="s">
        <v>343</v>
      </c>
      <c r="U479" s="236" t="s">
        <v>262</v>
      </c>
      <c r="V479" s="236" t="s">
        <v>296</v>
      </c>
      <c r="W479" s="237" t="s">
        <v>296</v>
      </c>
      <c r="X479" s="237" t="s">
        <v>296</v>
      </c>
      <c r="Y479" s="238" t="s">
        <v>296</v>
      </c>
    </row>
    <row r="480" spans="1:25">
      <c r="A480" s="230">
        <v>9</v>
      </c>
      <c r="B480" s="231" t="str">
        <f>VLOOKUP(Tabel10[[#This Row],[Locatiecode]],Ruimtegroepen[[Code]:[Ruimte omschrijving]],2,FALSE)</f>
        <v>publieksruimte</v>
      </c>
      <c r="C480" s="232" t="s">
        <v>691</v>
      </c>
      <c r="D480" s="231" t="s">
        <v>12</v>
      </c>
      <c r="E480" s="233" t="s">
        <v>102</v>
      </c>
      <c r="F480" s="232" t="s">
        <v>694</v>
      </c>
      <c r="G480" s="281" t="s">
        <v>296</v>
      </c>
      <c r="H480" s="234" t="s">
        <v>296</v>
      </c>
      <c r="I480" s="234" t="s">
        <v>17</v>
      </c>
      <c r="J480" s="234" t="s">
        <v>15</v>
      </c>
      <c r="K480" s="234" t="s">
        <v>297</v>
      </c>
      <c r="L480" s="234" t="s">
        <v>296</v>
      </c>
      <c r="M480" s="234" t="s">
        <v>296</v>
      </c>
      <c r="N480" s="235" t="s">
        <v>296</v>
      </c>
      <c r="O480" s="236" t="s">
        <v>18</v>
      </c>
      <c r="P480" s="236" t="s">
        <v>18</v>
      </c>
      <c r="Q480" s="236" t="s">
        <v>15</v>
      </c>
      <c r="R480" s="236" t="s">
        <v>15</v>
      </c>
      <c r="S480" s="236" t="s">
        <v>16</v>
      </c>
      <c r="T480" s="236" t="s">
        <v>343</v>
      </c>
      <c r="U480" s="236" t="s">
        <v>262</v>
      </c>
      <c r="V480" s="236" t="s">
        <v>296</v>
      </c>
      <c r="W480" s="237" t="s">
        <v>296</v>
      </c>
      <c r="X480" s="237" t="s">
        <v>296</v>
      </c>
      <c r="Y480" s="238" t="s">
        <v>296</v>
      </c>
    </row>
    <row r="481" spans="1:25">
      <c r="A481" s="230">
        <v>9</v>
      </c>
      <c r="B481" s="231" t="str">
        <f>VLOOKUP(Tabel10[[#This Row],[Locatiecode]],Ruimtegroepen[[Code]:[Ruimte omschrijving]],2,FALSE)</f>
        <v>publieksruimte</v>
      </c>
      <c r="C481" s="232" t="s">
        <v>691</v>
      </c>
      <c r="D481" s="231" t="s">
        <v>12</v>
      </c>
      <c r="E481" s="233" t="s">
        <v>103</v>
      </c>
      <c r="F481" s="232" t="s">
        <v>695</v>
      </c>
      <c r="G481" s="281" t="s">
        <v>296</v>
      </c>
      <c r="H481" s="234" t="s">
        <v>296</v>
      </c>
      <c r="I481" s="234" t="s">
        <v>17</v>
      </c>
      <c r="J481" s="234" t="s">
        <v>15</v>
      </c>
      <c r="K481" s="234" t="s">
        <v>297</v>
      </c>
      <c r="L481" s="234" t="s">
        <v>296</v>
      </c>
      <c r="M481" s="234" t="s">
        <v>296</v>
      </c>
      <c r="N481" s="235" t="s">
        <v>296</v>
      </c>
      <c r="O481" s="236" t="s">
        <v>18</v>
      </c>
      <c r="P481" s="236" t="s">
        <v>18</v>
      </c>
      <c r="Q481" s="236" t="s">
        <v>15</v>
      </c>
      <c r="R481" s="236" t="s">
        <v>15</v>
      </c>
      <c r="S481" s="236" t="s">
        <v>16</v>
      </c>
      <c r="T481" s="236" t="s">
        <v>343</v>
      </c>
      <c r="U481" s="236" t="s">
        <v>262</v>
      </c>
      <c r="V481" s="236" t="s">
        <v>296</v>
      </c>
      <c r="W481" s="237" t="s">
        <v>296</v>
      </c>
      <c r="X481" s="237" t="s">
        <v>296</v>
      </c>
      <c r="Y481" s="238" t="s">
        <v>296</v>
      </c>
    </row>
    <row r="482" spans="1:25">
      <c r="A482" s="230">
        <v>9</v>
      </c>
      <c r="B482" s="231" t="str">
        <f>VLOOKUP(Tabel10[[#This Row],[Locatiecode]],Ruimtegroepen[[Code]:[Ruimte omschrijving]],2,FALSE)</f>
        <v>publieksruimte</v>
      </c>
      <c r="C482" s="232" t="s">
        <v>691</v>
      </c>
      <c r="D482" s="231" t="s">
        <v>12</v>
      </c>
      <c r="E482" s="233" t="s">
        <v>100</v>
      </c>
      <c r="F482" s="232" t="s">
        <v>693</v>
      </c>
      <c r="G482" s="281" t="s">
        <v>296</v>
      </c>
      <c r="H482" s="235" t="s">
        <v>18</v>
      </c>
      <c r="I482" s="234" t="s">
        <v>296</v>
      </c>
      <c r="J482" s="235" t="s">
        <v>296</v>
      </c>
      <c r="K482" s="235" t="s">
        <v>296</v>
      </c>
      <c r="L482" s="234" t="s">
        <v>296</v>
      </c>
      <c r="M482" s="234" t="s">
        <v>296</v>
      </c>
      <c r="N482" s="235" t="s">
        <v>296</v>
      </c>
      <c r="O482" s="236" t="s">
        <v>18</v>
      </c>
      <c r="P482" s="236" t="s">
        <v>18</v>
      </c>
      <c r="Q482" s="236" t="s">
        <v>15</v>
      </c>
      <c r="R482" s="236" t="s">
        <v>15</v>
      </c>
      <c r="S482" s="236" t="s">
        <v>16</v>
      </c>
      <c r="T482" s="236" t="s">
        <v>343</v>
      </c>
      <c r="U482" s="236" t="s">
        <v>262</v>
      </c>
      <c r="V482" s="236" t="s">
        <v>296</v>
      </c>
      <c r="W482" s="237" t="s">
        <v>296</v>
      </c>
      <c r="X482" s="237" t="s">
        <v>296</v>
      </c>
      <c r="Y482" s="238" t="s">
        <v>296</v>
      </c>
    </row>
    <row r="483" spans="1:25">
      <c r="A483" s="230">
        <v>9</v>
      </c>
      <c r="B483" s="231" t="str">
        <f>VLOOKUP(Tabel10[[#This Row],[Locatiecode]],Ruimtegroepen[[Code]:[Ruimte omschrijving]],2,FALSE)</f>
        <v>publieksruimte</v>
      </c>
      <c r="C483" s="232" t="s">
        <v>691</v>
      </c>
      <c r="D483" s="231" t="s">
        <v>12</v>
      </c>
      <c r="E483" s="233" t="s">
        <v>1344</v>
      </c>
      <c r="F483" s="232" t="s">
        <v>1466</v>
      </c>
      <c r="G483" s="281" t="s">
        <v>296</v>
      </c>
      <c r="H483" s="234" t="s">
        <v>296</v>
      </c>
      <c r="I483" s="234" t="s">
        <v>17</v>
      </c>
      <c r="J483" s="234" t="s">
        <v>15</v>
      </c>
      <c r="K483" s="234" t="s">
        <v>297</v>
      </c>
      <c r="L483" s="234" t="s">
        <v>296</v>
      </c>
      <c r="M483" s="234" t="s">
        <v>296</v>
      </c>
      <c r="N483" s="235" t="s">
        <v>296</v>
      </c>
      <c r="O483" s="236" t="s">
        <v>18</v>
      </c>
      <c r="P483" s="236" t="s">
        <v>18</v>
      </c>
      <c r="Q483" s="236" t="s">
        <v>15</v>
      </c>
      <c r="R483" s="236" t="s">
        <v>15</v>
      </c>
      <c r="S483" s="236" t="s">
        <v>16</v>
      </c>
      <c r="T483" s="236" t="s">
        <v>343</v>
      </c>
      <c r="U483" s="236" t="s">
        <v>262</v>
      </c>
      <c r="V483" s="236" t="s">
        <v>296</v>
      </c>
      <c r="W483" s="237" t="s">
        <v>296</v>
      </c>
      <c r="X483" s="237" t="s">
        <v>296</v>
      </c>
      <c r="Y483" s="238" t="s">
        <v>296</v>
      </c>
    </row>
    <row r="484" spans="1:25">
      <c r="A484" s="230">
        <v>9</v>
      </c>
      <c r="B484" s="231" t="str">
        <f>VLOOKUP(Tabel10[[#This Row],[Locatiecode]],Ruimtegroepen[[Code]:[Ruimte omschrijving]],2,FALSE)</f>
        <v>publieksruimte</v>
      </c>
      <c r="C484" s="232" t="s">
        <v>696</v>
      </c>
      <c r="D484" s="231" t="s">
        <v>14</v>
      </c>
      <c r="E484" s="233" t="s">
        <v>101</v>
      </c>
      <c r="F484" s="232" t="s">
        <v>697</v>
      </c>
      <c r="G484" s="281" t="s">
        <v>296</v>
      </c>
      <c r="H484" s="234" t="s">
        <v>296</v>
      </c>
      <c r="I484" s="234" t="s">
        <v>15</v>
      </c>
      <c r="J484" s="235" t="s">
        <v>15</v>
      </c>
      <c r="K484" s="235" t="s">
        <v>296</v>
      </c>
      <c r="L484" s="234" t="s">
        <v>296</v>
      </c>
      <c r="M484" s="234" t="s">
        <v>296</v>
      </c>
      <c r="N484" s="235" t="s">
        <v>296</v>
      </c>
      <c r="O484" s="236" t="s">
        <v>17</v>
      </c>
      <c r="P484" s="236" t="s">
        <v>17</v>
      </c>
      <c r="Q484" s="236" t="s">
        <v>15</v>
      </c>
      <c r="R484" s="236" t="s">
        <v>15</v>
      </c>
      <c r="S484" s="236" t="s">
        <v>16</v>
      </c>
      <c r="T484" s="236" t="s">
        <v>343</v>
      </c>
      <c r="U484" s="236" t="s">
        <v>262</v>
      </c>
      <c r="V484" s="236" t="s">
        <v>296</v>
      </c>
      <c r="W484" s="237" t="s">
        <v>296</v>
      </c>
      <c r="X484" s="237" t="s">
        <v>296</v>
      </c>
      <c r="Y484" s="238" t="s">
        <v>296</v>
      </c>
    </row>
    <row r="485" spans="1:25">
      <c r="A485" s="230">
        <v>9</v>
      </c>
      <c r="B485" s="231" t="str">
        <f>VLOOKUP(Tabel10[[#This Row],[Locatiecode]],Ruimtegroepen[[Code]:[Ruimte omschrijving]],2,FALSE)</f>
        <v>publieksruimte</v>
      </c>
      <c r="C485" s="232" t="s">
        <v>696</v>
      </c>
      <c r="D485" s="231" t="s">
        <v>14</v>
      </c>
      <c r="E485" s="233" t="s">
        <v>100</v>
      </c>
      <c r="F485" s="232" t="s">
        <v>698</v>
      </c>
      <c r="G485" s="281" t="s">
        <v>296</v>
      </c>
      <c r="H485" s="235" t="s">
        <v>17</v>
      </c>
      <c r="I485" s="234" t="s">
        <v>296</v>
      </c>
      <c r="J485" s="235" t="s">
        <v>296</v>
      </c>
      <c r="K485" s="235" t="s">
        <v>296</v>
      </c>
      <c r="L485" s="234" t="s">
        <v>296</v>
      </c>
      <c r="M485" s="234" t="s">
        <v>296</v>
      </c>
      <c r="N485" s="235" t="s">
        <v>296</v>
      </c>
      <c r="O485" s="236" t="s">
        <v>17</v>
      </c>
      <c r="P485" s="236" t="s">
        <v>17</v>
      </c>
      <c r="Q485" s="236" t="s">
        <v>15</v>
      </c>
      <c r="R485" s="236" t="s">
        <v>15</v>
      </c>
      <c r="S485" s="236" t="s">
        <v>16</v>
      </c>
      <c r="T485" s="236" t="s">
        <v>343</v>
      </c>
      <c r="U485" s="236" t="s">
        <v>262</v>
      </c>
      <c r="V485" s="236" t="s">
        <v>296</v>
      </c>
      <c r="W485" s="237" t="s">
        <v>296</v>
      </c>
      <c r="X485" s="237" t="s">
        <v>296</v>
      </c>
      <c r="Y485" s="238" t="s">
        <v>296</v>
      </c>
    </row>
    <row r="486" spans="1:25">
      <c r="A486" s="230">
        <v>9</v>
      </c>
      <c r="B486" s="231" t="str">
        <f>VLOOKUP(Tabel10[[#This Row],[Locatiecode]],Ruimtegroepen[[Code]:[Ruimte omschrijving]],2,FALSE)</f>
        <v>publieksruimte</v>
      </c>
      <c r="C486" s="232" t="s">
        <v>696</v>
      </c>
      <c r="D486" s="231" t="s">
        <v>14</v>
      </c>
      <c r="E486" s="233" t="s">
        <v>102</v>
      </c>
      <c r="F486" s="232" t="s">
        <v>699</v>
      </c>
      <c r="G486" s="281" t="s">
        <v>296</v>
      </c>
      <c r="H486" s="234" t="s">
        <v>296</v>
      </c>
      <c r="I486" s="234" t="s">
        <v>15</v>
      </c>
      <c r="J486" s="234" t="s">
        <v>15</v>
      </c>
      <c r="K486" s="234" t="s">
        <v>297</v>
      </c>
      <c r="L486" s="234" t="s">
        <v>296</v>
      </c>
      <c r="M486" s="234" t="s">
        <v>296</v>
      </c>
      <c r="N486" s="235" t="s">
        <v>296</v>
      </c>
      <c r="O486" s="236" t="s">
        <v>17</v>
      </c>
      <c r="P486" s="236" t="s">
        <v>17</v>
      </c>
      <c r="Q486" s="236" t="s">
        <v>15</v>
      </c>
      <c r="R486" s="236" t="s">
        <v>15</v>
      </c>
      <c r="S486" s="236" t="s">
        <v>16</v>
      </c>
      <c r="T486" s="236" t="s">
        <v>343</v>
      </c>
      <c r="U486" s="236" t="s">
        <v>262</v>
      </c>
      <c r="V486" s="236" t="s">
        <v>296</v>
      </c>
      <c r="W486" s="237" t="s">
        <v>296</v>
      </c>
      <c r="X486" s="237" t="s">
        <v>296</v>
      </c>
      <c r="Y486" s="238" t="s">
        <v>296</v>
      </c>
    </row>
    <row r="487" spans="1:25">
      <c r="A487" s="230">
        <v>9</v>
      </c>
      <c r="B487" s="231" t="str">
        <f>VLOOKUP(Tabel10[[#This Row],[Locatiecode]],Ruimtegroepen[[Code]:[Ruimte omschrijving]],2,FALSE)</f>
        <v>publieksruimte</v>
      </c>
      <c r="C487" s="232" t="s">
        <v>696</v>
      </c>
      <c r="D487" s="231" t="s">
        <v>14</v>
      </c>
      <c r="E487" s="233" t="s">
        <v>103</v>
      </c>
      <c r="F487" s="232" t="s">
        <v>700</v>
      </c>
      <c r="G487" s="281" t="s">
        <v>296</v>
      </c>
      <c r="H487" s="234" t="s">
        <v>296</v>
      </c>
      <c r="I487" s="234" t="s">
        <v>15</v>
      </c>
      <c r="J487" s="234" t="s">
        <v>15</v>
      </c>
      <c r="K487" s="234" t="s">
        <v>297</v>
      </c>
      <c r="L487" s="234" t="s">
        <v>296</v>
      </c>
      <c r="M487" s="234" t="s">
        <v>296</v>
      </c>
      <c r="N487" s="235" t="s">
        <v>296</v>
      </c>
      <c r="O487" s="236" t="s">
        <v>17</v>
      </c>
      <c r="P487" s="236" t="s">
        <v>17</v>
      </c>
      <c r="Q487" s="236" t="s">
        <v>15</v>
      </c>
      <c r="R487" s="236" t="s">
        <v>15</v>
      </c>
      <c r="S487" s="236" t="s">
        <v>16</v>
      </c>
      <c r="T487" s="236" t="s">
        <v>343</v>
      </c>
      <c r="U487" s="236" t="s">
        <v>262</v>
      </c>
      <c r="V487" s="236" t="s">
        <v>296</v>
      </c>
      <c r="W487" s="237" t="s">
        <v>296</v>
      </c>
      <c r="X487" s="237" t="s">
        <v>296</v>
      </c>
      <c r="Y487" s="238" t="s">
        <v>296</v>
      </c>
    </row>
    <row r="488" spans="1:25">
      <c r="A488" s="230">
        <v>9</v>
      </c>
      <c r="B488" s="231" t="str">
        <f>VLOOKUP(Tabel10[[#This Row],[Locatiecode]],Ruimtegroepen[[Code]:[Ruimte omschrijving]],2,FALSE)</f>
        <v>publieksruimte</v>
      </c>
      <c r="C488" s="232" t="s">
        <v>696</v>
      </c>
      <c r="D488" s="231" t="s">
        <v>14</v>
      </c>
      <c r="E488" s="233" t="s">
        <v>100</v>
      </c>
      <c r="F488" s="232" t="s">
        <v>698</v>
      </c>
      <c r="G488" s="281" t="s">
        <v>296</v>
      </c>
      <c r="H488" s="235" t="s">
        <v>17</v>
      </c>
      <c r="I488" s="234" t="s">
        <v>296</v>
      </c>
      <c r="J488" s="235" t="s">
        <v>296</v>
      </c>
      <c r="K488" s="235" t="s">
        <v>296</v>
      </c>
      <c r="L488" s="234" t="s">
        <v>296</v>
      </c>
      <c r="M488" s="234" t="s">
        <v>296</v>
      </c>
      <c r="N488" s="235" t="s">
        <v>296</v>
      </c>
      <c r="O488" s="236" t="s">
        <v>17</v>
      </c>
      <c r="P488" s="236" t="s">
        <v>17</v>
      </c>
      <c r="Q488" s="236" t="s">
        <v>15</v>
      </c>
      <c r="R488" s="236" t="s">
        <v>15</v>
      </c>
      <c r="S488" s="236" t="s">
        <v>16</v>
      </c>
      <c r="T488" s="236" t="s">
        <v>343</v>
      </c>
      <c r="U488" s="236" t="s">
        <v>262</v>
      </c>
      <c r="V488" s="236" t="s">
        <v>296</v>
      </c>
      <c r="W488" s="237" t="s">
        <v>296</v>
      </c>
      <c r="X488" s="237" t="s">
        <v>296</v>
      </c>
      <c r="Y488" s="238" t="s">
        <v>296</v>
      </c>
    </row>
    <row r="489" spans="1:25">
      <c r="A489" s="230">
        <v>9</v>
      </c>
      <c r="B489" s="231" t="str">
        <f>VLOOKUP(Tabel10[[#This Row],[Locatiecode]],Ruimtegroepen[[Code]:[Ruimte omschrijving]],2,FALSE)</f>
        <v>publieksruimte</v>
      </c>
      <c r="C489" s="232" t="s">
        <v>696</v>
      </c>
      <c r="D489" s="231" t="s">
        <v>14</v>
      </c>
      <c r="E489" s="233" t="s">
        <v>1344</v>
      </c>
      <c r="F489" s="232" t="s">
        <v>1433</v>
      </c>
      <c r="G489" s="281" t="s">
        <v>296</v>
      </c>
      <c r="H489" s="234" t="s">
        <v>296</v>
      </c>
      <c r="I489" s="234" t="s">
        <v>15</v>
      </c>
      <c r="J489" s="234" t="s">
        <v>15</v>
      </c>
      <c r="K489" s="234" t="s">
        <v>297</v>
      </c>
      <c r="L489" s="234" t="s">
        <v>296</v>
      </c>
      <c r="M489" s="234" t="s">
        <v>296</v>
      </c>
      <c r="N489" s="235" t="s">
        <v>296</v>
      </c>
      <c r="O489" s="236" t="s">
        <v>17</v>
      </c>
      <c r="P489" s="236" t="s">
        <v>17</v>
      </c>
      <c r="Q489" s="236" t="s">
        <v>15</v>
      </c>
      <c r="R489" s="236" t="s">
        <v>15</v>
      </c>
      <c r="S489" s="236" t="s">
        <v>16</v>
      </c>
      <c r="T489" s="236" t="s">
        <v>343</v>
      </c>
      <c r="U489" s="236" t="s">
        <v>262</v>
      </c>
      <c r="V489" s="236" t="s">
        <v>296</v>
      </c>
      <c r="W489" s="237" t="s">
        <v>296</v>
      </c>
      <c r="X489" s="237" t="s">
        <v>296</v>
      </c>
      <c r="Y489" s="238" t="s">
        <v>296</v>
      </c>
    </row>
    <row r="490" spans="1:25">
      <c r="A490" s="230">
        <v>9</v>
      </c>
      <c r="B490" s="231" t="str">
        <f>VLOOKUP(Tabel10[[#This Row],[Locatiecode]],Ruimtegroepen[[Code]:[Ruimte omschrijving]],2,FALSE)</f>
        <v>publieksruimte</v>
      </c>
      <c r="C490" s="232" t="s">
        <v>701</v>
      </c>
      <c r="D490" s="231" t="s">
        <v>13</v>
      </c>
      <c r="E490" s="233" t="s">
        <v>101</v>
      </c>
      <c r="F490" s="232" t="s">
        <v>702</v>
      </c>
      <c r="G490" s="281" t="s">
        <v>296</v>
      </c>
      <c r="H490" s="234" t="s">
        <v>296</v>
      </c>
      <c r="I490" s="234" t="s">
        <v>296</v>
      </c>
      <c r="J490" s="235" t="s">
        <v>15</v>
      </c>
      <c r="K490" s="235" t="s">
        <v>296</v>
      </c>
      <c r="L490" s="234" t="s">
        <v>296</v>
      </c>
      <c r="M490" s="234" t="s">
        <v>296</v>
      </c>
      <c r="N490" s="235" t="s">
        <v>296</v>
      </c>
      <c r="O490" s="236" t="s">
        <v>15</v>
      </c>
      <c r="P490" s="236" t="s">
        <v>15</v>
      </c>
      <c r="Q490" s="236" t="s">
        <v>15</v>
      </c>
      <c r="R490" s="236" t="s">
        <v>15</v>
      </c>
      <c r="S490" s="236" t="s">
        <v>16</v>
      </c>
      <c r="T490" s="236" t="s">
        <v>343</v>
      </c>
      <c r="U490" s="236" t="s">
        <v>262</v>
      </c>
      <c r="V490" s="236" t="s">
        <v>296</v>
      </c>
      <c r="W490" s="237" t="s">
        <v>296</v>
      </c>
      <c r="X490" s="237" t="s">
        <v>296</v>
      </c>
      <c r="Y490" s="238" t="s">
        <v>296</v>
      </c>
    </row>
    <row r="491" spans="1:25">
      <c r="A491" s="230">
        <v>9</v>
      </c>
      <c r="B491" s="231" t="str">
        <f>VLOOKUP(Tabel10[[#This Row],[Locatiecode]],Ruimtegroepen[[Code]:[Ruimte omschrijving]],2,FALSE)</f>
        <v>publieksruimte</v>
      </c>
      <c r="C491" s="232" t="s">
        <v>701</v>
      </c>
      <c r="D491" s="231" t="s">
        <v>13</v>
      </c>
      <c r="E491" s="233" t="s">
        <v>100</v>
      </c>
      <c r="F491" s="232" t="s">
        <v>703</v>
      </c>
      <c r="G491" s="281" t="s">
        <v>296</v>
      </c>
      <c r="H491" s="235" t="s">
        <v>15</v>
      </c>
      <c r="I491" s="234" t="s">
        <v>296</v>
      </c>
      <c r="J491" s="235" t="s">
        <v>296</v>
      </c>
      <c r="K491" s="235" t="s">
        <v>296</v>
      </c>
      <c r="L491" s="234" t="s">
        <v>296</v>
      </c>
      <c r="M491" s="234" t="s">
        <v>296</v>
      </c>
      <c r="N491" s="235" t="s">
        <v>296</v>
      </c>
      <c r="O491" s="236" t="s">
        <v>15</v>
      </c>
      <c r="P491" s="236" t="s">
        <v>15</v>
      </c>
      <c r="Q491" s="236" t="s">
        <v>15</v>
      </c>
      <c r="R491" s="236" t="s">
        <v>15</v>
      </c>
      <c r="S491" s="236" t="s">
        <v>16</v>
      </c>
      <c r="T491" s="236" t="s">
        <v>343</v>
      </c>
      <c r="U491" s="236" t="s">
        <v>262</v>
      </c>
      <c r="V491" s="236" t="s">
        <v>296</v>
      </c>
      <c r="W491" s="237" t="s">
        <v>296</v>
      </c>
      <c r="X491" s="237" t="s">
        <v>296</v>
      </c>
      <c r="Y491" s="238" t="s">
        <v>296</v>
      </c>
    </row>
    <row r="492" spans="1:25">
      <c r="A492" s="230">
        <v>9</v>
      </c>
      <c r="B492" s="231" t="str">
        <f>VLOOKUP(Tabel10[[#This Row],[Locatiecode]],Ruimtegroepen[[Code]:[Ruimte omschrijving]],2,FALSE)</f>
        <v>publieksruimte</v>
      </c>
      <c r="C492" s="232" t="s">
        <v>701</v>
      </c>
      <c r="D492" s="231" t="s">
        <v>13</v>
      </c>
      <c r="E492" s="233" t="s">
        <v>102</v>
      </c>
      <c r="F492" s="232" t="s">
        <v>704</v>
      </c>
      <c r="G492" s="281" t="s">
        <v>296</v>
      </c>
      <c r="H492" s="234" t="s">
        <v>296</v>
      </c>
      <c r="I492" s="234" t="s">
        <v>296</v>
      </c>
      <c r="J492" s="234" t="s">
        <v>15</v>
      </c>
      <c r="K492" s="234" t="s">
        <v>297</v>
      </c>
      <c r="L492" s="234" t="s">
        <v>296</v>
      </c>
      <c r="M492" s="234" t="s">
        <v>296</v>
      </c>
      <c r="N492" s="235" t="s">
        <v>296</v>
      </c>
      <c r="O492" s="236" t="s">
        <v>15</v>
      </c>
      <c r="P492" s="236" t="s">
        <v>15</v>
      </c>
      <c r="Q492" s="236" t="s">
        <v>15</v>
      </c>
      <c r="R492" s="236" t="s">
        <v>15</v>
      </c>
      <c r="S492" s="236" t="s">
        <v>16</v>
      </c>
      <c r="T492" s="236" t="s">
        <v>343</v>
      </c>
      <c r="U492" s="236" t="s">
        <v>262</v>
      </c>
      <c r="V492" s="236" t="s">
        <v>296</v>
      </c>
      <c r="W492" s="237" t="s">
        <v>296</v>
      </c>
      <c r="X492" s="237" t="s">
        <v>296</v>
      </c>
      <c r="Y492" s="238" t="s">
        <v>296</v>
      </c>
    </row>
    <row r="493" spans="1:25">
      <c r="A493" s="230">
        <v>9</v>
      </c>
      <c r="B493" s="231" t="str">
        <f>VLOOKUP(Tabel10[[#This Row],[Locatiecode]],Ruimtegroepen[[Code]:[Ruimte omschrijving]],2,FALSE)</f>
        <v>publieksruimte</v>
      </c>
      <c r="C493" s="232" t="s">
        <v>701</v>
      </c>
      <c r="D493" s="231" t="s">
        <v>13</v>
      </c>
      <c r="E493" s="233" t="s">
        <v>103</v>
      </c>
      <c r="F493" s="232" t="s">
        <v>705</v>
      </c>
      <c r="G493" s="281" t="s">
        <v>296</v>
      </c>
      <c r="H493" s="234" t="s">
        <v>296</v>
      </c>
      <c r="I493" s="234" t="s">
        <v>296</v>
      </c>
      <c r="J493" s="234" t="s">
        <v>15</v>
      </c>
      <c r="K493" s="234" t="s">
        <v>297</v>
      </c>
      <c r="L493" s="234" t="s">
        <v>296</v>
      </c>
      <c r="M493" s="234" t="s">
        <v>296</v>
      </c>
      <c r="N493" s="235" t="s">
        <v>296</v>
      </c>
      <c r="O493" s="236" t="s">
        <v>15</v>
      </c>
      <c r="P493" s="236" t="s">
        <v>15</v>
      </c>
      <c r="Q493" s="236" t="s">
        <v>15</v>
      </c>
      <c r="R493" s="236" t="s">
        <v>15</v>
      </c>
      <c r="S493" s="236" t="s">
        <v>16</v>
      </c>
      <c r="T493" s="236" t="s">
        <v>343</v>
      </c>
      <c r="U493" s="236" t="s">
        <v>262</v>
      </c>
      <c r="V493" s="236" t="s">
        <v>296</v>
      </c>
      <c r="W493" s="237" t="s">
        <v>296</v>
      </c>
      <c r="X493" s="237" t="s">
        <v>296</v>
      </c>
      <c r="Y493" s="238" t="s">
        <v>296</v>
      </c>
    </row>
    <row r="494" spans="1:25">
      <c r="A494" s="230">
        <v>9</v>
      </c>
      <c r="B494" s="231" t="str">
        <f>VLOOKUP(Tabel10[[#This Row],[Locatiecode]],Ruimtegroepen[[Code]:[Ruimte omschrijving]],2,FALSE)</f>
        <v>publieksruimte</v>
      </c>
      <c r="C494" s="232" t="s">
        <v>701</v>
      </c>
      <c r="D494" s="231" t="s">
        <v>13</v>
      </c>
      <c r="E494" s="233" t="s">
        <v>100</v>
      </c>
      <c r="F494" s="232" t="s">
        <v>703</v>
      </c>
      <c r="G494" s="281" t="s">
        <v>296</v>
      </c>
      <c r="H494" s="235" t="s">
        <v>15</v>
      </c>
      <c r="I494" s="234" t="s">
        <v>296</v>
      </c>
      <c r="J494" s="235" t="s">
        <v>296</v>
      </c>
      <c r="K494" s="235" t="s">
        <v>296</v>
      </c>
      <c r="L494" s="234" t="s">
        <v>296</v>
      </c>
      <c r="M494" s="234" t="s">
        <v>296</v>
      </c>
      <c r="N494" s="235" t="s">
        <v>296</v>
      </c>
      <c r="O494" s="236" t="s">
        <v>15</v>
      </c>
      <c r="P494" s="236" t="s">
        <v>15</v>
      </c>
      <c r="Q494" s="236" t="s">
        <v>15</v>
      </c>
      <c r="R494" s="236" t="s">
        <v>15</v>
      </c>
      <c r="S494" s="236" t="s">
        <v>16</v>
      </c>
      <c r="T494" s="236" t="s">
        <v>343</v>
      </c>
      <c r="U494" s="236" t="s">
        <v>262</v>
      </c>
      <c r="V494" s="236" t="s">
        <v>296</v>
      </c>
      <c r="W494" s="237" t="s">
        <v>296</v>
      </c>
      <c r="X494" s="237" t="s">
        <v>296</v>
      </c>
      <c r="Y494" s="238" t="s">
        <v>296</v>
      </c>
    </row>
    <row r="495" spans="1:25">
      <c r="A495" s="230">
        <v>9</v>
      </c>
      <c r="B495" s="231" t="str">
        <f>VLOOKUP(Tabel10[[#This Row],[Locatiecode]],Ruimtegroepen[[Code]:[Ruimte omschrijving]],2,FALSE)</f>
        <v>publieksruimte</v>
      </c>
      <c r="C495" s="232" t="s">
        <v>701</v>
      </c>
      <c r="D495" s="231" t="s">
        <v>13</v>
      </c>
      <c r="E495" s="233" t="s">
        <v>1344</v>
      </c>
      <c r="F495" s="232" t="s">
        <v>1400</v>
      </c>
      <c r="G495" s="281" t="s">
        <v>296</v>
      </c>
      <c r="H495" s="234" t="s">
        <v>296</v>
      </c>
      <c r="I495" s="234" t="s">
        <v>296</v>
      </c>
      <c r="J495" s="234" t="s">
        <v>15</v>
      </c>
      <c r="K495" s="234" t="s">
        <v>297</v>
      </c>
      <c r="L495" s="234" t="s">
        <v>296</v>
      </c>
      <c r="M495" s="234" t="s">
        <v>296</v>
      </c>
      <c r="N495" s="235" t="s">
        <v>296</v>
      </c>
      <c r="O495" s="236" t="s">
        <v>15</v>
      </c>
      <c r="P495" s="236" t="s">
        <v>15</v>
      </c>
      <c r="Q495" s="236" t="s">
        <v>15</v>
      </c>
      <c r="R495" s="236" t="s">
        <v>15</v>
      </c>
      <c r="S495" s="236" t="s">
        <v>16</v>
      </c>
      <c r="T495" s="236" t="s">
        <v>343</v>
      </c>
      <c r="U495" s="236" t="s">
        <v>262</v>
      </c>
      <c r="V495" s="236" t="s">
        <v>296</v>
      </c>
      <c r="W495" s="237" t="s">
        <v>296</v>
      </c>
      <c r="X495" s="237" t="s">
        <v>296</v>
      </c>
      <c r="Y495" s="238" t="s">
        <v>296</v>
      </c>
    </row>
    <row r="496" spans="1:25">
      <c r="A496" s="230">
        <v>9</v>
      </c>
      <c r="B496" s="231" t="str">
        <f>VLOOKUP(Tabel10[[#This Row],[Locatiecode]],Ruimtegroepen[[Code]:[Ruimte omschrijving]],2,FALSE)</f>
        <v>publieksruimte</v>
      </c>
      <c r="C496" s="232" t="s">
        <v>706</v>
      </c>
      <c r="D496" s="231" t="s">
        <v>0</v>
      </c>
      <c r="E496" s="233" t="s">
        <v>101</v>
      </c>
      <c r="F496" s="232" t="s">
        <v>707</v>
      </c>
      <c r="G496" s="281" t="s">
        <v>296</v>
      </c>
      <c r="H496" s="234" t="s">
        <v>296</v>
      </c>
      <c r="I496" s="234" t="s">
        <v>296</v>
      </c>
      <c r="J496" s="235" t="s">
        <v>16</v>
      </c>
      <c r="K496" s="235" t="s">
        <v>296</v>
      </c>
      <c r="L496" s="234" t="s">
        <v>296</v>
      </c>
      <c r="M496" s="234" t="s">
        <v>296</v>
      </c>
      <c r="N496" s="235" t="s">
        <v>296</v>
      </c>
      <c r="O496" s="236" t="s">
        <v>16</v>
      </c>
      <c r="P496" s="236" t="s">
        <v>16</v>
      </c>
      <c r="Q496" s="236" t="s">
        <v>16</v>
      </c>
      <c r="R496" s="236" t="s">
        <v>16</v>
      </c>
      <c r="S496" s="236" t="s">
        <v>16</v>
      </c>
      <c r="T496" s="236" t="s">
        <v>343</v>
      </c>
      <c r="U496" s="236" t="s">
        <v>262</v>
      </c>
      <c r="V496" s="236" t="s">
        <v>296</v>
      </c>
      <c r="W496" s="237" t="s">
        <v>296</v>
      </c>
      <c r="X496" s="237" t="s">
        <v>296</v>
      </c>
      <c r="Y496" s="238" t="s">
        <v>296</v>
      </c>
    </row>
    <row r="497" spans="1:25">
      <c r="A497" s="230">
        <v>9</v>
      </c>
      <c r="B497" s="231" t="str">
        <f>VLOOKUP(Tabel10[[#This Row],[Locatiecode]],Ruimtegroepen[[Code]:[Ruimte omschrijving]],2,FALSE)</f>
        <v>publieksruimte</v>
      </c>
      <c r="C497" s="232" t="s">
        <v>706</v>
      </c>
      <c r="D497" s="231" t="s">
        <v>0</v>
      </c>
      <c r="E497" s="233" t="s">
        <v>100</v>
      </c>
      <c r="F497" s="232" t="s">
        <v>708</v>
      </c>
      <c r="G497" s="281" t="s">
        <v>296</v>
      </c>
      <c r="H497" s="235" t="s">
        <v>16</v>
      </c>
      <c r="I497" s="234" t="s">
        <v>296</v>
      </c>
      <c r="J497" s="235" t="s">
        <v>296</v>
      </c>
      <c r="K497" s="235" t="s">
        <v>296</v>
      </c>
      <c r="L497" s="234" t="s">
        <v>296</v>
      </c>
      <c r="M497" s="234" t="s">
        <v>296</v>
      </c>
      <c r="N497" s="235" t="s">
        <v>296</v>
      </c>
      <c r="O497" s="236" t="s">
        <v>16</v>
      </c>
      <c r="P497" s="236" t="s">
        <v>16</v>
      </c>
      <c r="Q497" s="236" t="s">
        <v>16</v>
      </c>
      <c r="R497" s="236" t="s">
        <v>16</v>
      </c>
      <c r="S497" s="236" t="s">
        <v>16</v>
      </c>
      <c r="T497" s="236" t="s">
        <v>343</v>
      </c>
      <c r="U497" s="236" t="s">
        <v>262</v>
      </c>
      <c r="V497" s="236" t="s">
        <v>296</v>
      </c>
      <c r="W497" s="237" t="s">
        <v>296</v>
      </c>
      <c r="X497" s="237" t="s">
        <v>296</v>
      </c>
      <c r="Y497" s="238" t="s">
        <v>296</v>
      </c>
    </row>
    <row r="498" spans="1:25">
      <c r="A498" s="230">
        <v>9</v>
      </c>
      <c r="B498" s="231" t="str">
        <f>VLOOKUP(Tabel10[[#This Row],[Locatiecode]],Ruimtegroepen[[Code]:[Ruimte omschrijving]],2,FALSE)</f>
        <v>publieksruimte</v>
      </c>
      <c r="C498" s="232" t="s">
        <v>706</v>
      </c>
      <c r="D498" s="231" t="s">
        <v>0</v>
      </c>
      <c r="E498" s="233" t="s">
        <v>102</v>
      </c>
      <c r="F498" s="232" t="s">
        <v>709</v>
      </c>
      <c r="G498" s="281" t="s">
        <v>296</v>
      </c>
      <c r="H498" s="234" t="s">
        <v>296</v>
      </c>
      <c r="I498" s="234" t="s">
        <v>296</v>
      </c>
      <c r="J498" s="234" t="s">
        <v>16</v>
      </c>
      <c r="K498" s="234" t="s">
        <v>297</v>
      </c>
      <c r="L498" s="234" t="s">
        <v>296</v>
      </c>
      <c r="M498" s="234" t="s">
        <v>296</v>
      </c>
      <c r="N498" s="235" t="s">
        <v>296</v>
      </c>
      <c r="O498" s="236" t="s">
        <v>16</v>
      </c>
      <c r="P498" s="236" t="s">
        <v>16</v>
      </c>
      <c r="Q498" s="236" t="s">
        <v>16</v>
      </c>
      <c r="R498" s="236" t="s">
        <v>16</v>
      </c>
      <c r="S498" s="236" t="s">
        <v>16</v>
      </c>
      <c r="T498" s="236" t="s">
        <v>343</v>
      </c>
      <c r="U498" s="236" t="s">
        <v>262</v>
      </c>
      <c r="V498" s="236" t="s">
        <v>296</v>
      </c>
      <c r="W498" s="237" t="s">
        <v>296</v>
      </c>
      <c r="X498" s="237" t="s">
        <v>296</v>
      </c>
      <c r="Y498" s="238" t="s">
        <v>296</v>
      </c>
    </row>
    <row r="499" spans="1:25">
      <c r="A499" s="230">
        <v>9</v>
      </c>
      <c r="B499" s="231" t="str">
        <f>VLOOKUP(Tabel10[[#This Row],[Locatiecode]],Ruimtegroepen[[Code]:[Ruimte omschrijving]],2,FALSE)</f>
        <v>publieksruimte</v>
      </c>
      <c r="C499" s="232" t="s">
        <v>706</v>
      </c>
      <c r="D499" s="231" t="s">
        <v>0</v>
      </c>
      <c r="E499" s="233" t="s">
        <v>103</v>
      </c>
      <c r="F499" s="232" t="s">
        <v>710</v>
      </c>
      <c r="G499" s="281" t="s">
        <v>296</v>
      </c>
      <c r="H499" s="234" t="s">
        <v>296</v>
      </c>
      <c r="I499" s="234" t="s">
        <v>296</v>
      </c>
      <c r="J499" s="234" t="s">
        <v>16</v>
      </c>
      <c r="K499" s="234" t="s">
        <v>297</v>
      </c>
      <c r="L499" s="234" t="s">
        <v>296</v>
      </c>
      <c r="M499" s="234" t="s">
        <v>296</v>
      </c>
      <c r="N499" s="235" t="s">
        <v>296</v>
      </c>
      <c r="O499" s="236" t="s">
        <v>16</v>
      </c>
      <c r="P499" s="236" t="s">
        <v>16</v>
      </c>
      <c r="Q499" s="236" t="s">
        <v>16</v>
      </c>
      <c r="R499" s="236" t="s">
        <v>16</v>
      </c>
      <c r="S499" s="236" t="s">
        <v>16</v>
      </c>
      <c r="T499" s="236" t="s">
        <v>343</v>
      </c>
      <c r="U499" s="236" t="s">
        <v>262</v>
      </c>
      <c r="V499" s="236" t="s">
        <v>296</v>
      </c>
      <c r="W499" s="237" t="s">
        <v>296</v>
      </c>
      <c r="X499" s="237" t="s">
        <v>296</v>
      </c>
      <c r="Y499" s="238" t="s">
        <v>296</v>
      </c>
    </row>
    <row r="500" spans="1:25">
      <c r="A500" s="230">
        <v>9</v>
      </c>
      <c r="B500" s="231" t="str">
        <f>VLOOKUP(Tabel10[[#This Row],[Locatiecode]],Ruimtegroepen[[Code]:[Ruimte omschrijving]],2,FALSE)</f>
        <v>publieksruimte</v>
      </c>
      <c r="C500" s="232" t="s">
        <v>706</v>
      </c>
      <c r="D500" s="231" t="s">
        <v>0</v>
      </c>
      <c r="E500" s="233" t="s">
        <v>100</v>
      </c>
      <c r="F500" s="232" t="s">
        <v>708</v>
      </c>
      <c r="G500" s="281" t="s">
        <v>296</v>
      </c>
      <c r="H500" s="235" t="s">
        <v>16</v>
      </c>
      <c r="I500" s="234" t="s">
        <v>296</v>
      </c>
      <c r="J500" s="235" t="s">
        <v>296</v>
      </c>
      <c r="K500" s="235" t="s">
        <v>296</v>
      </c>
      <c r="L500" s="234" t="s">
        <v>296</v>
      </c>
      <c r="M500" s="234" t="s">
        <v>296</v>
      </c>
      <c r="N500" s="235" t="s">
        <v>296</v>
      </c>
      <c r="O500" s="236" t="s">
        <v>16</v>
      </c>
      <c r="P500" s="236" t="s">
        <v>16</v>
      </c>
      <c r="Q500" s="236" t="s">
        <v>16</v>
      </c>
      <c r="R500" s="236" t="s">
        <v>16</v>
      </c>
      <c r="S500" s="236" t="s">
        <v>16</v>
      </c>
      <c r="T500" s="236" t="s">
        <v>343</v>
      </c>
      <c r="U500" s="236" t="s">
        <v>262</v>
      </c>
      <c r="V500" s="236" t="s">
        <v>296</v>
      </c>
      <c r="W500" s="237" t="s">
        <v>296</v>
      </c>
      <c r="X500" s="237" t="s">
        <v>296</v>
      </c>
      <c r="Y500" s="238" t="s">
        <v>296</v>
      </c>
    </row>
    <row r="501" spans="1:25">
      <c r="A501" s="230">
        <v>9</v>
      </c>
      <c r="B501" s="231" t="str">
        <f>VLOOKUP(Tabel10[[#This Row],[Locatiecode]],Ruimtegroepen[[Code]:[Ruimte omschrijving]],2,FALSE)</f>
        <v>publieksruimte</v>
      </c>
      <c r="C501" s="232" t="s">
        <v>706</v>
      </c>
      <c r="D501" s="231" t="s">
        <v>0</v>
      </c>
      <c r="E501" s="233" t="s">
        <v>1344</v>
      </c>
      <c r="F501" s="232" t="s">
        <v>1384</v>
      </c>
      <c r="G501" s="281" t="s">
        <v>296</v>
      </c>
      <c r="H501" s="234" t="s">
        <v>296</v>
      </c>
      <c r="I501" s="234" t="s">
        <v>296</v>
      </c>
      <c r="J501" s="234" t="s">
        <v>16</v>
      </c>
      <c r="K501" s="234" t="s">
        <v>297</v>
      </c>
      <c r="L501" s="234" t="s">
        <v>296</v>
      </c>
      <c r="M501" s="234" t="s">
        <v>296</v>
      </c>
      <c r="N501" s="235" t="s">
        <v>296</v>
      </c>
      <c r="O501" s="236" t="s">
        <v>16</v>
      </c>
      <c r="P501" s="236" t="s">
        <v>16</v>
      </c>
      <c r="Q501" s="236" t="s">
        <v>16</v>
      </c>
      <c r="R501" s="236" t="s">
        <v>16</v>
      </c>
      <c r="S501" s="236" t="s">
        <v>16</v>
      </c>
      <c r="T501" s="236" t="s">
        <v>343</v>
      </c>
      <c r="U501" s="236" t="s">
        <v>262</v>
      </c>
      <c r="V501" s="236" t="s">
        <v>296</v>
      </c>
      <c r="W501" s="237" t="s">
        <v>296</v>
      </c>
      <c r="X501" s="237" t="s">
        <v>296</v>
      </c>
      <c r="Y501" s="238" t="s">
        <v>296</v>
      </c>
    </row>
    <row r="502" spans="1:25">
      <c r="A502" s="230">
        <v>9</v>
      </c>
      <c r="B502" s="231" t="str">
        <f>VLOOKUP(Tabel10[[#This Row],[Locatiecode]],Ruimtegroepen[[Code]:[Ruimte omschrijving]],2,FALSE)</f>
        <v>publieksruimte</v>
      </c>
      <c r="C502" s="232" t="s">
        <v>711</v>
      </c>
      <c r="D502" s="231" t="s">
        <v>27</v>
      </c>
      <c r="E502" s="233" t="s">
        <v>101</v>
      </c>
      <c r="F502" s="232" t="s">
        <v>712</v>
      </c>
      <c r="G502" s="281" t="s">
        <v>296</v>
      </c>
      <c r="H502" s="234" t="s">
        <v>296</v>
      </c>
      <c r="I502" s="235" t="s">
        <v>15</v>
      </c>
      <c r="J502" s="234" t="s">
        <v>296</v>
      </c>
      <c r="K502" s="235" t="s">
        <v>296</v>
      </c>
      <c r="L502" s="234" t="s">
        <v>296</v>
      </c>
      <c r="M502" s="234" t="s">
        <v>296</v>
      </c>
      <c r="N502" s="235" t="s">
        <v>296</v>
      </c>
      <c r="O502" s="236" t="s">
        <v>15</v>
      </c>
      <c r="P502" s="236" t="s">
        <v>15</v>
      </c>
      <c r="Q502" s="236" t="s">
        <v>15</v>
      </c>
      <c r="R502" s="236" t="s">
        <v>296</v>
      </c>
      <c r="S502" s="236" t="s">
        <v>296</v>
      </c>
      <c r="T502" s="236" t="s">
        <v>296</v>
      </c>
      <c r="U502" s="236" t="s">
        <v>296</v>
      </c>
      <c r="V502" s="236" t="s">
        <v>296</v>
      </c>
      <c r="W502" s="237" t="s">
        <v>296</v>
      </c>
      <c r="X502" s="237" t="s">
        <v>296</v>
      </c>
      <c r="Y502" s="238" t="s">
        <v>296</v>
      </c>
    </row>
    <row r="503" spans="1:25">
      <c r="A503" s="230">
        <v>9</v>
      </c>
      <c r="B503" s="231" t="str">
        <f>VLOOKUP(Tabel10[[#This Row],[Locatiecode]],Ruimtegroepen[[Code]:[Ruimte omschrijving]],2,FALSE)</f>
        <v>publieksruimte</v>
      </c>
      <c r="C503" s="232" t="s">
        <v>711</v>
      </c>
      <c r="D503" s="231" t="s">
        <v>27</v>
      </c>
      <c r="E503" s="233" t="s">
        <v>100</v>
      </c>
      <c r="F503" s="232" t="s">
        <v>713</v>
      </c>
      <c r="G503" s="281" t="s">
        <v>296</v>
      </c>
      <c r="H503" s="235" t="s">
        <v>15</v>
      </c>
      <c r="I503" s="234" t="s">
        <v>296</v>
      </c>
      <c r="J503" s="235" t="s">
        <v>296</v>
      </c>
      <c r="K503" s="235" t="s">
        <v>296</v>
      </c>
      <c r="L503" s="234" t="s">
        <v>296</v>
      </c>
      <c r="M503" s="234" t="s">
        <v>296</v>
      </c>
      <c r="N503" s="235" t="s">
        <v>296</v>
      </c>
      <c r="O503" s="236" t="s">
        <v>15</v>
      </c>
      <c r="P503" s="236" t="s">
        <v>15</v>
      </c>
      <c r="Q503" s="236" t="s">
        <v>15</v>
      </c>
      <c r="R503" s="236" t="s">
        <v>296</v>
      </c>
      <c r="S503" s="236" t="s">
        <v>296</v>
      </c>
      <c r="T503" s="236" t="s">
        <v>296</v>
      </c>
      <c r="U503" s="236" t="s">
        <v>296</v>
      </c>
      <c r="V503" s="236" t="s">
        <v>296</v>
      </c>
      <c r="W503" s="237" t="s">
        <v>296</v>
      </c>
      <c r="X503" s="237" t="s">
        <v>296</v>
      </c>
      <c r="Y503" s="238" t="s">
        <v>296</v>
      </c>
    </row>
    <row r="504" spans="1:25">
      <c r="A504" s="230">
        <v>9</v>
      </c>
      <c r="B504" s="231" t="str">
        <f>VLOOKUP(Tabel10[[#This Row],[Locatiecode]],Ruimtegroepen[[Code]:[Ruimte omschrijving]],2,FALSE)</f>
        <v>publieksruimte</v>
      </c>
      <c r="C504" s="232" t="s">
        <v>711</v>
      </c>
      <c r="D504" s="231" t="s">
        <v>27</v>
      </c>
      <c r="E504" s="233" t="s">
        <v>102</v>
      </c>
      <c r="F504" s="232" t="s">
        <v>714</v>
      </c>
      <c r="G504" s="281" t="s">
        <v>296</v>
      </c>
      <c r="H504" s="234" t="s">
        <v>296</v>
      </c>
      <c r="I504" s="235" t="s">
        <v>15</v>
      </c>
      <c r="J504" s="235" t="s">
        <v>296</v>
      </c>
      <c r="K504" s="235" t="s">
        <v>296</v>
      </c>
      <c r="L504" s="234" t="s">
        <v>296</v>
      </c>
      <c r="M504" s="234" t="s">
        <v>296</v>
      </c>
      <c r="N504" s="235" t="s">
        <v>296</v>
      </c>
      <c r="O504" s="236" t="s">
        <v>15</v>
      </c>
      <c r="P504" s="236" t="s">
        <v>15</v>
      </c>
      <c r="Q504" s="236" t="s">
        <v>15</v>
      </c>
      <c r="R504" s="236" t="s">
        <v>296</v>
      </c>
      <c r="S504" s="236" t="s">
        <v>296</v>
      </c>
      <c r="T504" s="236" t="s">
        <v>296</v>
      </c>
      <c r="U504" s="236" t="s">
        <v>296</v>
      </c>
      <c r="V504" s="236" t="s">
        <v>296</v>
      </c>
      <c r="W504" s="237" t="s">
        <v>296</v>
      </c>
      <c r="X504" s="237" t="s">
        <v>296</v>
      </c>
      <c r="Y504" s="238" t="s">
        <v>296</v>
      </c>
    </row>
    <row r="505" spans="1:25">
      <c r="A505" s="230">
        <v>9</v>
      </c>
      <c r="B505" s="231" t="str">
        <f>VLOOKUP(Tabel10[[#This Row],[Locatiecode]],Ruimtegroepen[[Code]:[Ruimte omschrijving]],2,FALSE)</f>
        <v>publieksruimte</v>
      </c>
      <c r="C505" s="232" t="s">
        <v>711</v>
      </c>
      <c r="D505" s="231" t="s">
        <v>27</v>
      </c>
      <c r="E505" s="233" t="s">
        <v>103</v>
      </c>
      <c r="F505" s="232" t="s">
        <v>715</v>
      </c>
      <c r="G505" s="281" t="s">
        <v>296</v>
      </c>
      <c r="H505" s="234" t="s">
        <v>296</v>
      </c>
      <c r="I505" s="235" t="s">
        <v>15</v>
      </c>
      <c r="J505" s="235" t="s">
        <v>296</v>
      </c>
      <c r="K505" s="235" t="s">
        <v>296</v>
      </c>
      <c r="L505" s="234" t="s">
        <v>296</v>
      </c>
      <c r="M505" s="234" t="s">
        <v>296</v>
      </c>
      <c r="N505" s="235" t="s">
        <v>296</v>
      </c>
      <c r="O505" s="236" t="s">
        <v>15</v>
      </c>
      <c r="P505" s="236" t="s">
        <v>15</v>
      </c>
      <c r="Q505" s="236" t="s">
        <v>15</v>
      </c>
      <c r="R505" s="236" t="s">
        <v>296</v>
      </c>
      <c r="S505" s="236" t="s">
        <v>296</v>
      </c>
      <c r="T505" s="236" t="s">
        <v>296</v>
      </c>
      <c r="U505" s="236" t="s">
        <v>296</v>
      </c>
      <c r="V505" s="236" t="s">
        <v>296</v>
      </c>
      <c r="W505" s="237" t="s">
        <v>296</v>
      </c>
      <c r="X505" s="237" t="s">
        <v>296</v>
      </c>
      <c r="Y505" s="238" t="s">
        <v>296</v>
      </c>
    </row>
    <row r="506" spans="1:25">
      <c r="A506" s="230">
        <v>9</v>
      </c>
      <c r="B506" s="231" t="str">
        <f>VLOOKUP(Tabel10[[#This Row],[Locatiecode]],Ruimtegroepen[[Code]:[Ruimte omschrijving]],2,FALSE)</f>
        <v>publieksruimte</v>
      </c>
      <c r="C506" s="232" t="s">
        <v>711</v>
      </c>
      <c r="D506" s="231" t="s">
        <v>27</v>
      </c>
      <c r="E506" s="233" t="s">
        <v>100</v>
      </c>
      <c r="F506" s="232" t="s">
        <v>713</v>
      </c>
      <c r="G506" s="281" t="s">
        <v>296</v>
      </c>
      <c r="H506" s="235" t="s">
        <v>15</v>
      </c>
      <c r="I506" s="234" t="s">
        <v>296</v>
      </c>
      <c r="J506" s="235" t="s">
        <v>296</v>
      </c>
      <c r="K506" s="235" t="s">
        <v>296</v>
      </c>
      <c r="L506" s="234" t="s">
        <v>296</v>
      </c>
      <c r="M506" s="234" t="s">
        <v>296</v>
      </c>
      <c r="N506" s="235" t="s">
        <v>296</v>
      </c>
      <c r="O506" s="236" t="s">
        <v>15</v>
      </c>
      <c r="P506" s="236" t="s">
        <v>15</v>
      </c>
      <c r="Q506" s="236" t="s">
        <v>15</v>
      </c>
      <c r="R506" s="236" t="s">
        <v>296</v>
      </c>
      <c r="S506" s="236" t="s">
        <v>296</v>
      </c>
      <c r="T506" s="236" t="s">
        <v>296</v>
      </c>
      <c r="U506" s="236" t="s">
        <v>296</v>
      </c>
      <c r="V506" s="236" t="s">
        <v>296</v>
      </c>
      <c r="W506" s="237" t="s">
        <v>296</v>
      </c>
      <c r="X506" s="237" t="s">
        <v>296</v>
      </c>
      <c r="Y506" s="238" t="s">
        <v>296</v>
      </c>
    </row>
    <row r="507" spans="1:25">
      <c r="A507" s="230">
        <v>9</v>
      </c>
      <c r="B507" s="231" t="str">
        <f>VLOOKUP(Tabel10[[#This Row],[Locatiecode]],Ruimtegroepen[[Code]:[Ruimte omschrijving]],2,FALSE)</f>
        <v>publieksruimte</v>
      </c>
      <c r="C507" s="232" t="s">
        <v>711</v>
      </c>
      <c r="D507" s="231" t="s">
        <v>27</v>
      </c>
      <c r="E507" s="233" t="s">
        <v>1344</v>
      </c>
      <c r="F507" s="232" t="s">
        <v>1417</v>
      </c>
      <c r="G507" s="281" t="s">
        <v>296</v>
      </c>
      <c r="H507" s="234" t="s">
        <v>296</v>
      </c>
      <c r="I507" s="235" t="s">
        <v>15</v>
      </c>
      <c r="J507" s="235" t="s">
        <v>296</v>
      </c>
      <c r="K507" s="235" t="s">
        <v>296</v>
      </c>
      <c r="L507" s="234" t="s">
        <v>296</v>
      </c>
      <c r="M507" s="234" t="s">
        <v>296</v>
      </c>
      <c r="N507" s="235" t="s">
        <v>296</v>
      </c>
      <c r="O507" s="236" t="s">
        <v>15</v>
      </c>
      <c r="P507" s="236" t="s">
        <v>15</v>
      </c>
      <c r="Q507" s="236" t="s">
        <v>15</v>
      </c>
      <c r="R507" s="236" t="s">
        <v>296</v>
      </c>
      <c r="S507" s="236" t="s">
        <v>296</v>
      </c>
      <c r="T507" s="236" t="s">
        <v>296</v>
      </c>
      <c r="U507" s="236" t="s">
        <v>296</v>
      </c>
      <c r="V507" s="236" t="s">
        <v>296</v>
      </c>
      <c r="W507" s="237" t="s">
        <v>296</v>
      </c>
      <c r="X507" s="237" t="s">
        <v>296</v>
      </c>
      <c r="Y507" s="238" t="s">
        <v>296</v>
      </c>
    </row>
    <row r="508" spans="1:25">
      <c r="A508" s="230">
        <v>9</v>
      </c>
      <c r="B508" s="231" t="str">
        <f>VLOOKUP(Tabel10[[#This Row],[Locatiecode]],Ruimtegroepen[[Code]:[Ruimte omschrijving]],2,FALSE)</f>
        <v>publieksruimte</v>
      </c>
      <c r="C508" s="232" t="s">
        <v>716</v>
      </c>
      <c r="D508" s="231" t="s">
        <v>28</v>
      </c>
      <c r="E508" s="233" t="s">
        <v>101</v>
      </c>
      <c r="F508" s="232" t="s">
        <v>717</v>
      </c>
      <c r="G508" s="281" t="s">
        <v>296</v>
      </c>
      <c r="H508" s="234" t="s">
        <v>296</v>
      </c>
      <c r="I508" s="235" t="s">
        <v>17</v>
      </c>
      <c r="J508" s="234" t="s">
        <v>296</v>
      </c>
      <c r="K508" s="235" t="s">
        <v>296</v>
      </c>
      <c r="L508" s="234" t="s">
        <v>296</v>
      </c>
      <c r="M508" s="234" t="s">
        <v>296</v>
      </c>
      <c r="N508" s="235" t="s">
        <v>296</v>
      </c>
      <c r="O508" s="236" t="s">
        <v>17</v>
      </c>
      <c r="P508" s="236" t="s">
        <v>17</v>
      </c>
      <c r="Q508" s="236" t="s">
        <v>15</v>
      </c>
      <c r="R508" s="236" t="s">
        <v>296</v>
      </c>
      <c r="S508" s="236" t="s">
        <v>296</v>
      </c>
      <c r="T508" s="236" t="s">
        <v>296</v>
      </c>
      <c r="U508" s="236" t="s">
        <v>296</v>
      </c>
      <c r="V508" s="236" t="s">
        <v>296</v>
      </c>
      <c r="W508" s="237" t="s">
        <v>296</v>
      </c>
      <c r="X508" s="237" t="s">
        <v>296</v>
      </c>
      <c r="Y508" s="238" t="s">
        <v>296</v>
      </c>
    </row>
    <row r="509" spans="1:25">
      <c r="A509" s="230">
        <v>9</v>
      </c>
      <c r="B509" s="231" t="str">
        <f>VLOOKUP(Tabel10[[#This Row],[Locatiecode]],Ruimtegroepen[[Code]:[Ruimte omschrijving]],2,FALSE)</f>
        <v>publieksruimte</v>
      </c>
      <c r="C509" s="232" t="s">
        <v>716</v>
      </c>
      <c r="D509" s="231" t="s">
        <v>28</v>
      </c>
      <c r="E509" s="233" t="s">
        <v>100</v>
      </c>
      <c r="F509" s="232" t="s">
        <v>718</v>
      </c>
      <c r="G509" s="281" t="s">
        <v>296</v>
      </c>
      <c r="H509" s="235" t="s">
        <v>17</v>
      </c>
      <c r="I509" s="234" t="s">
        <v>296</v>
      </c>
      <c r="J509" s="235" t="s">
        <v>296</v>
      </c>
      <c r="K509" s="235" t="s">
        <v>296</v>
      </c>
      <c r="L509" s="234" t="s">
        <v>296</v>
      </c>
      <c r="M509" s="234" t="s">
        <v>296</v>
      </c>
      <c r="N509" s="235" t="s">
        <v>296</v>
      </c>
      <c r="O509" s="236" t="s">
        <v>17</v>
      </c>
      <c r="P509" s="236" t="s">
        <v>17</v>
      </c>
      <c r="Q509" s="236" t="s">
        <v>15</v>
      </c>
      <c r="R509" s="236" t="s">
        <v>296</v>
      </c>
      <c r="S509" s="236" t="s">
        <v>296</v>
      </c>
      <c r="T509" s="236" t="s">
        <v>296</v>
      </c>
      <c r="U509" s="236" t="s">
        <v>296</v>
      </c>
      <c r="V509" s="236" t="s">
        <v>296</v>
      </c>
      <c r="W509" s="237" t="s">
        <v>296</v>
      </c>
      <c r="X509" s="237" t="s">
        <v>296</v>
      </c>
      <c r="Y509" s="238" t="s">
        <v>296</v>
      </c>
    </row>
    <row r="510" spans="1:25">
      <c r="A510" s="230">
        <v>9</v>
      </c>
      <c r="B510" s="231" t="str">
        <f>VLOOKUP(Tabel10[[#This Row],[Locatiecode]],Ruimtegroepen[[Code]:[Ruimte omschrijving]],2,FALSE)</f>
        <v>publieksruimte</v>
      </c>
      <c r="C510" s="232" t="s">
        <v>716</v>
      </c>
      <c r="D510" s="231" t="s">
        <v>28</v>
      </c>
      <c r="E510" s="233" t="s">
        <v>102</v>
      </c>
      <c r="F510" s="232" t="s">
        <v>719</v>
      </c>
      <c r="G510" s="281" t="s">
        <v>296</v>
      </c>
      <c r="H510" s="234" t="s">
        <v>296</v>
      </c>
      <c r="I510" s="235" t="s">
        <v>17</v>
      </c>
      <c r="J510" s="235" t="s">
        <v>296</v>
      </c>
      <c r="K510" s="235" t="s">
        <v>296</v>
      </c>
      <c r="L510" s="234" t="s">
        <v>296</v>
      </c>
      <c r="M510" s="234" t="s">
        <v>296</v>
      </c>
      <c r="N510" s="235" t="s">
        <v>296</v>
      </c>
      <c r="O510" s="236" t="s">
        <v>17</v>
      </c>
      <c r="P510" s="236" t="s">
        <v>17</v>
      </c>
      <c r="Q510" s="236" t="s">
        <v>15</v>
      </c>
      <c r="R510" s="236" t="s">
        <v>296</v>
      </c>
      <c r="S510" s="236" t="s">
        <v>296</v>
      </c>
      <c r="T510" s="236" t="s">
        <v>296</v>
      </c>
      <c r="U510" s="236" t="s">
        <v>296</v>
      </c>
      <c r="V510" s="236" t="s">
        <v>296</v>
      </c>
      <c r="W510" s="237" t="s">
        <v>296</v>
      </c>
      <c r="X510" s="237" t="s">
        <v>296</v>
      </c>
      <c r="Y510" s="238" t="s">
        <v>296</v>
      </c>
    </row>
    <row r="511" spans="1:25">
      <c r="A511" s="230">
        <v>9</v>
      </c>
      <c r="B511" s="231" t="str">
        <f>VLOOKUP(Tabel10[[#This Row],[Locatiecode]],Ruimtegroepen[[Code]:[Ruimte omschrijving]],2,FALSE)</f>
        <v>publieksruimte</v>
      </c>
      <c r="C511" s="232" t="s">
        <v>716</v>
      </c>
      <c r="D511" s="231" t="s">
        <v>28</v>
      </c>
      <c r="E511" s="233" t="s">
        <v>103</v>
      </c>
      <c r="F511" s="232" t="s">
        <v>720</v>
      </c>
      <c r="G511" s="281" t="s">
        <v>296</v>
      </c>
      <c r="H511" s="234" t="s">
        <v>296</v>
      </c>
      <c r="I511" s="235" t="s">
        <v>17</v>
      </c>
      <c r="J511" s="235" t="s">
        <v>296</v>
      </c>
      <c r="K511" s="235" t="s">
        <v>296</v>
      </c>
      <c r="L511" s="234" t="s">
        <v>296</v>
      </c>
      <c r="M511" s="234" t="s">
        <v>296</v>
      </c>
      <c r="N511" s="235" t="s">
        <v>296</v>
      </c>
      <c r="O511" s="236" t="s">
        <v>17</v>
      </c>
      <c r="P511" s="236" t="s">
        <v>17</v>
      </c>
      <c r="Q511" s="236" t="s">
        <v>15</v>
      </c>
      <c r="R511" s="236" t="s">
        <v>296</v>
      </c>
      <c r="S511" s="236" t="s">
        <v>296</v>
      </c>
      <c r="T511" s="236" t="s">
        <v>296</v>
      </c>
      <c r="U511" s="236" t="s">
        <v>296</v>
      </c>
      <c r="V511" s="236" t="s">
        <v>296</v>
      </c>
      <c r="W511" s="237" t="s">
        <v>296</v>
      </c>
      <c r="X511" s="237" t="s">
        <v>296</v>
      </c>
      <c r="Y511" s="238" t="s">
        <v>296</v>
      </c>
    </row>
    <row r="512" spans="1:25">
      <c r="A512" s="230">
        <v>9</v>
      </c>
      <c r="B512" s="231" t="str">
        <f>VLOOKUP(Tabel10[[#This Row],[Locatiecode]],Ruimtegroepen[[Code]:[Ruimte omschrijving]],2,FALSE)</f>
        <v>publieksruimte</v>
      </c>
      <c r="C512" s="232" t="s">
        <v>716</v>
      </c>
      <c r="D512" s="231" t="s">
        <v>28</v>
      </c>
      <c r="E512" s="233" t="s">
        <v>100</v>
      </c>
      <c r="F512" s="232" t="s">
        <v>718</v>
      </c>
      <c r="G512" s="281" t="s">
        <v>296</v>
      </c>
      <c r="H512" s="235" t="s">
        <v>17</v>
      </c>
      <c r="I512" s="234" t="s">
        <v>296</v>
      </c>
      <c r="J512" s="235" t="s">
        <v>296</v>
      </c>
      <c r="K512" s="235" t="s">
        <v>296</v>
      </c>
      <c r="L512" s="234" t="s">
        <v>296</v>
      </c>
      <c r="M512" s="234" t="s">
        <v>296</v>
      </c>
      <c r="N512" s="235" t="s">
        <v>296</v>
      </c>
      <c r="O512" s="236" t="s">
        <v>17</v>
      </c>
      <c r="P512" s="236" t="s">
        <v>17</v>
      </c>
      <c r="Q512" s="236" t="s">
        <v>15</v>
      </c>
      <c r="R512" s="236" t="s">
        <v>296</v>
      </c>
      <c r="S512" s="236" t="s">
        <v>296</v>
      </c>
      <c r="T512" s="236" t="s">
        <v>296</v>
      </c>
      <c r="U512" s="236" t="s">
        <v>296</v>
      </c>
      <c r="V512" s="236" t="s">
        <v>296</v>
      </c>
      <c r="W512" s="237" t="s">
        <v>296</v>
      </c>
      <c r="X512" s="237" t="s">
        <v>296</v>
      </c>
      <c r="Y512" s="238" t="s">
        <v>296</v>
      </c>
    </row>
    <row r="513" spans="1:25">
      <c r="A513" s="230">
        <v>9</v>
      </c>
      <c r="B513" s="231" t="str">
        <f>VLOOKUP(Tabel10[[#This Row],[Locatiecode]],Ruimtegroepen[[Code]:[Ruimte omschrijving]],2,FALSE)</f>
        <v>publieksruimte</v>
      </c>
      <c r="C513" s="232" t="s">
        <v>716</v>
      </c>
      <c r="D513" s="231" t="s">
        <v>28</v>
      </c>
      <c r="E513" s="233" t="s">
        <v>1344</v>
      </c>
      <c r="F513" s="232" t="s">
        <v>1450</v>
      </c>
      <c r="G513" s="281" t="s">
        <v>296</v>
      </c>
      <c r="H513" s="234" t="s">
        <v>296</v>
      </c>
      <c r="I513" s="235" t="s">
        <v>17</v>
      </c>
      <c r="J513" s="235" t="s">
        <v>296</v>
      </c>
      <c r="K513" s="235" t="s">
        <v>296</v>
      </c>
      <c r="L513" s="234" t="s">
        <v>296</v>
      </c>
      <c r="M513" s="234" t="s">
        <v>296</v>
      </c>
      <c r="N513" s="235" t="s">
        <v>296</v>
      </c>
      <c r="O513" s="236" t="s">
        <v>17</v>
      </c>
      <c r="P513" s="236" t="s">
        <v>17</v>
      </c>
      <c r="Q513" s="236" t="s">
        <v>15</v>
      </c>
      <c r="R513" s="236" t="s">
        <v>296</v>
      </c>
      <c r="S513" s="236" t="s">
        <v>296</v>
      </c>
      <c r="T513" s="236" t="s">
        <v>296</v>
      </c>
      <c r="U513" s="236" t="s">
        <v>296</v>
      </c>
      <c r="V513" s="236" t="s">
        <v>296</v>
      </c>
      <c r="W513" s="237" t="s">
        <v>296</v>
      </c>
      <c r="X513" s="237" t="s">
        <v>296</v>
      </c>
      <c r="Y513" s="238" t="s">
        <v>296</v>
      </c>
    </row>
    <row r="514" spans="1:25">
      <c r="A514" s="230">
        <v>10</v>
      </c>
      <c r="B514" s="231" t="str">
        <f>VLOOKUP(Tabel10[[#This Row],[Locatiecode]],Ruimtegroepen[[Code]:[Ruimte omschrijving]],2,FALSE)</f>
        <v>Trappenhuizen/lift</v>
      </c>
      <c r="C514" s="232" t="s">
        <v>721</v>
      </c>
      <c r="D514" s="231" t="s">
        <v>29</v>
      </c>
      <c r="E514" s="233" t="s">
        <v>101</v>
      </c>
      <c r="F514" s="232" t="s">
        <v>722</v>
      </c>
      <c r="G514" s="281" t="s">
        <v>296</v>
      </c>
      <c r="H514" s="234" t="s">
        <v>296</v>
      </c>
      <c r="I514" s="234" t="s">
        <v>20</v>
      </c>
      <c r="J514" s="235" t="s">
        <v>15</v>
      </c>
      <c r="K514" s="235" t="s">
        <v>296</v>
      </c>
      <c r="L514" s="234" t="s">
        <v>296</v>
      </c>
      <c r="M514" s="234" t="s">
        <v>296</v>
      </c>
      <c r="N514" s="235" t="s">
        <v>2</v>
      </c>
      <c r="O514" s="236" t="s">
        <v>2</v>
      </c>
      <c r="P514" s="236" t="s">
        <v>2</v>
      </c>
      <c r="Q514" s="236" t="s">
        <v>15</v>
      </c>
      <c r="R514" s="236" t="s">
        <v>15</v>
      </c>
      <c r="S514" s="236" t="s">
        <v>16</v>
      </c>
      <c r="T514" s="236" t="s">
        <v>343</v>
      </c>
      <c r="U514" s="236" t="s">
        <v>262</v>
      </c>
      <c r="V514" s="236" t="s">
        <v>2</v>
      </c>
      <c r="W514" s="237" t="s">
        <v>296</v>
      </c>
      <c r="X514" s="237" t="s">
        <v>296</v>
      </c>
      <c r="Y514" s="238" t="s">
        <v>296</v>
      </c>
    </row>
    <row r="515" spans="1:25">
      <c r="A515" s="230">
        <v>10</v>
      </c>
      <c r="B515" s="231" t="str">
        <f>VLOOKUP(Tabel10[[#This Row],[Locatiecode]],Ruimtegroepen[[Code]:[Ruimte omschrijving]],2,FALSE)</f>
        <v>Trappenhuizen/lift</v>
      </c>
      <c r="C515" s="232" t="s">
        <v>721</v>
      </c>
      <c r="D515" s="231" t="s">
        <v>29</v>
      </c>
      <c r="E515" s="233" t="s">
        <v>100</v>
      </c>
      <c r="F515" s="232" t="s">
        <v>723</v>
      </c>
      <c r="G515" s="281" t="s">
        <v>296</v>
      </c>
      <c r="H515" s="235" t="s">
        <v>2</v>
      </c>
      <c r="I515" s="234" t="s">
        <v>296</v>
      </c>
      <c r="J515" s="235" t="s">
        <v>296</v>
      </c>
      <c r="K515" s="235" t="s">
        <v>296</v>
      </c>
      <c r="L515" s="234" t="s">
        <v>296</v>
      </c>
      <c r="M515" s="234" t="s">
        <v>296</v>
      </c>
      <c r="N515" s="235" t="s">
        <v>2</v>
      </c>
      <c r="O515" s="236" t="s">
        <v>2</v>
      </c>
      <c r="P515" s="236" t="s">
        <v>2</v>
      </c>
      <c r="Q515" s="236" t="s">
        <v>15</v>
      </c>
      <c r="R515" s="236" t="s">
        <v>15</v>
      </c>
      <c r="S515" s="236" t="s">
        <v>16</v>
      </c>
      <c r="T515" s="236" t="s">
        <v>343</v>
      </c>
      <c r="U515" s="236" t="s">
        <v>262</v>
      </c>
      <c r="V515" s="236" t="s">
        <v>2</v>
      </c>
      <c r="W515" s="237" t="s">
        <v>296</v>
      </c>
      <c r="X515" s="237" t="s">
        <v>296</v>
      </c>
      <c r="Y515" s="238" t="s">
        <v>296</v>
      </c>
    </row>
    <row r="516" spans="1:25">
      <c r="A516" s="230">
        <v>10</v>
      </c>
      <c r="B516" s="231" t="str">
        <f>VLOOKUP(Tabel10[[#This Row],[Locatiecode]],Ruimtegroepen[[Code]:[Ruimte omschrijving]],2,FALSE)</f>
        <v>Trappenhuizen/lift</v>
      </c>
      <c r="C516" s="232" t="s">
        <v>721</v>
      </c>
      <c r="D516" s="231" t="s">
        <v>29</v>
      </c>
      <c r="E516" s="233" t="s">
        <v>102</v>
      </c>
      <c r="F516" s="232" t="s">
        <v>724</v>
      </c>
      <c r="G516" s="281" t="s">
        <v>296</v>
      </c>
      <c r="H516" s="234" t="s">
        <v>296</v>
      </c>
      <c r="I516" s="234" t="s">
        <v>20</v>
      </c>
      <c r="J516" s="234" t="s">
        <v>15</v>
      </c>
      <c r="K516" s="234" t="s">
        <v>297</v>
      </c>
      <c r="L516" s="234" t="s">
        <v>296</v>
      </c>
      <c r="M516" s="234" t="s">
        <v>296</v>
      </c>
      <c r="N516" s="235" t="s">
        <v>2</v>
      </c>
      <c r="O516" s="236" t="s">
        <v>2</v>
      </c>
      <c r="P516" s="236" t="s">
        <v>2</v>
      </c>
      <c r="Q516" s="236" t="s">
        <v>15</v>
      </c>
      <c r="R516" s="236" t="s">
        <v>15</v>
      </c>
      <c r="S516" s="236" t="s">
        <v>16</v>
      </c>
      <c r="T516" s="236" t="s">
        <v>343</v>
      </c>
      <c r="U516" s="236" t="s">
        <v>262</v>
      </c>
      <c r="V516" s="236" t="s">
        <v>2</v>
      </c>
      <c r="W516" s="237" t="s">
        <v>296</v>
      </c>
      <c r="X516" s="237" t="s">
        <v>296</v>
      </c>
      <c r="Y516" s="238" t="s">
        <v>296</v>
      </c>
    </row>
    <row r="517" spans="1:25">
      <c r="A517" s="230">
        <v>10</v>
      </c>
      <c r="B517" s="231" t="str">
        <f>VLOOKUP(Tabel10[[#This Row],[Locatiecode]],Ruimtegroepen[[Code]:[Ruimte omschrijving]],2,FALSE)</f>
        <v>Trappenhuizen/lift</v>
      </c>
      <c r="C517" s="232" t="s">
        <v>721</v>
      </c>
      <c r="D517" s="231" t="s">
        <v>29</v>
      </c>
      <c r="E517" s="233" t="s">
        <v>103</v>
      </c>
      <c r="F517" s="232" t="s">
        <v>725</v>
      </c>
      <c r="G517" s="281" t="s">
        <v>296</v>
      </c>
      <c r="H517" s="234" t="s">
        <v>296</v>
      </c>
      <c r="I517" s="234" t="s">
        <v>20</v>
      </c>
      <c r="J517" s="234" t="s">
        <v>15</v>
      </c>
      <c r="K517" s="234" t="s">
        <v>297</v>
      </c>
      <c r="L517" s="234" t="s">
        <v>296</v>
      </c>
      <c r="M517" s="234" t="s">
        <v>296</v>
      </c>
      <c r="N517" s="235" t="s">
        <v>2</v>
      </c>
      <c r="O517" s="236" t="s">
        <v>2</v>
      </c>
      <c r="P517" s="236" t="s">
        <v>2</v>
      </c>
      <c r="Q517" s="236" t="s">
        <v>15</v>
      </c>
      <c r="R517" s="236" t="s">
        <v>15</v>
      </c>
      <c r="S517" s="236" t="s">
        <v>16</v>
      </c>
      <c r="T517" s="236" t="s">
        <v>343</v>
      </c>
      <c r="U517" s="236" t="s">
        <v>262</v>
      </c>
      <c r="V517" s="236" t="s">
        <v>2</v>
      </c>
      <c r="W517" s="237" t="s">
        <v>296</v>
      </c>
      <c r="X517" s="237" t="s">
        <v>296</v>
      </c>
      <c r="Y517" s="238" t="s">
        <v>296</v>
      </c>
    </row>
    <row r="518" spans="1:25">
      <c r="A518" s="230">
        <v>10</v>
      </c>
      <c r="B518" s="231" t="str">
        <f>VLOOKUP(Tabel10[[#This Row],[Locatiecode]],Ruimtegroepen[[Code]:[Ruimte omschrijving]],2,FALSE)</f>
        <v>Trappenhuizen/lift</v>
      </c>
      <c r="C518" s="232" t="s">
        <v>721</v>
      </c>
      <c r="D518" s="231" t="s">
        <v>29</v>
      </c>
      <c r="E518" s="233" t="s">
        <v>100</v>
      </c>
      <c r="F518" s="232" t="s">
        <v>723</v>
      </c>
      <c r="G518" s="281" t="s">
        <v>296</v>
      </c>
      <c r="H518" s="235" t="s">
        <v>2</v>
      </c>
      <c r="I518" s="234" t="s">
        <v>296</v>
      </c>
      <c r="J518" s="235" t="s">
        <v>296</v>
      </c>
      <c r="K518" s="235" t="s">
        <v>296</v>
      </c>
      <c r="L518" s="234" t="s">
        <v>296</v>
      </c>
      <c r="M518" s="234" t="s">
        <v>296</v>
      </c>
      <c r="N518" s="235" t="s">
        <v>2</v>
      </c>
      <c r="O518" s="236" t="s">
        <v>2</v>
      </c>
      <c r="P518" s="236" t="s">
        <v>2</v>
      </c>
      <c r="Q518" s="236" t="s">
        <v>15</v>
      </c>
      <c r="R518" s="236" t="s">
        <v>15</v>
      </c>
      <c r="S518" s="236" t="s">
        <v>16</v>
      </c>
      <c r="T518" s="236" t="s">
        <v>343</v>
      </c>
      <c r="U518" s="236" t="s">
        <v>262</v>
      </c>
      <c r="V518" s="236" t="s">
        <v>2</v>
      </c>
      <c r="W518" s="237" t="s">
        <v>296</v>
      </c>
      <c r="X518" s="237" t="s">
        <v>296</v>
      </c>
      <c r="Y518" s="238" t="s">
        <v>296</v>
      </c>
    </row>
    <row r="519" spans="1:25">
      <c r="A519" s="230">
        <v>10</v>
      </c>
      <c r="B519" s="231" t="str">
        <f>VLOOKUP(Tabel10[[#This Row],[Locatiecode]],Ruimtegroepen[[Code]:[Ruimte omschrijving]],2,FALSE)</f>
        <v>Trappenhuizen/lift</v>
      </c>
      <c r="C519" s="232" t="s">
        <v>721</v>
      </c>
      <c r="D519" s="231" t="s">
        <v>29</v>
      </c>
      <c r="E519" s="233" t="s">
        <v>1344</v>
      </c>
      <c r="F519" s="232" t="s">
        <v>1518</v>
      </c>
      <c r="G519" s="281" t="s">
        <v>296</v>
      </c>
      <c r="H519" s="234" t="s">
        <v>296</v>
      </c>
      <c r="I519" s="234" t="s">
        <v>20</v>
      </c>
      <c r="J519" s="234" t="s">
        <v>15</v>
      </c>
      <c r="K519" s="234" t="s">
        <v>297</v>
      </c>
      <c r="L519" s="234" t="s">
        <v>296</v>
      </c>
      <c r="M519" s="234" t="s">
        <v>296</v>
      </c>
      <c r="N519" s="235" t="s">
        <v>2</v>
      </c>
      <c r="O519" s="236" t="s">
        <v>2</v>
      </c>
      <c r="P519" s="236" t="s">
        <v>2</v>
      </c>
      <c r="Q519" s="236" t="s">
        <v>15</v>
      </c>
      <c r="R519" s="236" t="s">
        <v>15</v>
      </c>
      <c r="S519" s="236" t="s">
        <v>16</v>
      </c>
      <c r="T519" s="236" t="s">
        <v>343</v>
      </c>
      <c r="U519" s="236" t="s">
        <v>262</v>
      </c>
      <c r="V519" s="236" t="s">
        <v>2</v>
      </c>
      <c r="W519" s="237" t="s">
        <v>296</v>
      </c>
      <c r="X519" s="237" t="s">
        <v>296</v>
      </c>
      <c r="Y519" s="238" t="s">
        <v>296</v>
      </c>
    </row>
    <row r="520" spans="1:25">
      <c r="A520" s="230">
        <v>10</v>
      </c>
      <c r="B520" s="231" t="str">
        <f>VLOOKUP(Tabel10[[#This Row],[Locatiecode]],Ruimtegroepen[[Code]:[Ruimte omschrijving]],2,FALSE)</f>
        <v>Trappenhuizen/lift</v>
      </c>
      <c r="C520" s="232" t="s">
        <v>726</v>
      </c>
      <c r="D520" s="231" t="s">
        <v>1</v>
      </c>
      <c r="E520" s="233" t="s">
        <v>101</v>
      </c>
      <c r="F520" s="232" t="s">
        <v>727</v>
      </c>
      <c r="G520" s="281" t="s">
        <v>296</v>
      </c>
      <c r="H520" s="234" t="s">
        <v>296</v>
      </c>
      <c r="I520" s="234" t="s">
        <v>20</v>
      </c>
      <c r="J520" s="235" t="s">
        <v>15</v>
      </c>
      <c r="K520" s="235" t="s">
        <v>296</v>
      </c>
      <c r="L520" s="234" t="s">
        <v>296</v>
      </c>
      <c r="M520" s="234" t="s">
        <v>296</v>
      </c>
      <c r="N520" s="235" t="s">
        <v>296</v>
      </c>
      <c r="O520" s="236" t="s">
        <v>2</v>
      </c>
      <c r="P520" s="236" t="s">
        <v>2</v>
      </c>
      <c r="Q520" s="236" t="s">
        <v>15</v>
      </c>
      <c r="R520" s="236" t="s">
        <v>15</v>
      </c>
      <c r="S520" s="236" t="s">
        <v>16</v>
      </c>
      <c r="T520" s="236" t="s">
        <v>343</v>
      </c>
      <c r="U520" s="236" t="s">
        <v>262</v>
      </c>
      <c r="V520" s="236" t="s">
        <v>296</v>
      </c>
      <c r="W520" s="237" t="s">
        <v>296</v>
      </c>
      <c r="X520" s="237" t="s">
        <v>296</v>
      </c>
      <c r="Y520" s="238" t="s">
        <v>296</v>
      </c>
    </row>
    <row r="521" spans="1:25">
      <c r="A521" s="230">
        <v>10</v>
      </c>
      <c r="B521" s="231" t="str">
        <f>VLOOKUP(Tabel10[[#This Row],[Locatiecode]],Ruimtegroepen[[Code]:[Ruimte omschrijving]],2,FALSE)</f>
        <v>Trappenhuizen/lift</v>
      </c>
      <c r="C521" s="232" t="s">
        <v>726</v>
      </c>
      <c r="D521" s="231" t="s">
        <v>1</v>
      </c>
      <c r="E521" s="233" t="s">
        <v>100</v>
      </c>
      <c r="F521" s="232" t="s">
        <v>728</v>
      </c>
      <c r="G521" s="281" t="s">
        <v>296</v>
      </c>
      <c r="H521" s="235" t="s">
        <v>2</v>
      </c>
      <c r="I521" s="234" t="s">
        <v>296</v>
      </c>
      <c r="J521" s="235" t="s">
        <v>296</v>
      </c>
      <c r="K521" s="235" t="s">
        <v>296</v>
      </c>
      <c r="L521" s="234" t="s">
        <v>296</v>
      </c>
      <c r="M521" s="234" t="s">
        <v>296</v>
      </c>
      <c r="N521" s="235" t="s">
        <v>296</v>
      </c>
      <c r="O521" s="236" t="s">
        <v>2</v>
      </c>
      <c r="P521" s="236" t="s">
        <v>2</v>
      </c>
      <c r="Q521" s="236" t="s">
        <v>15</v>
      </c>
      <c r="R521" s="236" t="s">
        <v>15</v>
      </c>
      <c r="S521" s="236" t="s">
        <v>16</v>
      </c>
      <c r="T521" s="236" t="s">
        <v>343</v>
      </c>
      <c r="U521" s="236" t="s">
        <v>262</v>
      </c>
      <c r="V521" s="236" t="s">
        <v>296</v>
      </c>
      <c r="W521" s="237" t="s">
        <v>296</v>
      </c>
      <c r="X521" s="237" t="s">
        <v>296</v>
      </c>
      <c r="Y521" s="238" t="s">
        <v>296</v>
      </c>
    </row>
    <row r="522" spans="1:25">
      <c r="A522" s="230">
        <v>10</v>
      </c>
      <c r="B522" s="231" t="str">
        <f>VLOOKUP(Tabel10[[#This Row],[Locatiecode]],Ruimtegroepen[[Code]:[Ruimte omschrijving]],2,FALSE)</f>
        <v>Trappenhuizen/lift</v>
      </c>
      <c r="C522" s="232" t="s">
        <v>726</v>
      </c>
      <c r="D522" s="231" t="s">
        <v>1</v>
      </c>
      <c r="E522" s="233" t="s">
        <v>102</v>
      </c>
      <c r="F522" s="232" t="s">
        <v>729</v>
      </c>
      <c r="G522" s="281" t="s">
        <v>296</v>
      </c>
      <c r="H522" s="234" t="s">
        <v>296</v>
      </c>
      <c r="I522" s="234" t="s">
        <v>20</v>
      </c>
      <c r="J522" s="234" t="s">
        <v>15</v>
      </c>
      <c r="K522" s="234" t="s">
        <v>297</v>
      </c>
      <c r="L522" s="234" t="s">
        <v>296</v>
      </c>
      <c r="M522" s="234" t="s">
        <v>296</v>
      </c>
      <c r="N522" s="235" t="s">
        <v>296</v>
      </c>
      <c r="O522" s="236" t="s">
        <v>2</v>
      </c>
      <c r="P522" s="236" t="s">
        <v>2</v>
      </c>
      <c r="Q522" s="236" t="s">
        <v>15</v>
      </c>
      <c r="R522" s="236" t="s">
        <v>15</v>
      </c>
      <c r="S522" s="236" t="s">
        <v>16</v>
      </c>
      <c r="T522" s="236" t="s">
        <v>343</v>
      </c>
      <c r="U522" s="236" t="s">
        <v>262</v>
      </c>
      <c r="V522" s="236" t="s">
        <v>296</v>
      </c>
      <c r="W522" s="237" t="s">
        <v>296</v>
      </c>
      <c r="X522" s="237" t="s">
        <v>296</v>
      </c>
      <c r="Y522" s="238" t="s">
        <v>296</v>
      </c>
    </row>
    <row r="523" spans="1:25">
      <c r="A523" s="230">
        <v>10</v>
      </c>
      <c r="B523" s="231" t="str">
        <f>VLOOKUP(Tabel10[[#This Row],[Locatiecode]],Ruimtegroepen[[Code]:[Ruimte omschrijving]],2,FALSE)</f>
        <v>Trappenhuizen/lift</v>
      </c>
      <c r="C523" s="232" t="s">
        <v>726</v>
      </c>
      <c r="D523" s="231" t="s">
        <v>1</v>
      </c>
      <c r="E523" s="233" t="s">
        <v>103</v>
      </c>
      <c r="F523" s="232" t="s">
        <v>730</v>
      </c>
      <c r="G523" s="281" t="s">
        <v>296</v>
      </c>
      <c r="H523" s="234" t="s">
        <v>296</v>
      </c>
      <c r="I523" s="235" t="s">
        <v>2</v>
      </c>
      <c r="J523" s="235" t="s">
        <v>296</v>
      </c>
      <c r="K523" s="234" t="s">
        <v>297</v>
      </c>
      <c r="L523" s="234" t="s">
        <v>296</v>
      </c>
      <c r="M523" s="234" t="s">
        <v>296</v>
      </c>
      <c r="N523" s="235" t="s">
        <v>296</v>
      </c>
      <c r="O523" s="236" t="s">
        <v>2</v>
      </c>
      <c r="P523" s="236" t="s">
        <v>2</v>
      </c>
      <c r="Q523" s="236" t="s">
        <v>15</v>
      </c>
      <c r="R523" s="236" t="s">
        <v>15</v>
      </c>
      <c r="S523" s="236" t="s">
        <v>16</v>
      </c>
      <c r="T523" s="236" t="s">
        <v>343</v>
      </c>
      <c r="U523" s="236" t="s">
        <v>262</v>
      </c>
      <c r="V523" s="236" t="s">
        <v>296</v>
      </c>
      <c r="W523" s="237" t="s">
        <v>296</v>
      </c>
      <c r="X523" s="237" t="s">
        <v>296</v>
      </c>
      <c r="Y523" s="238" t="s">
        <v>296</v>
      </c>
    </row>
    <row r="524" spans="1:25">
      <c r="A524" s="230">
        <v>10</v>
      </c>
      <c r="B524" s="231" t="str">
        <f>VLOOKUP(Tabel10[[#This Row],[Locatiecode]],Ruimtegroepen[[Code]:[Ruimte omschrijving]],2,FALSE)</f>
        <v>Trappenhuizen/lift</v>
      </c>
      <c r="C524" s="232" t="s">
        <v>726</v>
      </c>
      <c r="D524" s="231" t="s">
        <v>1</v>
      </c>
      <c r="E524" s="233" t="s">
        <v>100</v>
      </c>
      <c r="F524" s="232" t="s">
        <v>728</v>
      </c>
      <c r="G524" s="281" t="s">
        <v>296</v>
      </c>
      <c r="H524" s="235" t="s">
        <v>2</v>
      </c>
      <c r="I524" s="234" t="s">
        <v>296</v>
      </c>
      <c r="J524" s="235" t="s">
        <v>296</v>
      </c>
      <c r="K524" s="235" t="s">
        <v>296</v>
      </c>
      <c r="L524" s="234" t="s">
        <v>296</v>
      </c>
      <c r="M524" s="234" t="s">
        <v>296</v>
      </c>
      <c r="N524" s="235" t="s">
        <v>296</v>
      </c>
      <c r="O524" s="236" t="s">
        <v>2</v>
      </c>
      <c r="P524" s="236" t="s">
        <v>2</v>
      </c>
      <c r="Q524" s="236" t="s">
        <v>15</v>
      </c>
      <c r="R524" s="236" t="s">
        <v>15</v>
      </c>
      <c r="S524" s="236" t="s">
        <v>16</v>
      </c>
      <c r="T524" s="236" t="s">
        <v>343</v>
      </c>
      <c r="U524" s="236" t="s">
        <v>262</v>
      </c>
      <c r="V524" s="236" t="s">
        <v>296</v>
      </c>
      <c r="W524" s="237" t="s">
        <v>296</v>
      </c>
      <c r="X524" s="237" t="s">
        <v>296</v>
      </c>
      <c r="Y524" s="238" t="s">
        <v>296</v>
      </c>
    </row>
    <row r="525" spans="1:25">
      <c r="A525" s="230">
        <v>10</v>
      </c>
      <c r="B525" s="231" t="str">
        <f>VLOOKUP(Tabel10[[#This Row],[Locatiecode]],Ruimtegroepen[[Code]:[Ruimte omschrijving]],2,FALSE)</f>
        <v>Trappenhuizen/lift</v>
      </c>
      <c r="C525" s="232" t="s">
        <v>726</v>
      </c>
      <c r="D525" s="231" t="s">
        <v>1</v>
      </c>
      <c r="E525" s="233" t="s">
        <v>1344</v>
      </c>
      <c r="F525" s="232" t="s">
        <v>1502</v>
      </c>
      <c r="G525" s="281" t="s">
        <v>296</v>
      </c>
      <c r="H525" s="234" t="s">
        <v>296</v>
      </c>
      <c r="I525" s="235" t="s">
        <v>2</v>
      </c>
      <c r="J525" s="235" t="s">
        <v>296</v>
      </c>
      <c r="K525" s="234" t="s">
        <v>297</v>
      </c>
      <c r="L525" s="234" t="s">
        <v>296</v>
      </c>
      <c r="M525" s="234" t="s">
        <v>296</v>
      </c>
      <c r="N525" s="235" t="s">
        <v>296</v>
      </c>
      <c r="O525" s="236" t="s">
        <v>2</v>
      </c>
      <c r="P525" s="236" t="s">
        <v>2</v>
      </c>
      <c r="Q525" s="236" t="s">
        <v>15</v>
      </c>
      <c r="R525" s="236" t="s">
        <v>15</v>
      </c>
      <c r="S525" s="236" t="s">
        <v>16</v>
      </c>
      <c r="T525" s="236" t="s">
        <v>343</v>
      </c>
      <c r="U525" s="236" t="s">
        <v>262</v>
      </c>
      <c r="V525" s="236" t="s">
        <v>296</v>
      </c>
      <c r="W525" s="237" t="s">
        <v>296</v>
      </c>
      <c r="X525" s="237" t="s">
        <v>296</v>
      </c>
      <c r="Y525" s="238" t="s">
        <v>296</v>
      </c>
    </row>
    <row r="526" spans="1:25">
      <c r="A526" s="230">
        <v>10</v>
      </c>
      <c r="B526" s="231" t="str">
        <f>VLOOKUP(Tabel10[[#This Row],[Locatiecode]],Ruimtegroepen[[Code]:[Ruimte omschrijving]],2,FALSE)</f>
        <v>Trappenhuizen/lift</v>
      </c>
      <c r="C526" s="232" t="s">
        <v>731</v>
      </c>
      <c r="D526" s="231" t="s">
        <v>21</v>
      </c>
      <c r="E526" s="233" t="s">
        <v>101</v>
      </c>
      <c r="F526" s="232" t="s">
        <v>732</v>
      </c>
      <c r="G526" s="281" t="s">
        <v>296</v>
      </c>
      <c r="H526" s="234" t="s">
        <v>296</v>
      </c>
      <c r="I526" s="234" t="s">
        <v>18</v>
      </c>
      <c r="J526" s="235" t="s">
        <v>15</v>
      </c>
      <c r="K526" s="235" t="s">
        <v>296</v>
      </c>
      <c r="L526" s="234" t="s">
        <v>296</v>
      </c>
      <c r="M526" s="234" t="s">
        <v>296</v>
      </c>
      <c r="N526" s="235" t="s">
        <v>296</v>
      </c>
      <c r="O526" s="236" t="s">
        <v>20</v>
      </c>
      <c r="P526" s="236" t="s">
        <v>20</v>
      </c>
      <c r="Q526" s="236" t="s">
        <v>15</v>
      </c>
      <c r="R526" s="236" t="s">
        <v>15</v>
      </c>
      <c r="S526" s="236" t="s">
        <v>16</v>
      </c>
      <c r="T526" s="236" t="s">
        <v>343</v>
      </c>
      <c r="U526" s="236" t="s">
        <v>262</v>
      </c>
      <c r="V526" s="236" t="s">
        <v>296</v>
      </c>
      <c r="W526" s="237" t="s">
        <v>296</v>
      </c>
      <c r="X526" s="237" t="s">
        <v>296</v>
      </c>
      <c r="Y526" s="238" t="s">
        <v>296</v>
      </c>
    </row>
    <row r="527" spans="1:25">
      <c r="A527" s="230">
        <v>10</v>
      </c>
      <c r="B527" s="231" t="str">
        <f>VLOOKUP(Tabel10[[#This Row],[Locatiecode]],Ruimtegroepen[[Code]:[Ruimte omschrijving]],2,FALSE)</f>
        <v>Trappenhuizen/lift</v>
      </c>
      <c r="C527" s="232" t="s">
        <v>731</v>
      </c>
      <c r="D527" s="231" t="s">
        <v>21</v>
      </c>
      <c r="E527" s="233" t="s">
        <v>100</v>
      </c>
      <c r="F527" s="232" t="s">
        <v>733</v>
      </c>
      <c r="G527" s="281" t="s">
        <v>296</v>
      </c>
      <c r="H527" s="235" t="s">
        <v>20</v>
      </c>
      <c r="I527" s="234" t="s">
        <v>296</v>
      </c>
      <c r="J527" s="235" t="s">
        <v>296</v>
      </c>
      <c r="K527" s="235" t="s">
        <v>296</v>
      </c>
      <c r="L527" s="234" t="s">
        <v>296</v>
      </c>
      <c r="M527" s="234" t="s">
        <v>296</v>
      </c>
      <c r="N527" s="235" t="s">
        <v>296</v>
      </c>
      <c r="O527" s="236" t="s">
        <v>20</v>
      </c>
      <c r="P527" s="236" t="s">
        <v>20</v>
      </c>
      <c r="Q527" s="236" t="s">
        <v>15</v>
      </c>
      <c r="R527" s="236" t="s">
        <v>15</v>
      </c>
      <c r="S527" s="236" t="s">
        <v>16</v>
      </c>
      <c r="T527" s="236" t="s">
        <v>343</v>
      </c>
      <c r="U527" s="236" t="s">
        <v>262</v>
      </c>
      <c r="V527" s="236" t="s">
        <v>296</v>
      </c>
      <c r="W527" s="237" t="s">
        <v>296</v>
      </c>
      <c r="X527" s="237" t="s">
        <v>296</v>
      </c>
      <c r="Y527" s="238" t="s">
        <v>296</v>
      </c>
    </row>
    <row r="528" spans="1:25">
      <c r="A528" s="230">
        <v>10</v>
      </c>
      <c r="B528" s="231" t="str">
        <f>VLOOKUP(Tabel10[[#This Row],[Locatiecode]],Ruimtegroepen[[Code]:[Ruimte omschrijving]],2,FALSE)</f>
        <v>Trappenhuizen/lift</v>
      </c>
      <c r="C528" s="232" t="s">
        <v>731</v>
      </c>
      <c r="D528" s="231" t="s">
        <v>21</v>
      </c>
      <c r="E528" s="233" t="s">
        <v>102</v>
      </c>
      <c r="F528" s="232" t="s">
        <v>734</v>
      </c>
      <c r="G528" s="281" t="s">
        <v>296</v>
      </c>
      <c r="H528" s="234" t="s">
        <v>296</v>
      </c>
      <c r="I528" s="234" t="s">
        <v>18</v>
      </c>
      <c r="J528" s="234" t="s">
        <v>15</v>
      </c>
      <c r="K528" s="234" t="s">
        <v>297</v>
      </c>
      <c r="L528" s="234" t="s">
        <v>296</v>
      </c>
      <c r="M528" s="234" t="s">
        <v>296</v>
      </c>
      <c r="N528" s="235" t="s">
        <v>296</v>
      </c>
      <c r="O528" s="236" t="s">
        <v>20</v>
      </c>
      <c r="P528" s="236" t="s">
        <v>20</v>
      </c>
      <c r="Q528" s="236" t="s">
        <v>15</v>
      </c>
      <c r="R528" s="236" t="s">
        <v>15</v>
      </c>
      <c r="S528" s="236" t="s">
        <v>16</v>
      </c>
      <c r="T528" s="236" t="s">
        <v>343</v>
      </c>
      <c r="U528" s="236" t="s">
        <v>262</v>
      </c>
      <c r="V528" s="236" t="s">
        <v>296</v>
      </c>
      <c r="W528" s="237" t="s">
        <v>296</v>
      </c>
      <c r="X528" s="237" t="s">
        <v>296</v>
      </c>
      <c r="Y528" s="238" t="s">
        <v>296</v>
      </c>
    </row>
    <row r="529" spans="1:25">
      <c r="A529" s="230">
        <v>10</v>
      </c>
      <c r="B529" s="231" t="str">
        <f>VLOOKUP(Tabel10[[#This Row],[Locatiecode]],Ruimtegroepen[[Code]:[Ruimte omschrijving]],2,FALSE)</f>
        <v>Trappenhuizen/lift</v>
      </c>
      <c r="C529" s="232" t="s">
        <v>731</v>
      </c>
      <c r="D529" s="231" t="s">
        <v>21</v>
      </c>
      <c r="E529" s="233" t="s">
        <v>103</v>
      </c>
      <c r="F529" s="232" t="s">
        <v>735</v>
      </c>
      <c r="G529" s="281" t="s">
        <v>296</v>
      </c>
      <c r="H529" s="234" t="s">
        <v>296</v>
      </c>
      <c r="I529" s="234" t="s">
        <v>18</v>
      </c>
      <c r="J529" s="234" t="s">
        <v>15</v>
      </c>
      <c r="K529" s="234" t="s">
        <v>297</v>
      </c>
      <c r="L529" s="234" t="s">
        <v>296</v>
      </c>
      <c r="M529" s="234" t="s">
        <v>296</v>
      </c>
      <c r="N529" s="235" t="s">
        <v>296</v>
      </c>
      <c r="O529" s="236" t="s">
        <v>20</v>
      </c>
      <c r="P529" s="236" t="s">
        <v>20</v>
      </c>
      <c r="Q529" s="236" t="s">
        <v>15</v>
      </c>
      <c r="R529" s="236" t="s">
        <v>15</v>
      </c>
      <c r="S529" s="236" t="s">
        <v>16</v>
      </c>
      <c r="T529" s="236" t="s">
        <v>343</v>
      </c>
      <c r="U529" s="236" t="s">
        <v>262</v>
      </c>
      <c r="V529" s="236" t="s">
        <v>296</v>
      </c>
      <c r="W529" s="237" t="s">
        <v>296</v>
      </c>
      <c r="X529" s="237" t="s">
        <v>296</v>
      </c>
      <c r="Y529" s="238" t="s">
        <v>296</v>
      </c>
    </row>
    <row r="530" spans="1:25">
      <c r="A530" s="230">
        <v>10</v>
      </c>
      <c r="B530" s="231" t="str">
        <f>VLOOKUP(Tabel10[[#This Row],[Locatiecode]],Ruimtegroepen[[Code]:[Ruimte omschrijving]],2,FALSE)</f>
        <v>Trappenhuizen/lift</v>
      </c>
      <c r="C530" s="232" t="s">
        <v>731</v>
      </c>
      <c r="D530" s="231" t="s">
        <v>21</v>
      </c>
      <c r="E530" s="233" t="s">
        <v>100</v>
      </c>
      <c r="F530" s="232" t="s">
        <v>733</v>
      </c>
      <c r="G530" s="281" t="s">
        <v>296</v>
      </c>
      <c r="H530" s="235" t="s">
        <v>20</v>
      </c>
      <c r="I530" s="234" t="s">
        <v>296</v>
      </c>
      <c r="J530" s="235" t="s">
        <v>296</v>
      </c>
      <c r="K530" s="235" t="s">
        <v>296</v>
      </c>
      <c r="L530" s="234" t="s">
        <v>296</v>
      </c>
      <c r="M530" s="234" t="s">
        <v>296</v>
      </c>
      <c r="N530" s="235" t="s">
        <v>296</v>
      </c>
      <c r="O530" s="236" t="s">
        <v>20</v>
      </c>
      <c r="P530" s="236" t="s">
        <v>20</v>
      </c>
      <c r="Q530" s="236" t="s">
        <v>15</v>
      </c>
      <c r="R530" s="236" t="s">
        <v>15</v>
      </c>
      <c r="S530" s="236" t="s">
        <v>16</v>
      </c>
      <c r="T530" s="236" t="s">
        <v>343</v>
      </c>
      <c r="U530" s="236" t="s">
        <v>262</v>
      </c>
      <c r="V530" s="236" t="s">
        <v>296</v>
      </c>
      <c r="W530" s="237" t="s">
        <v>296</v>
      </c>
      <c r="X530" s="237" t="s">
        <v>296</v>
      </c>
      <c r="Y530" s="238" t="s">
        <v>296</v>
      </c>
    </row>
    <row r="531" spans="1:25">
      <c r="A531" s="230">
        <v>10</v>
      </c>
      <c r="B531" s="231" t="str">
        <f>VLOOKUP(Tabel10[[#This Row],[Locatiecode]],Ruimtegroepen[[Code]:[Ruimte omschrijving]],2,FALSE)</f>
        <v>Trappenhuizen/lift</v>
      </c>
      <c r="C531" s="232" t="s">
        <v>731</v>
      </c>
      <c r="D531" s="231" t="s">
        <v>21</v>
      </c>
      <c r="E531" s="233" t="s">
        <v>1344</v>
      </c>
      <c r="F531" s="232" t="s">
        <v>1485</v>
      </c>
      <c r="G531" s="281" t="s">
        <v>296</v>
      </c>
      <c r="H531" s="234" t="s">
        <v>296</v>
      </c>
      <c r="I531" s="234" t="s">
        <v>18</v>
      </c>
      <c r="J531" s="234" t="s">
        <v>15</v>
      </c>
      <c r="K531" s="234" t="s">
        <v>297</v>
      </c>
      <c r="L531" s="234" t="s">
        <v>296</v>
      </c>
      <c r="M531" s="234" t="s">
        <v>296</v>
      </c>
      <c r="N531" s="235" t="s">
        <v>296</v>
      </c>
      <c r="O531" s="236" t="s">
        <v>20</v>
      </c>
      <c r="P531" s="236" t="s">
        <v>20</v>
      </c>
      <c r="Q531" s="236" t="s">
        <v>15</v>
      </c>
      <c r="R531" s="236" t="s">
        <v>15</v>
      </c>
      <c r="S531" s="236" t="s">
        <v>16</v>
      </c>
      <c r="T531" s="236" t="s">
        <v>343</v>
      </c>
      <c r="U531" s="236" t="s">
        <v>262</v>
      </c>
      <c r="V531" s="236" t="s">
        <v>296</v>
      </c>
      <c r="W531" s="237" t="s">
        <v>296</v>
      </c>
      <c r="X531" s="237" t="s">
        <v>296</v>
      </c>
      <c r="Y531" s="238" t="s">
        <v>296</v>
      </c>
    </row>
    <row r="532" spans="1:25">
      <c r="A532" s="230">
        <v>10</v>
      </c>
      <c r="B532" s="231" t="str">
        <f>VLOOKUP(Tabel10[[#This Row],[Locatiecode]],Ruimtegroepen[[Code]:[Ruimte omschrijving]],2,FALSE)</f>
        <v>Trappenhuizen/lift</v>
      </c>
      <c r="C532" s="232" t="s">
        <v>736</v>
      </c>
      <c r="D532" s="231" t="s">
        <v>12</v>
      </c>
      <c r="E532" s="233" t="s">
        <v>101</v>
      </c>
      <c r="F532" s="232" t="s">
        <v>737</v>
      </c>
      <c r="G532" s="281" t="s">
        <v>296</v>
      </c>
      <c r="H532" s="234" t="s">
        <v>296</v>
      </c>
      <c r="I532" s="234" t="s">
        <v>17</v>
      </c>
      <c r="J532" s="235" t="s">
        <v>15</v>
      </c>
      <c r="K532" s="235" t="s">
        <v>296</v>
      </c>
      <c r="L532" s="234" t="s">
        <v>296</v>
      </c>
      <c r="M532" s="234" t="s">
        <v>296</v>
      </c>
      <c r="N532" s="235" t="s">
        <v>296</v>
      </c>
      <c r="O532" s="236" t="s">
        <v>18</v>
      </c>
      <c r="P532" s="236" t="s">
        <v>18</v>
      </c>
      <c r="Q532" s="236" t="s">
        <v>15</v>
      </c>
      <c r="R532" s="236" t="s">
        <v>15</v>
      </c>
      <c r="S532" s="236" t="s">
        <v>16</v>
      </c>
      <c r="T532" s="236" t="s">
        <v>343</v>
      </c>
      <c r="U532" s="236" t="s">
        <v>262</v>
      </c>
      <c r="V532" s="236" t="s">
        <v>296</v>
      </c>
      <c r="W532" s="237" t="s">
        <v>296</v>
      </c>
      <c r="X532" s="237" t="s">
        <v>296</v>
      </c>
      <c r="Y532" s="238" t="s">
        <v>296</v>
      </c>
    </row>
    <row r="533" spans="1:25">
      <c r="A533" s="230">
        <v>10</v>
      </c>
      <c r="B533" s="231" t="str">
        <f>VLOOKUP(Tabel10[[#This Row],[Locatiecode]],Ruimtegroepen[[Code]:[Ruimte omschrijving]],2,FALSE)</f>
        <v>Trappenhuizen/lift</v>
      </c>
      <c r="C533" s="232" t="s">
        <v>736</v>
      </c>
      <c r="D533" s="231" t="s">
        <v>12</v>
      </c>
      <c r="E533" s="233" t="s">
        <v>100</v>
      </c>
      <c r="F533" s="232" t="s">
        <v>738</v>
      </c>
      <c r="G533" s="281" t="s">
        <v>296</v>
      </c>
      <c r="H533" s="235" t="s">
        <v>18</v>
      </c>
      <c r="I533" s="234" t="s">
        <v>296</v>
      </c>
      <c r="J533" s="235" t="s">
        <v>296</v>
      </c>
      <c r="K533" s="235" t="s">
        <v>296</v>
      </c>
      <c r="L533" s="234" t="s">
        <v>296</v>
      </c>
      <c r="M533" s="234" t="s">
        <v>296</v>
      </c>
      <c r="N533" s="235" t="s">
        <v>296</v>
      </c>
      <c r="O533" s="236" t="s">
        <v>18</v>
      </c>
      <c r="P533" s="236" t="s">
        <v>18</v>
      </c>
      <c r="Q533" s="236" t="s">
        <v>15</v>
      </c>
      <c r="R533" s="236" t="s">
        <v>15</v>
      </c>
      <c r="S533" s="236" t="s">
        <v>16</v>
      </c>
      <c r="T533" s="236" t="s">
        <v>343</v>
      </c>
      <c r="U533" s="236" t="s">
        <v>262</v>
      </c>
      <c r="V533" s="236" t="s">
        <v>296</v>
      </c>
      <c r="W533" s="237" t="s">
        <v>296</v>
      </c>
      <c r="X533" s="237" t="s">
        <v>296</v>
      </c>
      <c r="Y533" s="238" t="s">
        <v>296</v>
      </c>
    </row>
    <row r="534" spans="1:25">
      <c r="A534" s="230">
        <v>10</v>
      </c>
      <c r="B534" s="231" t="str">
        <f>VLOOKUP(Tabel10[[#This Row],[Locatiecode]],Ruimtegroepen[[Code]:[Ruimte omschrijving]],2,FALSE)</f>
        <v>Trappenhuizen/lift</v>
      </c>
      <c r="C534" s="232" t="s">
        <v>736</v>
      </c>
      <c r="D534" s="231" t="s">
        <v>12</v>
      </c>
      <c r="E534" s="233" t="s">
        <v>102</v>
      </c>
      <c r="F534" s="232" t="s">
        <v>739</v>
      </c>
      <c r="G534" s="281" t="s">
        <v>296</v>
      </c>
      <c r="H534" s="234" t="s">
        <v>296</v>
      </c>
      <c r="I534" s="234" t="s">
        <v>17</v>
      </c>
      <c r="J534" s="234" t="s">
        <v>15</v>
      </c>
      <c r="K534" s="234" t="s">
        <v>297</v>
      </c>
      <c r="L534" s="234" t="s">
        <v>296</v>
      </c>
      <c r="M534" s="234" t="s">
        <v>296</v>
      </c>
      <c r="N534" s="235" t="s">
        <v>296</v>
      </c>
      <c r="O534" s="236" t="s">
        <v>18</v>
      </c>
      <c r="P534" s="236" t="s">
        <v>18</v>
      </c>
      <c r="Q534" s="236" t="s">
        <v>15</v>
      </c>
      <c r="R534" s="236" t="s">
        <v>15</v>
      </c>
      <c r="S534" s="236" t="s">
        <v>16</v>
      </c>
      <c r="T534" s="236" t="s">
        <v>343</v>
      </c>
      <c r="U534" s="236" t="s">
        <v>262</v>
      </c>
      <c r="V534" s="236" t="s">
        <v>296</v>
      </c>
      <c r="W534" s="237" t="s">
        <v>296</v>
      </c>
      <c r="X534" s="237" t="s">
        <v>296</v>
      </c>
      <c r="Y534" s="238" t="s">
        <v>296</v>
      </c>
    </row>
    <row r="535" spans="1:25">
      <c r="A535" s="230">
        <v>10</v>
      </c>
      <c r="B535" s="231" t="str">
        <f>VLOOKUP(Tabel10[[#This Row],[Locatiecode]],Ruimtegroepen[[Code]:[Ruimte omschrijving]],2,FALSE)</f>
        <v>Trappenhuizen/lift</v>
      </c>
      <c r="C535" s="232" t="s">
        <v>736</v>
      </c>
      <c r="D535" s="231" t="s">
        <v>12</v>
      </c>
      <c r="E535" s="233" t="s">
        <v>103</v>
      </c>
      <c r="F535" s="232" t="s">
        <v>740</v>
      </c>
      <c r="G535" s="281" t="s">
        <v>296</v>
      </c>
      <c r="H535" s="234" t="s">
        <v>296</v>
      </c>
      <c r="I535" s="234" t="s">
        <v>17</v>
      </c>
      <c r="J535" s="234" t="s">
        <v>15</v>
      </c>
      <c r="K535" s="234" t="s">
        <v>297</v>
      </c>
      <c r="L535" s="234" t="s">
        <v>296</v>
      </c>
      <c r="M535" s="234" t="s">
        <v>296</v>
      </c>
      <c r="N535" s="235" t="s">
        <v>296</v>
      </c>
      <c r="O535" s="236" t="s">
        <v>18</v>
      </c>
      <c r="P535" s="236" t="s">
        <v>18</v>
      </c>
      <c r="Q535" s="236" t="s">
        <v>15</v>
      </c>
      <c r="R535" s="236" t="s">
        <v>15</v>
      </c>
      <c r="S535" s="236" t="s">
        <v>16</v>
      </c>
      <c r="T535" s="236" t="s">
        <v>343</v>
      </c>
      <c r="U535" s="236" t="s">
        <v>262</v>
      </c>
      <c r="V535" s="236" t="s">
        <v>296</v>
      </c>
      <c r="W535" s="237" t="s">
        <v>296</v>
      </c>
      <c r="X535" s="237" t="s">
        <v>296</v>
      </c>
      <c r="Y535" s="238" t="s">
        <v>296</v>
      </c>
    </row>
    <row r="536" spans="1:25">
      <c r="A536" s="230">
        <v>10</v>
      </c>
      <c r="B536" s="231" t="str">
        <f>VLOOKUP(Tabel10[[#This Row],[Locatiecode]],Ruimtegroepen[[Code]:[Ruimte omschrijving]],2,FALSE)</f>
        <v>Trappenhuizen/lift</v>
      </c>
      <c r="C536" s="232" t="s">
        <v>736</v>
      </c>
      <c r="D536" s="231" t="s">
        <v>12</v>
      </c>
      <c r="E536" s="233" t="s">
        <v>100</v>
      </c>
      <c r="F536" s="232" t="s">
        <v>738</v>
      </c>
      <c r="G536" s="281" t="s">
        <v>296</v>
      </c>
      <c r="H536" s="235" t="s">
        <v>18</v>
      </c>
      <c r="I536" s="234" t="s">
        <v>296</v>
      </c>
      <c r="J536" s="235" t="s">
        <v>296</v>
      </c>
      <c r="K536" s="235" t="s">
        <v>296</v>
      </c>
      <c r="L536" s="234" t="s">
        <v>296</v>
      </c>
      <c r="M536" s="234" t="s">
        <v>296</v>
      </c>
      <c r="N536" s="235" t="s">
        <v>296</v>
      </c>
      <c r="O536" s="236" t="s">
        <v>18</v>
      </c>
      <c r="P536" s="236" t="s">
        <v>18</v>
      </c>
      <c r="Q536" s="236" t="s">
        <v>15</v>
      </c>
      <c r="R536" s="236" t="s">
        <v>15</v>
      </c>
      <c r="S536" s="236" t="s">
        <v>16</v>
      </c>
      <c r="T536" s="236" t="s">
        <v>343</v>
      </c>
      <c r="U536" s="236" t="s">
        <v>262</v>
      </c>
      <c r="V536" s="236" t="s">
        <v>296</v>
      </c>
      <c r="W536" s="237" t="s">
        <v>296</v>
      </c>
      <c r="X536" s="237" t="s">
        <v>296</v>
      </c>
      <c r="Y536" s="238" t="s">
        <v>296</v>
      </c>
    </row>
    <row r="537" spans="1:25">
      <c r="A537" s="230">
        <v>10</v>
      </c>
      <c r="B537" s="231" t="str">
        <f>VLOOKUP(Tabel10[[#This Row],[Locatiecode]],Ruimtegroepen[[Code]:[Ruimte omschrijving]],2,FALSE)</f>
        <v>Trappenhuizen/lift</v>
      </c>
      <c r="C537" s="232" t="s">
        <v>736</v>
      </c>
      <c r="D537" s="231" t="s">
        <v>12</v>
      </c>
      <c r="E537" s="233" t="s">
        <v>1344</v>
      </c>
      <c r="F537" s="232" t="s">
        <v>1467</v>
      </c>
      <c r="G537" s="281" t="s">
        <v>296</v>
      </c>
      <c r="H537" s="234" t="s">
        <v>296</v>
      </c>
      <c r="I537" s="234" t="s">
        <v>17</v>
      </c>
      <c r="J537" s="234" t="s">
        <v>15</v>
      </c>
      <c r="K537" s="234" t="s">
        <v>297</v>
      </c>
      <c r="L537" s="234" t="s">
        <v>296</v>
      </c>
      <c r="M537" s="234" t="s">
        <v>296</v>
      </c>
      <c r="N537" s="235" t="s">
        <v>296</v>
      </c>
      <c r="O537" s="236" t="s">
        <v>18</v>
      </c>
      <c r="P537" s="236" t="s">
        <v>18</v>
      </c>
      <c r="Q537" s="236" t="s">
        <v>15</v>
      </c>
      <c r="R537" s="236" t="s">
        <v>15</v>
      </c>
      <c r="S537" s="236" t="s">
        <v>16</v>
      </c>
      <c r="T537" s="236" t="s">
        <v>343</v>
      </c>
      <c r="U537" s="236" t="s">
        <v>262</v>
      </c>
      <c r="V537" s="236" t="s">
        <v>296</v>
      </c>
      <c r="W537" s="237" t="s">
        <v>296</v>
      </c>
      <c r="X537" s="237" t="s">
        <v>296</v>
      </c>
      <c r="Y537" s="238" t="s">
        <v>296</v>
      </c>
    </row>
    <row r="538" spans="1:25">
      <c r="A538" s="230">
        <v>10</v>
      </c>
      <c r="B538" s="231" t="str">
        <f>VLOOKUP(Tabel10[[#This Row],[Locatiecode]],Ruimtegroepen[[Code]:[Ruimte omschrijving]],2,FALSE)</f>
        <v>Trappenhuizen/lift</v>
      </c>
      <c r="C538" s="232" t="s">
        <v>741</v>
      </c>
      <c r="D538" s="231" t="s">
        <v>14</v>
      </c>
      <c r="E538" s="233" t="s">
        <v>101</v>
      </c>
      <c r="F538" s="232" t="s">
        <v>742</v>
      </c>
      <c r="G538" s="281" t="s">
        <v>296</v>
      </c>
      <c r="H538" s="234" t="s">
        <v>296</v>
      </c>
      <c r="I538" s="234" t="s">
        <v>15</v>
      </c>
      <c r="J538" s="235" t="s">
        <v>15</v>
      </c>
      <c r="K538" s="235" t="s">
        <v>296</v>
      </c>
      <c r="L538" s="234" t="s">
        <v>296</v>
      </c>
      <c r="M538" s="234" t="s">
        <v>296</v>
      </c>
      <c r="N538" s="235" t="s">
        <v>296</v>
      </c>
      <c r="O538" s="236" t="s">
        <v>17</v>
      </c>
      <c r="P538" s="236" t="s">
        <v>17</v>
      </c>
      <c r="Q538" s="236" t="s">
        <v>15</v>
      </c>
      <c r="R538" s="236" t="s">
        <v>15</v>
      </c>
      <c r="S538" s="236" t="s">
        <v>16</v>
      </c>
      <c r="T538" s="236" t="s">
        <v>343</v>
      </c>
      <c r="U538" s="236" t="s">
        <v>262</v>
      </c>
      <c r="V538" s="236" t="s">
        <v>296</v>
      </c>
      <c r="W538" s="237" t="s">
        <v>296</v>
      </c>
      <c r="X538" s="237" t="s">
        <v>296</v>
      </c>
      <c r="Y538" s="238" t="s">
        <v>296</v>
      </c>
    </row>
    <row r="539" spans="1:25">
      <c r="A539" s="230">
        <v>10</v>
      </c>
      <c r="B539" s="231" t="str">
        <f>VLOOKUP(Tabel10[[#This Row],[Locatiecode]],Ruimtegroepen[[Code]:[Ruimte omschrijving]],2,FALSE)</f>
        <v>Trappenhuizen/lift</v>
      </c>
      <c r="C539" s="232" t="s">
        <v>741</v>
      </c>
      <c r="D539" s="231" t="s">
        <v>14</v>
      </c>
      <c r="E539" s="233" t="s">
        <v>100</v>
      </c>
      <c r="F539" s="232" t="s">
        <v>743</v>
      </c>
      <c r="G539" s="281" t="s">
        <v>296</v>
      </c>
      <c r="H539" s="235" t="s">
        <v>17</v>
      </c>
      <c r="I539" s="234" t="s">
        <v>296</v>
      </c>
      <c r="J539" s="235" t="s">
        <v>296</v>
      </c>
      <c r="K539" s="235" t="s">
        <v>296</v>
      </c>
      <c r="L539" s="234" t="s">
        <v>296</v>
      </c>
      <c r="M539" s="234" t="s">
        <v>296</v>
      </c>
      <c r="N539" s="235" t="s">
        <v>296</v>
      </c>
      <c r="O539" s="236" t="s">
        <v>17</v>
      </c>
      <c r="P539" s="236" t="s">
        <v>17</v>
      </c>
      <c r="Q539" s="236" t="s">
        <v>15</v>
      </c>
      <c r="R539" s="236" t="s">
        <v>15</v>
      </c>
      <c r="S539" s="236" t="s">
        <v>16</v>
      </c>
      <c r="T539" s="236" t="s">
        <v>343</v>
      </c>
      <c r="U539" s="236" t="s">
        <v>262</v>
      </c>
      <c r="V539" s="236" t="s">
        <v>296</v>
      </c>
      <c r="W539" s="237" t="s">
        <v>296</v>
      </c>
      <c r="X539" s="237" t="s">
        <v>296</v>
      </c>
      <c r="Y539" s="238" t="s">
        <v>296</v>
      </c>
    </row>
    <row r="540" spans="1:25">
      <c r="A540" s="230">
        <v>10</v>
      </c>
      <c r="B540" s="231" t="str">
        <f>VLOOKUP(Tabel10[[#This Row],[Locatiecode]],Ruimtegroepen[[Code]:[Ruimte omschrijving]],2,FALSE)</f>
        <v>Trappenhuizen/lift</v>
      </c>
      <c r="C540" s="232" t="s">
        <v>741</v>
      </c>
      <c r="D540" s="231" t="s">
        <v>14</v>
      </c>
      <c r="E540" s="233" t="s">
        <v>102</v>
      </c>
      <c r="F540" s="232" t="s">
        <v>744</v>
      </c>
      <c r="G540" s="281" t="s">
        <v>296</v>
      </c>
      <c r="H540" s="234" t="s">
        <v>296</v>
      </c>
      <c r="I540" s="234" t="s">
        <v>15</v>
      </c>
      <c r="J540" s="234" t="s">
        <v>15</v>
      </c>
      <c r="K540" s="234" t="s">
        <v>297</v>
      </c>
      <c r="L540" s="234" t="s">
        <v>296</v>
      </c>
      <c r="M540" s="234" t="s">
        <v>296</v>
      </c>
      <c r="N540" s="235" t="s">
        <v>296</v>
      </c>
      <c r="O540" s="236" t="s">
        <v>17</v>
      </c>
      <c r="P540" s="236" t="s">
        <v>17</v>
      </c>
      <c r="Q540" s="236" t="s">
        <v>15</v>
      </c>
      <c r="R540" s="236" t="s">
        <v>15</v>
      </c>
      <c r="S540" s="236" t="s">
        <v>16</v>
      </c>
      <c r="T540" s="236" t="s">
        <v>343</v>
      </c>
      <c r="U540" s="236" t="s">
        <v>262</v>
      </c>
      <c r="V540" s="236" t="s">
        <v>296</v>
      </c>
      <c r="W540" s="237" t="s">
        <v>296</v>
      </c>
      <c r="X540" s="237" t="s">
        <v>296</v>
      </c>
      <c r="Y540" s="238" t="s">
        <v>296</v>
      </c>
    </row>
    <row r="541" spans="1:25">
      <c r="A541" s="230">
        <v>10</v>
      </c>
      <c r="B541" s="231" t="str">
        <f>VLOOKUP(Tabel10[[#This Row],[Locatiecode]],Ruimtegroepen[[Code]:[Ruimte omschrijving]],2,FALSE)</f>
        <v>Trappenhuizen/lift</v>
      </c>
      <c r="C541" s="232" t="s">
        <v>741</v>
      </c>
      <c r="D541" s="231" t="s">
        <v>14</v>
      </c>
      <c r="E541" s="233" t="s">
        <v>103</v>
      </c>
      <c r="F541" s="232" t="s">
        <v>745</v>
      </c>
      <c r="G541" s="281" t="s">
        <v>296</v>
      </c>
      <c r="H541" s="234" t="s">
        <v>296</v>
      </c>
      <c r="I541" s="234" t="s">
        <v>15</v>
      </c>
      <c r="J541" s="234" t="s">
        <v>15</v>
      </c>
      <c r="K541" s="234" t="s">
        <v>297</v>
      </c>
      <c r="L541" s="234" t="s">
        <v>296</v>
      </c>
      <c r="M541" s="234" t="s">
        <v>296</v>
      </c>
      <c r="N541" s="235" t="s">
        <v>296</v>
      </c>
      <c r="O541" s="236" t="s">
        <v>17</v>
      </c>
      <c r="P541" s="236" t="s">
        <v>17</v>
      </c>
      <c r="Q541" s="236" t="s">
        <v>15</v>
      </c>
      <c r="R541" s="236" t="s">
        <v>15</v>
      </c>
      <c r="S541" s="236" t="s">
        <v>16</v>
      </c>
      <c r="T541" s="236" t="s">
        <v>343</v>
      </c>
      <c r="U541" s="236" t="s">
        <v>262</v>
      </c>
      <c r="V541" s="236" t="s">
        <v>296</v>
      </c>
      <c r="W541" s="237" t="s">
        <v>296</v>
      </c>
      <c r="X541" s="237" t="s">
        <v>296</v>
      </c>
      <c r="Y541" s="238" t="s">
        <v>296</v>
      </c>
    </row>
    <row r="542" spans="1:25">
      <c r="A542" s="230">
        <v>10</v>
      </c>
      <c r="B542" s="231" t="str">
        <f>VLOOKUP(Tabel10[[#This Row],[Locatiecode]],Ruimtegroepen[[Code]:[Ruimte omschrijving]],2,FALSE)</f>
        <v>Trappenhuizen/lift</v>
      </c>
      <c r="C542" s="232" t="s">
        <v>741</v>
      </c>
      <c r="D542" s="231" t="s">
        <v>14</v>
      </c>
      <c r="E542" s="233" t="s">
        <v>100</v>
      </c>
      <c r="F542" s="232" t="s">
        <v>743</v>
      </c>
      <c r="G542" s="281" t="s">
        <v>296</v>
      </c>
      <c r="H542" s="235" t="s">
        <v>17</v>
      </c>
      <c r="I542" s="234" t="s">
        <v>296</v>
      </c>
      <c r="J542" s="235" t="s">
        <v>296</v>
      </c>
      <c r="K542" s="235" t="s">
        <v>296</v>
      </c>
      <c r="L542" s="234" t="s">
        <v>296</v>
      </c>
      <c r="M542" s="234" t="s">
        <v>296</v>
      </c>
      <c r="N542" s="235" t="s">
        <v>296</v>
      </c>
      <c r="O542" s="236" t="s">
        <v>17</v>
      </c>
      <c r="P542" s="236" t="s">
        <v>17</v>
      </c>
      <c r="Q542" s="236" t="s">
        <v>15</v>
      </c>
      <c r="R542" s="236" t="s">
        <v>15</v>
      </c>
      <c r="S542" s="236" t="s">
        <v>16</v>
      </c>
      <c r="T542" s="236" t="s">
        <v>343</v>
      </c>
      <c r="U542" s="236" t="s">
        <v>262</v>
      </c>
      <c r="V542" s="236" t="s">
        <v>296</v>
      </c>
      <c r="W542" s="237" t="s">
        <v>296</v>
      </c>
      <c r="X542" s="237" t="s">
        <v>296</v>
      </c>
      <c r="Y542" s="238" t="s">
        <v>296</v>
      </c>
    </row>
    <row r="543" spans="1:25">
      <c r="A543" s="230">
        <v>10</v>
      </c>
      <c r="B543" s="231" t="str">
        <f>VLOOKUP(Tabel10[[#This Row],[Locatiecode]],Ruimtegroepen[[Code]:[Ruimte omschrijving]],2,FALSE)</f>
        <v>Trappenhuizen/lift</v>
      </c>
      <c r="C543" s="232" t="s">
        <v>741</v>
      </c>
      <c r="D543" s="231" t="s">
        <v>14</v>
      </c>
      <c r="E543" s="233" t="s">
        <v>1344</v>
      </c>
      <c r="F543" s="232" t="s">
        <v>1434</v>
      </c>
      <c r="G543" s="281" t="s">
        <v>296</v>
      </c>
      <c r="H543" s="234" t="s">
        <v>296</v>
      </c>
      <c r="I543" s="234" t="s">
        <v>15</v>
      </c>
      <c r="J543" s="234" t="s">
        <v>15</v>
      </c>
      <c r="K543" s="234" t="s">
        <v>297</v>
      </c>
      <c r="L543" s="234" t="s">
        <v>296</v>
      </c>
      <c r="M543" s="234" t="s">
        <v>296</v>
      </c>
      <c r="N543" s="235" t="s">
        <v>296</v>
      </c>
      <c r="O543" s="236" t="s">
        <v>17</v>
      </c>
      <c r="P543" s="236" t="s">
        <v>17</v>
      </c>
      <c r="Q543" s="236" t="s">
        <v>15</v>
      </c>
      <c r="R543" s="236" t="s">
        <v>15</v>
      </c>
      <c r="S543" s="236" t="s">
        <v>16</v>
      </c>
      <c r="T543" s="236" t="s">
        <v>343</v>
      </c>
      <c r="U543" s="236" t="s">
        <v>262</v>
      </c>
      <c r="V543" s="236" t="s">
        <v>296</v>
      </c>
      <c r="W543" s="237" t="s">
        <v>296</v>
      </c>
      <c r="X543" s="237" t="s">
        <v>296</v>
      </c>
      <c r="Y543" s="238" t="s">
        <v>296</v>
      </c>
    </row>
    <row r="544" spans="1:25">
      <c r="A544" s="230">
        <v>10</v>
      </c>
      <c r="B544" s="231" t="str">
        <f>VLOOKUP(Tabel10[[#This Row],[Locatiecode]],Ruimtegroepen[[Code]:[Ruimte omschrijving]],2,FALSE)</f>
        <v>Trappenhuizen/lift</v>
      </c>
      <c r="C544" s="232" t="s">
        <v>746</v>
      </c>
      <c r="D544" s="231" t="s">
        <v>13</v>
      </c>
      <c r="E544" s="233" t="s">
        <v>101</v>
      </c>
      <c r="F544" s="232" t="s">
        <v>747</v>
      </c>
      <c r="G544" s="281" t="s">
        <v>296</v>
      </c>
      <c r="H544" s="234" t="s">
        <v>296</v>
      </c>
      <c r="I544" s="234" t="s">
        <v>296</v>
      </c>
      <c r="J544" s="235" t="s">
        <v>15</v>
      </c>
      <c r="K544" s="235" t="s">
        <v>296</v>
      </c>
      <c r="L544" s="234" t="s">
        <v>296</v>
      </c>
      <c r="M544" s="234" t="s">
        <v>296</v>
      </c>
      <c r="N544" s="235" t="s">
        <v>296</v>
      </c>
      <c r="O544" s="236" t="s">
        <v>15</v>
      </c>
      <c r="P544" s="236" t="s">
        <v>15</v>
      </c>
      <c r="Q544" s="236" t="s">
        <v>15</v>
      </c>
      <c r="R544" s="236" t="s">
        <v>15</v>
      </c>
      <c r="S544" s="236" t="s">
        <v>16</v>
      </c>
      <c r="T544" s="236" t="s">
        <v>343</v>
      </c>
      <c r="U544" s="236" t="s">
        <v>262</v>
      </c>
      <c r="V544" s="236" t="s">
        <v>296</v>
      </c>
      <c r="W544" s="237" t="s">
        <v>296</v>
      </c>
      <c r="X544" s="237" t="s">
        <v>296</v>
      </c>
      <c r="Y544" s="238" t="s">
        <v>296</v>
      </c>
    </row>
    <row r="545" spans="1:25">
      <c r="A545" s="230">
        <v>10</v>
      </c>
      <c r="B545" s="231" t="str">
        <f>VLOOKUP(Tabel10[[#This Row],[Locatiecode]],Ruimtegroepen[[Code]:[Ruimte omschrijving]],2,FALSE)</f>
        <v>Trappenhuizen/lift</v>
      </c>
      <c r="C545" s="232" t="s">
        <v>746</v>
      </c>
      <c r="D545" s="231" t="s">
        <v>13</v>
      </c>
      <c r="E545" s="233" t="s">
        <v>100</v>
      </c>
      <c r="F545" s="232" t="s">
        <v>748</v>
      </c>
      <c r="G545" s="281" t="s">
        <v>296</v>
      </c>
      <c r="H545" s="235" t="s">
        <v>15</v>
      </c>
      <c r="I545" s="234" t="s">
        <v>296</v>
      </c>
      <c r="J545" s="235" t="s">
        <v>296</v>
      </c>
      <c r="K545" s="235" t="s">
        <v>296</v>
      </c>
      <c r="L545" s="234" t="s">
        <v>296</v>
      </c>
      <c r="M545" s="234" t="s">
        <v>296</v>
      </c>
      <c r="N545" s="235" t="s">
        <v>296</v>
      </c>
      <c r="O545" s="236" t="s">
        <v>15</v>
      </c>
      <c r="P545" s="236" t="s">
        <v>15</v>
      </c>
      <c r="Q545" s="236" t="s">
        <v>15</v>
      </c>
      <c r="R545" s="236" t="s">
        <v>15</v>
      </c>
      <c r="S545" s="236" t="s">
        <v>16</v>
      </c>
      <c r="T545" s="236" t="s">
        <v>343</v>
      </c>
      <c r="U545" s="236" t="s">
        <v>262</v>
      </c>
      <c r="V545" s="236" t="s">
        <v>296</v>
      </c>
      <c r="W545" s="237" t="s">
        <v>296</v>
      </c>
      <c r="X545" s="237" t="s">
        <v>296</v>
      </c>
      <c r="Y545" s="238" t="s">
        <v>296</v>
      </c>
    </row>
    <row r="546" spans="1:25">
      <c r="A546" s="230">
        <v>10</v>
      </c>
      <c r="B546" s="231" t="str">
        <f>VLOOKUP(Tabel10[[#This Row],[Locatiecode]],Ruimtegroepen[[Code]:[Ruimte omschrijving]],2,FALSE)</f>
        <v>Trappenhuizen/lift</v>
      </c>
      <c r="C546" s="232" t="s">
        <v>746</v>
      </c>
      <c r="D546" s="231" t="s">
        <v>13</v>
      </c>
      <c r="E546" s="233" t="s">
        <v>102</v>
      </c>
      <c r="F546" s="232" t="s">
        <v>749</v>
      </c>
      <c r="G546" s="281" t="s">
        <v>296</v>
      </c>
      <c r="H546" s="234" t="s">
        <v>296</v>
      </c>
      <c r="I546" s="234" t="s">
        <v>296</v>
      </c>
      <c r="J546" s="234" t="s">
        <v>15</v>
      </c>
      <c r="K546" s="234" t="s">
        <v>297</v>
      </c>
      <c r="L546" s="234" t="s">
        <v>296</v>
      </c>
      <c r="M546" s="234" t="s">
        <v>296</v>
      </c>
      <c r="N546" s="235" t="s">
        <v>296</v>
      </c>
      <c r="O546" s="236" t="s">
        <v>15</v>
      </c>
      <c r="P546" s="236" t="s">
        <v>15</v>
      </c>
      <c r="Q546" s="236" t="s">
        <v>15</v>
      </c>
      <c r="R546" s="236" t="s">
        <v>15</v>
      </c>
      <c r="S546" s="236" t="s">
        <v>16</v>
      </c>
      <c r="T546" s="236" t="s">
        <v>343</v>
      </c>
      <c r="U546" s="236" t="s">
        <v>262</v>
      </c>
      <c r="V546" s="236" t="s">
        <v>296</v>
      </c>
      <c r="W546" s="237" t="s">
        <v>296</v>
      </c>
      <c r="X546" s="237" t="s">
        <v>296</v>
      </c>
      <c r="Y546" s="238" t="s">
        <v>296</v>
      </c>
    </row>
    <row r="547" spans="1:25">
      <c r="A547" s="230">
        <v>10</v>
      </c>
      <c r="B547" s="231" t="str">
        <f>VLOOKUP(Tabel10[[#This Row],[Locatiecode]],Ruimtegroepen[[Code]:[Ruimte omschrijving]],2,FALSE)</f>
        <v>Trappenhuizen/lift</v>
      </c>
      <c r="C547" s="232" t="s">
        <v>746</v>
      </c>
      <c r="D547" s="231" t="s">
        <v>13</v>
      </c>
      <c r="E547" s="233" t="s">
        <v>103</v>
      </c>
      <c r="F547" s="232" t="s">
        <v>750</v>
      </c>
      <c r="G547" s="281" t="s">
        <v>296</v>
      </c>
      <c r="H547" s="234" t="s">
        <v>296</v>
      </c>
      <c r="I547" s="234" t="s">
        <v>296</v>
      </c>
      <c r="J547" s="234" t="s">
        <v>15</v>
      </c>
      <c r="K547" s="234" t="s">
        <v>297</v>
      </c>
      <c r="L547" s="234" t="s">
        <v>296</v>
      </c>
      <c r="M547" s="234" t="s">
        <v>296</v>
      </c>
      <c r="N547" s="235" t="s">
        <v>296</v>
      </c>
      <c r="O547" s="236" t="s">
        <v>15</v>
      </c>
      <c r="P547" s="236" t="s">
        <v>15</v>
      </c>
      <c r="Q547" s="236" t="s">
        <v>15</v>
      </c>
      <c r="R547" s="236" t="s">
        <v>15</v>
      </c>
      <c r="S547" s="236" t="s">
        <v>16</v>
      </c>
      <c r="T547" s="236" t="s">
        <v>343</v>
      </c>
      <c r="U547" s="236" t="s">
        <v>262</v>
      </c>
      <c r="V547" s="236" t="s">
        <v>296</v>
      </c>
      <c r="W547" s="237" t="s">
        <v>296</v>
      </c>
      <c r="X547" s="237" t="s">
        <v>296</v>
      </c>
      <c r="Y547" s="238" t="s">
        <v>296</v>
      </c>
    </row>
    <row r="548" spans="1:25">
      <c r="A548" s="230">
        <v>10</v>
      </c>
      <c r="B548" s="231" t="str">
        <f>VLOOKUP(Tabel10[[#This Row],[Locatiecode]],Ruimtegroepen[[Code]:[Ruimte omschrijving]],2,FALSE)</f>
        <v>Trappenhuizen/lift</v>
      </c>
      <c r="C548" s="232" t="s">
        <v>746</v>
      </c>
      <c r="D548" s="231" t="s">
        <v>13</v>
      </c>
      <c r="E548" s="233" t="s">
        <v>100</v>
      </c>
      <c r="F548" s="232" t="s">
        <v>748</v>
      </c>
      <c r="G548" s="281" t="s">
        <v>296</v>
      </c>
      <c r="H548" s="235" t="s">
        <v>15</v>
      </c>
      <c r="I548" s="234" t="s">
        <v>296</v>
      </c>
      <c r="J548" s="235" t="s">
        <v>296</v>
      </c>
      <c r="K548" s="235" t="s">
        <v>296</v>
      </c>
      <c r="L548" s="234" t="s">
        <v>296</v>
      </c>
      <c r="M548" s="234" t="s">
        <v>296</v>
      </c>
      <c r="N548" s="235" t="s">
        <v>296</v>
      </c>
      <c r="O548" s="236" t="s">
        <v>15</v>
      </c>
      <c r="P548" s="236" t="s">
        <v>15</v>
      </c>
      <c r="Q548" s="236" t="s">
        <v>15</v>
      </c>
      <c r="R548" s="236" t="s">
        <v>15</v>
      </c>
      <c r="S548" s="236" t="s">
        <v>16</v>
      </c>
      <c r="T548" s="236" t="s">
        <v>343</v>
      </c>
      <c r="U548" s="236" t="s">
        <v>262</v>
      </c>
      <c r="V548" s="236" t="s">
        <v>296</v>
      </c>
      <c r="W548" s="237" t="s">
        <v>296</v>
      </c>
      <c r="X548" s="237" t="s">
        <v>296</v>
      </c>
      <c r="Y548" s="238" t="s">
        <v>296</v>
      </c>
    </row>
    <row r="549" spans="1:25">
      <c r="A549" s="230">
        <v>10</v>
      </c>
      <c r="B549" s="231" t="str">
        <f>VLOOKUP(Tabel10[[#This Row],[Locatiecode]],Ruimtegroepen[[Code]:[Ruimte omschrijving]],2,FALSE)</f>
        <v>Trappenhuizen/lift</v>
      </c>
      <c r="C549" s="232" t="s">
        <v>746</v>
      </c>
      <c r="D549" s="231" t="s">
        <v>13</v>
      </c>
      <c r="E549" s="233" t="s">
        <v>1344</v>
      </c>
      <c r="F549" s="232" t="s">
        <v>1401</v>
      </c>
      <c r="G549" s="281" t="s">
        <v>296</v>
      </c>
      <c r="H549" s="234" t="s">
        <v>296</v>
      </c>
      <c r="I549" s="234" t="s">
        <v>296</v>
      </c>
      <c r="J549" s="234" t="s">
        <v>15</v>
      </c>
      <c r="K549" s="234" t="s">
        <v>297</v>
      </c>
      <c r="L549" s="234" t="s">
        <v>296</v>
      </c>
      <c r="M549" s="234" t="s">
        <v>296</v>
      </c>
      <c r="N549" s="235" t="s">
        <v>296</v>
      </c>
      <c r="O549" s="236" t="s">
        <v>15</v>
      </c>
      <c r="P549" s="236" t="s">
        <v>15</v>
      </c>
      <c r="Q549" s="236" t="s">
        <v>15</v>
      </c>
      <c r="R549" s="236" t="s">
        <v>15</v>
      </c>
      <c r="S549" s="236" t="s">
        <v>16</v>
      </c>
      <c r="T549" s="236" t="s">
        <v>343</v>
      </c>
      <c r="U549" s="236" t="s">
        <v>262</v>
      </c>
      <c r="V549" s="236" t="s">
        <v>296</v>
      </c>
      <c r="W549" s="237" t="s">
        <v>296</v>
      </c>
      <c r="X549" s="237" t="s">
        <v>296</v>
      </c>
      <c r="Y549" s="238" t="s">
        <v>296</v>
      </c>
    </row>
    <row r="550" spans="1:25">
      <c r="A550" s="230">
        <v>10</v>
      </c>
      <c r="B550" s="231" t="str">
        <f>VLOOKUP(Tabel10[[#This Row],[Locatiecode]],Ruimtegroepen[[Code]:[Ruimte omschrijving]],2,FALSE)</f>
        <v>Trappenhuizen/lift</v>
      </c>
      <c r="C550" s="232" t="s">
        <v>751</v>
      </c>
      <c r="D550" s="231" t="s">
        <v>0</v>
      </c>
      <c r="E550" s="233" t="s">
        <v>101</v>
      </c>
      <c r="F550" s="232" t="s">
        <v>752</v>
      </c>
      <c r="G550" s="281" t="s">
        <v>296</v>
      </c>
      <c r="H550" s="234" t="s">
        <v>296</v>
      </c>
      <c r="I550" s="234" t="s">
        <v>296</v>
      </c>
      <c r="J550" s="235" t="s">
        <v>16</v>
      </c>
      <c r="K550" s="235" t="s">
        <v>296</v>
      </c>
      <c r="L550" s="234" t="s">
        <v>296</v>
      </c>
      <c r="M550" s="234" t="s">
        <v>296</v>
      </c>
      <c r="N550" s="235" t="s">
        <v>296</v>
      </c>
      <c r="O550" s="236" t="s">
        <v>16</v>
      </c>
      <c r="P550" s="236" t="s">
        <v>16</v>
      </c>
      <c r="Q550" s="236" t="s">
        <v>16</v>
      </c>
      <c r="R550" s="236" t="s">
        <v>16</v>
      </c>
      <c r="S550" s="236" t="s">
        <v>16</v>
      </c>
      <c r="T550" s="236" t="s">
        <v>343</v>
      </c>
      <c r="U550" s="236" t="s">
        <v>262</v>
      </c>
      <c r="V550" s="236" t="s">
        <v>296</v>
      </c>
      <c r="W550" s="237" t="s">
        <v>296</v>
      </c>
      <c r="X550" s="237" t="s">
        <v>296</v>
      </c>
      <c r="Y550" s="238" t="s">
        <v>296</v>
      </c>
    </row>
    <row r="551" spans="1:25">
      <c r="A551" s="230">
        <v>10</v>
      </c>
      <c r="B551" s="231" t="str">
        <f>VLOOKUP(Tabel10[[#This Row],[Locatiecode]],Ruimtegroepen[[Code]:[Ruimte omschrijving]],2,FALSE)</f>
        <v>Trappenhuizen/lift</v>
      </c>
      <c r="C551" s="232" t="s">
        <v>751</v>
      </c>
      <c r="D551" s="231" t="s">
        <v>0</v>
      </c>
      <c r="E551" s="233" t="s">
        <v>100</v>
      </c>
      <c r="F551" s="232" t="s">
        <v>753</v>
      </c>
      <c r="G551" s="281" t="s">
        <v>296</v>
      </c>
      <c r="H551" s="235" t="s">
        <v>16</v>
      </c>
      <c r="I551" s="234" t="s">
        <v>296</v>
      </c>
      <c r="J551" s="235" t="s">
        <v>296</v>
      </c>
      <c r="K551" s="235" t="s">
        <v>296</v>
      </c>
      <c r="L551" s="234" t="s">
        <v>296</v>
      </c>
      <c r="M551" s="234" t="s">
        <v>296</v>
      </c>
      <c r="N551" s="235" t="s">
        <v>296</v>
      </c>
      <c r="O551" s="236" t="s">
        <v>16</v>
      </c>
      <c r="P551" s="236" t="s">
        <v>16</v>
      </c>
      <c r="Q551" s="236" t="s">
        <v>16</v>
      </c>
      <c r="R551" s="236" t="s">
        <v>16</v>
      </c>
      <c r="S551" s="236" t="s">
        <v>16</v>
      </c>
      <c r="T551" s="236" t="s">
        <v>343</v>
      </c>
      <c r="U551" s="236" t="s">
        <v>262</v>
      </c>
      <c r="V551" s="236" t="s">
        <v>296</v>
      </c>
      <c r="W551" s="237" t="s">
        <v>296</v>
      </c>
      <c r="X551" s="237" t="s">
        <v>296</v>
      </c>
      <c r="Y551" s="238" t="s">
        <v>296</v>
      </c>
    </row>
    <row r="552" spans="1:25">
      <c r="A552" s="230">
        <v>10</v>
      </c>
      <c r="B552" s="231" t="str">
        <f>VLOOKUP(Tabel10[[#This Row],[Locatiecode]],Ruimtegroepen[[Code]:[Ruimte omschrijving]],2,FALSE)</f>
        <v>Trappenhuizen/lift</v>
      </c>
      <c r="C552" s="232" t="s">
        <v>751</v>
      </c>
      <c r="D552" s="231" t="s">
        <v>0</v>
      </c>
      <c r="E552" s="233" t="s">
        <v>102</v>
      </c>
      <c r="F552" s="232" t="s">
        <v>754</v>
      </c>
      <c r="G552" s="281" t="s">
        <v>296</v>
      </c>
      <c r="H552" s="234" t="s">
        <v>296</v>
      </c>
      <c r="I552" s="234" t="s">
        <v>296</v>
      </c>
      <c r="J552" s="234" t="s">
        <v>16</v>
      </c>
      <c r="K552" s="234" t="s">
        <v>297</v>
      </c>
      <c r="L552" s="234" t="s">
        <v>296</v>
      </c>
      <c r="M552" s="234" t="s">
        <v>296</v>
      </c>
      <c r="N552" s="235" t="s">
        <v>296</v>
      </c>
      <c r="O552" s="236" t="s">
        <v>16</v>
      </c>
      <c r="P552" s="236" t="s">
        <v>16</v>
      </c>
      <c r="Q552" s="236" t="s">
        <v>16</v>
      </c>
      <c r="R552" s="236" t="s">
        <v>16</v>
      </c>
      <c r="S552" s="236" t="s">
        <v>16</v>
      </c>
      <c r="T552" s="236" t="s">
        <v>343</v>
      </c>
      <c r="U552" s="236" t="s">
        <v>262</v>
      </c>
      <c r="V552" s="236" t="s">
        <v>296</v>
      </c>
      <c r="W552" s="237" t="s">
        <v>296</v>
      </c>
      <c r="X552" s="237" t="s">
        <v>296</v>
      </c>
      <c r="Y552" s="238" t="s">
        <v>296</v>
      </c>
    </row>
    <row r="553" spans="1:25">
      <c r="A553" s="230">
        <v>10</v>
      </c>
      <c r="B553" s="231" t="str">
        <f>VLOOKUP(Tabel10[[#This Row],[Locatiecode]],Ruimtegroepen[[Code]:[Ruimte omschrijving]],2,FALSE)</f>
        <v>Trappenhuizen/lift</v>
      </c>
      <c r="C553" s="232" t="s">
        <v>751</v>
      </c>
      <c r="D553" s="231" t="s">
        <v>0</v>
      </c>
      <c r="E553" s="233" t="s">
        <v>103</v>
      </c>
      <c r="F553" s="232" t="s">
        <v>755</v>
      </c>
      <c r="G553" s="281" t="s">
        <v>296</v>
      </c>
      <c r="H553" s="234" t="s">
        <v>296</v>
      </c>
      <c r="I553" s="234" t="s">
        <v>296</v>
      </c>
      <c r="J553" s="234" t="s">
        <v>16</v>
      </c>
      <c r="K553" s="234" t="s">
        <v>297</v>
      </c>
      <c r="L553" s="234" t="s">
        <v>296</v>
      </c>
      <c r="M553" s="234" t="s">
        <v>296</v>
      </c>
      <c r="N553" s="235" t="s">
        <v>296</v>
      </c>
      <c r="O553" s="236" t="s">
        <v>16</v>
      </c>
      <c r="P553" s="236" t="s">
        <v>16</v>
      </c>
      <c r="Q553" s="236" t="s">
        <v>16</v>
      </c>
      <c r="R553" s="236" t="s">
        <v>16</v>
      </c>
      <c r="S553" s="236" t="s">
        <v>16</v>
      </c>
      <c r="T553" s="236" t="s">
        <v>343</v>
      </c>
      <c r="U553" s="236" t="s">
        <v>262</v>
      </c>
      <c r="V553" s="236" t="s">
        <v>296</v>
      </c>
      <c r="W553" s="237" t="s">
        <v>296</v>
      </c>
      <c r="X553" s="237" t="s">
        <v>296</v>
      </c>
      <c r="Y553" s="238" t="s">
        <v>296</v>
      </c>
    </row>
    <row r="554" spans="1:25">
      <c r="A554" s="230">
        <v>10</v>
      </c>
      <c r="B554" s="231" t="str">
        <f>VLOOKUP(Tabel10[[#This Row],[Locatiecode]],Ruimtegroepen[[Code]:[Ruimte omschrijving]],2,FALSE)</f>
        <v>Trappenhuizen/lift</v>
      </c>
      <c r="C554" s="232" t="s">
        <v>751</v>
      </c>
      <c r="D554" s="231" t="s">
        <v>0</v>
      </c>
      <c r="E554" s="233" t="s">
        <v>100</v>
      </c>
      <c r="F554" s="232" t="s">
        <v>753</v>
      </c>
      <c r="G554" s="281" t="s">
        <v>296</v>
      </c>
      <c r="H554" s="235" t="s">
        <v>16</v>
      </c>
      <c r="I554" s="234" t="s">
        <v>296</v>
      </c>
      <c r="J554" s="235" t="s">
        <v>296</v>
      </c>
      <c r="K554" s="235" t="s">
        <v>296</v>
      </c>
      <c r="L554" s="234" t="s">
        <v>296</v>
      </c>
      <c r="M554" s="234" t="s">
        <v>296</v>
      </c>
      <c r="N554" s="235" t="s">
        <v>296</v>
      </c>
      <c r="O554" s="236" t="s">
        <v>16</v>
      </c>
      <c r="P554" s="236" t="s">
        <v>16</v>
      </c>
      <c r="Q554" s="236" t="s">
        <v>16</v>
      </c>
      <c r="R554" s="236" t="s">
        <v>16</v>
      </c>
      <c r="S554" s="236" t="s">
        <v>16</v>
      </c>
      <c r="T554" s="236" t="s">
        <v>343</v>
      </c>
      <c r="U554" s="236" t="s">
        <v>262</v>
      </c>
      <c r="V554" s="236" t="s">
        <v>296</v>
      </c>
      <c r="W554" s="237" t="s">
        <v>296</v>
      </c>
      <c r="X554" s="237" t="s">
        <v>296</v>
      </c>
      <c r="Y554" s="238" t="s">
        <v>296</v>
      </c>
    </row>
    <row r="555" spans="1:25">
      <c r="A555" s="230">
        <v>10</v>
      </c>
      <c r="B555" s="231" t="str">
        <f>VLOOKUP(Tabel10[[#This Row],[Locatiecode]],Ruimtegroepen[[Code]:[Ruimte omschrijving]],2,FALSE)</f>
        <v>Trappenhuizen/lift</v>
      </c>
      <c r="C555" s="232" t="s">
        <v>751</v>
      </c>
      <c r="D555" s="231" t="s">
        <v>0</v>
      </c>
      <c r="E555" s="233" t="s">
        <v>1344</v>
      </c>
      <c r="F555" s="232" t="s">
        <v>1385</v>
      </c>
      <c r="G555" s="281" t="s">
        <v>296</v>
      </c>
      <c r="H555" s="234" t="s">
        <v>296</v>
      </c>
      <c r="I555" s="234" t="s">
        <v>296</v>
      </c>
      <c r="J555" s="234" t="s">
        <v>16</v>
      </c>
      <c r="K555" s="234" t="s">
        <v>297</v>
      </c>
      <c r="L555" s="234" t="s">
        <v>296</v>
      </c>
      <c r="M555" s="234" t="s">
        <v>296</v>
      </c>
      <c r="N555" s="235" t="s">
        <v>296</v>
      </c>
      <c r="O555" s="236" t="s">
        <v>16</v>
      </c>
      <c r="P555" s="236" t="s">
        <v>16</v>
      </c>
      <c r="Q555" s="236" t="s">
        <v>16</v>
      </c>
      <c r="R555" s="236" t="s">
        <v>16</v>
      </c>
      <c r="S555" s="236" t="s">
        <v>16</v>
      </c>
      <c r="T555" s="236" t="s">
        <v>343</v>
      </c>
      <c r="U555" s="236" t="s">
        <v>262</v>
      </c>
      <c r="V555" s="236" t="s">
        <v>296</v>
      </c>
      <c r="W555" s="237" t="s">
        <v>296</v>
      </c>
      <c r="X555" s="237" t="s">
        <v>296</v>
      </c>
      <c r="Y555" s="238" t="s">
        <v>296</v>
      </c>
    </row>
    <row r="556" spans="1:25">
      <c r="A556" s="230">
        <v>10</v>
      </c>
      <c r="B556" s="231" t="str">
        <f>VLOOKUP(Tabel10[[#This Row],[Locatiecode]],Ruimtegroepen[[Code]:[Ruimte omschrijving]],2,FALSE)</f>
        <v>Trappenhuizen/lift</v>
      </c>
      <c r="C556" s="232" t="s">
        <v>756</v>
      </c>
      <c r="D556" s="231" t="s">
        <v>27</v>
      </c>
      <c r="E556" s="233" t="s">
        <v>101</v>
      </c>
      <c r="F556" s="232" t="s">
        <v>757</v>
      </c>
      <c r="G556" s="281" t="s">
        <v>296</v>
      </c>
      <c r="H556" s="234" t="s">
        <v>296</v>
      </c>
      <c r="I556" s="235" t="s">
        <v>15</v>
      </c>
      <c r="J556" s="234" t="s">
        <v>296</v>
      </c>
      <c r="K556" s="235" t="s">
        <v>296</v>
      </c>
      <c r="L556" s="234" t="s">
        <v>296</v>
      </c>
      <c r="M556" s="234" t="s">
        <v>296</v>
      </c>
      <c r="N556" s="235" t="s">
        <v>296</v>
      </c>
      <c r="O556" s="236" t="s">
        <v>15</v>
      </c>
      <c r="P556" s="236" t="s">
        <v>15</v>
      </c>
      <c r="Q556" s="236" t="s">
        <v>15</v>
      </c>
      <c r="R556" s="236" t="s">
        <v>296</v>
      </c>
      <c r="S556" s="236" t="s">
        <v>296</v>
      </c>
      <c r="T556" s="236" t="s">
        <v>296</v>
      </c>
      <c r="U556" s="236" t="s">
        <v>296</v>
      </c>
      <c r="V556" s="236" t="s">
        <v>296</v>
      </c>
      <c r="W556" s="237" t="s">
        <v>296</v>
      </c>
      <c r="X556" s="237" t="s">
        <v>296</v>
      </c>
      <c r="Y556" s="238" t="s">
        <v>296</v>
      </c>
    </row>
    <row r="557" spans="1:25">
      <c r="A557" s="230">
        <v>10</v>
      </c>
      <c r="B557" s="231" t="str">
        <f>VLOOKUP(Tabel10[[#This Row],[Locatiecode]],Ruimtegroepen[[Code]:[Ruimte omschrijving]],2,FALSE)</f>
        <v>Trappenhuizen/lift</v>
      </c>
      <c r="C557" s="232" t="s">
        <v>756</v>
      </c>
      <c r="D557" s="231" t="s">
        <v>27</v>
      </c>
      <c r="E557" s="233" t="s">
        <v>100</v>
      </c>
      <c r="F557" s="232" t="s">
        <v>758</v>
      </c>
      <c r="G557" s="281" t="s">
        <v>296</v>
      </c>
      <c r="H557" s="235" t="s">
        <v>15</v>
      </c>
      <c r="I557" s="234" t="s">
        <v>296</v>
      </c>
      <c r="J557" s="235" t="s">
        <v>296</v>
      </c>
      <c r="K557" s="235" t="s">
        <v>296</v>
      </c>
      <c r="L557" s="234" t="s">
        <v>296</v>
      </c>
      <c r="M557" s="234" t="s">
        <v>296</v>
      </c>
      <c r="N557" s="235" t="s">
        <v>296</v>
      </c>
      <c r="O557" s="236" t="s">
        <v>15</v>
      </c>
      <c r="P557" s="236" t="s">
        <v>15</v>
      </c>
      <c r="Q557" s="236" t="s">
        <v>15</v>
      </c>
      <c r="R557" s="236" t="s">
        <v>296</v>
      </c>
      <c r="S557" s="236" t="s">
        <v>296</v>
      </c>
      <c r="T557" s="236" t="s">
        <v>296</v>
      </c>
      <c r="U557" s="236" t="s">
        <v>296</v>
      </c>
      <c r="V557" s="236" t="s">
        <v>296</v>
      </c>
      <c r="W557" s="237" t="s">
        <v>296</v>
      </c>
      <c r="X557" s="237" t="s">
        <v>296</v>
      </c>
      <c r="Y557" s="238" t="s">
        <v>296</v>
      </c>
    </row>
    <row r="558" spans="1:25">
      <c r="A558" s="230">
        <v>10</v>
      </c>
      <c r="B558" s="231" t="str">
        <f>VLOOKUP(Tabel10[[#This Row],[Locatiecode]],Ruimtegroepen[[Code]:[Ruimte omschrijving]],2,FALSE)</f>
        <v>Trappenhuizen/lift</v>
      </c>
      <c r="C558" s="232" t="s">
        <v>756</v>
      </c>
      <c r="D558" s="231" t="s">
        <v>27</v>
      </c>
      <c r="E558" s="233" t="s">
        <v>102</v>
      </c>
      <c r="F558" s="232" t="s">
        <v>759</v>
      </c>
      <c r="G558" s="281" t="s">
        <v>296</v>
      </c>
      <c r="H558" s="234" t="s">
        <v>296</v>
      </c>
      <c r="I558" s="235" t="s">
        <v>15</v>
      </c>
      <c r="J558" s="235" t="s">
        <v>296</v>
      </c>
      <c r="K558" s="235" t="s">
        <v>296</v>
      </c>
      <c r="L558" s="234" t="s">
        <v>296</v>
      </c>
      <c r="M558" s="234" t="s">
        <v>296</v>
      </c>
      <c r="N558" s="235" t="s">
        <v>296</v>
      </c>
      <c r="O558" s="236" t="s">
        <v>15</v>
      </c>
      <c r="P558" s="236" t="s">
        <v>15</v>
      </c>
      <c r="Q558" s="236" t="s">
        <v>15</v>
      </c>
      <c r="R558" s="236" t="s">
        <v>296</v>
      </c>
      <c r="S558" s="236" t="s">
        <v>296</v>
      </c>
      <c r="T558" s="236" t="s">
        <v>296</v>
      </c>
      <c r="U558" s="236" t="s">
        <v>296</v>
      </c>
      <c r="V558" s="236" t="s">
        <v>296</v>
      </c>
      <c r="W558" s="237" t="s">
        <v>296</v>
      </c>
      <c r="X558" s="237" t="s">
        <v>296</v>
      </c>
      <c r="Y558" s="238" t="s">
        <v>296</v>
      </c>
    </row>
    <row r="559" spans="1:25">
      <c r="A559" s="230">
        <v>10</v>
      </c>
      <c r="B559" s="231" t="str">
        <f>VLOOKUP(Tabel10[[#This Row],[Locatiecode]],Ruimtegroepen[[Code]:[Ruimte omschrijving]],2,FALSE)</f>
        <v>Trappenhuizen/lift</v>
      </c>
      <c r="C559" s="232" t="s">
        <v>756</v>
      </c>
      <c r="D559" s="231" t="s">
        <v>27</v>
      </c>
      <c r="E559" s="233" t="s">
        <v>103</v>
      </c>
      <c r="F559" s="232" t="s">
        <v>760</v>
      </c>
      <c r="G559" s="281" t="s">
        <v>296</v>
      </c>
      <c r="H559" s="234" t="s">
        <v>296</v>
      </c>
      <c r="I559" s="235" t="s">
        <v>15</v>
      </c>
      <c r="J559" s="235" t="s">
        <v>296</v>
      </c>
      <c r="K559" s="235" t="s">
        <v>296</v>
      </c>
      <c r="L559" s="234" t="s">
        <v>296</v>
      </c>
      <c r="M559" s="234" t="s">
        <v>296</v>
      </c>
      <c r="N559" s="235" t="s">
        <v>296</v>
      </c>
      <c r="O559" s="236" t="s">
        <v>15</v>
      </c>
      <c r="P559" s="236" t="s">
        <v>15</v>
      </c>
      <c r="Q559" s="236" t="s">
        <v>15</v>
      </c>
      <c r="R559" s="236" t="s">
        <v>296</v>
      </c>
      <c r="S559" s="236" t="s">
        <v>296</v>
      </c>
      <c r="T559" s="236" t="s">
        <v>296</v>
      </c>
      <c r="U559" s="236" t="s">
        <v>296</v>
      </c>
      <c r="V559" s="236" t="s">
        <v>296</v>
      </c>
      <c r="W559" s="237" t="s">
        <v>296</v>
      </c>
      <c r="X559" s="237" t="s">
        <v>296</v>
      </c>
      <c r="Y559" s="238" t="s">
        <v>296</v>
      </c>
    </row>
    <row r="560" spans="1:25">
      <c r="A560" s="230">
        <v>10</v>
      </c>
      <c r="B560" s="231" t="str">
        <f>VLOOKUP(Tabel10[[#This Row],[Locatiecode]],Ruimtegroepen[[Code]:[Ruimte omschrijving]],2,FALSE)</f>
        <v>Trappenhuizen/lift</v>
      </c>
      <c r="C560" s="232" t="s">
        <v>756</v>
      </c>
      <c r="D560" s="231" t="s">
        <v>27</v>
      </c>
      <c r="E560" s="233" t="s">
        <v>100</v>
      </c>
      <c r="F560" s="232" t="s">
        <v>758</v>
      </c>
      <c r="G560" s="281" t="s">
        <v>296</v>
      </c>
      <c r="H560" s="235" t="s">
        <v>15</v>
      </c>
      <c r="I560" s="234" t="s">
        <v>296</v>
      </c>
      <c r="J560" s="235" t="s">
        <v>296</v>
      </c>
      <c r="K560" s="235" t="s">
        <v>296</v>
      </c>
      <c r="L560" s="234" t="s">
        <v>296</v>
      </c>
      <c r="M560" s="234" t="s">
        <v>296</v>
      </c>
      <c r="N560" s="235" t="s">
        <v>296</v>
      </c>
      <c r="O560" s="236" t="s">
        <v>15</v>
      </c>
      <c r="P560" s="236" t="s">
        <v>15</v>
      </c>
      <c r="Q560" s="236" t="s">
        <v>15</v>
      </c>
      <c r="R560" s="236" t="s">
        <v>296</v>
      </c>
      <c r="S560" s="236" t="s">
        <v>296</v>
      </c>
      <c r="T560" s="236" t="s">
        <v>296</v>
      </c>
      <c r="U560" s="236" t="s">
        <v>296</v>
      </c>
      <c r="V560" s="236" t="s">
        <v>296</v>
      </c>
      <c r="W560" s="237" t="s">
        <v>296</v>
      </c>
      <c r="X560" s="237" t="s">
        <v>296</v>
      </c>
      <c r="Y560" s="238" t="s">
        <v>296</v>
      </c>
    </row>
    <row r="561" spans="1:25">
      <c r="A561" s="230">
        <v>10</v>
      </c>
      <c r="B561" s="231" t="str">
        <f>VLOOKUP(Tabel10[[#This Row],[Locatiecode]],Ruimtegroepen[[Code]:[Ruimte omschrijving]],2,FALSE)</f>
        <v>Trappenhuizen/lift</v>
      </c>
      <c r="C561" s="232" t="s">
        <v>756</v>
      </c>
      <c r="D561" s="231" t="s">
        <v>27</v>
      </c>
      <c r="E561" s="233" t="s">
        <v>1344</v>
      </c>
      <c r="F561" s="232" t="s">
        <v>1418</v>
      </c>
      <c r="G561" s="281" t="s">
        <v>296</v>
      </c>
      <c r="H561" s="234" t="s">
        <v>296</v>
      </c>
      <c r="I561" s="235" t="s">
        <v>15</v>
      </c>
      <c r="J561" s="235" t="s">
        <v>296</v>
      </c>
      <c r="K561" s="235" t="s">
        <v>296</v>
      </c>
      <c r="L561" s="234" t="s">
        <v>296</v>
      </c>
      <c r="M561" s="234" t="s">
        <v>296</v>
      </c>
      <c r="N561" s="235" t="s">
        <v>296</v>
      </c>
      <c r="O561" s="236" t="s">
        <v>15</v>
      </c>
      <c r="P561" s="236" t="s">
        <v>15</v>
      </c>
      <c r="Q561" s="236" t="s">
        <v>15</v>
      </c>
      <c r="R561" s="236" t="s">
        <v>296</v>
      </c>
      <c r="S561" s="236" t="s">
        <v>296</v>
      </c>
      <c r="T561" s="236" t="s">
        <v>296</v>
      </c>
      <c r="U561" s="236" t="s">
        <v>296</v>
      </c>
      <c r="V561" s="236" t="s">
        <v>296</v>
      </c>
      <c r="W561" s="237" t="s">
        <v>296</v>
      </c>
      <c r="X561" s="237" t="s">
        <v>296</v>
      </c>
      <c r="Y561" s="238" t="s">
        <v>296</v>
      </c>
    </row>
    <row r="562" spans="1:25">
      <c r="A562" s="230">
        <v>10</v>
      </c>
      <c r="B562" s="231" t="str">
        <f>VLOOKUP(Tabel10[[#This Row],[Locatiecode]],Ruimtegroepen[[Code]:[Ruimte omschrijving]],2,FALSE)</f>
        <v>Trappenhuizen/lift</v>
      </c>
      <c r="C562" s="232" t="s">
        <v>761</v>
      </c>
      <c r="D562" s="231" t="s">
        <v>28</v>
      </c>
      <c r="E562" s="233" t="s">
        <v>101</v>
      </c>
      <c r="F562" s="232" t="s">
        <v>762</v>
      </c>
      <c r="G562" s="281" t="s">
        <v>296</v>
      </c>
      <c r="H562" s="234" t="s">
        <v>296</v>
      </c>
      <c r="I562" s="235" t="s">
        <v>17</v>
      </c>
      <c r="J562" s="234" t="s">
        <v>296</v>
      </c>
      <c r="K562" s="235" t="s">
        <v>296</v>
      </c>
      <c r="L562" s="234" t="s">
        <v>296</v>
      </c>
      <c r="M562" s="234" t="s">
        <v>296</v>
      </c>
      <c r="N562" s="235" t="s">
        <v>296</v>
      </c>
      <c r="O562" s="236" t="s">
        <v>17</v>
      </c>
      <c r="P562" s="236" t="s">
        <v>17</v>
      </c>
      <c r="Q562" s="236" t="s">
        <v>15</v>
      </c>
      <c r="R562" s="236" t="s">
        <v>296</v>
      </c>
      <c r="S562" s="236" t="s">
        <v>296</v>
      </c>
      <c r="T562" s="236" t="s">
        <v>296</v>
      </c>
      <c r="U562" s="236" t="s">
        <v>296</v>
      </c>
      <c r="V562" s="236" t="s">
        <v>296</v>
      </c>
      <c r="W562" s="237" t="s">
        <v>296</v>
      </c>
      <c r="X562" s="237" t="s">
        <v>296</v>
      </c>
      <c r="Y562" s="238" t="s">
        <v>296</v>
      </c>
    </row>
    <row r="563" spans="1:25">
      <c r="A563" s="230">
        <v>10</v>
      </c>
      <c r="B563" s="231" t="str">
        <f>VLOOKUP(Tabel10[[#This Row],[Locatiecode]],Ruimtegroepen[[Code]:[Ruimte omschrijving]],2,FALSE)</f>
        <v>Trappenhuizen/lift</v>
      </c>
      <c r="C563" s="232" t="s">
        <v>761</v>
      </c>
      <c r="D563" s="231" t="s">
        <v>28</v>
      </c>
      <c r="E563" s="233" t="s">
        <v>100</v>
      </c>
      <c r="F563" s="232" t="s">
        <v>763</v>
      </c>
      <c r="G563" s="281" t="s">
        <v>296</v>
      </c>
      <c r="H563" s="235" t="s">
        <v>17</v>
      </c>
      <c r="I563" s="234" t="s">
        <v>296</v>
      </c>
      <c r="J563" s="235" t="s">
        <v>296</v>
      </c>
      <c r="K563" s="235" t="s">
        <v>296</v>
      </c>
      <c r="L563" s="234" t="s">
        <v>296</v>
      </c>
      <c r="M563" s="234" t="s">
        <v>296</v>
      </c>
      <c r="N563" s="235" t="s">
        <v>296</v>
      </c>
      <c r="O563" s="236" t="s">
        <v>17</v>
      </c>
      <c r="P563" s="236" t="s">
        <v>17</v>
      </c>
      <c r="Q563" s="236" t="s">
        <v>15</v>
      </c>
      <c r="R563" s="236" t="s">
        <v>296</v>
      </c>
      <c r="S563" s="236" t="s">
        <v>296</v>
      </c>
      <c r="T563" s="236" t="s">
        <v>296</v>
      </c>
      <c r="U563" s="236" t="s">
        <v>296</v>
      </c>
      <c r="V563" s="236" t="s">
        <v>296</v>
      </c>
      <c r="W563" s="237" t="s">
        <v>296</v>
      </c>
      <c r="X563" s="237" t="s">
        <v>296</v>
      </c>
      <c r="Y563" s="238" t="s">
        <v>296</v>
      </c>
    </row>
    <row r="564" spans="1:25">
      <c r="A564" s="230">
        <v>10</v>
      </c>
      <c r="B564" s="231" t="str">
        <f>VLOOKUP(Tabel10[[#This Row],[Locatiecode]],Ruimtegroepen[[Code]:[Ruimte omschrijving]],2,FALSE)</f>
        <v>Trappenhuizen/lift</v>
      </c>
      <c r="C564" s="232" t="s">
        <v>761</v>
      </c>
      <c r="D564" s="231" t="s">
        <v>28</v>
      </c>
      <c r="E564" s="233" t="s">
        <v>102</v>
      </c>
      <c r="F564" s="232" t="s">
        <v>764</v>
      </c>
      <c r="G564" s="281" t="s">
        <v>296</v>
      </c>
      <c r="H564" s="234" t="s">
        <v>296</v>
      </c>
      <c r="I564" s="235" t="s">
        <v>17</v>
      </c>
      <c r="J564" s="235" t="s">
        <v>296</v>
      </c>
      <c r="K564" s="235" t="s">
        <v>296</v>
      </c>
      <c r="L564" s="234" t="s">
        <v>296</v>
      </c>
      <c r="M564" s="234" t="s">
        <v>296</v>
      </c>
      <c r="N564" s="235" t="s">
        <v>296</v>
      </c>
      <c r="O564" s="236" t="s">
        <v>17</v>
      </c>
      <c r="P564" s="236" t="s">
        <v>17</v>
      </c>
      <c r="Q564" s="236" t="s">
        <v>15</v>
      </c>
      <c r="R564" s="236" t="s">
        <v>296</v>
      </c>
      <c r="S564" s="236" t="s">
        <v>296</v>
      </c>
      <c r="T564" s="236" t="s">
        <v>296</v>
      </c>
      <c r="U564" s="236" t="s">
        <v>296</v>
      </c>
      <c r="V564" s="236" t="s">
        <v>296</v>
      </c>
      <c r="W564" s="237" t="s">
        <v>296</v>
      </c>
      <c r="X564" s="237" t="s">
        <v>296</v>
      </c>
      <c r="Y564" s="238" t="s">
        <v>296</v>
      </c>
    </row>
    <row r="565" spans="1:25">
      <c r="A565" s="230">
        <v>10</v>
      </c>
      <c r="B565" s="231" t="str">
        <f>VLOOKUP(Tabel10[[#This Row],[Locatiecode]],Ruimtegroepen[[Code]:[Ruimte omschrijving]],2,FALSE)</f>
        <v>Trappenhuizen/lift</v>
      </c>
      <c r="C565" s="232" t="s">
        <v>761</v>
      </c>
      <c r="D565" s="231" t="s">
        <v>28</v>
      </c>
      <c r="E565" s="233" t="s">
        <v>103</v>
      </c>
      <c r="F565" s="232" t="s">
        <v>765</v>
      </c>
      <c r="G565" s="281" t="s">
        <v>296</v>
      </c>
      <c r="H565" s="234" t="s">
        <v>296</v>
      </c>
      <c r="I565" s="235" t="s">
        <v>17</v>
      </c>
      <c r="J565" s="235" t="s">
        <v>296</v>
      </c>
      <c r="K565" s="235" t="s">
        <v>296</v>
      </c>
      <c r="L565" s="234" t="s">
        <v>296</v>
      </c>
      <c r="M565" s="234" t="s">
        <v>296</v>
      </c>
      <c r="N565" s="235" t="s">
        <v>296</v>
      </c>
      <c r="O565" s="236" t="s">
        <v>17</v>
      </c>
      <c r="P565" s="236" t="s">
        <v>17</v>
      </c>
      <c r="Q565" s="236" t="s">
        <v>15</v>
      </c>
      <c r="R565" s="236" t="s">
        <v>296</v>
      </c>
      <c r="S565" s="236" t="s">
        <v>296</v>
      </c>
      <c r="T565" s="236" t="s">
        <v>296</v>
      </c>
      <c r="U565" s="236" t="s">
        <v>296</v>
      </c>
      <c r="V565" s="236" t="s">
        <v>296</v>
      </c>
      <c r="W565" s="237" t="s">
        <v>296</v>
      </c>
      <c r="X565" s="237" t="s">
        <v>296</v>
      </c>
      <c r="Y565" s="238" t="s">
        <v>296</v>
      </c>
    </row>
    <row r="566" spans="1:25">
      <c r="A566" s="230">
        <v>10</v>
      </c>
      <c r="B566" s="231" t="str">
        <f>VLOOKUP(Tabel10[[#This Row],[Locatiecode]],Ruimtegroepen[[Code]:[Ruimte omschrijving]],2,FALSE)</f>
        <v>Trappenhuizen/lift</v>
      </c>
      <c r="C566" s="232" t="s">
        <v>761</v>
      </c>
      <c r="D566" s="231" t="s">
        <v>28</v>
      </c>
      <c r="E566" s="233" t="s">
        <v>100</v>
      </c>
      <c r="F566" s="232" t="s">
        <v>763</v>
      </c>
      <c r="G566" s="281" t="s">
        <v>296</v>
      </c>
      <c r="H566" s="235" t="s">
        <v>17</v>
      </c>
      <c r="I566" s="234" t="s">
        <v>296</v>
      </c>
      <c r="J566" s="235" t="s">
        <v>296</v>
      </c>
      <c r="K566" s="235" t="s">
        <v>296</v>
      </c>
      <c r="L566" s="234" t="s">
        <v>296</v>
      </c>
      <c r="M566" s="234" t="s">
        <v>296</v>
      </c>
      <c r="N566" s="235" t="s">
        <v>296</v>
      </c>
      <c r="O566" s="236" t="s">
        <v>17</v>
      </c>
      <c r="P566" s="236" t="s">
        <v>17</v>
      </c>
      <c r="Q566" s="236" t="s">
        <v>15</v>
      </c>
      <c r="R566" s="236" t="s">
        <v>296</v>
      </c>
      <c r="S566" s="236" t="s">
        <v>296</v>
      </c>
      <c r="T566" s="236" t="s">
        <v>296</v>
      </c>
      <c r="U566" s="236" t="s">
        <v>296</v>
      </c>
      <c r="V566" s="236" t="s">
        <v>296</v>
      </c>
      <c r="W566" s="237" t="s">
        <v>296</v>
      </c>
      <c r="X566" s="237" t="s">
        <v>296</v>
      </c>
      <c r="Y566" s="238" t="s">
        <v>296</v>
      </c>
    </row>
    <row r="567" spans="1:25">
      <c r="A567" s="230">
        <v>10</v>
      </c>
      <c r="B567" s="231" t="str">
        <f>VLOOKUP(Tabel10[[#This Row],[Locatiecode]],Ruimtegroepen[[Code]:[Ruimte omschrijving]],2,FALSE)</f>
        <v>Trappenhuizen/lift</v>
      </c>
      <c r="C567" s="232" t="s">
        <v>761</v>
      </c>
      <c r="D567" s="231" t="s">
        <v>28</v>
      </c>
      <c r="E567" s="233" t="s">
        <v>1344</v>
      </c>
      <c r="F567" s="232" t="s">
        <v>1451</v>
      </c>
      <c r="G567" s="281" t="s">
        <v>296</v>
      </c>
      <c r="H567" s="234" t="s">
        <v>296</v>
      </c>
      <c r="I567" s="235" t="s">
        <v>17</v>
      </c>
      <c r="J567" s="235" t="s">
        <v>296</v>
      </c>
      <c r="K567" s="235" t="s">
        <v>296</v>
      </c>
      <c r="L567" s="234" t="s">
        <v>296</v>
      </c>
      <c r="M567" s="234" t="s">
        <v>296</v>
      </c>
      <c r="N567" s="235" t="s">
        <v>296</v>
      </c>
      <c r="O567" s="236" t="s">
        <v>17</v>
      </c>
      <c r="P567" s="236" t="s">
        <v>17</v>
      </c>
      <c r="Q567" s="236" t="s">
        <v>15</v>
      </c>
      <c r="R567" s="236" t="s">
        <v>296</v>
      </c>
      <c r="S567" s="236" t="s">
        <v>296</v>
      </c>
      <c r="T567" s="236" t="s">
        <v>296</v>
      </c>
      <c r="U567" s="236" t="s">
        <v>296</v>
      </c>
      <c r="V567" s="236" t="s">
        <v>296</v>
      </c>
      <c r="W567" s="237" t="s">
        <v>296</v>
      </c>
      <c r="X567" s="237" t="s">
        <v>296</v>
      </c>
      <c r="Y567" s="238" t="s">
        <v>296</v>
      </c>
    </row>
    <row r="568" spans="1:25">
      <c r="A568" s="230">
        <v>11</v>
      </c>
      <c r="B568" s="231" t="str">
        <f>VLOOKUP(Tabel10[[#This Row],[Locatiecode]],Ruimtegroepen[[Code]:[Ruimte omschrijving]],2,FALSE)</f>
        <v>Garderobes</v>
      </c>
      <c r="C568" s="232" t="s">
        <v>766</v>
      </c>
      <c r="D568" s="231" t="s">
        <v>29</v>
      </c>
      <c r="E568" s="233" t="s">
        <v>101</v>
      </c>
      <c r="F568" s="232" t="s">
        <v>767</v>
      </c>
      <c r="G568" s="281" t="s">
        <v>296</v>
      </c>
      <c r="H568" s="234" t="s">
        <v>296</v>
      </c>
      <c r="I568" s="234" t="s">
        <v>296</v>
      </c>
      <c r="J568" s="234" t="s">
        <v>2</v>
      </c>
      <c r="K568" s="235" t="s">
        <v>296</v>
      </c>
      <c r="L568" s="234" t="s">
        <v>296</v>
      </c>
      <c r="M568" s="234" t="s">
        <v>296</v>
      </c>
      <c r="N568" s="235" t="s">
        <v>2</v>
      </c>
      <c r="O568" s="236" t="s">
        <v>2</v>
      </c>
      <c r="P568" s="236" t="s">
        <v>2</v>
      </c>
      <c r="Q568" s="236" t="s">
        <v>15</v>
      </c>
      <c r="R568" s="236" t="s">
        <v>15</v>
      </c>
      <c r="S568" s="236" t="s">
        <v>16</v>
      </c>
      <c r="T568" s="236" t="s">
        <v>343</v>
      </c>
      <c r="U568" s="236" t="s">
        <v>262</v>
      </c>
      <c r="V568" s="236" t="s">
        <v>2</v>
      </c>
      <c r="W568" s="237" t="s">
        <v>296</v>
      </c>
      <c r="X568" s="237" t="s">
        <v>296</v>
      </c>
      <c r="Y568" s="238" t="s">
        <v>296</v>
      </c>
    </row>
    <row r="569" spans="1:25">
      <c r="A569" s="230">
        <v>11</v>
      </c>
      <c r="B569" s="231" t="str">
        <f>VLOOKUP(Tabel10[[#This Row],[Locatiecode]],Ruimtegroepen[[Code]:[Ruimte omschrijving]],2,FALSE)</f>
        <v>Garderobes</v>
      </c>
      <c r="C569" s="232" t="s">
        <v>766</v>
      </c>
      <c r="D569" s="231" t="s">
        <v>29</v>
      </c>
      <c r="E569" s="233" t="s">
        <v>100</v>
      </c>
      <c r="F569" s="232" t="s">
        <v>768</v>
      </c>
      <c r="G569" s="281" t="s">
        <v>296</v>
      </c>
      <c r="H569" s="235" t="s">
        <v>2</v>
      </c>
      <c r="I569" s="234" t="s">
        <v>296</v>
      </c>
      <c r="J569" s="235" t="s">
        <v>296</v>
      </c>
      <c r="K569" s="235" t="s">
        <v>296</v>
      </c>
      <c r="L569" s="234" t="s">
        <v>296</v>
      </c>
      <c r="M569" s="234" t="s">
        <v>296</v>
      </c>
      <c r="N569" s="235" t="s">
        <v>2</v>
      </c>
      <c r="O569" s="236" t="s">
        <v>2</v>
      </c>
      <c r="P569" s="236" t="s">
        <v>2</v>
      </c>
      <c r="Q569" s="236" t="s">
        <v>15</v>
      </c>
      <c r="R569" s="236" t="s">
        <v>15</v>
      </c>
      <c r="S569" s="236" t="s">
        <v>16</v>
      </c>
      <c r="T569" s="236" t="s">
        <v>343</v>
      </c>
      <c r="U569" s="236" t="s">
        <v>262</v>
      </c>
      <c r="V569" s="236" t="s">
        <v>2</v>
      </c>
      <c r="W569" s="237" t="s">
        <v>296</v>
      </c>
      <c r="X569" s="237" t="s">
        <v>296</v>
      </c>
      <c r="Y569" s="238" t="s">
        <v>296</v>
      </c>
    </row>
    <row r="570" spans="1:25">
      <c r="A570" s="230">
        <v>11</v>
      </c>
      <c r="B570" s="231" t="str">
        <f>VLOOKUP(Tabel10[[#This Row],[Locatiecode]],Ruimtegroepen[[Code]:[Ruimte omschrijving]],2,FALSE)</f>
        <v>Garderobes</v>
      </c>
      <c r="C570" s="232" t="s">
        <v>766</v>
      </c>
      <c r="D570" s="231" t="s">
        <v>29</v>
      </c>
      <c r="E570" s="233" t="s">
        <v>102</v>
      </c>
      <c r="F570" s="232" t="s">
        <v>769</v>
      </c>
      <c r="G570" s="281" t="s">
        <v>296</v>
      </c>
      <c r="H570" s="234" t="s">
        <v>296</v>
      </c>
      <c r="I570" s="234" t="s">
        <v>296</v>
      </c>
      <c r="J570" s="234" t="s">
        <v>2</v>
      </c>
      <c r="K570" s="234" t="s">
        <v>297</v>
      </c>
      <c r="L570" s="234" t="s">
        <v>296</v>
      </c>
      <c r="M570" s="234" t="s">
        <v>296</v>
      </c>
      <c r="N570" s="235" t="s">
        <v>2</v>
      </c>
      <c r="O570" s="236" t="s">
        <v>2</v>
      </c>
      <c r="P570" s="236" t="s">
        <v>2</v>
      </c>
      <c r="Q570" s="236" t="s">
        <v>15</v>
      </c>
      <c r="R570" s="236" t="s">
        <v>15</v>
      </c>
      <c r="S570" s="236" t="s">
        <v>16</v>
      </c>
      <c r="T570" s="236" t="s">
        <v>343</v>
      </c>
      <c r="U570" s="236" t="s">
        <v>262</v>
      </c>
      <c r="V570" s="236" t="s">
        <v>2</v>
      </c>
      <c r="W570" s="237" t="s">
        <v>296</v>
      </c>
      <c r="X570" s="237" t="s">
        <v>296</v>
      </c>
      <c r="Y570" s="238" t="s">
        <v>296</v>
      </c>
    </row>
    <row r="571" spans="1:25">
      <c r="A571" s="230">
        <v>11</v>
      </c>
      <c r="B571" s="231" t="str">
        <f>VLOOKUP(Tabel10[[#This Row],[Locatiecode]],Ruimtegroepen[[Code]:[Ruimte omschrijving]],2,FALSE)</f>
        <v>Garderobes</v>
      </c>
      <c r="C571" s="232" t="s">
        <v>766</v>
      </c>
      <c r="D571" s="231" t="s">
        <v>29</v>
      </c>
      <c r="E571" s="233" t="s">
        <v>103</v>
      </c>
      <c r="F571" s="232" t="s">
        <v>770</v>
      </c>
      <c r="G571" s="281" t="s">
        <v>296</v>
      </c>
      <c r="H571" s="234" t="s">
        <v>296</v>
      </c>
      <c r="I571" s="234" t="s">
        <v>296</v>
      </c>
      <c r="J571" s="234" t="s">
        <v>2</v>
      </c>
      <c r="K571" s="234" t="s">
        <v>297</v>
      </c>
      <c r="L571" s="234" t="s">
        <v>296</v>
      </c>
      <c r="M571" s="234" t="s">
        <v>296</v>
      </c>
      <c r="N571" s="235" t="s">
        <v>2</v>
      </c>
      <c r="O571" s="236" t="s">
        <v>2</v>
      </c>
      <c r="P571" s="236" t="s">
        <v>2</v>
      </c>
      <c r="Q571" s="236" t="s">
        <v>15</v>
      </c>
      <c r="R571" s="236" t="s">
        <v>15</v>
      </c>
      <c r="S571" s="236" t="s">
        <v>16</v>
      </c>
      <c r="T571" s="236" t="s">
        <v>343</v>
      </c>
      <c r="U571" s="236" t="s">
        <v>262</v>
      </c>
      <c r="V571" s="236" t="s">
        <v>2</v>
      </c>
      <c r="W571" s="237" t="s">
        <v>296</v>
      </c>
      <c r="X571" s="237" t="s">
        <v>296</v>
      </c>
      <c r="Y571" s="238" t="s">
        <v>296</v>
      </c>
    </row>
    <row r="572" spans="1:25">
      <c r="A572" s="230">
        <v>11</v>
      </c>
      <c r="B572" s="231" t="str">
        <f>VLOOKUP(Tabel10[[#This Row],[Locatiecode]],Ruimtegroepen[[Code]:[Ruimte omschrijving]],2,FALSE)</f>
        <v>Garderobes</v>
      </c>
      <c r="C572" s="232" t="s">
        <v>766</v>
      </c>
      <c r="D572" s="231" t="s">
        <v>29</v>
      </c>
      <c r="E572" s="233" t="s">
        <v>100</v>
      </c>
      <c r="F572" s="232" t="s">
        <v>768</v>
      </c>
      <c r="G572" s="281" t="s">
        <v>296</v>
      </c>
      <c r="H572" s="235" t="s">
        <v>2</v>
      </c>
      <c r="I572" s="234" t="s">
        <v>296</v>
      </c>
      <c r="J572" s="235" t="s">
        <v>296</v>
      </c>
      <c r="K572" s="235" t="s">
        <v>296</v>
      </c>
      <c r="L572" s="234" t="s">
        <v>296</v>
      </c>
      <c r="M572" s="234" t="s">
        <v>296</v>
      </c>
      <c r="N572" s="235" t="s">
        <v>2</v>
      </c>
      <c r="O572" s="236" t="s">
        <v>2</v>
      </c>
      <c r="P572" s="236" t="s">
        <v>2</v>
      </c>
      <c r="Q572" s="236" t="s">
        <v>15</v>
      </c>
      <c r="R572" s="236" t="s">
        <v>15</v>
      </c>
      <c r="S572" s="236" t="s">
        <v>16</v>
      </c>
      <c r="T572" s="236" t="s">
        <v>343</v>
      </c>
      <c r="U572" s="236" t="s">
        <v>262</v>
      </c>
      <c r="V572" s="236" t="s">
        <v>2</v>
      </c>
      <c r="W572" s="237" t="s">
        <v>296</v>
      </c>
      <c r="X572" s="237" t="s">
        <v>296</v>
      </c>
      <c r="Y572" s="238" t="s">
        <v>296</v>
      </c>
    </row>
    <row r="573" spans="1:25">
      <c r="A573" s="230">
        <v>11</v>
      </c>
      <c r="B573" s="231" t="str">
        <f>VLOOKUP(Tabel10[[#This Row],[Locatiecode]],Ruimtegroepen[[Code]:[Ruimte omschrijving]],2,FALSE)</f>
        <v>Garderobes</v>
      </c>
      <c r="C573" s="232" t="s">
        <v>766</v>
      </c>
      <c r="D573" s="231" t="s">
        <v>29</v>
      </c>
      <c r="E573" s="233" t="s">
        <v>1344</v>
      </c>
      <c r="F573" s="232" t="s">
        <v>1519</v>
      </c>
      <c r="G573" s="281" t="s">
        <v>296</v>
      </c>
      <c r="H573" s="234" t="s">
        <v>296</v>
      </c>
      <c r="I573" s="234" t="s">
        <v>296</v>
      </c>
      <c r="J573" s="234" t="s">
        <v>2</v>
      </c>
      <c r="K573" s="234" t="s">
        <v>297</v>
      </c>
      <c r="L573" s="234" t="s">
        <v>296</v>
      </c>
      <c r="M573" s="234" t="s">
        <v>296</v>
      </c>
      <c r="N573" s="235" t="s">
        <v>2</v>
      </c>
      <c r="O573" s="236" t="s">
        <v>2</v>
      </c>
      <c r="P573" s="236" t="s">
        <v>2</v>
      </c>
      <c r="Q573" s="236" t="s">
        <v>15</v>
      </c>
      <c r="R573" s="236" t="s">
        <v>15</v>
      </c>
      <c r="S573" s="236" t="s">
        <v>16</v>
      </c>
      <c r="T573" s="236" t="s">
        <v>343</v>
      </c>
      <c r="U573" s="236" t="s">
        <v>262</v>
      </c>
      <c r="V573" s="236" t="s">
        <v>2</v>
      </c>
      <c r="W573" s="237" t="s">
        <v>296</v>
      </c>
      <c r="X573" s="237" t="s">
        <v>296</v>
      </c>
      <c r="Y573" s="238" t="s">
        <v>296</v>
      </c>
    </row>
    <row r="574" spans="1:25">
      <c r="A574" s="230">
        <v>11</v>
      </c>
      <c r="B574" s="231" t="str">
        <f>VLOOKUP(Tabel10[[#This Row],[Locatiecode]],Ruimtegroepen[[Code]:[Ruimte omschrijving]],2,FALSE)</f>
        <v>Garderobes</v>
      </c>
      <c r="C574" s="232" t="s">
        <v>771</v>
      </c>
      <c r="D574" s="231" t="s">
        <v>1</v>
      </c>
      <c r="E574" s="233" t="s">
        <v>101</v>
      </c>
      <c r="F574" s="232" t="s">
        <v>772</v>
      </c>
      <c r="G574" s="281" t="s">
        <v>296</v>
      </c>
      <c r="H574" s="234" t="s">
        <v>296</v>
      </c>
      <c r="I574" s="234" t="s">
        <v>296</v>
      </c>
      <c r="J574" s="234" t="s">
        <v>2</v>
      </c>
      <c r="K574" s="235" t="s">
        <v>296</v>
      </c>
      <c r="L574" s="234" t="s">
        <v>296</v>
      </c>
      <c r="M574" s="234" t="s">
        <v>296</v>
      </c>
      <c r="N574" s="235" t="s">
        <v>296</v>
      </c>
      <c r="O574" s="236" t="s">
        <v>2</v>
      </c>
      <c r="P574" s="236" t="s">
        <v>2</v>
      </c>
      <c r="Q574" s="236" t="s">
        <v>15</v>
      </c>
      <c r="R574" s="236" t="s">
        <v>15</v>
      </c>
      <c r="S574" s="236" t="s">
        <v>16</v>
      </c>
      <c r="T574" s="236" t="s">
        <v>343</v>
      </c>
      <c r="U574" s="236" t="s">
        <v>262</v>
      </c>
      <c r="V574" s="236" t="s">
        <v>296</v>
      </c>
      <c r="W574" s="237" t="s">
        <v>296</v>
      </c>
      <c r="X574" s="237" t="s">
        <v>296</v>
      </c>
      <c r="Y574" s="238" t="s">
        <v>296</v>
      </c>
    </row>
    <row r="575" spans="1:25">
      <c r="A575" s="230">
        <v>11</v>
      </c>
      <c r="B575" s="231" t="str">
        <f>VLOOKUP(Tabel10[[#This Row],[Locatiecode]],Ruimtegroepen[[Code]:[Ruimte omschrijving]],2,FALSE)</f>
        <v>Garderobes</v>
      </c>
      <c r="C575" s="232" t="s">
        <v>771</v>
      </c>
      <c r="D575" s="231" t="s">
        <v>1</v>
      </c>
      <c r="E575" s="233" t="s">
        <v>100</v>
      </c>
      <c r="F575" s="232" t="s">
        <v>773</v>
      </c>
      <c r="G575" s="281" t="s">
        <v>296</v>
      </c>
      <c r="H575" s="235" t="s">
        <v>2</v>
      </c>
      <c r="I575" s="234" t="s">
        <v>296</v>
      </c>
      <c r="J575" s="235" t="s">
        <v>296</v>
      </c>
      <c r="K575" s="235" t="s">
        <v>296</v>
      </c>
      <c r="L575" s="234" t="s">
        <v>296</v>
      </c>
      <c r="M575" s="234" t="s">
        <v>296</v>
      </c>
      <c r="N575" s="235" t="s">
        <v>296</v>
      </c>
      <c r="O575" s="236" t="s">
        <v>2</v>
      </c>
      <c r="P575" s="236" t="s">
        <v>2</v>
      </c>
      <c r="Q575" s="236" t="s">
        <v>15</v>
      </c>
      <c r="R575" s="236" t="s">
        <v>15</v>
      </c>
      <c r="S575" s="236" t="s">
        <v>16</v>
      </c>
      <c r="T575" s="236" t="s">
        <v>343</v>
      </c>
      <c r="U575" s="236" t="s">
        <v>262</v>
      </c>
      <c r="V575" s="236" t="s">
        <v>296</v>
      </c>
      <c r="W575" s="237" t="s">
        <v>296</v>
      </c>
      <c r="X575" s="237" t="s">
        <v>296</v>
      </c>
      <c r="Y575" s="238" t="s">
        <v>296</v>
      </c>
    </row>
    <row r="576" spans="1:25">
      <c r="A576" s="230">
        <v>11</v>
      </c>
      <c r="B576" s="231" t="str">
        <f>VLOOKUP(Tabel10[[#This Row],[Locatiecode]],Ruimtegroepen[[Code]:[Ruimte omschrijving]],2,FALSE)</f>
        <v>Garderobes</v>
      </c>
      <c r="C576" s="232" t="s">
        <v>771</v>
      </c>
      <c r="D576" s="231" t="s">
        <v>1</v>
      </c>
      <c r="E576" s="233" t="s">
        <v>102</v>
      </c>
      <c r="F576" s="232" t="s">
        <v>774</v>
      </c>
      <c r="G576" s="281" t="s">
        <v>296</v>
      </c>
      <c r="H576" s="234" t="s">
        <v>296</v>
      </c>
      <c r="I576" s="234" t="s">
        <v>296</v>
      </c>
      <c r="J576" s="234" t="s">
        <v>2</v>
      </c>
      <c r="K576" s="234" t="s">
        <v>297</v>
      </c>
      <c r="L576" s="234" t="s">
        <v>296</v>
      </c>
      <c r="M576" s="234" t="s">
        <v>296</v>
      </c>
      <c r="N576" s="235" t="s">
        <v>296</v>
      </c>
      <c r="O576" s="236" t="s">
        <v>2</v>
      </c>
      <c r="P576" s="236" t="s">
        <v>2</v>
      </c>
      <c r="Q576" s="236" t="s">
        <v>15</v>
      </c>
      <c r="R576" s="236" t="s">
        <v>15</v>
      </c>
      <c r="S576" s="236" t="s">
        <v>16</v>
      </c>
      <c r="T576" s="236" t="s">
        <v>343</v>
      </c>
      <c r="U576" s="236" t="s">
        <v>262</v>
      </c>
      <c r="V576" s="236" t="s">
        <v>296</v>
      </c>
      <c r="W576" s="237" t="s">
        <v>296</v>
      </c>
      <c r="X576" s="237" t="s">
        <v>296</v>
      </c>
      <c r="Y576" s="238" t="s">
        <v>296</v>
      </c>
    </row>
    <row r="577" spans="1:25">
      <c r="A577" s="230">
        <v>11</v>
      </c>
      <c r="B577" s="231" t="str">
        <f>VLOOKUP(Tabel10[[#This Row],[Locatiecode]],Ruimtegroepen[[Code]:[Ruimte omschrijving]],2,FALSE)</f>
        <v>Garderobes</v>
      </c>
      <c r="C577" s="232" t="s">
        <v>771</v>
      </c>
      <c r="D577" s="231" t="s">
        <v>1</v>
      </c>
      <c r="E577" s="233" t="s">
        <v>103</v>
      </c>
      <c r="F577" s="232" t="s">
        <v>775</v>
      </c>
      <c r="G577" s="281" t="s">
        <v>296</v>
      </c>
      <c r="H577" s="234" t="s">
        <v>296</v>
      </c>
      <c r="I577" s="234" t="s">
        <v>296</v>
      </c>
      <c r="J577" s="234" t="s">
        <v>2</v>
      </c>
      <c r="K577" s="234" t="s">
        <v>297</v>
      </c>
      <c r="L577" s="234" t="s">
        <v>296</v>
      </c>
      <c r="M577" s="234" t="s">
        <v>296</v>
      </c>
      <c r="N577" s="235" t="s">
        <v>296</v>
      </c>
      <c r="O577" s="236" t="s">
        <v>2</v>
      </c>
      <c r="P577" s="236" t="s">
        <v>2</v>
      </c>
      <c r="Q577" s="236" t="s">
        <v>15</v>
      </c>
      <c r="R577" s="236" t="s">
        <v>15</v>
      </c>
      <c r="S577" s="236" t="s">
        <v>16</v>
      </c>
      <c r="T577" s="236" t="s">
        <v>343</v>
      </c>
      <c r="U577" s="236" t="s">
        <v>262</v>
      </c>
      <c r="V577" s="236" t="s">
        <v>296</v>
      </c>
      <c r="W577" s="237" t="s">
        <v>296</v>
      </c>
      <c r="X577" s="237" t="s">
        <v>296</v>
      </c>
      <c r="Y577" s="238" t="s">
        <v>296</v>
      </c>
    </row>
    <row r="578" spans="1:25">
      <c r="A578" s="230">
        <v>11</v>
      </c>
      <c r="B578" s="231" t="str">
        <f>VLOOKUP(Tabel10[[#This Row],[Locatiecode]],Ruimtegroepen[[Code]:[Ruimte omschrijving]],2,FALSE)</f>
        <v>Garderobes</v>
      </c>
      <c r="C578" s="232" t="s">
        <v>771</v>
      </c>
      <c r="D578" s="231" t="s">
        <v>1</v>
      </c>
      <c r="E578" s="233" t="s">
        <v>100</v>
      </c>
      <c r="F578" s="232" t="s">
        <v>773</v>
      </c>
      <c r="G578" s="281" t="s">
        <v>296</v>
      </c>
      <c r="H578" s="235" t="s">
        <v>2</v>
      </c>
      <c r="I578" s="234" t="s">
        <v>296</v>
      </c>
      <c r="J578" s="235" t="s">
        <v>296</v>
      </c>
      <c r="K578" s="235" t="s">
        <v>296</v>
      </c>
      <c r="L578" s="234" t="s">
        <v>296</v>
      </c>
      <c r="M578" s="234" t="s">
        <v>296</v>
      </c>
      <c r="N578" s="235" t="s">
        <v>296</v>
      </c>
      <c r="O578" s="236" t="s">
        <v>2</v>
      </c>
      <c r="P578" s="236" t="s">
        <v>2</v>
      </c>
      <c r="Q578" s="236" t="s">
        <v>15</v>
      </c>
      <c r="R578" s="236" t="s">
        <v>15</v>
      </c>
      <c r="S578" s="236" t="s">
        <v>16</v>
      </c>
      <c r="T578" s="236" t="s">
        <v>343</v>
      </c>
      <c r="U578" s="236" t="s">
        <v>262</v>
      </c>
      <c r="V578" s="236" t="s">
        <v>296</v>
      </c>
      <c r="W578" s="237" t="s">
        <v>296</v>
      </c>
      <c r="X578" s="237" t="s">
        <v>296</v>
      </c>
      <c r="Y578" s="238" t="s">
        <v>296</v>
      </c>
    </row>
    <row r="579" spans="1:25">
      <c r="A579" s="230">
        <v>11</v>
      </c>
      <c r="B579" s="231" t="str">
        <f>VLOOKUP(Tabel10[[#This Row],[Locatiecode]],Ruimtegroepen[[Code]:[Ruimte omschrijving]],2,FALSE)</f>
        <v>Garderobes</v>
      </c>
      <c r="C579" s="232" t="s">
        <v>771</v>
      </c>
      <c r="D579" s="231" t="s">
        <v>1</v>
      </c>
      <c r="E579" s="233" t="s">
        <v>1344</v>
      </c>
      <c r="F579" s="232" t="s">
        <v>1503</v>
      </c>
      <c r="G579" s="281" t="s">
        <v>296</v>
      </c>
      <c r="H579" s="234" t="s">
        <v>296</v>
      </c>
      <c r="I579" s="234" t="s">
        <v>296</v>
      </c>
      <c r="J579" s="234" t="s">
        <v>2</v>
      </c>
      <c r="K579" s="234" t="s">
        <v>297</v>
      </c>
      <c r="L579" s="234" t="s">
        <v>296</v>
      </c>
      <c r="M579" s="234" t="s">
        <v>296</v>
      </c>
      <c r="N579" s="235" t="s">
        <v>296</v>
      </c>
      <c r="O579" s="236" t="s">
        <v>2</v>
      </c>
      <c r="P579" s="236" t="s">
        <v>2</v>
      </c>
      <c r="Q579" s="236" t="s">
        <v>15</v>
      </c>
      <c r="R579" s="236" t="s">
        <v>15</v>
      </c>
      <c r="S579" s="236" t="s">
        <v>16</v>
      </c>
      <c r="T579" s="236" t="s">
        <v>343</v>
      </c>
      <c r="U579" s="236" t="s">
        <v>262</v>
      </c>
      <c r="V579" s="236" t="s">
        <v>296</v>
      </c>
      <c r="W579" s="237" t="s">
        <v>296</v>
      </c>
      <c r="X579" s="237" t="s">
        <v>296</v>
      </c>
      <c r="Y579" s="238" t="s">
        <v>296</v>
      </c>
    </row>
    <row r="580" spans="1:25">
      <c r="A580" s="230">
        <v>11</v>
      </c>
      <c r="B580" s="231" t="str">
        <f>VLOOKUP(Tabel10[[#This Row],[Locatiecode]],Ruimtegroepen[[Code]:[Ruimte omschrijving]],2,FALSE)</f>
        <v>Garderobes</v>
      </c>
      <c r="C580" s="232" t="s">
        <v>776</v>
      </c>
      <c r="D580" s="231" t="s">
        <v>21</v>
      </c>
      <c r="E580" s="233" t="s">
        <v>101</v>
      </c>
      <c r="F580" s="232" t="s">
        <v>777</v>
      </c>
      <c r="G580" s="281" t="s">
        <v>296</v>
      </c>
      <c r="H580" s="234" t="s">
        <v>296</v>
      </c>
      <c r="I580" s="234" t="s">
        <v>296</v>
      </c>
      <c r="J580" s="234" t="s">
        <v>20</v>
      </c>
      <c r="K580" s="235" t="s">
        <v>296</v>
      </c>
      <c r="L580" s="234" t="s">
        <v>296</v>
      </c>
      <c r="M580" s="234" t="s">
        <v>296</v>
      </c>
      <c r="N580" s="235" t="s">
        <v>296</v>
      </c>
      <c r="O580" s="236" t="s">
        <v>20</v>
      </c>
      <c r="P580" s="236" t="s">
        <v>20</v>
      </c>
      <c r="Q580" s="236" t="s">
        <v>15</v>
      </c>
      <c r="R580" s="236" t="s">
        <v>15</v>
      </c>
      <c r="S580" s="236" t="s">
        <v>16</v>
      </c>
      <c r="T580" s="236" t="s">
        <v>343</v>
      </c>
      <c r="U580" s="236" t="s">
        <v>262</v>
      </c>
      <c r="V580" s="236" t="s">
        <v>296</v>
      </c>
      <c r="W580" s="237" t="s">
        <v>296</v>
      </c>
      <c r="X580" s="237" t="s">
        <v>296</v>
      </c>
      <c r="Y580" s="238" t="s">
        <v>296</v>
      </c>
    </row>
    <row r="581" spans="1:25">
      <c r="A581" s="230">
        <v>11</v>
      </c>
      <c r="B581" s="231" t="str">
        <f>VLOOKUP(Tabel10[[#This Row],[Locatiecode]],Ruimtegroepen[[Code]:[Ruimte omschrijving]],2,FALSE)</f>
        <v>Garderobes</v>
      </c>
      <c r="C581" s="232" t="s">
        <v>776</v>
      </c>
      <c r="D581" s="231" t="s">
        <v>21</v>
      </c>
      <c r="E581" s="233" t="s">
        <v>100</v>
      </c>
      <c r="F581" s="232" t="s">
        <v>778</v>
      </c>
      <c r="G581" s="281" t="s">
        <v>296</v>
      </c>
      <c r="H581" s="235" t="s">
        <v>20</v>
      </c>
      <c r="I581" s="234" t="s">
        <v>296</v>
      </c>
      <c r="J581" s="235" t="s">
        <v>296</v>
      </c>
      <c r="K581" s="235" t="s">
        <v>296</v>
      </c>
      <c r="L581" s="234" t="s">
        <v>296</v>
      </c>
      <c r="M581" s="234" t="s">
        <v>296</v>
      </c>
      <c r="N581" s="235" t="s">
        <v>296</v>
      </c>
      <c r="O581" s="236" t="s">
        <v>20</v>
      </c>
      <c r="P581" s="236" t="s">
        <v>20</v>
      </c>
      <c r="Q581" s="236" t="s">
        <v>15</v>
      </c>
      <c r="R581" s="236" t="s">
        <v>15</v>
      </c>
      <c r="S581" s="236" t="s">
        <v>16</v>
      </c>
      <c r="T581" s="236" t="s">
        <v>343</v>
      </c>
      <c r="U581" s="236" t="s">
        <v>262</v>
      </c>
      <c r="V581" s="236" t="s">
        <v>296</v>
      </c>
      <c r="W581" s="237" t="s">
        <v>296</v>
      </c>
      <c r="X581" s="237" t="s">
        <v>296</v>
      </c>
      <c r="Y581" s="238" t="s">
        <v>296</v>
      </c>
    </row>
    <row r="582" spans="1:25">
      <c r="A582" s="230">
        <v>11</v>
      </c>
      <c r="B582" s="231" t="str">
        <f>VLOOKUP(Tabel10[[#This Row],[Locatiecode]],Ruimtegroepen[[Code]:[Ruimte omschrijving]],2,FALSE)</f>
        <v>Garderobes</v>
      </c>
      <c r="C582" s="232" t="s">
        <v>776</v>
      </c>
      <c r="D582" s="231" t="s">
        <v>21</v>
      </c>
      <c r="E582" s="233" t="s">
        <v>102</v>
      </c>
      <c r="F582" s="232" t="s">
        <v>779</v>
      </c>
      <c r="G582" s="281" t="s">
        <v>296</v>
      </c>
      <c r="H582" s="234" t="s">
        <v>296</v>
      </c>
      <c r="I582" s="234" t="s">
        <v>296</v>
      </c>
      <c r="J582" s="234" t="s">
        <v>20</v>
      </c>
      <c r="K582" s="234" t="s">
        <v>297</v>
      </c>
      <c r="L582" s="234" t="s">
        <v>296</v>
      </c>
      <c r="M582" s="234" t="s">
        <v>296</v>
      </c>
      <c r="N582" s="235" t="s">
        <v>296</v>
      </c>
      <c r="O582" s="236" t="s">
        <v>20</v>
      </c>
      <c r="P582" s="236" t="s">
        <v>20</v>
      </c>
      <c r="Q582" s="236" t="s">
        <v>15</v>
      </c>
      <c r="R582" s="236" t="s">
        <v>15</v>
      </c>
      <c r="S582" s="236" t="s">
        <v>16</v>
      </c>
      <c r="T582" s="236" t="s">
        <v>343</v>
      </c>
      <c r="U582" s="236" t="s">
        <v>262</v>
      </c>
      <c r="V582" s="236" t="s">
        <v>296</v>
      </c>
      <c r="W582" s="237" t="s">
        <v>296</v>
      </c>
      <c r="X582" s="237" t="s">
        <v>296</v>
      </c>
      <c r="Y582" s="238" t="s">
        <v>296</v>
      </c>
    </row>
    <row r="583" spans="1:25">
      <c r="A583" s="230">
        <v>11</v>
      </c>
      <c r="B583" s="231" t="str">
        <f>VLOOKUP(Tabel10[[#This Row],[Locatiecode]],Ruimtegroepen[[Code]:[Ruimte omschrijving]],2,FALSE)</f>
        <v>Garderobes</v>
      </c>
      <c r="C583" s="232" t="s">
        <v>776</v>
      </c>
      <c r="D583" s="231" t="s">
        <v>21</v>
      </c>
      <c r="E583" s="233" t="s">
        <v>103</v>
      </c>
      <c r="F583" s="232" t="s">
        <v>780</v>
      </c>
      <c r="G583" s="281" t="s">
        <v>296</v>
      </c>
      <c r="H583" s="234" t="s">
        <v>296</v>
      </c>
      <c r="I583" s="234" t="s">
        <v>296</v>
      </c>
      <c r="J583" s="234" t="s">
        <v>20</v>
      </c>
      <c r="K583" s="234" t="s">
        <v>297</v>
      </c>
      <c r="L583" s="234" t="s">
        <v>296</v>
      </c>
      <c r="M583" s="234" t="s">
        <v>296</v>
      </c>
      <c r="N583" s="235" t="s">
        <v>296</v>
      </c>
      <c r="O583" s="236" t="s">
        <v>20</v>
      </c>
      <c r="P583" s="236" t="s">
        <v>20</v>
      </c>
      <c r="Q583" s="236" t="s">
        <v>15</v>
      </c>
      <c r="R583" s="236" t="s">
        <v>15</v>
      </c>
      <c r="S583" s="236" t="s">
        <v>16</v>
      </c>
      <c r="T583" s="236" t="s">
        <v>343</v>
      </c>
      <c r="U583" s="236" t="s">
        <v>262</v>
      </c>
      <c r="V583" s="236" t="s">
        <v>296</v>
      </c>
      <c r="W583" s="237" t="s">
        <v>296</v>
      </c>
      <c r="X583" s="237" t="s">
        <v>296</v>
      </c>
      <c r="Y583" s="238" t="s">
        <v>296</v>
      </c>
    </row>
    <row r="584" spans="1:25">
      <c r="A584" s="230">
        <v>11</v>
      </c>
      <c r="B584" s="231" t="str">
        <f>VLOOKUP(Tabel10[[#This Row],[Locatiecode]],Ruimtegroepen[[Code]:[Ruimte omschrijving]],2,FALSE)</f>
        <v>Garderobes</v>
      </c>
      <c r="C584" s="232" t="s">
        <v>776</v>
      </c>
      <c r="D584" s="231" t="s">
        <v>21</v>
      </c>
      <c r="E584" s="233" t="s">
        <v>100</v>
      </c>
      <c r="F584" s="232" t="s">
        <v>778</v>
      </c>
      <c r="G584" s="281" t="s">
        <v>296</v>
      </c>
      <c r="H584" s="235" t="s">
        <v>20</v>
      </c>
      <c r="I584" s="234" t="s">
        <v>296</v>
      </c>
      <c r="J584" s="235" t="s">
        <v>296</v>
      </c>
      <c r="K584" s="235" t="s">
        <v>296</v>
      </c>
      <c r="L584" s="234" t="s">
        <v>296</v>
      </c>
      <c r="M584" s="234" t="s">
        <v>296</v>
      </c>
      <c r="N584" s="235" t="s">
        <v>296</v>
      </c>
      <c r="O584" s="236" t="s">
        <v>20</v>
      </c>
      <c r="P584" s="236" t="s">
        <v>20</v>
      </c>
      <c r="Q584" s="236" t="s">
        <v>15</v>
      </c>
      <c r="R584" s="236" t="s">
        <v>15</v>
      </c>
      <c r="S584" s="236" t="s">
        <v>16</v>
      </c>
      <c r="T584" s="236" t="s">
        <v>343</v>
      </c>
      <c r="U584" s="236" t="s">
        <v>262</v>
      </c>
      <c r="V584" s="236" t="s">
        <v>296</v>
      </c>
      <c r="W584" s="237" t="s">
        <v>296</v>
      </c>
      <c r="X584" s="237" t="s">
        <v>296</v>
      </c>
      <c r="Y584" s="238" t="s">
        <v>296</v>
      </c>
    </row>
    <row r="585" spans="1:25">
      <c r="A585" s="230">
        <v>11</v>
      </c>
      <c r="B585" s="231" t="str">
        <f>VLOOKUP(Tabel10[[#This Row],[Locatiecode]],Ruimtegroepen[[Code]:[Ruimte omschrijving]],2,FALSE)</f>
        <v>Garderobes</v>
      </c>
      <c r="C585" s="232" t="s">
        <v>776</v>
      </c>
      <c r="D585" s="231" t="s">
        <v>21</v>
      </c>
      <c r="E585" s="233" t="s">
        <v>1344</v>
      </c>
      <c r="F585" s="232" t="s">
        <v>1486</v>
      </c>
      <c r="G585" s="281" t="s">
        <v>296</v>
      </c>
      <c r="H585" s="234" t="s">
        <v>296</v>
      </c>
      <c r="I585" s="234" t="s">
        <v>296</v>
      </c>
      <c r="J585" s="234" t="s">
        <v>20</v>
      </c>
      <c r="K585" s="234" t="s">
        <v>297</v>
      </c>
      <c r="L585" s="234" t="s">
        <v>296</v>
      </c>
      <c r="M585" s="234" t="s">
        <v>296</v>
      </c>
      <c r="N585" s="235" t="s">
        <v>296</v>
      </c>
      <c r="O585" s="236" t="s">
        <v>20</v>
      </c>
      <c r="P585" s="236" t="s">
        <v>20</v>
      </c>
      <c r="Q585" s="236" t="s">
        <v>15</v>
      </c>
      <c r="R585" s="236" t="s">
        <v>15</v>
      </c>
      <c r="S585" s="236" t="s">
        <v>16</v>
      </c>
      <c r="T585" s="236" t="s">
        <v>343</v>
      </c>
      <c r="U585" s="236" t="s">
        <v>262</v>
      </c>
      <c r="V585" s="236" t="s">
        <v>296</v>
      </c>
      <c r="W585" s="237" t="s">
        <v>296</v>
      </c>
      <c r="X585" s="237" t="s">
        <v>296</v>
      </c>
      <c r="Y585" s="238" t="s">
        <v>296</v>
      </c>
    </row>
    <row r="586" spans="1:25">
      <c r="A586" s="230">
        <v>11</v>
      </c>
      <c r="B586" s="231" t="str">
        <f>VLOOKUP(Tabel10[[#This Row],[Locatiecode]],Ruimtegroepen[[Code]:[Ruimte omschrijving]],2,FALSE)</f>
        <v>Garderobes</v>
      </c>
      <c r="C586" s="232" t="s">
        <v>781</v>
      </c>
      <c r="D586" s="231" t="s">
        <v>12</v>
      </c>
      <c r="E586" s="233" t="s">
        <v>101</v>
      </c>
      <c r="F586" s="232" t="s">
        <v>782</v>
      </c>
      <c r="G586" s="281" t="s">
        <v>296</v>
      </c>
      <c r="H586" s="234" t="s">
        <v>296</v>
      </c>
      <c r="I586" s="234" t="s">
        <v>296</v>
      </c>
      <c r="J586" s="234" t="s">
        <v>20</v>
      </c>
      <c r="K586" s="235" t="s">
        <v>296</v>
      </c>
      <c r="L586" s="234" t="s">
        <v>296</v>
      </c>
      <c r="M586" s="234" t="s">
        <v>296</v>
      </c>
      <c r="N586" s="235" t="s">
        <v>296</v>
      </c>
      <c r="O586" s="236" t="s">
        <v>18</v>
      </c>
      <c r="P586" s="236" t="s">
        <v>18</v>
      </c>
      <c r="Q586" s="236" t="s">
        <v>15</v>
      </c>
      <c r="R586" s="236" t="s">
        <v>15</v>
      </c>
      <c r="S586" s="236" t="s">
        <v>16</v>
      </c>
      <c r="T586" s="236" t="s">
        <v>343</v>
      </c>
      <c r="U586" s="236" t="s">
        <v>262</v>
      </c>
      <c r="V586" s="236" t="s">
        <v>296</v>
      </c>
      <c r="W586" s="237" t="s">
        <v>296</v>
      </c>
      <c r="X586" s="237" t="s">
        <v>296</v>
      </c>
      <c r="Y586" s="238" t="s">
        <v>296</v>
      </c>
    </row>
    <row r="587" spans="1:25">
      <c r="A587" s="230">
        <v>11</v>
      </c>
      <c r="B587" s="231" t="str">
        <f>VLOOKUP(Tabel10[[#This Row],[Locatiecode]],Ruimtegroepen[[Code]:[Ruimte omschrijving]],2,FALSE)</f>
        <v>Garderobes</v>
      </c>
      <c r="C587" s="232" t="s">
        <v>781</v>
      </c>
      <c r="D587" s="231" t="s">
        <v>12</v>
      </c>
      <c r="E587" s="233" t="s">
        <v>100</v>
      </c>
      <c r="F587" s="232" t="s">
        <v>783</v>
      </c>
      <c r="G587" s="281" t="s">
        <v>296</v>
      </c>
      <c r="H587" s="235" t="s">
        <v>18</v>
      </c>
      <c r="I587" s="234" t="s">
        <v>296</v>
      </c>
      <c r="J587" s="235" t="s">
        <v>296</v>
      </c>
      <c r="K587" s="235" t="s">
        <v>296</v>
      </c>
      <c r="L587" s="234" t="s">
        <v>296</v>
      </c>
      <c r="M587" s="234" t="s">
        <v>296</v>
      </c>
      <c r="N587" s="235" t="s">
        <v>296</v>
      </c>
      <c r="O587" s="236" t="s">
        <v>18</v>
      </c>
      <c r="P587" s="236" t="s">
        <v>18</v>
      </c>
      <c r="Q587" s="236" t="s">
        <v>15</v>
      </c>
      <c r="R587" s="236" t="s">
        <v>15</v>
      </c>
      <c r="S587" s="236" t="s">
        <v>16</v>
      </c>
      <c r="T587" s="236" t="s">
        <v>343</v>
      </c>
      <c r="U587" s="236" t="s">
        <v>262</v>
      </c>
      <c r="V587" s="236" t="s">
        <v>296</v>
      </c>
      <c r="W587" s="237" t="s">
        <v>296</v>
      </c>
      <c r="X587" s="237" t="s">
        <v>296</v>
      </c>
      <c r="Y587" s="238" t="s">
        <v>296</v>
      </c>
    </row>
    <row r="588" spans="1:25">
      <c r="A588" s="230">
        <v>11</v>
      </c>
      <c r="B588" s="231" t="str">
        <f>VLOOKUP(Tabel10[[#This Row],[Locatiecode]],Ruimtegroepen[[Code]:[Ruimte omschrijving]],2,FALSE)</f>
        <v>Garderobes</v>
      </c>
      <c r="C588" s="232" t="s">
        <v>781</v>
      </c>
      <c r="D588" s="231" t="s">
        <v>12</v>
      </c>
      <c r="E588" s="233" t="s">
        <v>102</v>
      </c>
      <c r="F588" s="232" t="s">
        <v>784</v>
      </c>
      <c r="G588" s="281" t="s">
        <v>296</v>
      </c>
      <c r="H588" s="234" t="s">
        <v>296</v>
      </c>
      <c r="I588" s="234" t="s">
        <v>296</v>
      </c>
      <c r="J588" s="234" t="s">
        <v>18</v>
      </c>
      <c r="K588" s="234" t="s">
        <v>297</v>
      </c>
      <c r="L588" s="234" t="s">
        <v>296</v>
      </c>
      <c r="M588" s="234" t="s">
        <v>296</v>
      </c>
      <c r="N588" s="235" t="s">
        <v>296</v>
      </c>
      <c r="O588" s="236" t="s">
        <v>18</v>
      </c>
      <c r="P588" s="236" t="s">
        <v>18</v>
      </c>
      <c r="Q588" s="236" t="s">
        <v>15</v>
      </c>
      <c r="R588" s="236" t="s">
        <v>15</v>
      </c>
      <c r="S588" s="236" t="s">
        <v>16</v>
      </c>
      <c r="T588" s="236" t="s">
        <v>343</v>
      </c>
      <c r="U588" s="236" t="s">
        <v>262</v>
      </c>
      <c r="V588" s="236" t="s">
        <v>296</v>
      </c>
      <c r="W588" s="237" t="s">
        <v>296</v>
      </c>
      <c r="X588" s="237" t="s">
        <v>296</v>
      </c>
      <c r="Y588" s="238" t="s">
        <v>296</v>
      </c>
    </row>
    <row r="589" spans="1:25">
      <c r="A589" s="230">
        <v>11</v>
      </c>
      <c r="B589" s="231" t="str">
        <f>VLOOKUP(Tabel10[[#This Row],[Locatiecode]],Ruimtegroepen[[Code]:[Ruimte omschrijving]],2,FALSE)</f>
        <v>Garderobes</v>
      </c>
      <c r="C589" s="232" t="s">
        <v>781</v>
      </c>
      <c r="D589" s="231" t="s">
        <v>12</v>
      </c>
      <c r="E589" s="233" t="s">
        <v>103</v>
      </c>
      <c r="F589" s="232" t="s">
        <v>785</v>
      </c>
      <c r="G589" s="281" t="s">
        <v>296</v>
      </c>
      <c r="H589" s="234" t="s">
        <v>296</v>
      </c>
      <c r="I589" s="234" t="s">
        <v>296</v>
      </c>
      <c r="J589" s="234" t="s">
        <v>18</v>
      </c>
      <c r="K589" s="234" t="s">
        <v>297</v>
      </c>
      <c r="L589" s="234" t="s">
        <v>296</v>
      </c>
      <c r="M589" s="234" t="s">
        <v>296</v>
      </c>
      <c r="N589" s="235" t="s">
        <v>296</v>
      </c>
      <c r="O589" s="236" t="s">
        <v>18</v>
      </c>
      <c r="P589" s="236" t="s">
        <v>18</v>
      </c>
      <c r="Q589" s="236" t="s">
        <v>15</v>
      </c>
      <c r="R589" s="236" t="s">
        <v>15</v>
      </c>
      <c r="S589" s="236" t="s">
        <v>16</v>
      </c>
      <c r="T589" s="236" t="s">
        <v>343</v>
      </c>
      <c r="U589" s="236" t="s">
        <v>262</v>
      </c>
      <c r="V589" s="236" t="s">
        <v>296</v>
      </c>
      <c r="W589" s="237" t="s">
        <v>296</v>
      </c>
      <c r="X589" s="237" t="s">
        <v>296</v>
      </c>
      <c r="Y589" s="238" t="s">
        <v>296</v>
      </c>
    </row>
    <row r="590" spans="1:25">
      <c r="A590" s="230">
        <v>11</v>
      </c>
      <c r="B590" s="231" t="str">
        <f>VLOOKUP(Tabel10[[#This Row],[Locatiecode]],Ruimtegroepen[[Code]:[Ruimte omschrijving]],2,FALSE)</f>
        <v>Garderobes</v>
      </c>
      <c r="C590" s="232" t="s">
        <v>781</v>
      </c>
      <c r="D590" s="231" t="s">
        <v>12</v>
      </c>
      <c r="E590" s="233" t="s">
        <v>100</v>
      </c>
      <c r="F590" s="232" t="s">
        <v>783</v>
      </c>
      <c r="G590" s="281" t="s">
        <v>296</v>
      </c>
      <c r="H590" s="235" t="s">
        <v>18</v>
      </c>
      <c r="I590" s="234" t="s">
        <v>296</v>
      </c>
      <c r="J590" s="235" t="s">
        <v>296</v>
      </c>
      <c r="K590" s="235" t="s">
        <v>296</v>
      </c>
      <c r="L590" s="234" t="s">
        <v>296</v>
      </c>
      <c r="M590" s="234" t="s">
        <v>296</v>
      </c>
      <c r="N590" s="235" t="s">
        <v>296</v>
      </c>
      <c r="O590" s="236" t="s">
        <v>18</v>
      </c>
      <c r="P590" s="236" t="s">
        <v>18</v>
      </c>
      <c r="Q590" s="236" t="s">
        <v>15</v>
      </c>
      <c r="R590" s="236" t="s">
        <v>15</v>
      </c>
      <c r="S590" s="236" t="s">
        <v>16</v>
      </c>
      <c r="T590" s="236" t="s">
        <v>343</v>
      </c>
      <c r="U590" s="236" t="s">
        <v>262</v>
      </c>
      <c r="V590" s="236" t="s">
        <v>296</v>
      </c>
      <c r="W590" s="237" t="s">
        <v>296</v>
      </c>
      <c r="X590" s="237" t="s">
        <v>296</v>
      </c>
      <c r="Y590" s="238" t="s">
        <v>296</v>
      </c>
    </row>
    <row r="591" spans="1:25">
      <c r="A591" s="230">
        <v>11</v>
      </c>
      <c r="B591" s="231" t="str">
        <f>VLOOKUP(Tabel10[[#This Row],[Locatiecode]],Ruimtegroepen[[Code]:[Ruimte omschrijving]],2,FALSE)</f>
        <v>Garderobes</v>
      </c>
      <c r="C591" s="232" t="s">
        <v>781</v>
      </c>
      <c r="D591" s="231" t="s">
        <v>12</v>
      </c>
      <c r="E591" s="233" t="s">
        <v>1344</v>
      </c>
      <c r="F591" s="232" t="s">
        <v>1468</v>
      </c>
      <c r="G591" s="281" t="s">
        <v>296</v>
      </c>
      <c r="H591" s="234" t="s">
        <v>296</v>
      </c>
      <c r="I591" s="234" t="s">
        <v>296</v>
      </c>
      <c r="J591" s="234" t="s">
        <v>18</v>
      </c>
      <c r="K591" s="234" t="s">
        <v>297</v>
      </c>
      <c r="L591" s="234" t="s">
        <v>296</v>
      </c>
      <c r="M591" s="234" t="s">
        <v>296</v>
      </c>
      <c r="N591" s="235" t="s">
        <v>296</v>
      </c>
      <c r="O591" s="236" t="s">
        <v>18</v>
      </c>
      <c r="P591" s="236" t="s">
        <v>18</v>
      </c>
      <c r="Q591" s="236" t="s">
        <v>15</v>
      </c>
      <c r="R591" s="236" t="s">
        <v>15</v>
      </c>
      <c r="S591" s="236" t="s">
        <v>16</v>
      </c>
      <c r="T591" s="236" t="s">
        <v>343</v>
      </c>
      <c r="U591" s="236" t="s">
        <v>262</v>
      </c>
      <c r="V591" s="236" t="s">
        <v>296</v>
      </c>
      <c r="W591" s="237" t="s">
        <v>296</v>
      </c>
      <c r="X591" s="237" t="s">
        <v>296</v>
      </c>
      <c r="Y591" s="238" t="s">
        <v>296</v>
      </c>
    </row>
    <row r="592" spans="1:25">
      <c r="A592" s="230">
        <v>11</v>
      </c>
      <c r="B592" s="231" t="str">
        <f>VLOOKUP(Tabel10[[#This Row],[Locatiecode]],Ruimtegroepen[[Code]:[Ruimte omschrijving]],2,FALSE)</f>
        <v>Garderobes</v>
      </c>
      <c r="C592" s="232" t="s">
        <v>786</v>
      </c>
      <c r="D592" s="231" t="s">
        <v>14</v>
      </c>
      <c r="E592" s="233" t="s">
        <v>101</v>
      </c>
      <c r="F592" s="232" t="s">
        <v>787</v>
      </c>
      <c r="G592" s="281" t="s">
        <v>296</v>
      </c>
      <c r="H592" s="234" t="s">
        <v>296</v>
      </c>
      <c r="I592" s="234" t="s">
        <v>296</v>
      </c>
      <c r="J592" s="234" t="s">
        <v>18</v>
      </c>
      <c r="K592" s="235" t="s">
        <v>296</v>
      </c>
      <c r="L592" s="234" t="s">
        <v>296</v>
      </c>
      <c r="M592" s="234" t="s">
        <v>296</v>
      </c>
      <c r="N592" s="235" t="s">
        <v>296</v>
      </c>
      <c r="O592" s="236" t="s">
        <v>17</v>
      </c>
      <c r="P592" s="236" t="s">
        <v>17</v>
      </c>
      <c r="Q592" s="236" t="s">
        <v>15</v>
      </c>
      <c r="R592" s="236" t="s">
        <v>15</v>
      </c>
      <c r="S592" s="236" t="s">
        <v>16</v>
      </c>
      <c r="T592" s="236" t="s">
        <v>343</v>
      </c>
      <c r="U592" s="236" t="s">
        <v>262</v>
      </c>
      <c r="V592" s="236" t="s">
        <v>296</v>
      </c>
      <c r="W592" s="237" t="s">
        <v>296</v>
      </c>
      <c r="X592" s="237" t="s">
        <v>296</v>
      </c>
      <c r="Y592" s="238" t="s">
        <v>296</v>
      </c>
    </row>
    <row r="593" spans="1:25">
      <c r="A593" s="230">
        <v>11</v>
      </c>
      <c r="B593" s="231" t="str">
        <f>VLOOKUP(Tabel10[[#This Row],[Locatiecode]],Ruimtegroepen[[Code]:[Ruimte omschrijving]],2,FALSE)</f>
        <v>Garderobes</v>
      </c>
      <c r="C593" s="232" t="s">
        <v>786</v>
      </c>
      <c r="D593" s="231" t="s">
        <v>14</v>
      </c>
      <c r="E593" s="233" t="s">
        <v>100</v>
      </c>
      <c r="F593" s="232" t="s">
        <v>788</v>
      </c>
      <c r="G593" s="281" t="s">
        <v>296</v>
      </c>
      <c r="H593" s="235" t="s">
        <v>17</v>
      </c>
      <c r="I593" s="234" t="s">
        <v>296</v>
      </c>
      <c r="J593" s="235" t="s">
        <v>296</v>
      </c>
      <c r="K593" s="235" t="s">
        <v>296</v>
      </c>
      <c r="L593" s="234" t="s">
        <v>296</v>
      </c>
      <c r="M593" s="234" t="s">
        <v>296</v>
      </c>
      <c r="N593" s="235" t="s">
        <v>296</v>
      </c>
      <c r="O593" s="236" t="s">
        <v>17</v>
      </c>
      <c r="P593" s="236" t="s">
        <v>17</v>
      </c>
      <c r="Q593" s="236" t="s">
        <v>15</v>
      </c>
      <c r="R593" s="236" t="s">
        <v>15</v>
      </c>
      <c r="S593" s="236" t="s">
        <v>16</v>
      </c>
      <c r="T593" s="236" t="s">
        <v>343</v>
      </c>
      <c r="U593" s="236" t="s">
        <v>262</v>
      </c>
      <c r="V593" s="236" t="s">
        <v>296</v>
      </c>
      <c r="W593" s="237" t="s">
        <v>296</v>
      </c>
      <c r="X593" s="237" t="s">
        <v>296</v>
      </c>
      <c r="Y593" s="238" t="s">
        <v>296</v>
      </c>
    </row>
    <row r="594" spans="1:25">
      <c r="A594" s="230">
        <v>11</v>
      </c>
      <c r="B594" s="231" t="str">
        <f>VLOOKUP(Tabel10[[#This Row],[Locatiecode]],Ruimtegroepen[[Code]:[Ruimte omschrijving]],2,FALSE)</f>
        <v>Garderobes</v>
      </c>
      <c r="C594" s="232" t="s">
        <v>786</v>
      </c>
      <c r="D594" s="231" t="s">
        <v>14</v>
      </c>
      <c r="E594" s="233" t="s">
        <v>102</v>
      </c>
      <c r="F594" s="232" t="s">
        <v>789</v>
      </c>
      <c r="G594" s="281" t="s">
        <v>296</v>
      </c>
      <c r="H594" s="234" t="s">
        <v>296</v>
      </c>
      <c r="I594" s="234" t="s">
        <v>296</v>
      </c>
      <c r="J594" s="234" t="s">
        <v>17</v>
      </c>
      <c r="K594" s="234" t="s">
        <v>297</v>
      </c>
      <c r="L594" s="234" t="s">
        <v>296</v>
      </c>
      <c r="M594" s="234" t="s">
        <v>296</v>
      </c>
      <c r="N594" s="235" t="s">
        <v>296</v>
      </c>
      <c r="O594" s="236" t="s">
        <v>17</v>
      </c>
      <c r="P594" s="236" t="s">
        <v>17</v>
      </c>
      <c r="Q594" s="236" t="s">
        <v>15</v>
      </c>
      <c r="R594" s="236" t="s">
        <v>15</v>
      </c>
      <c r="S594" s="236" t="s">
        <v>16</v>
      </c>
      <c r="T594" s="236" t="s">
        <v>343</v>
      </c>
      <c r="U594" s="236" t="s">
        <v>262</v>
      </c>
      <c r="V594" s="236" t="s">
        <v>296</v>
      </c>
      <c r="W594" s="237" t="s">
        <v>296</v>
      </c>
      <c r="X594" s="237" t="s">
        <v>296</v>
      </c>
      <c r="Y594" s="238" t="s">
        <v>296</v>
      </c>
    </row>
    <row r="595" spans="1:25">
      <c r="A595" s="230">
        <v>11</v>
      </c>
      <c r="B595" s="231" t="str">
        <f>VLOOKUP(Tabel10[[#This Row],[Locatiecode]],Ruimtegroepen[[Code]:[Ruimte omschrijving]],2,FALSE)</f>
        <v>Garderobes</v>
      </c>
      <c r="C595" s="232" t="s">
        <v>786</v>
      </c>
      <c r="D595" s="231" t="s">
        <v>14</v>
      </c>
      <c r="E595" s="233" t="s">
        <v>103</v>
      </c>
      <c r="F595" s="232" t="s">
        <v>790</v>
      </c>
      <c r="G595" s="281" t="s">
        <v>296</v>
      </c>
      <c r="H595" s="234" t="s">
        <v>296</v>
      </c>
      <c r="I595" s="234" t="s">
        <v>296</v>
      </c>
      <c r="J595" s="234" t="s">
        <v>17</v>
      </c>
      <c r="K595" s="234" t="s">
        <v>297</v>
      </c>
      <c r="L595" s="234" t="s">
        <v>296</v>
      </c>
      <c r="M595" s="234" t="s">
        <v>296</v>
      </c>
      <c r="N595" s="235" t="s">
        <v>296</v>
      </c>
      <c r="O595" s="236" t="s">
        <v>17</v>
      </c>
      <c r="P595" s="236" t="s">
        <v>17</v>
      </c>
      <c r="Q595" s="236" t="s">
        <v>15</v>
      </c>
      <c r="R595" s="236" t="s">
        <v>15</v>
      </c>
      <c r="S595" s="236" t="s">
        <v>16</v>
      </c>
      <c r="T595" s="236" t="s">
        <v>343</v>
      </c>
      <c r="U595" s="236" t="s">
        <v>262</v>
      </c>
      <c r="V595" s="236" t="s">
        <v>296</v>
      </c>
      <c r="W595" s="237" t="s">
        <v>296</v>
      </c>
      <c r="X595" s="237" t="s">
        <v>296</v>
      </c>
      <c r="Y595" s="238" t="s">
        <v>296</v>
      </c>
    </row>
    <row r="596" spans="1:25">
      <c r="A596" s="230">
        <v>11</v>
      </c>
      <c r="B596" s="231" t="str">
        <f>VLOOKUP(Tabel10[[#This Row],[Locatiecode]],Ruimtegroepen[[Code]:[Ruimte omschrijving]],2,FALSE)</f>
        <v>Garderobes</v>
      </c>
      <c r="C596" s="232" t="s">
        <v>786</v>
      </c>
      <c r="D596" s="231" t="s">
        <v>14</v>
      </c>
      <c r="E596" s="233" t="s">
        <v>100</v>
      </c>
      <c r="F596" s="232" t="s">
        <v>788</v>
      </c>
      <c r="G596" s="281" t="s">
        <v>296</v>
      </c>
      <c r="H596" s="235" t="s">
        <v>17</v>
      </c>
      <c r="I596" s="234" t="s">
        <v>296</v>
      </c>
      <c r="J596" s="235" t="s">
        <v>296</v>
      </c>
      <c r="K596" s="235" t="s">
        <v>296</v>
      </c>
      <c r="L596" s="234" t="s">
        <v>296</v>
      </c>
      <c r="M596" s="234" t="s">
        <v>296</v>
      </c>
      <c r="N596" s="235" t="s">
        <v>296</v>
      </c>
      <c r="O596" s="236" t="s">
        <v>17</v>
      </c>
      <c r="P596" s="236" t="s">
        <v>17</v>
      </c>
      <c r="Q596" s="236" t="s">
        <v>15</v>
      </c>
      <c r="R596" s="236" t="s">
        <v>15</v>
      </c>
      <c r="S596" s="236" t="s">
        <v>16</v>
      </c>
      <c r="T596" s="236" t="s">
        <v>343</v>
      </c>
      <c r="U596" s="236" t="s">
        <v>262</v>
      </c>
      <c r="V596" s="236" t="s">
        <v>296</v>
      </c>
      <c r="W596" s="237" t="s">
        <v>296</v>
      </c>
      <c r="X596" s="237" t="s">
        <v>296</v>
      </c>
      <c r="Y596" s="238" t="s">
        <v>296</v>
      </c>
    </row>
    <row r="597" spans="1:25">
      <c r="A597" s="230">
        <v>11</v>
      </c>
      <c r="B597" s="231" t="str">
        <f>VLOOKUP(Tabel10[[#This Row],[Locatiecode]],Ruimtegroepen[[Code]:[Ruimte omschrijving]],2,FALSE)</f>
        <v>Garderobes</v>
      </c>
      <c r="C597" s="232" t="s">
        <v>786</v>
      </c>
      <c r="D597" s="231" t="s">
        <v>14</v>
      </c>
      <c r="E597" s="233" t="s">
        <v>1344</v>
      </c>
      <c r="F597" s="232" t="s">
        <v>1435</v>
      </c>
      <c r="G597" s="281" t="s">
        <v>296</v>
      </c>
      <c r="H597" s="234" t="s">
        <v>296</v>
      </c>
      <c r="I597" s="234" t="s">
        <v>296</v>
      </c>
      <c r="J597" s="234" t="s">
        <v>17</v>
      </c>
      <c r="K597" s="234" t="s">
        <v>297</v>
      </c>
      <c r="L597" s="234" t="s">
        <v>296</v>
      </c>
      <c r="M597" s="234" t="s">
        <v>296</v>
      </c>
      <c r="N597" s="235" t="s">
        <v>296</v>
      </c>
      <c r="O597" s="236" t="s">
        <v>17</v>
      </c>
      <c r="P597" s="236" t="s">
        <v>17</v>
      </c>
      <c r="Q597" s="236" t="s">
        <v>15</v>
      </c>
      <c r="R597" s="236" t="s">
        <v>15</v>
      </c>
      <c r="S597" s="236" t="s">
        <v>16</v>
      </c>
      <c r="T597" s="236" t="s">
        <v>343</v>
      </c>
      <c r="U597" s="236" t="s">
        <v>262</v>
      </c>
      <c r="V597" s="236" t="s">
        <v>296</v>
      </c>
      <c r="W597" s="237" t="s">
        <v>296</v>
      </c>
      <c r="X597" s="237" t="s">
        <v>296</v>
      </c>
      <c r="Y597" s="238" t="s">
        <v>296</v>
      </c>
    </row>
    <row r="598" spans="1:25">
      <c r="A598" s="230">
        <v>11</v>
      </c>
      <c r="B598" s="231" t="str">
        <f>VLOOKUP(Tabel10[[#This Row],[Locatiecode]],Ruimtegroepen[[Code]:[Ruimte omschrijving]],2,FALSE)</f>
        <v>Garderobes</v>
      </c>
      <c r="C598" s="232" t="s">
        <v>791</v>
      </c>
      <c r="D598" s="231" t="s">
        <v>13</v>
      </c>
      <c r="E598" s="233" t="s">
        <v>101</v>
      </c>
      <c r="F598" s="232" t="s">
        <v>792</v>
      </c>
      <c r="G598" s="281" t="s">
        <v>296</v>
      </c>
      <c r="H598" s="234" t="s">
        <v>296</v>
      </c>
      <c r="I598" s="234" t="s">
        <v>296</v>
      </c>
      <c r="J598" s="235" t="s">
        <v>15</v>
      </c>
      <c r="K598" s="235" t="s">
        <v>296</v>
      </c>
      <c r="L598" s="234" t="s">
        <v>296</v>
      </c>
      <c r="M598" s="234" t="s">
        <v>296</v>
      </c>
      <c r="N598" s="235" t="s">
        <v>296</v>
      </c>
      <c r="O598" s="236" t="s">
        <v>15</v>
      </c>
      <c r="P598" s="236" t="s">
        <v>15</v>
      </c>
      <c r="Q598" s="236" t="s">
        <v>15</v>
      </c>
      <c r="R598" s="236" t="s">
        <v>15</v>
      </c>
      <c r="S598" s="236" t="s">
        <v>16</v>
      </c>
      <c r="T598" s="236" t="s">
        <v>343</v>
      </c>
      <c r="U598" s="236" t="s">
        <v>262</v>
      </c>
      <c r="V598" s="236" t="s">
        <v>296</v>
      </c>
      <c r="W598" s="237" t="s">
        <v>296</v>
      </c>
      <c r="X598" s="237" t="s">
        <v>296</v>
      </c>
      <c r="Y598" s="238" t="s">
        <v>296</v>
      </c>
    </row>
    <row r="599" spans="1:25">
      <c r="A599" s="230">
        <v>11</v>
      </c>
      <c r="B599" s="231" t="str">
        <f>VLOOKUP(Tabel10[[#This Row],[Locatiecode]],Ruimtegroepen[[Code]:[Ruimte omschrijving]],2,FALSE)</f>
        <v>Garderobes</v>
      </c>
      <c r="C599" s="232" t="s">
        <v>791</v>
      </c>
      <c r="D599" s="231" t="s">
        <v>13</v>
      </c>
      <c r="E599" s="233" t="s">
        <v>100</v>
      </c>
      <c r="F599" s="232" t="s">
        <v>793</v>
      </c>
      <c r="G599" s="281" t="s">
        <v>296</v>
      </c>
      <c r="H599" s="235" t="s">
        <v>15</v>
      </c>
      <c r="I599" s="234" t="s">
        <v>296</v>
      </c>
      <c r="J599" s="235" t="s">
        <v>296</v>
      </c>
      <c r="K599" s="235" t="s">
        <v>296</v>
      </c>
      <c r="L599" s="234" t="s">
        <v>296</v>
      </c>
      <c r="M599" s="234" t="s">
        <v>296</v>
      </c>
      <c r="N599" s="235" t="s">
        <v>296</v>
      </c>
      <c r="O599" s="236" t="s">
        <v>15</v>
      </c>
      <c r="P599" s="236" t="s">
        <v>15</v>
      </c>
      <c r="Q599" s="236" t="s">
        <v>15</v>
      </c>
      <c r="R599" s="236" t="s">
        <v>15</v>
      </c>
      <c r="S599" s="236" t="s">
        <v>16</v>
      </c>
      <c r="T599" s="236" t="s">
        <v>343</v>
      </c>
      <c r="U599" s="236" t="s">
        <v>262</v>
      </c>
      <c r="V599" s="236" t="s">
        <v>296</v>
      </c>
      <c r="W599" s="237" t="s">
        <v>296</v>
      </c>
      <c r="X599" s="237" t="s">
        <v>296</v>
      </c>
      <c r="Y599" s="238" t="s">
        <v>296</v>
      </c>
    </row>
    <row r="600" spans="1:25">
      <c r="A600" s="230">
        <v>11</v>
      </c>
      <c r="B600" s="231" t="str">
        <f>VLOOKUP(Tabel10[[#This Row],[Locatiecode]],Ruimtegroepen[[Code]:[Ruimte omschrijving]],2,FALSE)</f>
        <v>Garderobes</v>
      </c>
      <c r="C600" s="232" t="s">
        <v>791</v>
      </c>
      <c r="D600" s="231" t="s">
        <v>13</v>
      </c>
      <c r="E600" s="233" t="s">
        <v>102</v>
      </c>
      <c r="F600" s="232" t="s">
        <v>794</v>
      </c>
      <c r="G600" s="281" t="s">
        <v>296</v>
      </c>
      <c r="H600" s="234" t="s">
        <v>296</v>
      </c>
      <c r="I600" s="234" t="s">
        <v>296</v>
      </c>
      <c r="J600" s="234" t="s">
        <v>15</v>
      </c>
      <c r="K600" s="234" t="s">
        <v>297</v>
      </c>
      <c r="L600" s="234" t="s">
        <v>296</v>
      </c>
      <c r="M600" s="234" t="s">
        <v>296</v>
      </c>
      <c r="N600" s="235" t="s">
        <v>296</v>
      </c>
      <c r="O600" s="236" t="s">
        <v>15</v>
      </c>
      <c r="P600" s="236" t="s">
        <v>15</v>
      </c>
      <c r="Q600" s="236" t="s">
        <v>15</v>
      </c>
      <c r="R600" s="236" t="s">
        <v>15</v>
      </c>
      <c r="S600" s="236" t="s">
        <v>16</v>
      </c>
      <c r="T600" s="236" t="s">
        <v>343</v>
      </c>
      <c r="U600" s="236" t="s">
        <v>262</v>
      </c>
      <c r="V600" s="236" t="s">
        <v>296</v>
      </c>
      <c r="W600" s="237" t="s">
        <v>296</v>
      </c>
      <c r="X600" s="237" t="s">
        <v>296</v>
      </c>
      <c r="Y600" s="238" t="s">
        <v>296</v>
      </c>
    </row>
    <row r="601" spans="1:25">
      <c r="A601" s="230">
        <v>11</v>
      </c>
      <c r="B601" s="231" t="str">
        <f>VLOOKUP(Tabel10[[#This Row],[Locatiecode]],Ruimtegroepen[[Code]:[Ruimte omschrijving]],2,FALSE)</f>
        <v>Garderobes</v>
      </c>
      <c r="C601" s="232" t="s">
        <v>791</v>
      </c>
      <c r="D601" s="231" t="s">
        <v>13</v>
      </c>
      <c r="E601" s="233" t="s">
        <v>103</v>
      </c>
      <c r="F601" s="232" t="s">
        <v>795</v>
      </c>
      <c r="G601" s="281" t="s">
        <v>296</v>
      </c>
      <c r="H601" s="234" t="s">
        <v>296</v>
      </c>
      <c r="I601" s="234" t="s">
        <v>296</v>
      </c>
      <c r="J601" s="234" t="s">
        <v>15</v>
      </c>
      <c r="K601" s="234" t="s">
        <v>297</v>
      </c>
      <c r="L601" s="234" t="s">
        <v>296</v>
      </c>
      <c r="M601" s="234" t="s">
        <v>296</v>
      </c>
      <c r="N601" s="235" t="s">
        <v>296</v>
      </c>
      <c r="O601" s="236" t="s">
        <v>15</v>
      </c>
      <c r="P601" s="236" t="s">
        <v>15</v>
      </c>
      <c r="Q601" s="236" t="s">
        <v>15</v>
      </c>
      <c r="R601" s="236" t="s">
        <v>15</v>
      </c>
      <c r="S601" s="236" t="s">
        <v>16</v>
      </c>
      <c r="T601" s="236" t="s">
        <v>343</v>
      </c>
      <c r="U601" s="236" t="s">
        <v>262</v>
      </c>
      <c r="V601" s="236" t="s">
        <v>296</v>
      </c>
      <c r="W601" s="237" t="s">
        <v>296</v>
      </c>
      <c r="X601" s="237" t="s">
        <v>296</v>
      </c>
      <c r="Y601" s="238" t="s">
        <v>296</v>
      </c>
    </row>
    <row r="602" spans="1:25">
      <c r="A602" s="230">
        <v>11</v>
      </c>
      <c r="B602" s="231" t="str">
        <f>VLOOKUP(Tabel10[[#This Row],[Locatiecode]],Ruimtegroepen[[Code]:[Ruimte omschrijving]],2,FALSE)</f>
        <v>Garderobes</v>
      </c>
      <c r="C602" s="232" t="s">
        <v>791</v>
      </c>
      <c r="D602" s="231" t="s">
        <v>13</v>
      </c>
      <c r="E602" s="233" t="s">
        <v>100</v>
      </c>
      <c r="F602" s="232" t="s">
        <v>793</v>
      </c>
      <c r="G602" s="281" t="s">
        <v>296</v>
      </c>
      <c r="H602" s="235" t="s">
        <v>15</v>
      </c>
      <c r="I602" s="234" t="s">
        <v>296</v>
      </c>
      <c r="J602" s="235" t="s">
        <v>296</v>
      </c>
      <c r="K602" s="235" t="s">
        <v>296</v>
      </c>
      <c r="L602" s="234" t="s">
        <v>296</v>
      </c>
      <c r="M602" s="234" t="s">
        <v>296</v>
      </c>
      <c r="N602" s="235" t="s">
        <v>296</v>
      </c>
      <c r="O602" s="236" t="s">
        <v>15</v>
      </c>
      <c r="P602" s="236" t="s">
        <v>15</v>
      </c>
      <c r="Q602" s="236" t="s">
        <v>15</v>
      </c>
      <c r="R602" s="236" t="s">
        <v>15</v>
      </c>
      <c r="S602" s="236" t="s">
        <v>16</v>
      </c>
      <c r="T602" s="236" t="s">
        <v>343</v>
      </c>
      <c r="U602" s="236" t="s">
        <v>262</v>
      </c>
      <c r="V602" s="236" t="s">
        <v>296</v>
      </c>
      <c r="W602" s="237" t="s">
        <v>296</v>
      </c>
      <c r="X602" s="237" t="s">
        <v>296</v>
      </c>
      <c r="Y602" s="238" t="s">
        <v>296</v>
      </c>
    </row>
    <row r="603" spans="1:25">
      <c r="A603" s="230">
        <v>11</v>
      </c>
      <c r="B603" s="231" t="str">
        <f>VLOOKUP(Tabel10[[#This Row],[Locatiecode]],Ruimtegroepen[[Code]:[Ruimte omschrijving]],2,FALSE)</f>
        <v>Garderobes</v>
      </c>
      <c r="C603" s="232" t="s">
        <v>791</v>
      </c>
      <c r="D603" s="231" t="s">
        <v>13</v>
      </c>
      <c r="E603" s="233" t="s">
        <v>1344</v>
      </c>
      <c r="F603" s="232" t="s">
        <v>1402</v>
      </c>
      <c r="G603" s="281" t="s">
        <v>296</v>
      </c>
      <c r="H603" s="234" t="s">
        <v>296</v>
      </c>
      <c r="I603" s="234" t="s">
        <v>296</v>
      </c>
      <c r="J603" s="234" t="s">
        <v>15</v>
      </c>
      <c r="K603" s="234" t="s">
        <v>297</v>
      </c>
      <c r="L603" s="234" t="s">
        <v>296</v>
      </c>
      <c r="M603" s="234" t="s">
        <v>296</v>
      </c>
      <c r="N603" s="235" t="s">
        <v>296</v>
      </c>
      <c r="O603" s="236" t="s">
        <v>15</v>
      </c>
      <c r="P603" s="236" t="s">
        <v>15</v>
      </c>
      <c r="Q603" s="236" t="s">
        <v>15</v>
      </c>
      <c r="R603" s="236" t="s">
        <v>15</v>
      </c>
      <c r="S603" s="236" t="s">
        <v>16</v>
      </c>
      <c r="T603" s="236" t="s">
        <v>343</v>
      </c>
      <c r="U603" s="236" t="s">
        <v>262</v>
      </c>
      <c r="V603" s="236" t="s">
        <v>296</v>
      </c>
      <c r="W603" s="237" t="s">
        <v>296</v>
      </c>
      <c r="X603" s="237" t="s">
        <v>296</v>
      </c>
      <c r="Y603" s="238" t="s">
        <v>296</v>
      </c>
    </row>
    <row r="604" spans="1:25">
      <c r="A604" s="230">
        <v>11</v>
      </c>
      <c r="B604" s="231" t="str">
        <f>VLOOKUP(Tabel10[[#This Row],[Locatiecode]],Ruimtegroepen[[Code]:[Ruimte omschrijving]],2,FALSE)</f>
        <v>Garderobes</v>
      </c>
      <c r="C604" s="232" t="s">
        <v>796</v>
      </c>
      <c r="D604" s="231" t="s">
        <v>0</v>
      </c>
      <c r="E604" s="233" t="s">
        <v>101</v>
      </c>
      <c r="F604" s="232" t="s">
        <v>797</v>
      </c>
      <c r="G604" s="281" t="s">
        <v>296</v>
      </c>
      <c r="H604" s="234" t="s">
        <v>296</v>
      </c>
      <c r="I604" s="234" t="s">
        <v>296</v>
      </c>
      <c r="J604" s="235" t="s">
        <v>16</v>
      </c>
      <c r="K604" s="235" t="s">
        <v>296</v>
      </c>
      <c r="L604" s="234" t="s">
        <v>296</v>
      </c>
      <c r="M604" s="234" t="s">
        <v>296</v>
      </c>
      <c r="N604" s="235" t="s">
        <v>296</v>
      </c>
      <c r="O604" s="236" t="s">
        <v>16</v>
      </c>
      <c r="P604" s="236" t="s">
        <v>16</v>
      </c>
      <c r="Q604" s="236" t="s">
        <v>16</v>
      </c>
      <c r="R604" s="236" t="s">
        <v>16</v>
      </c>
      <c r="S604" s="236" t="s">
        <v>16</v>
      </c>
      <c r="T604" s="236" t="s">
        <v>343</v>
      </c>
      <c r="U604" s="236" t="s">
        <v>262</v>
      </c>
      <c r="V604" s="236" t="s">
        <v>296</v>
      </c>
      <c r="W604" s="237" t="s">
        <v>296</v>
      </c>
      <c r="X604" s="237" t="s">
        <v>296</v>
      </c>
      <c r="Y604" s="238" t="s">
        <v>296</v>
      </c>
    </row>
    <row r="605" spans="1:25">
      <c r="A605" s="230">
        <v>11</v>
      </c>
      <c r="B605" s="231" t="str">
        <f>VLOOKUP(Tabel10[[#This Row],[Locatiecode]],Ruimtegroepen[[Code]:[Ruimte omschrijving]],2,FALSE)</f>
        <v>Garderobes</v>
      </c>
      <c r="C605" s="232" t="s">
        <v>796</v>
      </c>
      <c r="D605" s="231" t="s">
        <v>0</v>
      </c>
      <c r="E605" s="233" t="s">
        <v>100</v>
      </c>
      <c r="F605" s="232" t="s">
        <v>798</v>
      </c>
      <c r="G605" s="281" t="s">
        <v>296</v>
      </c>
      <c r="H605" s="235" t="s">
        <v>16</v>
      </c>
      <c r="I605" s="234" t="s">
        <v>296</v>
      </c>
      <c r="J605" s="235" t="s">
        <v>296</v>
      </c>
      <c r="K605" s="235" t="s">
        <v>296</v>
      </c>
      <c r="L605" s="234" t="s">
        <v>296</v>
      </c>
      <c r="M605" s="234" t="s">
        <v>296</v>
      </c>
      <c r="N605" s="235" t="s">
        <v>296</v>
      </c>
      <c r="O605" s="236" t="s">
        <v>16</v>
      </c>
      <c r="P605" s="236" t="s">
        <v>16</v>
      </c>
      <c r="Q605" s="236" t="s">
        <v>16</v>
      </c>
      <c r="R605" s="236" t="s">
        <v>16</v>
      </c>
      <c r="S605" s="236" t="s">
        <v>16</v>
      </c>
      <c r="T605" s="236" t="s">
        <v>343</v>
      </c>
      <c r="U605" s="236" t="s">
        <v>262</v>
      </c>
      <c r="V605" s="236" t="s">
        <v>296</v>
      </c>
      <c r="W605" s="237" t="s">
        <v>296</v>
      </c>
      <c r="X605" s="237" t="s">
        <v>296</v>
      </c>
      <c r="Y605" s="238" t="s">
        <v>296</v>
      </c>
    </row>
    <row r="606" spans="1:25">
      <c r="A606" s="230">
        <v>11</v>
      </c>
      <c r="B606" s="231" t="str">
        <f>VLOOKUP(Tabel10[[#This Row],[Locatiecode]],Ruimtegroepen[[Code]:[Ruimte omschrijving]],2,FALSE)</f>
        <v>Garderobes</v>
      </c>
      <c r="C606" s="232" t="s">
        <v>796</v>
      </c>
      <c r="D606" s="231" t="s">
        <v>0</v>
      </c>
      <c r="E606" s="233" t="s">
        <v>102</v>
      </c>
      <c r="F606" s="232" t="s">
        <v>799</v>
      </c>
      <c r="G606" s="281" t="s">
        <v>296</v>
      </c>
      <c r="H606" s="234" t="s">
        <v>296</v>
      </c>
      <c r="I606" s="234" t="s">
        <v>296</v>
      </c>
      <c r="J606" s="234" t="s">
        <v>16</v>
      </c>
      <c r="K606" s="234" t="s">
        <v>297</v>
      </c>
      <c r="L606" s="234" t="s">
        <v>296</v>
      </c>
      <c r="M606" s="234" t="s">
        <v>296</v>
      </c>
      <c r="N606" s="235" t="s">
        <v>296</v>
      </c>
      <c r="O606" s="236" t="s">
        <v>16</v>
      </c>
      <c r="P606" s="236" t="s">
        <v>16</v>
      </c>
      <c r="Q606" s="236" t="s">
        <v>16</v>
      </c>
      <c r="R606" s="236" t="s">
        <v>16</v>
      </c>
      <c r="S606" s="236" t="s">
        <v>16</v>
      </c>
      <c r="T606" s="236" t="s">
        <v>343</v>
      </c>
      <c r="U606" s="236" t="s">
        <v>262</v>
      </c>
      <c r="V606" s="236" t="s">
        <v>296</v>
      </c>
      <c r="W606" s="237" t="s">
        <v>296</v>
      </c>
      <c r="X606" s="237" t="s">
        <v>296</v>
      </c>
      <c r="Y606" s="238" t="s">
        <v>296</v>
      </c>
    </row>
    <row r="607" spans="1:25">
      <c r="A607" s="230">
        <v>11</v>
      </c>
      <c r="B607" s="231" t="str">
        <f>VLOOKUP(Tabel10[[#This Row],[Locatiecode]],Ruimtegroepen[[Code]:[Ruimte omschrijving]],2,FALSE)</f>
        <v>Garderobes</v>
      </c>
      <c r="C607" s="232" t="s">
        <v>796</v>
      </c>
      <c r="D607" s="231" t="s">
        <v>0</v>
      </c>
      <c r="E607" s="233" t="s">
        <v>103</v>
      </c>
      <c r="F607" s="232" t="s">
        <v>800</v>
      </c>
      <c r="G607" s="281" t="s">
        <v>296</v>
      </c>
      <c r="H607" s="234" t="s">
        <v>296</v>
      </c>
      <c r="I607" s="234" t="s">
        <v>296</v>
      </c>
      <c r="J607" s="234" t="s">
        <v>16</v>
      </c>
      <c r="K607" s="234" t="s">
        <v>297</v>
      </c>
      <c r="L607" s="234" t="s">
        <v>296</v>
      </c>
      <c r="M607" s="234" t="s">
        <v>296</v>
      </c>
      <c r="N607" s="235" t="s">
        <v>296</v>
      </c>
      <c r="O607" s="236" t="s">
        <v>16</v>
      </c>
      <c r="P607" s="236" t="s">
        <v>16</v>
      </c>
      <c r="Q607" s="236" t="s">
        <v>16</v>
      </c>
      <c r="R607" s="236" t="s">
        <v>16</v>
      </c>
      <c r="S607" s="236" t="s">
        <v>16</v>
      </c>
      <c r="T607" s="236" t="s">
        <v>343</v>
      </c>
      <c r="U607" s="236" t="s">
        <v>262</v>
      </c>
      <c r="V607" s="236" t="s">
        <v>296</v>
      </c>
      <c r="W607" s="237" t="s">
        <v>296</v>
      </c>
      <c r="X607" s="237" t="s">
        <v>296</v>
      </c>
      <c r="Y607" s="238" t="s">
        <v>296</v>
      </c>
    </row>
    <row r="608" spans="1:25">
      <c r="A608" s="230">
        <v>11</v>
      </c>
      <c r="B608" s="231" t="str">
        <f>VLOOKUP(Tabel10[[#This Row],[Locatiecode]],Ruimtegroepen[[Code]:[Ruimte omschrijving]],2,FALSE)</f>
        <v>Garderobes</v>
      </c>
      <c r="C608" s="232" t="s">
        <v>796</v>
      </c>
      <c r="D608" s="231" t="s">
        <v>0</v>
      </c>
      <c r="E608" s="233" t="s">
        <v>100</v>
      </c>
      <c r="F608" s="232" t="s">
        <v>798</v>
      </c>
      <c r="G608" s="281" t="s">
        <v>296</v>
      </c>
      <c r="H608" s="235" t="s">
        <v>16</v>
      </c>
      <c r="I608" s="234" t="s">
        <v>296</v>
      </c>
      <c r="J608" s="235" t="s">
        <v>296</v>
      </c>
      <c r="K608" s="235" t="s">
        <v>296</v>
      </c>
      <c r="L608" s="234" t="s">
        <v>296</v>
      </c>
      <c r="M608" s="234" t="s">
        <v>296</v>
      </c>
      <c r="N608" s="235" t="s">
        <v>296</v>
      </c>
      <c r="O608" s="236" t="s">
        <v>16</v>
      </c>
      <c r="P608" s="236" t="s">
        <v>16</v>
      </c>
      <c r="Q608" s="236" t="s">
        <v>16</v>
      </c>
      <c r="R608" s="236" t="s">
        <v>16</v>
      </c>
      <c r="S608" s="236" t="s">
        <v>16</v>
      </c>
      <c r="T608" s="236" t="s">
        <v>343</v>
      </c>
      <c r="U608" s="236" t="s">
        <v>262</v>
      </c>
      <c r="V608" s="236" t="s">
        <v>296</v>
      </c>
      <c r="W608" s="237" t="s">
        <v>296</v>
      </c>
      <c r="X608" s="237" t="s">
        <v>296</v>
      </c>
      <c r="Y608" s="238" t="s">
        <v>296</v>
      </c>
    </row>
    <row r="609" spans="1:25">
      <c r="A609" s="230">
        <v>11</v>
      </c>
      <c r="B609" s="231" t="str">
        <f>VLOOKUP(Tabel10[[#This Row],[Locatiecode]],Ruimtegroepen[[Code]:[Ruimte omschrijving]],2,FALSE)</f>
        <v>Garderobes</v>
      </c>
      <c r="C609" s="232" t="s">
        <v>796</v>
      </c>
      <c r="D609" s="231" t="s">
        <v>0</v>
      </c>
      <c r="E609" s="233" t="s">
        <v>1344</v>
      </c>
      <c r="F609" s="232" t="s">
        <v>1386</v>
      </c>
      <c r="G609" s="281" t="s">
        <v>296</v>
      </c>
      <c r="H609" s="234" t="s">
        <v>296</v>
      </c>
      <c r="I609" s="234" t="s">
        <v>296</v>
      </c>
      <c r="J609" s="234" t="s">
        <v>16</v>
      </c>
      <c r="K609" s="234" t="s">
        <v>297</v>
      </c>
      <c r="L609" s="234" t="s">
        <v>296</v>
      </c>
      <c r="M609" s="234" t="s">
        <v>296</v>
      </c>
      <c r="N609" s="235" t="s">
        <v>296</v>
      </c>
      <c r="O609" s="236" t="s">
        <v>16</v>
      </c>
      <c r="P609" s="236" t="s">
        <v>16</v>
      </c>
      <c r="Q609" s="236" t="s">
        <v>16</v>
      </c>
      <c r="R609" s="236" t="s">
        <v>16</v>
      </c>
      <c r="S609" s="236" t="s">
        <v>16</v>
      </c>
      <c r="T609" s="236" t="s">
        <v>343</v>
      </c>
      <c r="U609" s="236" t="s">
        <v>262</v>
      </c>
      <c r="V609" s="236" t="s">
        <v>296</v>
      </c>
      <c r="W609" s="237" t="s">
        <v>296</v>
      </c>
      <c r="X609" s="237" t="s">
        <v>296</v>
      </c>
      <c r="Y609" s="238" t="s">
        <v>296</v>
      </c>
    </row>
    <row r="610" spans="1:25">
      <c r="A610" s="230">
        <v>11</v>
      </c>
      <c r="B610" s="231" t="str">
        <f>VLOOKUP(Tabel10[[#This Row],[Locatiecode]],Ruimtegroepen[[Code]:[Ruimte omschrijving]],2,FALSE)</f>
        <v>Garderobes</v>
      </c>
      <c r="C610" s="232" t="s">
        <v>801</v>
      </c>
      <c r="D610" s="231" t="s">
        <v>27</v>
      </c>
      <c r="E610" s="233" t="s">
        <v>101</v>
      </c>
      <c r="F610" s="232" t="s">
        <v>802</v>
      </c>
      <c r="G610" s="281" t="s">
        <v>296</v>
      </c>
      <c r="H610" s="234" t="s">
        <v>296</v>
      </c>
      <c r="I610" s="235" t="s">
        <v>15</v>
      </c>
      <c r="J610" s="234" t="s">
        <v>296</v>
      </c>
      <c r="K610" s="235" t="s">
        <v>296</v>
      </c>
      <c r="L610" s="234" t="s">
        <v>296</v>
      </c>
      <c r="M610" s="234" t="s">
        <v>296</v>
      </c>
      <c r="N610" s="235" t="s">
        <v>296</v>
      </c>
      <c r="O610" s="236" t="s">
        <v>15</v>
      </c>
      <c r="P610" s="236" t="s">
        <v>15</v>
      </c>
      <c r="Q610" s="236" t="s">
        <v>15</v>
      </c>
      <c r="R610" s="236" t="s">
        <v>296</v>
      </c>
      <c r="S610" s="236" t="s">
        <v>296</v>
      </c>
      <c r="T610" s="236" t="s">
        <v>296</v>
      </c>
      <c r="U610" s="236" t="s">
        <v>296</v>
      </c>
      <c r="V610" s="236" t="s">
        <v>296</v>
      </c>
      <c r="W610" s="237" t="s">
        <v>296</v>
      </c>
      <c r="X610" s="237" t="s">
        <v>296</v>
      </c>
      <c r="Y610" s="238" t="s">
        <v>296</v>
      </c>
    </row>
    <row r="611" spans="1:25">
      <c r="A611" s="230">
        <v>11</v>
      </c>
      <c r="B611" s="231" t="str">
        <f>VLOOKUP(Tabel10[[#This Row],[Locatiecode]],Ruimtegroepen[[Code]:[Ruimte omschrijving]],2,FALSE)</f>
        <v>Garderobes</v>
      </c>
      <c r="C611" s="232" t="s">
        <v>801</v>
      </c>
      <c r="D611" s="231" t="s">
        <v>27</v>
      </c>
      <c r="E611" s="233" t="s">
        <v>100</v>
      </c>
      <c r="F611" s="232" t="s">
        <v>803</v>
      </c>
      <c r="G611" s="281" t="s">
        <v>296</v>
      </c>
      <c r="H611" s="235" t="s">
        <v>15</v>
      </c>
      <c r="I611" s="234" t="s">
        <v>296</v>
      </c>
      <c r="J611" s="235" t="s">
        <v>296</v>
      </c>
      <c r="K611" s="235" t="s">
        <v>296</v>
      </c>
      <c r="L611" s="234" t="s">
        <v>296</v>
      </c>
      <c r="M611" s="234" t="s">
        <v>296</v>
      </c>
      <c r="N611" s="235" t="s">
        <v>296</v>
      </c>
      <c r="O611" s="236" t="s">
        <v>15</v>
      </c>
      <c r="P611" s="236" t="s">
        <v>15</v>
      </c>
      <c r="Q611" s="236" t="s">
        <v>15</v>
      </c>
      <c r="R611" s="236" t="s">
        <v>296</v>
      </c>
      <c r="S611" s="236" t="s">
        <v>296</v>
      </c>
      <c r="T611" s="236" t="s">
        <v>296</v>
      </c>
      <c r="U611" s="236" t="s">
        <v>296</v>
      </c>
      <c r="V611" s="236" t="s">
        <v>296</v>
      </c>
      <c r="W611" s="237" t="s">
        <v>296</v>
      </c>
      <c r="X611" s="237" t="s">
        <v>296</v>
      </c>
      <c r="Y611" s="238" t="s">
        <v>296</v>
      </c>
    </row>
    <row r="612" spans="1:25">
      <c r="A612" s="230">
        <v>11</v>
      </c>
      <c r="B612" s="231" t="str">
        <f>VLOOKUP(Tabel10[[#This Row],[Locatiecode]],Ruimtegroepen[[Code]:[Ruimte omschrijving]],2,FALSE)</f>
        <v>Garderobes</v>
      </c>
      <c r="C612" s="232" t="s">
        <v>801</v>
      </c>
      <c r="D612" s="231" t="s">
        <v>27</v>
      </c>
      <c r="E612" s="233" t="s">
        <v>102</v>
      </c>
      <c r="F612" s="232" t="s">
        <v>804</v>
      </c>
      <c r="G612" s="281" t="s">
        <v>296</v>
      </c>
      <c r="H612" s="234" t="s">
        <v>296</v>
      </c>
      <c r="I612" s="235" t="s">
        <v>15</v>
      </c>
      <c r="J612" s="235" t="s">
        <v>296</v>
      </c>
      <c r="K612" s="235" t="s">
        <v>296</v>
      </c>
      <c r="L612" s="234" t="s">
        <v>296</v>
      </c>
      <c r="M612" s="234" t="s">
        <v>296</v>
      </c>
      <c r="N612" s="235" t="s">
        <v>296</v>
      </c>
      <c r="O612" s="236" t="s">
        <v>15</v>
      </c>
      <c r="P612" s="236" t="s">
        <v>15</v>
      </c>
      <c r="Q612" s="236" t="s">
        <v>15</v>
      </c>
      <c r="R612" s="236" t="s">
        <v>296</v>
      </c>
      <c r="S612" s="236" t="s">
        <v>296</v>
      </c>
      <c r="T612" s="236" t="s">
        <v>296</v>
      </c>
      <c r="U612" s="236" t="s">
        <v>296</v>
      </c>
      <c r="V612" s="236" t="s">
        <v>296</v>
      </c>
      <c r="W612" s="237" t="s">
        <v>296</v>
      </c>
      <c r="X612" s="237" t="s">
        <v>296</v>
      </c>
      <c r="Y612" s="238" t="s">
        <v>296</v>
      </c>
    </row>
    <row r="613" spans="1:25">
      <c r="A613" s="230">
        <v>11</v>
      </c>
      <c r="B613" s="231" t="str">
        <f>VLOOKUP(Tabel10[[#This Row],[Locatiecode]],Ruimtegroepen[[Code]:[Ruimte omschrijving]],2,FALSE)</f>
        <v>Garderobes</v>
      </c>
      <c r="C613" s="232" t="s">
        <v>801</v>
      </c>
      <c r="D613" s="231" t="s">
        <v>27</v>
      </c>
      <c r="E613" s="233" t="s">
        <v>103</v>
      </c>
      <c r="F613" s="232" t="s">
        <v>805</v>
      </c>
      <c r="G613" s="281" t="s">
        <v>296</v>
      </c>
      <c r="H613" s="234" t="s">
        <v>296</v>
      </c>
      <c r="I613" s="235" t="s">
        <v>15</v>
      </c>
      <c r="J613" s="235" t="s">
        <v>296</v>
      </c>
      <c r="K613" s="235" t="s">
        <v>296</v>
      </c>
      <c r="L613" s="234" t="s">
        <v>296</v>
      </c>
      <c r="M613" s="234" t="s">
        <v>296</v>
      </c>
      <c r="N613" s="235" t="s">
        <v>296</v>
      </c>
      <c r="O613" s="236" t="s">
        <v>15</v>
      </c>
      <c r="P613" s="236" t="s">
        <v>15</v>
      </c>
      <c r="Q613" s="236" t="s">
        <v>15</v>
      </c>
      <c r="R613" s="236" t="s">
        <v>296</v>
      </c>
      <c r="S613" s="236" t="s">
        <v>296</v>
      </c>
      <c r="T613" s="236" t="s">
        <v>296</v>
      </c>
      <c r="U613" s="236" t="s">
        <v>296</v>
      </c>
      <c r="V613" s="236" t="s">
        <v>296</v>
      </c>
      <c r="W613" s="237" t="s">
        <v>296</v>
      </c>
      <c r="X613" s="237" t="s">
        <v>296</v>
      </c>
      <c r="Y613" s="238" t="s">
        <v>296</v>
      </c>
    </row>
    <row r="614" spans="1:25">
      <c r="A614" s="230">
        <v>11</v>
      </c>
      <c r="B614" s="231" t="str">
        <f>VLOOKUP(Tabel10[[#This Row],[Locatiecode]],Ruimtegroepen[[Code]:[Ruimte omschrijving]],2,FALSE)</f>
        <v>Garderobes</v>
      </c>
      <c r="C614" s="232" t="s">
        <v>801</v>
      </c>
      <c r="D614" s="231" t="s">
        <v>27</v>
      </c>
      <c r="E614" s="233" t="s">
        <v>100</v>
      </c>
      <c r="F614" s="232" t="s">
        <v>803</v>
      </c>
      <c r="G614" s="281" t="s">
        <v>296</v>
      </c>
      <c r="H614" s="235" t="s">
        <v>15</v>
      </c>
      <c r="I614" s="234" t="s">
        <v>296</v>
      </c>
      <c r="J614" s="235" t="s">
        <v>296</v>
      </c>
      <c r="K614" s="235" t="s">
        <v>296</v>
      </c>
      <c r="L614" s="234" t="s">
        <v>296</v>
      </c>
      <c r="M614" s="234" t="s">
        <v>296</v>
      </c>
      <c r="N614" s="235" t="s">
        <v>296</v>
      </c>
      <c r="O614" s="236" t="s">
        <v>15</v>
      </c>
      <c r="P614" s="236" t="s">
        <v>15</v>
      </c>
      <c r="Q614" s="236" t="s">
        <v>15</v>
      </c>
      <c r="R614" s="236" t="s">
        <v>296</v>
      </c>
      <c r="S614" s="236" t="s">
        <v>296</v>
      </c>
      <c r="T614" s="236" t="s">
        <v>296</v>
      </c>
      <c r="U614" s="236" t="s">
        <v>296</v>
      </c>
      <c r="V614" s="236" t="s">
        <v>296</v>
      </c>
      <c r="W614" s="237" t="s">
        <v>296</v>
      </c>
      <c r="X614" s="237" t="s">
        <v>296</v>
      </c>
      <c r="Y614" s="238" t="s">
        <v>296</v>
      </c>
    </row>
    <row r="615" spans="1:25">
      <c r="A615" s="230">
        <v>11</v>
      </c>
      <c r="B615" s="231" t="str">
        <f>VLOOKUP(Tabel10[[#This Row],[Locatiecode]],Ruimtegroepen[[Code]:[Ruimte omschrijving]],2,FALSE)</f>
        <v>Garderobes</v>
      </c>
      <c r="C615" s="232" t="s">
        <v>801</v>
      </c>
      <c r="D615" s="231" t="s">
        <v>27</v>
      </c>
      <c r="E615" s="233" t="s">
        <v>1344</v>
      </c>
      <c r="F615" s="232" t="s">
        <v>1419</v>
      </c>
      <c r="G615" s="281" t="s">
        <v>296</v>
      </c>
      <c r="H615" s="234" t="s">
        <v>296</v>
      </c>
      <c r="I615" s="235" t="s">
        <v>15</v>
      </c>
      <c r="J615" s="235" t="s">
        <v>296</v>
      </c>
      <c r="K615" s="235" t="s">
        <v>296</v>
      </c>
      <c r="L615" s="234" t="s">
        <v>296</v>
      </c>
      <c r="M615" s="234" t="s">
        <v>296</v>
      </c>
      <c r="N615" s="235" t="s">
        <v>296</v>
      </c>
      <c r="O615" s="236" t="s">
        <v>15</v>
      </c>
      <c r="P615" s="236" t="s">
        <v>15</v>
      </c>
      <c r="Q615" s="236" t="s">
        <v>15</v>
      </c>
      <c r="R615" s="236" t="s">
        <v>296</v>
      </c>
      <c r="S615" s="236" t="s">
        <v>296</v>
      </c>
      <c r="T615" s="236" t="s">
        <v>296</v>
      </c>
      <c r="U615" s="236" t="s">
        <v>296</v>
      </c>
      <c r="V615" s="236" t="s">
        <v>296</v>
      </c>
      <c r="W615" s="237" t="s">
        <v>296</v>
      </c>
      <c r="X615" s="237" t="s">
        <v>296</v>
      </c>
      <c r="Y615" s="238" t="s">
        <v>296</v>
      </c>
    </row>
    <row r="616" spans="1:25">
      <c r="A616" s="230">
        <v>11</v>
      </c>
      <c r="B616" s="231" t="str">
        <f>VLOOKUP(Tabel10[[#This Row],[Locatiecode]],Ruimtegroepen[[Code]:[Ruimte omschrijving]],2,FALSE)</f>
        <v>Garderobes</v>
      </c>
      <c r="C616" s="232" t="s">
        <v>806</v>
      </c>
      <c r="D616" s="231" t="s">
        <v>28</v>
      </c>
      <c r="E616" s="233" t="s">
        <v>101</v>
      </c>
      <c r="F616" s="232" t="s">
        <v>807</v>
      </c>
      <c r="G616" s="281" t="s">
        <v>296</v>
      </c>
      <c r="H616" s="234" t="s">
        <v>296</v>
      </c>
      <c r="I616" s="235" t="s">
        <v>17</v>
      </c>
      <c r="J616" s="234" t="s">
        <v>296</v>
      </c>
      <c r="K616" s="235" t="s">
        <v>296</v>
      </c>
      <c r="L616" s="234" t="s">
        <v>296</v>
      </c>
      <c r="M616" s="234" t="s">
        <v>296</v>
      </c>
      <c r="N616" s="235" t="s">
        <v>296</v>
      </c>
      <c r="O616" s="236" t="s">
        <v>17</v>
      </c>
      <c r="P616" s="236" t="s">
        <v>17</v>
      </c>
      <c r="Q616" s="236" t="s">
        <v>15</v>
      </c>
      <c r="R616" s="236" t="s">
        <v>296</v>
      </c>
      <c r="S616" s="236" t="s">
        <v>296</v>
      </c>
      <c r="T616" s="236" t="s">
        <v>296</v>
      </c>
      <c r="U616" s="236" t="s">
        <v>296</v>
      </c>
      <c r="V616" s="236" t="s">
        <v>296</v>
      </c>
      <c r="W616" s="237" t="s">
        <v>296</v>
      </c>
      <c r="X616" s="237" t="s">
        <v>296</v>
      </c>
      <c r="Y616" s="238" t="s">
        <v>296</v>
      </c>
    </row>
    <row r="617" spans="1:25">
      <c r="A617" s="230">
        <v>11</v>
      </c>
      <c r="B617" s="231" t="str">
        <f>VLOOKUP(Tabel10[[#This Row],[Locatiecode]],Ruimtegroepen[[Code]:[Ruimte omschrijving]],2,FALSE)</f>
        <v>Garderobes</v>
      </c>
      <c r="C617" s="232" t="s">
        <v>806</v>
      </c>
      <c r="D617" s="231" t="s">
        <v>28</v>
      </c>
      <c r="E617" s="233" t="s">
        <v>100</v>
      </c>
      <c r="F617" s="232" t="s">
        <v>808</v>
      </c>
      <c r="G617" s="281" t="s">
        <v>296</v>
      </c>
      <c r="H617" s="235" t="s">
        <v>17</v>
      </c>
      <c r="I617" s="234" t="s">
        <v>296</v>
      </c>
      <c r="J617" s="235" t="s">
        <v>296</v>
      </c>
      <c r="K617" s="235" t="s">
        <v>296</v>
      </c>
      <c r="L617" s="234" t="s">
        <v>296</v>
      </c>
      <c r="M617" s="234" t="s">
        <v>296</v>
      </c>
      <c r="N617" s="235" t="s">
        <v>296</v>
      </c>
      <c r="O617" s="236" t="s">
        <v>17</v>
      </c>
      <c r="P617" s="236" t="s">
        <v>17</v>
      </c>
      <c r="Q617" s="236" t="s">
        <v>15</v>
      </c>
      <c r="R617" s="236" t="s">
        <v>296</v>
      </c>
      <c r="S617" s="236" t="s">
        <v>296</v>
      </c>
      <c r="T617" s="236" t="s">
        <v>296</v>
      </c>
      <c r="U617" s="236" t="s">
        <v>296</v>
      </c>
      <c r="V617" s="236" t="s">
        <v>296</v>
      </c>
      <c r="W617" s="237" t="s">
        <v>296</v>
      </c>
      <c r="X617" s="237" t="s">
        <v>296</v>
      </c>
      <c r="Y617" s="238" t="s">
        <v>296</v>
      </c>
    </row>
    <row r="618" spans="1:25">
      <c r="A618" s="230">
        <v>11</v>
      </c>
      <c r="B618" s="231" t="str">
        <f>VLOOKUP(Tabel10[[#This Row],[Locatiecode]],Ruimtegroepen[[Code]:[Ruimte omschrijving]],2,FALSE)</f>
        <v>Garderobes</v>
      </c>
      <c r="C618" s="232" t="s">
        <v>806</v>
      </c>
      <c r="D618" s="231" t="s">
        <v>28</v>
      </c>
      <c r="E618" s="233" t="s">
        <v>102</v>
      </c>
      <c r="F618" s="232" t="s">
        <v>809</v>
      </c>
      <c r="G618" s="281" t="s">
        <v>296</v>
      </c>
      <c r="H618" s="234" t="s">
        <v>296</v>
      </c>
      <c r="I618" s="235" t="s">
        <v>17</v>
      </c>
      <c r="J618" s="235" t="s">
        <v>296</v>
      </c>
      <c r="K618" s="235" t="s">
        <v>296</v>
      </c>
      <c r="L618" s="234" t="s">
        <v>296</v>
      </c>
      <c r="M618" s="234" t="s">
        <v>296</v>
      </c>
      <c r="N618" s="235" t="s">
        <v>296</v>
      </c>
      <c r="O618" s="236" t="s">
        <v>17</v>
      </c>
      <c r="P618" s="236" t="s">
        <v>17</v>
      </c>
      <c r="Q618" s="236" t="s">
        <v>15</v>
      </c>
      <c r="R618" s="236" t="s">
        <v>296</v>
      </c>
      <c r="S618" s="236" t="s">
        <v>296</v>
      </c>
      <c r="T618" s="236" t="s">
        <v>296</v>
      </c>
      <c r="U618" s="236" t="s">
        <v>296</v>
      </c>
      <c r="V618" s="236" t="s">
        <v>296</v>
      </c>
      <c r="W618" s="237" t="s">
        <v>296</v>
      </c>
      <c r="X618" s="237" t="s">
        <v>296</v>
      </c>
      <c r="Y618" s="238" t="s">
        <v>296</v>
      </c>
    </row>
    <row r="619" spans="1:25">
      <c r="A619" s="230">
        <v>11</v>
      </c>
      <c r="B619" s="231" t="str">
        <f>VLOOKUP(Tabel10[[#This Row],[Locatiecode]],Ruimtegroepen[[Code]:[Ruimte omschrijving]],2,FALSE)</f>
        <v>Garderobes</v>
      </c>
      <c r="C619" s="232" t="s">
        <v>806</v>
      </c>
      <c r="D619" s="231" t="s">
        <v>28</v>
      </c>
      <c r="E619" s="233" t="s">
        <v>103</v>
      </c>
      <c r="F619" s="232" t="s">
        <v>810</v>
      </c>
      <c r="G619" s="281" t="s">
        <v>296</v>
      </c>
      <c r="H619" s="234" t="s">
        <v>296</v>
      </c>
      <c r="I619" s="235" t="s">
        <v>17</v>
      </c>
      <c r="J619" s="235" t="s">
        <v>296</v>
      </c>
      <c r="K619" s="235" t="s">
        <v>296</v>
      </c>
      <c r="L619" s="234" t="s">
        <v>296</v>
      </c>
      <c r="M619" s="234" t="s">
        <v>296</v>
      </c>
      <c r="N619" s="235" t="s">
        <v>296</v>
      </c>
      <c r="O619" s="236" t="s">
        <v>17</v>
      </c>
      <c r="P619" s="236" t="s">
        <v>17</v>
      </c>
      <c r="Q619" s="236" t="s">
        <v>15</v>
      </c>
      <c r="R619" s="236" t="s">
        <v>296</v>
      </c>
      <c r="S619" s="236" t="s">
        <v>296</v>
      </c>
      <c r="T619" s="236" t="s">
        <v>296</v>
      </c>
      <c r="U619" s="236" t="s">
        <v>296</v>
      </c>
      <c r="V619" s="236" t="s">
        <v>296</v>
      </c>
      <c r="W619" s="237" t="s">
        <v>296</v>
      </c>
      <c r="X619" s="237" t="s">
        <v>296</v>
      </c>
      <c r="Y619" s="238" t="s">
        <v>296</v>
      </c>
    </row>
    <row r="620" spans="1:25">
      <c r="A620" s="230">
        <v>11</v>
      </c>
      <c r="B620" s="231" t="str">
        <f>VLOOKUP(Tabel10[[#This Row],[Locatiecode]],Ruimtegroepen[[Code]:[Ruimte omschrijving]],2,FALSE)</f>
        <v>Garderobes</v>
      </c>
      <c r="C620" s="232" t="s">
        <v>806</v>
      </c>
      <c r="D620" s="231" t="s">
        <v>28</v>
      </c>
      <c r="E620" s="233" t="s">
        <v>100</v>
      </c>
      <c r="F620" s="232" t="s">
        <v>808</v>
      </c>
      <c r="G620" s="281" t="s">
        <v>296</v>
      </c>
      <c r="H620" s="235" t="s">
        <v>17</v>
      </c>
      <c r="I620" s="234" t="s">
        <v>296</v>
      </c>
      <c r="J620" s="235" t="s">
        <v>296</v>
      </c>
      <c r="K620" s="235" t="s">
        <v>296</v>
      </c>
      <c r="L620" s="234" t="s">
        <v>296</v>
      </c>
      <c r="M620" s="234" t="s">
        <v>296</v>
      </c>
      <c r="N620" s="235" t="s">
        <v>296</v>
      </c>
      <c r="O620" s="236" t="s">
        <v>17</v>
      </c>
      <c r="P620" s="236" t="s">
        <v>17</v>
      </c>
      <c r="Q620" s="236" t="s">
        <v>15</v>
      </c>
      <c r="R620" s="236" t="s">
        <v>296</v>
      </c>
      <c r="S620" s="236" t="s">
        <v>296</v>
      </c>
      <c r="T620" s="236" t="s">
        <v>296</v>
      </c>
      <c r="U620" s="236" t="s">
        <v>296</v>
      </c>
      <c r="V620" s="236" t="s">
        <v>296</v>
      </c>
      <c r="W620" s="237" t="s">
        <v>296</v>
      </c>
      <c r="X620" s="237" t="s">
        <v>296</v>
      </c>
      <c r="Y620" s="238" t="s">
        <v>296</v>
      </c>
    </row>
    <row r="621" spans="1:25">
      <c r="A621" s="230">
        <v>11</v>
      </c>
      <c r="B621" s="231" t="str">
        <f>VLOOKUP(Tabel10[[#This Row],[Locatiecode]],Ruimtegroepen[[Code]:[Ruimte omschrijving]],2,FALSE)</f>
        <v>Garderobes</v>
      </c>
      <c r="C621" s="232" t="s">
        <v>806</v>
      </c>
      <c r="D621" s="231" t="s">
        <v>28</v>
      </c>
      <c r="E621" s="233" t="s">
        <v>1344</v>
      </c>
      <c r="F621" s="232" t="s">
        <v>1452</v>
      </c>
      <c r="G621" s="281" t="s">
        <v>296</v>
      </c>
      <c r="H621" s="234" t="s">
        <v>296</v>
      </c>
      <c r="I621" s="235" t="s">
        <v>17</v>
      </c>
      <c r="J621" s="235" t="s">
        <v>296</v>
      </c>
      <c r="K621" s="235" t="s">
        <v>296</v>
      </c>
      <c r="L621" s="234" t="s">
        <v>296</v>
      </c>
      <c r="M621" s="234" t="s">
        <v>296</v>
      </c>
      <c r="N621" s="235" t="s">
        <v>296</v>
      </c>
      <c r="O621" s="236" t="s">
        <v>17</v>
      </c>
      <c r="P621" s="236" t="s">
        <v>17</v>
      </c>
      <c r="Q621" s="236" t="s">
        <v>15</v>
      </c>
      <c r="R621" s="236" t="s">
        <v>296</v>
      </c>
      <c r="S621" s="236" t="s">
        <v>296</v>
      </c>
      <c r="T621" s="236" t="s">
        <v>296</v>
      </c>
      <c r="U621" s="236" t="s">
        <v>296</v>
      </c>
      <c r="V621" s="236" t="s">
        <v>296</v>
      </c>
      <c r="W621" s="237" t="s">
        <v>296</v>
      </c>
      <c r="X621" s="237" t="s">
        <v>296</v>
      </c>
      <c r="Y621" s="238" t="s">
        <v>296</v>
      </c>
    </row>
    <row r="622" spans="1:25">
      <c r="A622" s="230">
        <v>12</v>
      </c>
      <c r="B622" s="231" t="str">
        <f>VLOOKUP(Tabel10[[#This Row],[Locatiecode]],Ruimtegroepen[[Code]:[Ruimte omschrijving]],2,FALSE)</f>
        <v>Kantine/Aula</v>
      </c>
      <c r="C622" s="232" t="s">
        <v>811</v>
      </c>
      <c r="D622" s="231" t="s">
        <v>29</v>
      </c>
      <c r="E622" s="233" t="s">
        <v>101</v>
      </c>
      <c r="F622" s="232" t="s">
        <v>812</v>
      </c>
      <c r="G622" s="281" t="s">
        <v>296</v>
      </c>
      <c r="H622" s="234" t="s">
        <v>296</v>
      </c>
      <c r="I622" s="234" t="s">
        <v>296</v>
      </c>
      <c r="J622" s="234" t="s">
        <v>2</v>
      </c>
      <c r="K622" s="235" t="s">
        <v>296</v>
      </c>
      <c r="L622" s="234" t="s">
        <v>296</v>
      </c>
      <c r="M622" s="234" t="s">
        <v>296</v>
      </c>
      <c r="N622" s="235" t="s">
        <v>2</v>
      </c>
      <c r="O622" s="236" t="s">
        <v>2</v>
      </c>
      <c r="P622" s="236" t="s">
        <v>2</v>
      </c>
      <c r="Q622" s="236" t="s">
        <v>15</v>
      </c>
      <c r="R622" s="236" t="s">
        <v>15</v>
      </c>
      <c r="S622" s="236" t="s">
        <v>16</v>
      </c>
      <c r="T622" s="236" t="s">
        <v>343</v>
      </c>
      <c r="U622" s="236" t="s">
        <v>262</v>
      </c>
      <c r="V622" s="236" t="s">
        <v>2</v>
      </c>
      <c r="W622" s="237" t="s">
        <v>296</v>
      </c>
      <c r="X622" s="237" t="s">
        <v>296</v>
      </c>
      <c r="Y622" s="238" t="s">
        <v>296</v>
      </c>
    </row>
    <row r="623" spans="1:25">
      <c r="A623" s="230">
        <v>12</v>
      </c>
      <c r="B623" s="231" t="str">
        <f>VLOOKUP(Tabel10[[#This Row],[Locatiecode]],Ruimtegroepen[[Code]:[Ruimte omschrijving]],2,FALSE)</f>
        <v>Kantine/Aula</v>
      </c>
      <c r="C623" s="232" t="s">
        <v>811</v>
      </c>
      <c r="D623" s="231" t="s">
        <v>29</v>
      </c>
      <c r="E623" s="233" t="s">
        <v>100</v>
      </c>
      <c r="F623" s="232" t="s">
        <v>813</v>
      </c>
      <c r="G623" s="281" t="s">
        <v>296</v>
      </c>
      <c r="H623" s="235" t="s">
        <v>2</v>
      </c>
      <c r="I623" s="234" t="s">
        <v>296</v>
      </c>
      <c r="J623" s="235" t="s">
        <v>296</v>
      </c>
      <c r="K623" s="235" t="s">
        <v>296</v>
      </c>
      <c r="L623" s="234" t="s">
        <v>296</v>
      </c>
      <c r="M623" s="234" t="s">
        <v>296</v>
      </c>
      <c r="N623" s="235" t="s">
        <v>2</v>
      </c>
      <c r="O623" s="236" t="s">
        <v>2</v>
      </c>
      <c r="P623" s="236" t="s">
        <v>2</v>
      </c>
      <c r="Q623" s="236" t="s">
        <v>15</v>
      </c>
      <c r="R623" s="236" t="s">
        <v>15</v>
      </c>
      <c r="S623" s="236" t="s">
        <v>16</v>
      </c>
      <c r="T623" s="236" t="s">
        <v>343</v>
      </c>
      <c r="U623" s="236" t="s">
        <v>262</v>
      </c>
      <c r="V623" s="236" t="s">
        <v>2</v>
      </c>
      <c r="W623" s="237" t="s">
        <v>296</v>
      </c>
      <c r="X623" s="237" t="s">
        <v>296</v>
      </c>
      <c r="Y623" s="238" t="s">
        <v>296</v>
      </c>
    </row>
    <row r="624" spans="1:25">
      <c r="A624" s="230">
        <v>12</v>
      </c>
      <c r="B624" s="231" t="str">
        <f>VLOOKUP(Tabel10[[#This Row],[Locatiecode]],Ruimtegroepen[[Code]:[Ruimte omschrijving]],2,FALSE)</f>
        <v>Kantine/Aula</v>
      </c>
      <c r="C624" s="232" t="s">
        <v>811</v>
      </c>
      <c r="D624" s="231" t="s">
        <v>29</v>
      </c>
      <c r="E624" s="233" t="s">
        <v>102</v>
      </c>
      <c r="F624" s="232" t="s">
        <v>814</v>
      </c>
      <c r="G624" s="281" t="s">
        <v>296</v>
      </c>
      <c r="H624" s="234" t="s">
        <v>296</v>
      </c>
      <c r="I624" s="235" t="s">
        <v>2</v>
      </c>
      <c r="J624" s="235" t="s">
        <v>296</v>
      </c>
      <c r="K624" s="235" t="s">
        <v>2</v>
      </c>
      <c r="L624" s="234" t="s">
        <v>296</v>
      </c>
      <c r="M624" s="234" t="s">
        <v>296</v>
      </c>
      <c r="N624" s="235" t="s">
        <v>2</v>
      </c>
      <c r="O624" s="236" t="s">
        <v>2</v>
      </c>
      <c r="P624" s="236" t="s">
        <v>2</v>
      </c>
      <c r="Q624" s="236" t="s">
        <v>15</v>
      </c>
      <c r="R624" s="236" t="s">
        <v>15</v>
      </c>
      <c r="S624" s="236" t="s">
        <v>16</v>
      </c>
      <c r="T624" s="236" t="s">
        <v>343</v>
      </c>
      <c r="U624" s="236" t="s">
        <v>262</v>
      </c>
      <c r="V624" s="236" t="s">
        <v>2</v>
      </c>
      <c r="W624" s="237" t="s">
        <v>296</v>
      </c>
      <c r="X624" s="237" t="s">
        <v>296</v>
      </c>
      <c r="Y624" s="238" t="s">
        <v>296</v>
      </c>
    </row>
    <row r="625" spans="1:25">
      <c r="A625" s="230">
        <v>12</v>
      </c>
      <c r="B625" s="231" t="str">
        <f>VLOOKUP(Tabel10[[#This Row],[Locatiecode]],Ruimtegroepen[[Code]:[Ruimte omschrijving]],2,FALSE)</f>
        <v>Kantine/Aula</v>
      </c>
      <c r="C625" s="232" t="s">
        <v>811</v>
      </c>
      <c r="D625" s="231" t="s">
        <v>29</v>
      </c>
      <c r="E625" s="233" t="s">
        <v>103</v>
      </c>
      <c r="F625" s="232" t="s">
        <v>815</v>
      </c>
      <c r="G625" s="281" t="s">
        <v>296</v>
      </c>
      <c r="H625" s="234" t="s">
        <v>296</v>
      </c>
      <c r="I625" s="235" t="s">
        <v>2</v>
      </c>
      <c r="J625" s="235" t="s">
        <v>296</v>
      </c>
      <c r="K625" s="235" t="s">
        <v>2</v>
      </c>
      <c r="L625" s="234" t="s">
        <v>296</v>
      </c>
      <c r="M625" s="234" t="s">
        <v>296</v>
      </c>
      <c r="N625" s="235" t="s">
        <v>2</v>
      </c>
      <c r="O625" s="236" t="s">
        <v>2</v>
      </c>
      <c r="P625" s="236" t="s">
        <v>2</v>
      </c>
      <c r="Q625" s="236" t="s">
        <v>15</v>
      </c>
      <c r="R625" s="236" t="s">
        <v>15</v>
      </c>
      <c r="S625" s="236" t="s">
        <v>16</v>
      </c>
      <c r="T625" s="236" t="s">
        <v>343</v>
      </c>
      <c r="U625" s="236" t="s">
        <v>262</v>
      </c>
      <c r="V625" s="236" t="s">
        <v>2</v>
      </c>
      <c r="W625" s="237" t="s">
        <v>296</v>
      </c>
      <c r="X625" s="237" t="s">
        <v>296</v>
      </c>
      <c r="Y625" s="238" t="s">
        <v>296</v>
      </c>
    </row>
    <row r="626" spans="1:25">
      <c r="A626" s="230">
        <v>12</v>
      </c>
      <c r="B626" s="231" t="str">
        <f>VLOOKUP(Tabel10[[#This Row],[Locatiecode]],Ruimtegroepen[[Code]:[Ruimte omschrijving]],2,FALSE)</f>
        <v>Kantine/Aula</v>
      </c>
      <c r="C626" s="232" t="s">
        <v>811</v>
      </c>
      <c r="D626" s="231" t="s">
        <v>29</v>
      </c>
      <c r="E626" s="233" t="s">
        <v>100</v>
      </c>
      <c r="F626" s="232" t="s">
        <v>813</v>
      </c>
      <c r="G626" s="281" t="s">
        <v>296</v>
      </c>
      <c r="H626" s="235" t="s">
        <v>2</v>
      </c>
      <c r="I626" s="234" t="s">
        <v>296</v>
      </c>
      <c r="J626" s="235" t="s">
        <v>296</v>
      </c>
      <c r="K626" s="235" t="s">
        <v>296</v>
      </c>
      <c r="L626" s="234" t="s">
        <v>296</v>
      </c>
      <c r="M626" s="234" t="s">
        <v>296</v>
      </c>
      <c r="N626" s="235" t="s">
        <v>2</v>
      </c>
      <c r="O626" s="236" t="s">
        <v>2</v>
      </c>
      <c r="P626" s="236" t="s">
        <v>2</v>
      </c>
      <c r="Q626" s="236" t="s">
        <v>15</v>
      </c>
      <c r="R626" s="236" t="s">
        <v>15</v>
      </c>
      <c r="S626" s="236" t="s">
        <v>16</v>
      </c>
      <c r="T626" s="236" t="s">
        <v>343</v>
      </c>
      <c r="U626" s="236" t="s">
        <v>262</v>
      </c>
      <c r="V626" s="236" t="s">
        <v>2</v>
      </c>
      <c r="W626" s="237" t="s">
        <v>296</v>
      </c>
      <c r="X626" s="237" t="s">
        <v>296</v>
      </c>
      <c r="Y626" s="238" t="s">
        <v>296</v>
      </c>
    </row>
    <row r="627" spans="1:25">
      <c r="A627" s="230">
        <v>12</v>
      </c>
      <c r="B627" s="231" t="str">
        <f>VLOOKUP(Tabel10[[#This Row],[Locatiecode]],Ruimtegroepen[[Code]:[Ruimte omschrijving]],2,FALSE)</f>
        <v>Kantine/Aula</v>
      </c>
      <c r="C627" s="232" t="s">
        <v>811</v>
      </c>
      <c r="D627" s="231" t="s">
        <v>29</v>
      </c>
      <c r="E627" s="233" t="s">
        <v>1344</v>
      </c>
      <c r="F627" s="232" t="s">
        <v>1520</v>
      </c>
      <c r="G627" s="281" t="s">
        <v>296</v>
      </c>
      <c r="H627" s="234" t="s">
        <v>296</v>
      </c>
      <c r="I627" s="235" t="s">
        <v>2</v>
      </c>
      <c r="J627" s="235" t="s">
        <v>296</v>
      </c>
      <c r="K627" s="235" t="s">
        <v>2</v>
      </c>
      <c r="L627" s="234" t="s">
        <v>296</v>
      </c>
      <c r="M627" s="234" t="s">
        <v>296</v>
      </c>
      <c r="N627" s="235" t="s">
        <v>2</v>
      </c>
      <c r="O627" s="236" t="s">
        <v>2</v>
      </c>
      <c r="P627" s="236" t="s">
        <v>2</v>
      </c>
      <c r="Q627" s="236" t="s">
        <v>15</v>
      </c>
      <c r="R627" s="236" t="s">
        <v>15</v>
      </c>
      <c r="S627" s="236" t="s">
        <v>16</v>
      </c>
      <c r="T627" s="236" t="s">
        <v>343</v>
      </c>
      <c r="U627" s="236" t="s">
        <v>262</v>
      </c>
      <c r="V627" s="236" t="s">
        <v>2</v>
      </c>
      <c r="W627" s="237" t="s">
        <v>296</v>
      </c>
      <c r="X627" s="237" t="s">
        <v>296</v>
      </c>
      <c r="Y627" s="238" t="s">
        <v>296</v>
      </c>
    </row>
    <row r="628" spans="1:25">
      <c r="A628" s="230">
        <v>12</v>
      </c>
      <c r="B628" s="231" t="str">
        <f>VLOOKUP(Tabel10[[#This Row],[Locatiecode]],Ruimtegroepen[[Code]:[Ruimte omschrijving]],2,FALSE)</f>
        <v>Kantine/Aula</v>
      </c>
      <c r="C628" s="232" t="s">
        <v>816</v>
      </c>
      <c r="D628" s="231" t="s">
        <v>1</v>
      </c>
      <c r="E628" s="233" t="s">
        <v>101</v>
      </c>
      <c r="F628" s="232" t="s">
        <v>817</v>
      </c>
      <c r="G628" s="281" t="s">
        <v>296</v>
      </c>
      <c r="H628" s="234" t="s">
        <v>296</v>
      </c>
      <c r="I628" s="234" t="s">
        <v>296</v>
      </c>
      <c r="J628" s="234" t="s">
        <v>2</v>
      </c>
      <c r="K628" s="235" t="s">
        <v>296</v>
      </c>
      <c r="L628" s="234" t="s">
        <v>296</v>
      </c>
      <c r="M628" s="234" t="s">
        <v>296</v>
      </c>
      <c r="N628" s="235" t="s">
        <v>296</v>
      </c>
      <c r="O628" s="236" t="s">
        <v>2</v>
      </c>
      <c r="P628" s="236" t="s">
        <v>2</v>
      </c>
      <c r="Q628" s="236" t="s">
        <v>15</v>
      </c>
      <c r="R628" s="236" t="s">
        <v>15</v>
      </c>
      <c r="S628" s="236" t="s">
        <v>16</v>
      </c>
      <c r="T628" s="236" t="s">
        <v>343</v>
      </c>
      <c r="U628" s="236" t="s">
        <v>262</v>
      </c>
      <c r="V628" s="236" t="s">
        <v>296</v>
      </c>
      <c r="W628" s="237" t="s">
        <v>296</v>
      </c>
      <c r="X628" s="237" t="s">
        <v>296</v>
      </c>
      <c r="Y628" s="238" t="s">
        <v>296</v>
      </c>
    </row>
    <row r="629" spans="1:25">
      <c r="A629" s="230">
        <v>12</v>
      </c>
      <c r="B629" s="231" t="str">
        <f>VLOOKUP(Tabel10[[#This Row],[Locatiecode]],Ruimtegroepen[[Code]:[Ruimte omschrijving]],2,FALSE)</f>
        <v>Kantine/Aula</v>
      </c>
      <c r="C629" s="232" t="s">
        <v>816</v>
      </c>
      <c r="D629" s="231" t="s">
        <v>1</v>
      </c>
      <c r="E629" s="233" t="s">
        <v>100</v>
      </c>
      <c r="F629" s="232" t="s">
        <v>818</v>
      </c>
      <c r="G629" s="281" t="s">
        <v>296</v>
      </c>
      <c r="H629" s="235" t="s">
        <v>2</v>
      </c>
      <c r="I629" s="234" t="s">
        <v>296</v>
      </c>
      <c r="J629" s="235" t="s">
        <v>296</v>
      </c>
      <c r="K629" s="235" t="s">
        <v>296</v>
      </c>
      <c r="L629" s="234" t="s">
        <v>296</v>
      </c>
      <c r="M629" s="234" t="s">
        <v>296</v>
      </c>
      <c r="N629" s="235" t="s">
        <v>296</v>
      </c>
      <c r="O629" s="236" t="s">
        <v>2</v>
      </c>
      <c r="P629" s="236" t="s">
        <v>2</v>
      </c>
      <c r="Q629" s="236" t="s">
        <v>15</v>
      </c>
      <c r="R629" s="236" t="s">
        <v>15</v>
      </c>
      <c r="S629" s="236" t="s">
        <v>16</v>
      </c>
      <c r="T629" s="236" t="s">
        <v>343</v>
      </c>
      <c r="U629" s="236" t="s">
        <v>262</v>
      </c>
      <c r="V629" s="236" t="s">
        <v>296</v>
      </c>
      <c r="W629" s="237" t="s">
        <v>296</v>
      </c>
      <c r="X629" s="237" t="s">
        <v>296</v>
      </c>
      <c r="Y629" s="238" t="s">
        <v>296</v>
      </c>
    </row>
    <row r="630" spans="1:25">
      <c r="A630" s="230">
        <v>12</v>
      </c>
      <c r="B630" s="231" t="str">
        <f>VLOOKUP(Tabel10[[#This Row],[Locatiecode]],Ruimtegroepen[[Code]:[Ruimte omschrijving]],2,FALSE)</f>
        <v>Kantine/Aula</v>
      </c>
      <c r="C630" s="232" t="s">
        <v>816</v>
      </c>
      <c r="D630" s="231" t="s">
        <v>1</v>
      </c>
      <c r="E630" s="233" t="s">
        <v>102</v>
      </c>
      <c r="F630" s="232" t="s">
        <v>819</v>
      </c>
      <c r="G630" s="281" t="s">
        <v>296</v>
      </c>
      <c r="H630" s="234" t="s">
        <v>296</v>
      </c>
      <c r="I630" s="235" t="s">
        <v>2</v>
      </c>
      <c r="J630" s="235" t="s">
        <v>296</v>
      </c>
      <c r="K630" s="235" t="s">
        <v>2</v>
      </c>
      <c r="L630" s="234" t="s">
        <v>296</v>
      </c>
      <c r="M630" s="234" t="s">
        <v>296</v>
      </c>
      <c r="N630" s="235" t="s">
        <v>296</v>
      </c>
      <c r="O630" s="236" t="s">
        <v>2</v>
      </c>
      <c r="P630" s="236" t="s">
        <v>2</v>
      </c>
      <c r="Q630" s="236" t="s">
        <v>15</v>
      </c>
      <c r="R630" s="236" t="s">
        <v>15</v>
      </c>
      <c r="S630" s="236" t="s">
        <v>16</v>
      </c>
      <c r="T630" s="236" t="s">
        <v>343</v>
      </c>
      <c r="U630" s="236" t="s">
        <v>262</v>
      </c>
      <c r="V630" s="236" t="s">
        <v>296</v>
      </c>
      <c r="W630" s="237" t="s">
        <v>296</v>
      </c>
      <c r="X630" s="237" t="s">
        <v>296</v>
      </c>
      <c r="Y630" s="238" t="s">
        <v>296</v>
      </c>
    </row>
    <row r="631" spans="1:25">
      <c r="A631" s="230">
        <v>12</v>
      </c>
      <c r="B631" s="231" t="str">
        <f>VLOOKUP(Tabel10[[#This Row],[Locatiecode]],Ruimtegroepen[[Code]:[Ruimte omschrijving]],2,FALSE)</f>
        <v>Kantine/Aula</v>
      </c>
      <c r="C631" s="232" t="s">
        <v>816</v>
      </c>
      <c r="D631" s="231" t="s">
        <v>1</v>
      </c>
      <c r="E631" s="233" t="s">
        <v>103</v>
      </c>
      <c r="F631" s="232" t="s">
        <v>820</v>
      </c>
      <c r="G631" s="281" t="s">
        <v>296</v>
      </c>
      <c r="H631" s="234" t="s">
        <v>296</v>
      </c>
      <c r="I631" s="235" t="s">
        <v>2</v>
      </c>
      <c r="J631" s="235" t="s">
        <v>296</v>
      </c>
      <c r="K631" s="235" t="s">
        <v>2</v>
      </c>
      <c r="L631" s="234" t="s">
        <v>296</v>
      </c>
      <c r="M631" s="234" t="s">
        <v>296</v>
      </c>
      <c r="N631" s="235" t="s">
        <v>296</v>
      </c>
      <c r="O631" s="236" t="s">
        <v>2</v>
      </c>
      <c r="P631" s="236" t="s">
        <v>2</v>
      </c>
      <c r="Q631" s="236" t="s">
        <v>15</v>
      </c>
      <c r="R631" s="236" t="s">
        <v>15</v>
      </c>
      <c r="S631" s="236" t="s">
        <v>16</v>
      </c>
      <c r="T631" s="236" t="s">
        <v>343</v>
      </c>
      <c r="U631" s="236" t="s">
        <v>262</v>
      </c>
      <c r="V631" s="236" t="s">
        <v>296</v>
      </c>
      <c r="W631" s="237" t="s">
        <v>296</v>
      </c>
      <c r="X631" s="237" t="s">
        <v>296</v>
      </c>
      <c r="Y631" s="238" t="s">
        <v>296</v>
      </c>
    </row>
    <row r="632" spans="1:25">
      <c r="A632" s="230">
        <v>12</v>
      </c>
      <c r="B632" s="231" t="str">
        <f>VLOOKUP(Tabel10[[#This Row],[Locatiecode]],Ruimtegroepen[[Code]:[Ruimte omschrijving]],2,FALSE)</f>
        <v>Kantine/Aula</v>
      </c>
      <c r="C632" s="232" t="s">
        <v>816</v>
      </c>
      <c r="D632" s="231" t="s">
        <v>1</v>
      </c>
      <c r="E632" s="233" t="s">
        <v>100</v>
      </c>
      <c r="F632" s="232" t="s">
        <v>818</v>
      </c>
      <c r="G632" s="281" t="s">
        <v>296</v>
      </c>
      <c r="H632" s="235" t="s">
        <v>2</v>
      </c>
      <c r="I632" s="234" t="s">
        <v>296</v>
      </c>
      <c r="J632" s="235" t="s">
        <v>296</v>
      </c>
      <c r="K632" s="235" t="s">
        <v>296</v>
      </c>
      <c r="L632" s="234" t="s">
        <v>296</v>
      </c>
      <c r="M632" s="234" t="s">
        <v>296</v>
      </c>
      <c r="N632" s="235" t="s">
        <v>296</v>
      </c>
      <c r="O632" s="236" t="s">
        <v>2</v>
      </c>
      <c r="P632" s="236" t="s">
        <v>2</v>
      </c>
      <c r="Q632" s="236" t="s">
        <v>15</v>
      </c>
      <c r="R632" s="236" t="s">
        <v>15</v>
      </c>
      <c r="S632" s="236" t="s">
        <v>16</v>
      </c>
      <c r="T632" s="236" t="s">
        <v>343</v>
      </c>
      <c r="U632" s="236" t="s">
        <v>262</v>
      </c>
      <c r="V632" s="236" t="s">
        <v>296</v>
      </c>
      <c r="W632" s="237" t="s">
        <v>296</v>
      </c>
      <c r="X632" s="237" t="s">
        <v>296</v>
      </c>
      <c r="Y632" s="238" t="s">
        <v>296</v>
      </c>
    </row>
    <row r="633" spans="1:25">
      <c r="A633" s="230">
        <v>12</v>
      </c>
      <c r="B633" s="231" t="str">
        <f>VLOOKUP(Tabel10[[#This Row],[Locatiecode]],Ruimtegroepen[[Code]:[Ruimte omschrijving]],2,FALSE)</f>
        <v>Kantine/Aula</v>
      </c>
      <c r="C633" s="232" t="s">
        <v>816</v>
      </c>
      <c r="D633" s="231" t="s">
        <v>1</v>
      </c>
      <c r="E633" s="233" t="s">
        <v>1344</v>
      </c>
      <c r="F633" s="232" t="s">
        <v>1504</v>
      </c>
      <c r="G633" s="281" t="s">
        <v>296</v>
      </c>
      <c r="H633" s="234" t="s">
        <v>296</v>
      </c>
      <c r="I633" s="235" t="s">
        <v>2</v>
      </c>
      <c r="J633" s="235" t="s">
        <v>296</v>
      </c>
      <c r="K633" s="235" t="s">
        <v>2</v>
      </c>
      <c r="L633" s="234" t="s">
        <v>296</v>
      </c>
      <c r="M633" s="234" t="s">
        <v>296</v>
      </c>
      <c r="N633" s="235" t="s">
        <v>296</v>
      </c>
      <c r="O633" s="236" t="s">
        <v>2</v>
      </c>
      <c r="P633" s="236" t="s">
        <v>2</v>
      </c>
      <c r="Q633" s="236" t="s">
        <v>15</v>
      </c>
      <c r="R633" s="236" t="s">
        <v>15</v>
      </c>
      <c r="S633" s="236" t="s">
        <v>16</v>
      </c>
      <c r="T633" s="236" t="s">
        <v>343</v>
      </c>
      <c r="U633" s="236" t="s">
        <v>262</v>
      </c>
      <c r="V633" s="236" t="s">
        <v>296</v>
      </c>
      <c r="W633" s="237" t="s">
        <v>296</v>
      </c>
      <c r="X633" s="237" t="s">
        <v>296</v>
      </c>
      <c r="Y633" s="238" t="s">
        <v>296</v>
      </c>
    </row>
    <row r="634" spans="1:25">
      <c r="A634" s="230">
        <v>12</v>
      </c>
      <c r="B634" s="231" t="str">
        <f>VLOOKUP(Tabel10[[#This Row],[Locatiecode]],Ruimtegroepen[[Code]:[Ruimte omschrijving]],2,FALSE)</f>
        <v>Kantine/Aula</v>
      </c>
      <c r="C634" s="232" t="s">
        <v>821</v>
      </c>
      <c r="D634" s="231" t="s">
        <v>21</v>
      </c>
      <c r="E634" s="233" t="s">
        <v>101</v>
      </c>
      <c r="F634" s="232" t="s">
        <v>822</v>
      </c>
      <c r="G634" s="281" t="s">
        <v>296</v>
      </c>
      <c r="H634" s="234" t="s">
        <v>296</v>
      </c>
      <c r="I634" s="234" t="s">
        <v>296</v>
      </c>
      <c r="J634" s="234" t="s">
        <v>20</v>
      </c>
      <c r="K634" s="235" t="s">
        <v>296</v>
      </c>
      <c r="L634" s="234" t="s">
        <v>296</v>
      </c>
      <c r="M634" s="234" t="s">
        <v>296</v>
      </c>
      <c r="N634" s="235" t="s">
        <v>296</v>
      </c>
      <c r="O634" s="236" t="s">
        <v>20</v>
      </c>
      <c r="P634" s="236" t="s">
        <v>20</v>
      </c>
      <c r="Q634" s="236" t="s">
        <v>15</v>
      </c>
      <c r="R634" s="236" t="s">
        <v>15</v>
      </c>
      <c r="S634" s="236" t="s">
        <v>16</v>
      </c>
      <c r="T634" s="236" t="s">
        <v>343</v>
      </c>
      <c r="U634" s="236" t="s">
        <v>262</v>
      </c>
      <c r="V634" s="236" t="s">
        <v>296</v>
      </c>
      <c r="W634" s="237" t="s">
        <v>296</v>
      </c>
      <c r="X634" s="237" t="s">
        <v>296</v>
      </c>
      <c r="Y634" s="238" t="s">
        <v>296</v>
      </c>
    </row>
    <row r="635" spans="1:25">
      <c r="A635" s="230">
        <v>12</v>
      </c>
      <c r="B635" s="231" t="str">
        <f>VLOOKUP(Tabel10[[#This Row],[Locatiecode]],Ruimtegroepen[[Code]:[Ruimte omschrijving]],2,FALSE)</f>
        <v>Kantine/Aula</v>
      </c>
      <c r="C635" s="232" t="s">
        <v>821</v>
      </c>
      <c r="D635" s="231" t="s">
        <v>21</v>
      </c>
      <c r="E635" s="233" t="s">
        <v>100</v>
      </c>
      <c r="F635" s="232" t="s">
        <v>823</v>
      </c>
      <c r="G635" s="281" t="s">
        <v>296</v>
      </c>
      <c r="H635" s="235" t="s">
        <v>20</v>
      </c>
      <c r="I635" s="234" t="s">
        <v>296</v>
      </c>
      <c r="J635" s="235" t="s">
        <v>296</v>
      </c>
      <c r="K635" s="235" t="s">
        <v>296</v>
      </c>
      <c r="L635" s="234" t="s">
        <v>296</v>
      </c>
      <c r="M635" s="234" t="s">
        <v>296</v>
      </c>
      <c r="N635" s="235" t="s">
        <v>296</v>
      </c>
      <c r="O635" s="236" t="s">
        <v>20</v>
      </c>
      <c r="P635" s="236" t="s">
        <v>20</v>
      </c>
      <c r="Q635" s="236" t="s">
        <v>15</v>
      </c>
      <c r="R635" s="236" t="s">
        <v>15</v>
      </c>
      <c r="S635" s="236" t="s">
        <v>16</v>
      </c>
      <c r="T635" s="236" t="s">
        <v>343</v>
      </c>
      <c r="U635" s="236" t="s">
        <v>262</v>
      </c>
      <c r="V635" s="236" t="s">
        <v>296</v>
      </c>
      <c r="W635" s="237" t="s">
        <v>296</v>
      </c>
      <c r="X635" s="237" t="s">
        <v>296</v>
      </c>
      <c r="Y635" s="238" t="s">
        <v>296</v>
      </c>
    </row>
    <row r="636" spans="1:25">
      <c r="A636" s="230">
        <v>12</v>
      </c>
      <c r="B636" s="231" t="str">
        <f>VLOOKUP(Tabel10[[#This Row],[Locatiecode]],Ruimtegroepen[[Code]:[Ruimte omschrijving]],2,FALSE)</f>
        <v>Kantine/Aula</v>
      </c>
      <c r="C636" s="232" t="s">
        <v>821</v>
      </c>
      <c r="D636" s="231" t="s">
        <v>21</v>
      </c>
      <c r="E636" s="233" t="s">
        <v>102</v>
      </c>
      <c r="F636" s="232" t="s">
        <v>824</v>
      </c>
      <c r="G636" s="281" t="s">
        <v>296</v>
      </c>
      <c r="H636" s="234" t="s">
        <v>296</v>
      </c>
      <c r="I636" s="235" t="s">
        <v>20</v>
      </c>
      <c r="J636" s="235" t="s">
        <v>296</v>
      </c>
      <c r="K636" s="235" t="s">
        <v>20</v>
      </c>
      <c r="L636" s="234" t="s">
        <v>296</v>
      </c>
      <c r="M636" s="234" t="s">
        <v>296</v>
      </c>
      <c r="N636" s="235" t="s">
        <v>296</v>
      </c>
      <c r="O636" s="236" t="s">
        <v>20</v>
      </c>
      <c r="P636" s="236" t="s">
        <v>20</v>
      </c>
      <c r="Q636" s="236" t="s">
        <v>15</v>
      </c>
      <c r="R636" s="236" t="s">
        <v>15</v>
      </c>
      <c r="S636" s="236" t="s">
        <v>16</v>
      </c>
      <c r="T636" s="236" t="s">
        <v>343</v>
      </c>
      <c r="U636" s="236" t="s">
        <v>262</v>
      </c>
      <c r="V636" s="236" t="s">
        <v>296</v>
      </c>
      <c r="W636" s="237" t="s">
        <v>296</v>
      </c>
      <c r="X636" s="237" t="s">
        <v>296</v>
      </c>
      <c r="Y636" s="238" t="s">
        <v>296</v>
      </c>
    </row>
    <row r="637" spans="1:25">
      <c r="A637" s="230">
        <v>12</v>
      </c>
      <c r="B637" s="231" t="str">
        <f>VLOOKUP(Tabel10[[#This Row],[Locatiecode]],Ruimtegroepen[[Code]:[Ruimte omschrijving]],2,FALSE)</f>
        <v>Kantine/Aula</v>
      </c>
      <c r="C637" s="232" t="s">
        <v>821</v>
      </c>
      <c r="D637" s="231" t="s">
        <v>21</v>
      </c>
      <c r="E637" s="233" t="s">
        <v>103</v>
      </c>
      <c r="F637" s="232" t="s">
        <v>825</v>
      </c>
      <c r="G637" s="281" t="s">
        <v>296</v>
      </c>
      <c r="H637" s="234" t="s">
        <v>296</v>
      </c>
      <c r="I637" s="235" t="s">
        <v>20</v>
      </c>
      <c r="J637" s="235" t="s">
        <v>296</v>
      </c>
      <c r="K637" s="235" t="s">
        <v>20</v>
      </c>
      <c r="L637" s="234" t="s">
        <v>296</v>
      </c>
      <c r="M637" s="234" t="s">
        <v>296</v>
      </c>
      <c r="N637" s="235" t="s">
        <v>296</v>
      </c>
      <c r="O637" s="236" t="s">
        <v>20</v>
      </c>
      <c r="P637" s="236" t="s">
        <v>20</v>
      </c>
      <c r="Q637" s="236" t="s">
        <v>15</v>
      </c>
      <c r="R637" s="236" t="s">
        <v>15</v>
      </c>
      <c r="S637" s="236" t="s">
        <v>16</v>
      </c>
      <c r="T637" s="236" t="s">
        <v>343</v>
      </c>
      <c r="U637" s="236" t="s">
        <v>262</v>
      </c>
      <c r="V637" s="236" t="s">
        <v>296</v>
      </c>
      <c r="W637" s="237" t="s">
        <v>296</v>
      </c>
      <c r="X637" s="237" t="s">
        <v>296</v>
      </c>
      <c r="Y637" s="238" t="s">
        <v>296</v>
      </c>
    </row>
    <row r="638" spans="1:25">
      <c r="A638" s="230">
        <v>12</v>
      </c>
      <c r="B638" s="231" t="str">
        <f>VLOOKUP(Tabel10[[#This Row],[Locatiecode]],Ruimtegroepen[[Code]:[Ruimte omschrijving]],2,FALSE)</f>
        <v>Kantine/Aula</v>
      </c>
      <c r="C638" s="232" t="s">
        <v>821</v>
      </c>
      <c r="D638" s="231" t="s">
        <v>21</v>
      </c>
      <c r="E638" s="233" t="s">
        <v>100</v>
      </c>
      <c r="F638" s="232" t="s">
        <v>823</v>
      </c>
      <c r="G638" s="281" t="s">
        <v>296</v>
      </c>
      <c r="H638" s="235" t="s">
        <v>20</v>
      </c>
      <c r="I638" s="234" t="s">
        <v>296</v>
      </c>
      <c r="J638" s="235" t="s">
        <v>296</v>
      </c>
      <c r="K638" s="235" t="s">
        <v>296</v>
      </c>
      <c r="L638" s="234" t="s">
        <v>296</v>
      </c>
      <c r="M638" s="234" t="s">
        <v>296</v>
      </c>
      <c r="N638" s="235" t="s">
        <v>296</v>
      </c>
      <c r="O638" s="236" t="s">
        <v>20</v>
      </c>
      <c r="P638" s="236" t="s">
        <v>20</v>
      </c>
      <c r="Q638" s="236" t="s">
        <v>15</v>
      </c>
      <c r="R638" s="236" t="s">
        <v>15</v>
      </c>
      <c r="S638" s="236" t="s">
        <v>16</v>
      </c>
      <c r="T638" s="236" t="s">
        <v>343</v>
      </c>
      <c r="U638" s="236" t="s">
        <v>262</v>
      </c>
      <c r="V638" s="236" t="s">
        <v>296</v>
      </c>
      <c r="W638" s="237" t="s">
        <v>296</v>
      </c>
      <c r="X638" s="237" t="s">
        <v>296</v>
      </c>
      <c r="Y638" s="238" t="s">
        <v>296</v>
      </c>
    </row>
    <row r="639" spans="1:25">
      <c r="A639" s="230">
        <v>12</v>
      </c>
      <c r="B639" s="231" t="str">
        <f>VLOOKUP(Tabel10[[#This Row],[Locatiecode]],Ruimtegroepen[[Code]:[Ruimte omschrijving]],2,FALSE)</f>
        <v>Kantine/Aula</v>
      </c>
      <c r="C639" s="232" t="s">
        <v>821</v>
      </c>
      <c r="D639" s="231" t="s">
        <v>21</v>
      </c>
      <c r="E639" s="233" t="s">
        <v>1344</v>
      </c>
      <c r="F639" s="232" t="s">
        <v>1487</v>
      </c>
      <c r="G639" s="281" t="s">
        <v>296</v>
      </c>
      <c r="H639" s="234" t="s">
        <v>296</v>
      </c>
      <c r="I639" s="235" t="s">
        <v>20</v>
      </c>
      <c r="J639" s="235" t="s">
        <v>296</v>
      </c>
      <c r="K639" s="235" t="s">
        <v>20</v>
      </c>
      <c r="L639" s="234" t="s">
        <v>296</v>
      </c>
      <c r="M639" s="234" t="s">
        <v>296</v>
      </c>
      <c r="N639" s="235" t="s">
        <v>296</v>
      </c>
      <c r="O639" s="236" t="s">
        <v>20</v>
      </c>
      <c r="P639" s="236" t="s">
        <v>20</v>
      </c>
      <c r="Q639" s="236" t="s">
        <v>15</v>
      </c>
      <c r="R639" s="236" t="s">
        <v>15</v>
      </c>
      <c r="S639" s="236" t="s">
        <v>16</v>
      </c>
      <c r="T639" s="236" t="s">
        <v>343</v>
      </c>
      <c r="U639" s="236" t="s">
        <v>262</v>
      </c>
      <c r="V639" s="236" t="s">
        <v>296</v>
      </c>
      <c r="W639" s="237" t="s">
        <v>296</v>
      </c>
      <c r="X639" s="237" t="s">
        <v>296</v>
      </c>
      <c r="Y639" s="238" t="s">
        <v>296</v>
      </c>
    </row>
    <row r="640" spans="1:25">
      <c r="A640" s="230">
        <v>12</v>
      </c>
      <c r="B640" s="231" t="str">
        <f>VLOOKUP(Tabel10[[#This Row],[Locatiecode]],Ruimtegroepen[[Code]:[Ruimte omschrijving]],2,FALSE)</f>
        <v>Kantine/Aula</v>
      </c>
      <c r="C640" s="232" t="s">
        <v>826</v>
      </c>
      <c r="D640" s="231" t="s">
        <v>12</v>
      </c>
      <c r="E640" s="233" t="s">
        <v>101</v>
      </c>
      <c r="F640" s="232" t="s">
        <v>827</v>
      </c>
      <c r="G640" s="281" t="s">
        <v>296</v>
      </c>
      <c r="H640" s="234" t="s">
        <v>296</v>
      </c>
      <c r="I640" s="234" t="s">
        <v>296</v>
      </c>
      <c r="J640" s="234" t="s">
        <v>18</v>
      </c>
      <c r="K640" s="235" t="s">
        <v>296</v>
      </c>
      <c r="L640" s="234" t="s">
        <v>296</v>
      </c>
      <c r="M640" s="234" t="s">
        <v>296</v>
      </c>
      <c r="N640" s="235" t="s">
        <v>296</v>
      </c>
      <c r="O640" s="236" t="s">
        <v>18</v>
      </c>
      <c r="P640" s="236" t="s">
        <v>18</v>
      </c>
      <c r="Q640" s="236" t="s">
        <v>15</v>
      </c>
      <c r="R640" s="236" t="s">
        <v>15</v>
      </c>
      <c r="S640" s="236" t="s">
        <v>16</v>
      </c>
      <c r="T640" s="236" t="s">
        <v>343</v>
      </c>
      <c r="U640" s="236" t="s">
        <v>262</v>
      </c>
      <c r="V640" s="236" t="s">
        <v>296</v>
      </c>
      <c r="W640" s="237" t="s">
        <v>296</v>
      </c>
      <c r="X640" s="237" t="s">
        <v>296</v>
      </c>
      <c r="Y640" s="238" t="s">
        <v>296</v>
      </c>
    </row>
    <row r="641" spans="1:25">
      <c r="A641" s="230">
        <v>12</v>
      </c>
      <c r="B641" s="231" t="str">
        <f>VLOOKUP(Tabel10[[#This Row],[Locatiecode]],Ruimtegroepen[[Code]:[Ruimte omschrijving]],2,FALSE)</f>
        <v>Kantine/Aula</v>
      </c>
      <c r="C641" s="232" t="s">
        <v>826</v>
      </c>
      <c r="D641" s="231" t="s">
        <v>12</v>
      </c>
      <c r="E641" s="233" t="s">
        <v>100</v>
      </c>
      <c r="F641" s="232" t="s">
        <v>828</v>
      </c>
      <c r="G641" s="281" t="s">
        <v>296</v>
      </c>
      <c r="H641" s="235" t="s">
        <v>18</v>
      </c>
      <c r="I641" s="234" t="s">
        <v>296</v>
      </c>
      <c r="J641" s="235" t="s">
        <v>296</v>
      </c>
      <c r="K641" s="235" t="s">
        <v>296</v>
      </c>
      <c r="L641" s="234" t="s">
        <v>296</v>
      </c>
      <c r="M641" s="234" t="s">
        <v>296</v>
      </c>
      <c r="N641" s="235" t="s">
        <v>296</v>
      </c>
      <c r="O641" s="236" t="s">
        <v>18</v>
      </c>
      <c r="P641" s="236" t="s">
        <v>18</v>
      </c>
      <c r="Q641" s="236" t="s">
        <v>15</v>
      </c>
      <c r="R641" s="236" t="s">
        <v>15</v>
      </c>
      <c r="S641" s="236" t="s">
        <v>16</v>
      </c>
      <c r="T641" s="236" t="s">
        <v>343</v>
      </c>
      <c r="U641" s="236" t="s">
        <v>262</v>
      </c>
      <c r="V641" s="236" t="s">
        <v>296</v>
      </c>
      <c r="W641" s="237" t="s">
        <v>296</v>
      </c>
      <c r="X641" s="237" t="s">
        <v>296</v>
      </c>
      <c r="Y641" s="238" t="s">
        <v>296</v>
      </c>
    </row>
    <row r="642" spans="1:25">
      <c r="A642" s="230">
        <v>12</v>
      </c>
      <c r="B642" s="231" t="str">
        <f>VLOOKUP(Tabel10[[#This Row],[Locatiecode]],Ruimtegroepen[[Code]:[Ruimte omschrijving]],2,FALSE)</f>
        <v>Kantine/Aula</v>
      </c>
      <c r="C642" s="232" t="s">
        <v>826</v>
      </c>
      <c r="D642" s="231" t="s">
        <v>12</v>
      </c>
      <c r="E642" s="233" t="s">
        <v>102</v>
      </c>
      <c r="F642" s="232" t="s">
        <v>829</v>
      </c>
      <c r="G642" s="281" t="s">
        <v>296</v>
      </c>
      <c r="H642" s="234" t="s">
        <v>296</v>
      </c>
      <c r="I642" s="235" t="s">
        <v>18</v>
      </c>
      <c r="J642" s="235" t="s">
        <v>296</v>
      </c>
      <c r="K642" s="235" t="s">
        <v>18</v>
      </c>
      <c r="L642" s="234" t="s">
        <v>296</v>
      </c>
      <c r="M642" s="234" t="s">
        <v>296</v>
      </c>
      <c r="N642" s="235" t="s">
        <v>296</v>
      </c>
      <c r="O642" s="236" t="s">
        <v>18</v>
      </c>
      <c r="P642" s="236" t="s">
        <v>18</v>
      </c>
      <c r="Q642" s="236" t="s">
        <v>15</v>
      </c>
      <c r="R642" s="236" t="s">
        <v>15</v>
      </c>
      <c r="S642" s="236" t="s">
        <v>16</v>
      </c>
      <c r="T642" s="236" t="s">
        <v>343</v>
      </c>
      <c r="U642" s="236" t="s">
        <v>262</v>
      </c>
      <c r="V642" s="236" t="s">
        <v>296</v>
      </c>
      <c r="W642" s="237" t="s">
        <v>296</v>
      </c>
      <c r="X642" s="237" t="s">
        <v>296</v>
      </c>
      <c r="Y642" s="238" t="s">
        <v>296</v>
      </c>
    </row>
    <row r="643" spans="1:25">
      <c r="A643" s="230">
        <v>12</v>
      </c>
      <c r="B643" s="231" t="str">
        <f>VLOOKUP(Tabel10[[#This Row],[Locatiecode]],Ruimtegroepen[[Code]:[Ruimte omschrijving]],2,FALSE)</f>
        <v>Kantine/Aula</v>
      </c>
      <c r="C643" s="232" t="s">
        <v>826</v>
      </c>
      <c r="D643" s="231" t="s">
        <v>12</v>
      </c>
      <c r="E643" s="233" t="s">
        <v>103</v>
      </c>
      <c r="F643" s="232" t="s">
        <v>830</v>
      </c>
      <c r="G643" s="281" t="s">
        <v>296</v>
      </c>
      <c r="H643" s="234" t="s">
        <v>296</v>
      </c>
      <c r="I643" s="235" t="s">
        <v>18</v>
      </c>
      <c r="J643" s="235" t="s">
        <v>296</v>
      </c>
      <c r="K643" s="235" t="s">
        <v>18</v>
      </c>
      <c r="L643" s="234" t="s">
        <v>296</v>
      </c>
      <c r="M643" s="234" t="s">
        <v>296</v>
      </c>
      <c r="N643" s="235" t="s">
        <v>296</v>
      </c>
      <c r="O643" s="236" t="s">
        <v>18</v>
      </c>
      <c r="P643" s="236" t="s">
        <v>18</v>
      </c>
      <c r="Q643" s="236" t="s">
        <v>15</v>
      </c>
      <c r="R643" s="236" t="s">
        <v>15</v>
      </c>
      <c r="S643" s="236" t="s">
        <v>16</v>
      </c>
      <c r="T643" s="236" t="s">
        <v>343</v>
      </c>
      <c r="U643" s="236" t="s">
        <v>262</v>
      </c>
      <c r="V643" s="236" t="s">
        <v>296</v>
      </c>
      <c r="W643" s="237" t="s">
        <v>296</v>
      </c>
      <c r="X643" s="237" t="s">
        <v>296</v>
      </c>
      <c r="Y643" s="238" t="s">
        <v>296</v>
      </c>
    </row>
    <row r="644" spans="1:25">
      <c r="A644" s="230">
        <v>12</v>
      </c>
      <c r="B644" s="231" t="str">
        <f>VLOOKUP(Tabel10[[#This Row],[Locatiecode]],Ruimtegroepen[[Code]:[Ruimte omschrijving]],2,FALSE)</f>
        <v>Kantine/Aula</v>
      </c>
      <c r="C644" s="232" t="s">
        <v>826</v>
      </c>
      <c r="D644" s="231" t="s">
        <v>12</v>
      </c>
      <c r="E644" s="233" t="s">
        <v>100</v>
      </c>
      <c r="F644" s="232" t="s">
        <v>828</v>
      </c>
      <c r="G644" s="281" t="s">
        <v>296</v>
      </c>
      <c r="H644" s="235" t="s">
        <v>18</v>
      </c>
      <c r="I644" s="234" t="s">
        <v>296</v>
      </c>
      <c r="J644" s="235" t="s">
        <v>296</v>
      </c>
      <c r="K644" s="235" t="s">
        <v>296</v>
      </c>
      <c r="L644" s="234" t="s">
        <v>296</v>
      </c>
      <c r="M644" s="234" t="s">
        <v>296</v>
      </c>
      <c r="N644" s="235" t="s">
        <v>296</v>
      </c>
      <c r="O644" s="236" t="s">
        <v>18</v>
      </c>
      <c r="P644" s="236" t="s">
        <v>18</v>
      </c>
      <c r="Q644" s="236" t="s">
        <v>15</v>
      </c>
      <c r="R644" s="236" t="s">
        <v>15</v>
      </c>
      <c r="S644" s="236" t="s">
        <v>16</v>
      </c>
      <c r="T644" s="236" t="s">
        <v>343</v>
      </c>
      <c r="U644" s="236" t="s">
        <v>262</v>
      </c>
      <c r="V644" s="236" t="s">
        <v>296</v>
      </c>
      <c r="W644" s="237" t="s">
        <v>296</v>
      </c>
      <c r="X644" s="237" t="s">
        <v>296</v>
      </c>
      <c r="Y644" s="238" t="s">
        <v>296</v>
      </c>
    </row>
    <row r="645" spans="1:25">
      <c r="A645" s="230">
        <v>12</v>
      </c>
      <c r="B645" s="231" t="str">
        <f>VLOOKUP(Tabel10[[#This Row],[Locatiecode]],Ruimtegroepen[[Code]:[Ruimte omschrijving]],2,FALSE)</f>
        <v>Kantine/Aula</v>
      </c>
      <c r="C645" s="232" t="s">
        <v>826</v>
      </c>
      <c r="D645" s="231" t="s">
        <v>12</v>
      </c>
      <c r="E645" s="233" t="s">
        <v>1344</v>
      </c>
      <c r="F645" s="232" t="s">
        <v>1469</v>
      </c>
      <c r="G645" s="281" t="s">
        <v>296</v>
      </c>
      <c r="H645" s="234" t="s">
        <v>296</v>
      </c>
      <c r="I645" s="235" t="s">
        <v>18</v>
      </c>
      <c r="J645" s="235" t="s">
        <v>296</v>
      </c>
      <c r="K645" s="235" t="s">
        <v>18</v>
      </c>
      <c r="L645" s="234" t="s">
        <v>296</v>
      </c>
      <c r="M645" s="234" t="s">
        <v>296</v>
      </c>
      <c r="N645" s="235" t="s">
        <v>296</v>
      </c>
      <c r="O645" s="236" t="s">
        <v>18</v>
      </c>
      <c r="P645" s="236" t="s">
        <v>18</v>
      </c>
      <c r="Q645" s="236" t="s">
        <v>15</v>
      </c>
      <c r="R645" s="236" t="s">
        <v>15</v>
      </c>
      <c r="S645" s="236" t="s">
        <v>16</v>
      </c>
      <c r="T645" s="236" t="s">
        <v>343</v>
      </c>
      <c r="U645" s="236" t="s">
        <v>262</v>
      </c>
      <c r="V645" s="236" t="s">
        <v>296</v>
      </c>
      <c r="W645" s="237" t="s">
        <v>296</v>
      </c>
      <c r="X645" s="237" t="s">
        <v>296</v>
      </c>
      <c r="Y645" s="238" t="s">
        <v>296</v>
      </c>
    </row>
    <row r="646" spans="1:25">
      <c r="A646" s="230">
        <v>12</v>
      </c>
      <c r="B646" s="231" t="str">
        <f>VLOOKUP(Tabel10[[#This Row],[Locatiecode]],Ruimtegroepen[[Code]:[Ruimte omschrijving]],2,FALSE)</f>
        <v>Kantine/Aula</v>
      </c>
      <c r="C646" s="232" t="s">
        <v>831</v>
      </c>
      <c r="D646" s="231" t="s">
        <v>14</v>
      </c>
      <c r="E646" s="233" t="s">
        <v>101</v>
      </c>
      <c r="F646" s="232" t="s">
        <v>832</v>
      </c>
      <c r="G646" s="281" t="s">
        <v>296</v>
      </c>
      <c r="H646" s="234" t="s">
        <v>296</v>
      </c>
      <c r="I646" s="234" t="s">
        <v>296</v>
      </c>
      <c r="J646" s="234" t="s">
        <v>17</v>
      </c>
      <c r="K646" s="235" t="s">
        <v>296</v>
      </c>
      <c r="L646" s="234" t="s">
        <v>296</v>
      </c>
      <c r="M646" s="234" t="s">
        <v>296</v>
      </c>
      <c r="N646" s="235" t="s">
        <v>296</v>
      </c>
      <c r="O646" s="236" t="s">
        <v>17</v>
      </c>
      <c r="P646" s="236" t="s">
        <v>17</v>
      </c>
      <c r="Q646" s="236" t="s">
        <v>15</v>
      </c>
      <c r="R646" s="236" t="s">
        <v>15</v>
      </c>
      <c r="S646" s="236" t="s">
        <v>16</v>
      </c>
      <c r="T646" s="236" t="s">
        <v>343</v>
      </c>
      <c r="U646" s="236" t="s">
        <v>262</v>
      </c>
      <c r="V646" s="236" t="s">
        <v>296</v>
      </c>
      <c r="W646" s="237" t="s">
        <v>296</v>
      </c>
      <c r="X646" s="237" t="s">
        <v>296</v>
      </c>
      <c r="Y646" s="238" t="s">
        <v>296</v>
      </c>
    </row>
    <row r="647" spans="1:25">
      <c r="A647" s="230">
        <v>12</v>
      </c>
      <c r="B647" s="231" t="str">
        <f>VLOOKUP(Tabel10[[#This Row],[Locatiecode]],Ruimtegroepen[[Code]:[Ruimte omschrijving]],2,FALSE)</f>
        <v>Kantine/Aula</v>
      </c>
      <c r="C647" s="232" t="s">
        <v>831</v>
      </c>
      <c r="D647" s="231" t="s">
        <v>14</v>
      </c>
      <c r="E647" s="233" t="s">
        <v>100</v>
      </c>
      <c r="F647" s="232" t="s">
        <v>833</v>
      </c>
      <c r="G647" s="281" t="s">
        <v>296</v>
      </c>
      <c r="H647" s="235" t="s">
        <v>17</v>
      </c>
      <c r="I647" s="234" t="s">
        <v>296</v>
      </c>
      <c r="J647" s="235" t="s">
        <v>296</v>
      </c>
      <c r="K647" s="235" t="s">
        <v>296</v>
      </c>
      <c r="L647" s="234" t="s">
        <v>296</v>
      </c>
      <c r="M647" s="234" t="s">
        <v>296</v>
      </c>
      <c r="N647" s="235" t="s">
        <v>296</v>
      </c>
      <c r="O647" s="236" t="s">
        <v>17</v>
      </c>
      <c r="P647" s="236" t="s">
        <v>17</v>
      </c>
      <c r="Q647" s="236" t="s">
        <v>15</v>
      </c>
      <c r="R647" s="236" t="s">
        <v>15</v>
      </c>
      <c r="S647" s="236" t="s">
        <v>16</v>
      </c>
      <c r="T647" s="236" t="s">
        <v>343</v>
      </c>
      <c r="U647" s="236" t="s">
        <v>262</v>
      </c>
      <c r="V647" s="236" t="s">
        <v>296</v>
      </c>
      <c r="W647" s="237" t="s">
        <v>296</v>
      </c>
      <c r="X647" s="237" t="s">
        <v>296</v>
      </c>
      <c r="Y647" s="238" t="s">
        <v>296</v>
      </c>
    </row>
    <row r="648" spans="1:25">
      <c r="A648" s="230">
        <v>12</v>
      </c>
      <c r="B648" s="231" t="str">
        <f>VLOOKUP(Tabel10[[#This Row],[Locatiecode]],Ruimtegroepen[[Code]:[Ruimte omschrijving]],2,FALSE)</f>
        <v>Kantine/Aula</v>
      </c>
      <c r="C648" s="232" t="s">
        <v>831</v>
      </c>
      <c r="D648" s="231" t="s">
        <v>14</v>
      </c>
      <c r="E648" s="233" t="s">
        <v>102</v>
      </c>
      <c r="F648" s="232" t="s">
        <v>834</v>
      </c>
      <c r="G648" s="281" t="s">
        <v>296</v>
      </c>
      <c r="H648" s="234" t="s">
        <v>296</v>
      </c>
      <c r="I648" s="235" t="s">
        <v>17</v>
      </c>
      <c r="J648" s="235" t="s">
        <v>296</v>
      </c>
      <c r="K648" s="235" t="s">
        <v>17</v>
      </c>
      <c r="L648" s="234" t="s">
        <v>296</v>
      </c>
      <c r="M648" s="234" t="s">
        <v>296</v>
      </c>
      <c r="N648" s="235" t="s">
        <v>296</v>
      </c>
      <c r="O648" s="236" t="s">
        <v>17</v>
      </c>
      <c r="P648" s="236" t="s">
        <v>17</v>
      </c>
      <c r="Q648" s="236" t="s">
        <v>15</v>
      </c>
      <c r="R648" s="236" t="s">
        <v>15</v>
      </c>
      <c r="S648" s="236" t="s">
        <v>16</v>
      </c>
      <c r="T648" s="236" t="s">
        <v>343</v>
      </c>
      <c r="U648" s="236" t="s">
        <v>262</v>
      </c>
      <c r="V648" s="236" t="s">
        <v>296</v>
      </c>
      <c r="W648" s="237" t="s">
        <v>296</v>
      </c>
      <c r="X648" s="237" t="s">
        <v>296</v>
      </c>
      <c r="Y648" s="238" t="s">
        <v>296</v>
      </c>
    </row>
    <row r="649" spans="1:25">
      <c r="A649" s="230">
        <v>12</v>
      </c>
      <c r="B649" s="231" t="str">
        <f>VLOOKUP(Tabel10[[#This Row],[Locatiecode]],Ruimtegroepen[[Code]:[Ruimte omschrijving]],2,FALSE)</f>
        <v>Kantine/Aula</v>
      </c>
      <c r="C649" s="232" t="s">
        <v>831</v>
      </c>
      <c r="D649" s="231" t="s">
        <v>14</v>
      </c>
      <c r="E649" s="233" t="s">
        <v>103</v>
      </c>
      <c r="F649" s="232" t="s">
        <v>835</v>
      </c>
      <c r="G649" s="281" t="s">
        <v>296</v>
      </c>
      <c r="H649" s="234" t="s">
        <v>296</v>
      </c>
      <c r="I649" s="235" t="s">
        <v>17</v>
      </c>
      <c r="J649" s="235" t="s">
        <v>296</v>
      </c>
      <c r="K649" s="235" t="s">
        <v>17</v>
      </c>
      <c r="L649" s="234" t="s">
        <v>296</v>
      </c>
      <c r="M649" s="234" t="s">
        <v>296</v>
      </c>
      <c r="N649" s="235" t="s">
        <v>296</v>
      </c>
      <c r="O649" s="236" t="s">
        <v>17</v>
      </c>
      <c r="P649" s="236" t="s">
        <v>17</v>
      </c>
      <c r="Q649" s="236" t="s">
        <v>15</v>
      </c>
      <c r="R649" s="236" t="s">
        <v>15</v>
      </c>
      <c r="S649" s="236" t="s">
        <v>16</v>
      </c>
      <c r="T649" s="236" t="s">
        <v>343</v>
      </c>
      <c r="U649" s="236" t="s">
        <v>262</v>
      </c>
      <c r="V649" s="236" t="s">
        <v>296</v>
      </c>
      <c r="W649" s="237" t="s">
        <v>296</v>
      </c>
      <c r="X649" s="237" t="s">
        <v>296</v>
      </c>
      <c r="Y649" s="238" t="s">
        <v>296</v>
      </c>
    </row>
    <row r="650" spans="1:25">
      <c r="A650" s="230">
        <v>12</v>
      </c>
      <c r="B650" s="231" t="str">
        <f>VLOOKUP(Tabel10[[#This Row],[Locatiecode]],Ruimtegroepen[[Code]:[Ruimte omschrijving]],2,FALSE)</f>
        <v>Kantine/Aula</v>
      </c>
      <c r="C650" s="232" t="s">
        <v>831</v>
      </c>
      <c r="D650" s="231" t="s">
        <v>14</v>
      </c>
      <c r="E650" s="233" t="s">
        <v>100</v>
      </c>
      <c r="F650" s="232" t="s">
        <v>833</v>
      </c>
      <c r="G650" s="281" t="s">
        <v>296</v>
      </c>
      <c r="H650" s="235" t="s">
        <v>17</v>
      </c>
      <c r="I650" s="234" t="s">
        <v>296</v>
      </c>
      <c r="J650" s="235" t="s">
        <v>296</v>
      </c>
      <c r="K650" s="235" t="s">
        <v>296</v>
      </c>
      <c r="L650" s="234" t="s">
        <v>296</v>
      </c>
      <c r="M650" s="234" t="s">
        <v>296</v>
      </c>
      <c r="N650" s="235" t="s">
        <v>296</v>
      </c>
      <c r="O650" s="236" t="s">
        <v>17</v>
      </c>
      <c r="P650" s="236" t="s">
        <v>17</v>
      </c>
      <c r="Q650" s="236" t="s">
        <v>15</v>
      </c>
      <c r="R650" s="236" t="s">
        <v>15</v>
      </c>
      <c r="S650" s="236" t="s">
        <v>16</v>
      </c>
      <c r="T650" s="236" t="s">
        <v>343</v>
      </c>
      <c r="U650" s="236" t="s">
        <v>262</v>
      </c>
      <c r="V650" s="236" t="s">
        <v>296</v>
      </c>
      <c r="W650" s="237" t="s">
        <v>296</v>
      </c>
      <c r="X650" s="237" t="s">
        <v>296</v>
      </c>
      <c r="Y650" s="238" t="s">
        <v>296</v>
      </c>
    </row>
    <row r="651" spans="1:25">
      <c r="A651" s="230">
        <v>12</v>
      </c>
      <c r="B651" s="231" t="str">
        <f>VLOOKUP(Tabel10[[#This Row],[Locatiecode]],Ruimtegroepen[[Code]:[Ruimte omschrijving]],2,FALSE)</f>
        <v>Kantine/Aula</v>
      </c>
      <c r="C651" s="232" t="s">
        <v>831</v>
      </c>
      <c r="D651" s="231" t="s">
        <v>14</v>
      </c>
      <c r="E651" s="233" t="s">
        <v>1344</v>
      </c>
      <c r="F651" s="232" t="s">
        <v>1436</v>
      </c>
      <c r="G651" s="281" t="s">
        <v>296</v>
      </c>
      <c r="H651" s="234" t="s">
        <v>296</v>
      </c>
      <c r="I651" s="235" t="s">
        <v>17</v>
      </c>
      <c r="J651" s="235" t="s">
        <v>296</v>
      </c>
      <c r="K651" s="235" t="s">
        <v>17</v>
      </c>
      <c r="L651" s="234" t="s">
        <v>296</v>
      </c>
      <c r="M651" s="234" t="s">
        <v>296</v>
      </c>
      <c r="N651" s="235" t="s">
        <v>296</v>
      </c>
      <c r="O651" s="236" t="s">
        <v>17</v>
      </c>
      <c r="P651" s="236" t="s">
        <v>17</v>
      </c>
      <c r="Q651" s="236" t="s">
        <v>15</v>
      </c>
      <c r="R651" s="236" t="s">
        <v>15</v>
      </c>
      <c r="S651" s="236" t="s">
        <v>16</v>
      </c>
      <c r="T651" s="236" t="s">
        <v>343</v>
      </c>
      <c r="U651" s="236" t="s">
        <v>262</v>
      </c>
      <c r="V651" s="236" t="s">
        <v>296</v>
      </c>
      <c r="W651" s="237" t="s">
        <v>296</v>
      </c>
      <c r="X651" s="237" t="s">
        <v>296</v>
      </c>
      <c r="Y651" s="238" t="s">
        <v>296</v>
      </c>
    </row>
    <row r="652" spans="1:25">
      <c r="A652" s="230">
        <v>12</v>
      </c>
      <c r="B652" s="231" t="str">
        <f>VLOOKUP(Tabel10[[#This Row],[Locatiecode]],Ruimtegroepen[[Code]:[Ruimte omschrijving]],2,FALSE)</f>
        <v>Kantine/Aula</v>
      </c>
      <c r="C652" s="232" t="s">
        <v>836</v>
      </c>
      <c r="D652" s="231" t="s">
        <v>13</v>
      </c>
      <c r="E652" s="233" t="s">
        <v>101</v>
      </c>
      <c r="F652" s="232" t="s">
        <v>837</v>
      </c>
      <c r="G652" s="281" t="s">
        <v>296</v>
      </c>
      <c r="H652" s="234" t="s">
        <v>296</v>
      </c>
      <c r="I652" s="234" t="s">
        <v>296</v>
      </c>
      <c r="J652" s="235" t="s">
        <v>15</v>
      </c>
      <c r="K652" s="235" t="s">
        <v>296</v>
      </c>
      <c r="L652" s="234" t="s">
        <v>296</v>
      </c>
      <c r="M652" s="234" t="s">
        <v>296</v>
      </c>
      <c r="N652" s="235" t="s">
        <v>296</v>
      </c>
      <c r="O652" s="236" t="s">
        <v>15</v>
      </c>
      <c r="P652" s="236" t="s">
        <v>15</v>
      </c>
      <c r="Q652" s="236" t="s">
        <v>15</v>
      </c>
      <c r="R652" s="236" t="s">
        <v>15</v>
      </c>
      <c r="S652" s="236" t="s">
        <v>16</v>
      </c>
      <c r="T652" s="236" t="s">
        <v>343</v>
      </c>
      <c r="U652" s="236" t="s">
        <v>262</v>
      </c>
      <c r="V652" s="236" t="s">
        <v>296</v>
      </c>
      <c r="W652" s="237" t="s">
        <v>296</v>
      </c>
      <c r="X652" s="237" t="s">
        <v>296</v>
      </c>
      <c r="Y652" s="238" t="s">
        <v>296</v>
      </c>
    </row>
    <row r="653" spans="1:25">
      <c r="A653" s="230">
        <v>12</v>
      </c>
      <c r="B653" s="231" t="str">
        <f>VLOOKUP(Tabel10[[#This Row],[Locatiecode]],Ruimtegroepen[[Code]:[Ruimte omschrijving]],2,FALSE)</f>
        <v>Kantine/Aula</v>
      </c>
      <c r="C653" s="232" t="s">
        <v>836</v>
      </c>
      <c r="D653" s="231" t="s">
        <v>13</v>
      </c>
      <c r="E653" s="233" t="s">
        <v>100</v>
      </c>
      <c r="F653" s="232" t="s">
        <v>838</v>
      </c>
      <c r="G653" s="281" t="s">
        <v>296</v>
      </c>
      <c r="H653" s="235" t="s">
        <v>15</v>
      </c>
      <c r="I653" s="234" t="s">
        <v>296</v>
      </c>
      <c r="J653" s="235" t="s">
        <v>296</v>
      </c>
      <c r="K653" s="235" t="s">
        <v>296</v>
      </c>
      <c r="L653" s="234" t="s">
        <v>296</v>
      </c>
      <c r="M653" s="234" t="s">
        <v>296</v>
      </c>
      <c r="N653" s="235" t="s">
        <v>296</v>
      </c>
      <c r="O653" s="236" t="s">
        <v>15</v>
      </c>
      <c r="P653" s="236" t="s">
        <v>15</v>
      </c>
      <c r="Q653" s="236" t="s">
        <v>15</v>
      </c>
      <c r="R653" s="236" t="s">
        <v>15</v>
      </c>
      <c r="S653" s="236" t="s">
        <v>16</v>
      </c>
      <c r="T653" s="236" t="s">
        <v>343</v>
      </c>
      <c r="U653" s="236" t="s">
        <v>262</v>
      </c>
      <c r="V653" s="236" t="s">
        <v>296</v>
      </c>
      <c r="W653" s="237" t="s">
        <v>296</v>
      </c>
      <c r="X653" s="237" t="s">
        <v>296</v>
      </c>
      <c r="Y653" s="238" t="s">
        <v>296</v>
      </c>
    </row>
    <row r="654" spans="1:25">
      <c r="A654" s="230">
        <v>12</v>
      </c>
      <c r="B654" s="231" t="str">
        <f>VLOOKUP(Tabel10[[#This Row],[Locatiecode]],Ruimtegroepen[[Code]:[Ruimte omschrijving]],2,FALSE)</f>
        <v>Kantine/Aula</v>
      </c>
      <c r="C654" s="232" t="s">
        <v>836</v>
      </c>
      <c r="D654" s="231" t="s">
        <v>13</v>
      </c>
      <c r="E654" s="233" t="s">
        <v>102</v>
      </c>
      <c r="F654" s="232" t="s">
        <v>839</v>
      </c>
      <c r="G654" s="281" t="s">
        <v>296</v>
      </c>
      <c r="H654" s="234" t="s">
        <v>296</v>
      </c>
      <c r="I654" s="235" t="s">
        <v>15</v>
      </c>
      <c r="J654" s="235" t="s">
        <v>296</v>
      </c>
      <c r="K654" s="235" t="s">
        <v>15</v>
      </c>
      <c r="L654" s="234" t="s">
        <v>296</v>
      </c>
      <c r="M654" s="234" t="s">
        <v>296</v>
      </c>
      <c r="N654" s="235" t="s">
        <v>296</v>
      </c>
      <c r="O654" s="236" t="s">
        <v>15</v>
      </c>
      <c r="P654" s="236" t="s">
        <v>15</v>
      </c>
      <c r="Q654" s="236" t="s">
        <v>15</v>
      </c>
      <c r="R654" s="236" t="s">
        <v>15</v>
      </c>
      <c r="S654" s="236" t="s">
        <v>16</v>
      </c>
      <c r="T654" s="236" t="s">
        <v>343</v>
      </c>
      <c r="U654" s="236" t="s">
        <v>262</v>
      </c>
      <c r="V654" s="236" t="s">
        <v>296</v>
      </c>
      <c r="W654" s="237" t="s">
        <v>296</v>
      </c>
      <c r="X654" s="237" t="s">
        <v>296</v>
      </c>
      <c r="Y654" s="238" t="s">
        <v>296</v>
      </c>
    </row>
    <row r="655" spans="1:25">
      <c r="A655" s="230">
        <v>12</v>
      </c>
      <c r="B655" s="231" t="str">
        <f>VLOOKUP(Tabel10[[#This Row],[Locatiecode]],Ruimtegroepen[[Code]:[Ruimte omschrijving]],2,FALSE)</f>
        <v>Kantine/Aula</v>
      </c>
      <c r="C655" s="232" t="s">
        <v>836</v>
      </c>
      <c r="D655" s="231" t="s">
        <v>13</v>
      </c>
      <c r="E655" s="233" t="s">
        <v>103</v>
      </c>
      <c r="F655" s="232" t="s">
        <v>840</v>
      </c>
      <c r="G655" s="281" t="s">
        <v>296</v>
      </c>
      <c r="H655" s="234" t="s">
        <v>296</v>
      </c>
      <c r="I655" s="235" t="s">
        <v>15</v>
      </c>
      <c r="J655" s="235" t="s">
        <v>296</v>
      </c>
      <c r="K655" s="235" t="s">
        <v>15</v>
      </c>
      <c r="L655" s="234" t="s">
        <v>296</v>
      </c>
      <c r="M655" s="234" t="s">
        <v>296</v>
      </c>
      <c r="N655" s="235" t="s">
        <v>296</v>
      </c>
      <c r="O655" s="236" t="s">
        <v>15</v>
      </c>
      <c r="P655" s="236" t="s">
        <v>15</v>
      </c>
      <c r="Q655" s="236" t="s">
        <v>15</v>
      </c>
      <c r="R655" s="236" t="s">
        <v>15</v>
      </c>
      <c r="S655" s="236" t="s">
        <v>16</v>
      </c>
      <c r="T655" s="236" t="s">
        <v>343</v>
      </c>
      <c r="U655" s="236" t="s">
        <v>262</v>
      </c>
      <c r="V655" s="236" t="s">
        <v>296</v>
      </c>
      <c r="W655" s="237" t="s">
        <v>296</v>
      </c>
      <c r="X655" s="237" t="s">
        <v>296</v>
      </c>
      <c r="Y655" s="238" t="s">
        <v>296</v>
      </c>
    </row>
    <row r="656" spans="1:25">
      <c r="A656" s="230">
        <v>12</v>
      </c>
      <c r="B656" s="231" t="str">
        <f>VLOOKUP(Tabel10[[#This Row],[Locatiecode]],Ruimtegroepen[[Code]:[Ruimte omschrijving]],2,FALSE)</f>
        <v>Kantine/Aula</v>
      </c>
      <c r="C656" s="232" t="s">
        <v>836</v>
      </c>
      <c r="D656" s="231" t="s">
        <v>13</v>
      </c>
      <c r="E656" s="233" t="s">
        <v>100</v>
      </c>
      <c r="F656" s="232" t="s">
        <v>838</v>
      </c>
      <c r="G656" s="281" t="s">
        <v>296</v>
      </c>
      <c r="H656" s="235" t="s">
        <v>15</v>
      </c>
      <c r="I656" s="234" t="s">
        <v>296</v>
      </c>
      <c r="J656" s="235" t="s">
        <v>296</v>
      </c>
      <c r="K656" s="235" t="s">
        <v>296</v>
      </c>
      <c r="L656" s="234" t="s">
        <v>296</v>
      </c>
      <c r="M656" s="234" t="s">
        <v>296</v>
      </c>
      <c r="N656" s="235" t="s">
        <v>296</v>
      </c>
      <c r="O656" s="236" t="s">
        <v>15</v>
      </c>
      <c r="P656" s="236" t="s">
        <v>15</v>
      </c>
      <c r="Q656" s="236" t="s">
        <v>15</v>
      </c>
      <c r="R656" s="236" t="s">
        <v>15</v>
      </c>
      <c r="S656" s="236" t="s">
        <v>16</v>
      </c>
      <c r="T656" s="236" t="s">
        <v>343</v>
      </c>
      <c r="U656" s="236" t="s">
        <v>262</v>
      </c>
      <c r="V656" s="236" t="s">
        <v>296</v>
      </c>
      <c r="W656" s="237" t="s">
        <v>296</v>
      </c>
      <c r="X656" s="237" t="s">
        <v>296</v>
      </c>
      <c r="Y656" s="238" t="s">
        <v>296</v>
      </c>
    </row>
    <row r="657" spans="1:25">
      <c r="A657" s="230">
        <v>12</v>
      </c>
      <c r="B657" s="231" t="str">
        <f>VLOOKUP(Tabel10[[#This Row],[Locatiecode]],Ruimtegroepen[[Code]:[Ruimte omschrijving]],2,FALSE)</f>
        <v>Kantine/Aula</v>
      </c>
      <c r="C657" s="232" t="s">
        <v>836</v>
      </c>
      <c r="D657" s="231" t="s">
        <v>13</v>
      </c>
      <c r="E657" s="233" t="s">
        <v>1344</v>
      </c>
      <c r="F657" s="232" t="s">
        <v>1403</v>
      </c>
      <c r="G657" s="281" t="s">
        <v>296</v>
      </c>
      <c r="H657" s="234" t="s">
        <v>296</v>
      </c>
      <c r="I657" s="235" t="s">
        <v>15</v>
      </c>
      <c r="J657" s="235" t="s">
        <v>296</v>
      </c>
      <c r="K657" s="235" t="s">
        <v>15</v>
      </c>
      <c r="L657" s="234" t="s">
        <v>296</v>
      </c>
      <c r="M657" s="234" t="s">
        <v>296</v>
      </c>
      <c r="N657" s="235" t="s">
        <v>296</v>
      </c>
      <c r="O657" s="236" t="s">
        <v>15</v>
      </c>
      <c r="P657" s="236" t="s">
        <v>15</v>
      </c>
      <c r="Q657" s="236" t="s">
        <v>15</v>
      </c>
      <c r="R657" s="236" t="s">
        <v>15</v>
      </c>
      <c r="S657" s="236" t="s">
        <v>16</v>
      </c>
      <c r="T657" s="236" t="s">
        <v>343</v>
      </c>
      <c r="U657" s="236" t="s">
        <v>262</v>
      </c>
      <c r="V657" s="236" t="s">
        <v>296</v>
      </c>
      <c r="W657" s="237" t="s">
        <v>296</v>
      </c>
      <c r="X657" s="237" t="s">
        <v>296</v>
      </c>
      <c r="Y657" s="238" t="s">
        <v>296</v>
      </c>
    </row>
    <row r="658" spans="1:25">
      <c r="A658" s="230">
        <v>12</v>
      </c>
      <c r="B658" s="231" t="str">
        <f>VLOOKUP(Tabel10[[#This Row],[Locatiecode]],Ruimtegroepen[[Code]:[Ruimte omschrijving]],2,FALSE)</f>
        <v>Kantine/Aula</v>
      </c>
      <c r="C658" s="232" t="s">
        <v>841</v>
      </c>
      <c r="D658" s="231" t="s">
        <v>0</v>
      </c>
      <c r="E658" s="233" t="s">
        <v>101</v>
      </c>
      <c r="F658" s="232" t="s">
        <v>842</v>
      </c>
      <c r="G658" s="281" t="s">
        <v>296</v>
      </c>
      <c r="H658" s="234" t="s">
        <v>296</v>
      </c>
      <c r="I658" s="234" t="s">
        <v>296</v>
      </c>
      <c r="J658" s="235" t="s">
        <v>16</v>
      </c>
      <c r="K658" s="235" t="s">
        <v>296</v>
      </c>
      <c r="L658" s="234" t="s">
        <v>296</v>
      </c>
      <c r="M658" s="234" t="s">
        <v>296</v>
      </c>
      <c r="N658" s="235" t="s">
        <v>296</v>
      </c>
      <c r="O658" s="236" t="s">
        <v>16</v>
      </c>
      <c r="P658" s="236" t="s">
        <v>16</v>
      </c>
      <c r="Q658" s="236" t="s">
        <v>16</v>
      </c>
      <c r="R658" s="236" t="s">
        <v>16</v>
      </c>
      <c r="S658" s="236" t="s">
        <v>16</v>
      </c>
      <c r="T658" s="236" t="s">
        <v>343</v>
      </c>
      <c r="U658" s="236" t="s">
        <v>262</v>
      </c>
      <c r="V658" s="236" t="s">
        <v>296</v>
      </c>
      <c r="W658" s="237" t="s">
        <v>296</v>
      </c>
      <c r="X658" s="237" t="s">
        <v>296</v>
      </c>
      <c r="Y658" s="238" t="s">
        <v>296</v>
      </c>
    </row>
    <row r="659" spans="1:25">
      <c r="A659" s="230">
        <v>12</v>
      </c>
      <c r="B659" s="231" t="str">
        <f>VLOOKUP(Tabel10[[#This Row],[Locatiecode]],Ruimtegroepen[[Code]:[Ruimte omschrijving]],2,FALSE)</f>
        <v>Kantine/Aula</v>
      </c>
      <c r="C659" s="232" t="s">
        <v>841</v>
      </c>
      <c r="D659" s="231" t="s">
        <v>0</v>
      </c>
      <c r="E659" s="233" t="s">
        <v>100</v>
      </c>
      <c r="F659" s="232" t="s">
        <v>843</v>
      </c>
      <c r="G659" s="281" t="s">
        <v>296</v>
      </c>
      <c r="H659" s="235" t="s">
        <v>16</v>
      </c>
      <c r="I659" s="234" t="s">
        <v>296</v>
      </c>
      <c r="J659" s="235" t="s">
        <v>296</v>
      </c>
      <c r="K659" s="235" t="s">
        <v>296</v>
      </c>
      <c r="L659" s="234" t="s">
        <v>296</v>
      </c>
      <c r="M659" s="234" t="s">
        <v>296</v>
      </c>
      <c r="N659" s="235" t="s">
        <v>296</v>
      </c>
      <c r="O659" s="236" t="s">
        <v>16</v>
      </c>
      <c r="P659" s="236" t="s">
        <v>16</v>
      </c>
      <c r="Q659" s="236" t="s">
        <v>16</v>
      </c>
      <c r="R659" s="236" t="s">
        <v>16</v>
      </c>
      <c r="S659" s="236" t="s">
        <v>16</v>
      </c>
      <c r="T659" s="236" t="s">
        <v>343</v>
      </c>
      <c r="U659" s="236" t="s">
        <v>262</v>
      </c>
      <c r="V659" s="236" t="s">
        <v>296</v>
      </c>
      <c r="W659" s="237" t="s">
        <v>296</v>
      </c>
      <c r="X659" s="237" t="s">
        <v>296</v>
      </c>
      <c r="Y659" s="238" t="s">
        <v>296</v>
      </c>
    </row>
    <row r="660" spans="1:25">
      <c r="A660" s="230">
        <v>12</v>
      </c>
      <c r="B660" s="231" t="str">
        <f>VLOOKUP(Tabel10[[#This Row],[Locatiecode]],Ruimtegroepen[[Code]:[Ruimte omschrijving]],2,FALSE)</f>
        <v>Kantine/Aula</v>
      </c>
      <c r="C660" s="232" t="s">
        <v>841</v>
      </c>
      <c r="D660" s="231" t="s">
        <v>0</v>
      </c>
      <c r="E660" s="233" t="s">
        <v>102</v>
      </c>
      <c r="F660" s="232" t="s">
        <v>844</v>
      </c>
      <c r="G660" s="281" t="s">
        <v>296</v>
      </c>
      <c r="H660" s="234" t="s">
        <v>296</v>
      </c>
      <c r="I660" s="235" t="s">
        <v>16</v>
      </c>
      <c r="J660" s="235" t="s">
        <v>375</v>
      </c>
      <c r="K660" s="235" t="s">
        <v>16</v>
      </c>
      <c r="L660" s="234" t="s">
        <v>296</v>
      </c>
      <c r="M660" s="234" t="s">
        <v>296</v>
      </c>
      <c r="N660" s="235" t="s">
        <v>296</v>
      </c>
      <c r="O660" s="236" t="s">
        <v>16</v>
      </c>
      <c r="P660" s="236" t="s">
        <v>16</v>
      </c>
      <c r="Q660" s="236" t="s">
        <v>16</v>
      </c>
      <c r="R660" s="236" t="s">
        <v>16</v>
      </c>
      <c r="S660" s="236" t="s">
        <v>16</v>
      </c>
      <c r="T660" s="236" t="s">
        <v>343</v>
      </c>
      <c r="U660" s="236" t="s">
        <v>262</v>
      </c>
      <c r="V660" s="236" t="s">
        <v>296</v>
      </c>
      <c r="W660" s="237" t="s">
        <v>296</v>
      </c>
      <c r="X660" s="237" t="s">
        <v>296</v>
      </c>
      <c r="Y660" s="238" t="s">
        <v>296</v>
      </c>
    </row>
    <row r="661" spans="1:25">
      <c r="A661" s="230">
        <v>12</v>
      </c>
      <c r="B661" s="231" t="str">
        <f>VLOOKUP(Tabel10[[#This Row],[Locatiecode]],Ruimtegroepen[[Code]:[Ruimte omschrijving]],2,FALSE)</f>
        <v>Kantine/Aula</v>
      </c>
      <c r="C661" s="232" t="s">
        <v>841</v>
      </c>
      <c r="D661" s="231" t="s">
        <v>0</v>
      </c>
      <c r="E661" s="233" t="s">
        <v>103</v>
      </c>
      <c r="F661" s="232" t="s">
        <v>845</v>
      </c>
      <c r="G661" s="281" t="s">
        <v>296</v>
      </c>
      <c r="H661" s="234" t="s">
        <v>296</v>
      </c>
      <c r="I661" s="235" t="s">
        <v>16</v>
      </c>
      <c r="J661" s="235" t="s">
        <v>296</v>
      </c>
      <c r="K661" s="235" t="s">
        <v>16</v>
      </c>
      <c r="L661" s="234" t="s">
        <v>296</v>
      </c>
      <c r="M661" s="234" t="s">
        <v>296</v>
      </c>
      <c r="N661" s="235" t="s">
        <v>296</v>
      </c>
      <c r="O661" s="236" t="s">
        <v>16</v>
      </c>
      <c r="P661" s="236" t="s">
        <v>16</v>
      </c>
      <c r="Q661" s="236" t="s">
        <v>16</v>
      </c>
      <c r="R661" s="236" t="s">
        <v>16</v>
      </c>
      <c r="S661" s="236" t="s">
        <v>16</v>
      </c>
      <c r="T661" s="236" t="s">
        <v>343</v>
      </c>
      <c r="U661" s="236" t="s">
        <v>262</v>
      </c>
      <c r="V661" s="236" t="s">
        <v>296</v>
      </c>
      <c r="W661" s="237" t="s">
        <v>296</v>
      </c>
      <c r="X661" s="237" t="s">
        <v>296</v>
      </c>
      <c r="Y661" s="238" t="s">
        <v>296</v>
      </c>
    </row>
    <row r="662" spans="1:25">
      <c r="A662" s="230">
        <v>12</v>
      </c>
      <c r="B662" s="231" t="str">
        <f>VLOOKUP(Tabel10[[#This Row],[Locatiecode]],Ruimtegroepen[[Code]:[Ruimte omschrijving]],2,FALSE)</f>
        <v>Kantine/Aula</v>
      </c>
      <c r="C662" s="232" t="s">
        <v>841</v>
      </c>
      <c r="D662" s="231" t="s">
        <v>0</v>
      </c>
      <c r="E662" s="233" t="s">
        <v>100</v>
      </c>
      <c r="F662" s="232" t="s">
        <v>843</v>
      </c>
      <c r="G662" s="281" t="s">
        <v>296</v>
      </c>
      <c r="H662" s="235" t="s">
        <v>16</v>
      </c>
      <c r="I662" s="234" t="s">
        <v>296</v>
      </c>
      <c r="J662" s="235" t="s">
        <v>296</v>
      </c>
      <c r="K662" s="235" t="s">
        <v>296</v>
      </c>
      <c r="L662" s="234" t="s">
        <v>296</v>
      </c>
      <c r="M662" s="234" t="s">
        <v>296</v>
      </c>
      <c r="N662" s="235" t="s">
        <v>296</v>
      </c>
      <c r="O662" s="236" t="s">
        <v>16</v>
      </c>
      <c r="P662" s="236" t="s">
        <v>16</v>
      </c>
      <c r="Q662" s="236" t="s">
        <v>16</v>
      </c>
      <c r="R662" s="236" t="s">
        <v>16</v>
      </c>
      <c r="S662" s="236" t="s">
        <v>16</v>
      </c>
      <c r="T662" s="236" t="s">
        <v>343</v>
      </c>
      <c r="U662" s="236" t="s">
        <v>262</v>
      </c>
      <c r="V662" s="236" t="s">
        <v>296</v>
      </c>
      <c r="W662" s="237" t="s">
        <v>296</v>
      </c>
      <c r="X662" s="237" t="s">
        <v>296</v>
      </c>
      <c r="Y662" s="238" t="s">
        <v>296</v>
      </c>
    </row>
    <row r="663" spans="1:25">
      <c r="A663" s="230">
        <v>12</v>
      </c>
      <c r="B663" s="231" t="str">
        <f>VLOOKUP(Tabel10[[#This Row],[Locatiecode]],Ruimtegroepen[[Code]:[Ruimte omschrijving]],2,FALSE)</f>
        <v>Kantine/Aula</v>
      </c>
      <c r="C663" s="232" t="s">
        <v>841</v>
      </c>
      <c r="D663" s="231" t="s">
        <v>0</v>
      </c>
      <c r="E663" s="233" t="s">
        <v>1344</v>
      </c>
      <c r="F663" s="232" t="s">
        <v>1387</v>
      </c>
      <c r="G663" s="281" t="s">
        <v>296</v>
      </c>
      <c r="H663" s="234" t="s">
        <v>296</v>
      </c>
      <c r="I663" s="235" t="s">
        <v>16</v>
      </c>
      <c r="J663" s="235" t="s">
        <v>296</v>
      </c>
      <c r="K663" s="235" t="s">
        <v>16</v>
      </c>
      <c r="L663" s="234" t="s">
        <v>296</v>
      </c>
      <c r="M663" s="234" t="s">
        <v>296</v>
      </c>
      <c r="N663" s="235" t="s">
        <v>296</v>
      </c>
      <c r="O663" s="236" t="s">
        <v>16</v>
      </c>
      <c r="P663" s="236" t="s">
        <v>16</v>
      </c>
      <c r="Q663" s="236" t="s">
        <v>16</v>
      </c>
      <c r="R663" s="236" t="s">
        <v>16</v>
      </c>
      <c r="S663" s="236" t="s">
        <v>16</v>
      </c>
      <c r="T663" s="236" t="s">
        <v>343</v>
      </c>
      <c r="U663" s="236" t="s">
        <v>262</v>
      </c>
      <c r="V663" s="236" t="s">
        <v>296</v>
      </c>
      <c r="W663" s="237" t="s">
        <v>296</v>
      </c>
      <c r="X663" s="237" t="s">
        <v>296</v>
      </c>
      <c r="Y663" s="238" t="s">
        <v>296</v>
      </c>
    </row>
    <row r="664" spans="1:25">
      <c r="A664" s="230">
        <v>12</v>
      </c>
      <c r="B664" s="231" t="str">
        <f>VLOOKUP(Tabel10[[#This Row],[Locatiecode]],Ruimtegroepen[[Code]:[Ruimte omschrijving]],2,FALSE)</f>
        <v>Kantine/Aula</v>
      </c>
      <c r="C664" s="232" t="s">
        <v>846</v>
      </c>
      <c r="D664" s="231" t="s">
        <v>27</v>
      </c>
      <c r="E664" s="233" t="s">
        <v>101</v>
      </c>
      <c r="F664" s="232" t="s">
        <v>847</v>
      </c>
      <c r="G664" s="281" t="s">
        <v>296</v>
      </c>
      <c r="H664" s="234" t="s">
        <v>296</v>
      </c>
      <c r="I664" s="235" t="s">
        <v>15</v>
      </c>
      <c r="J664" s="234" t="s">
        <v>296</v>
      </c>
      <c r="K664" s="235" t="s">
        <v>296</v>
      </c>
      <c r="L664" s="234" t="s">
        <v>296</v>
      </c>
      <c r="M664" s="234" t="s">
        <v>296</v>
      </c>
      <c r="N664" s="235" t="s">
        <v>296</v>
      </c>
      <c r="O664" s="236" t="s">
        <v>15</v>
      </c>
      <c r="P664" s="236" t="s">
        <v>15</v>
      </c>
      <c r="Q664" s="236" t="s">
        <v>15</v>
      </c>
      <c r="R664" s="236" t="s">
        <v>296</v>
      </c>
      <c r="S664" s="236" t="s">
        <v>296</v>
      </c>
      <c r="T664" s="236" t="s">
        <v>296</v>
      </c>
      <c r="U664" s="236" t="s">
        <v>296</v>
      </c>
      <c r="V664" s="236" t="s">
        <v>296</v>
      </c>
      <c r="W664" s="237" t="s">
        <v>296</v>
      </c>
      <c r="X664" s="237" t="s">
        <v>296</v>
      </c>
      <c r="Y664" s="238" t="s">
        <v>296</v>
      </c>
    </row>
    <row r="665" spans="1:25">
      <c r="A665" s="230">
        <v>12</v>
      </c>
      <c r="B665" s="231" t="str">
        <f>VLOOKUP(Tabel10[[#This Row],[Locatiecode]],Ruimtegroepen[[Code]:[Ruimte omschrijving]],2,FALSE)</f>
        <v>Kantine/Aula</v>
      </c>
      <c r="C665" s="232" t="s">
        <v>846</v>
      </c>
      <c r="D665" s="231" t="s">
        <v>27</v>
      </c>
      <c r="E665" s="233" t="s">
        <v>100</v>
      </c>
      <c r="F665" s="232" t="s">
        <v>848</v>
      </c>
      <c r="G665" s="281" t="s">
        <v>296</v>
      </c>
      <c r="H665" s="235" t="s">
        <v>15</v>
      </c>
      <c r="I665" s="234" t="s">
        <v>296</v>
      </c>
      <c r="J665" s="235" t="s">
        <v>296</v>
      </c>
      <c r="K665" s="235" t="s">
        <v>296</v>
      </c>
      <c r="L665" s="234" t="s">
        <v>296</v>
      </c>
      <c r="M665" s="234" t="s">
        <v>296</v>
      </c>
      <c r="N665" s="235" t="s">
        <v>296</v>
      </c>
      <c r="O665" s="236" t="s">
        <v>15</v>
      </c>
      <c r="P665" s="236" t="s">
        <v>15</v>
      </c>
      <c r="Q665" s="236" t="s">
        <v>15</v>
      </c>
      <c r="R665" s="236" t="s">
        <v>296</v>
      </c>
      <c r="S665" s="236" t="s">
        <v>296</v>
      </c>
      <c r="T665" s="236" t="s">
        <v>296</v>
      </c>
      <c r="U665" s="236" t="s">
        <v>296</v>
      </c>
      <c r="V665" s="236" t="s">
        <v>296</v>
      </c>
      <c r="W665" s="237" t="s">
        <v>296</v>
      </c>
      <c r="X665" s="237" t="s">
        <v>296</v>
      </c>
      <c r="Y665" s="238" t="s">
        <v>296</v>
      </c>
    </row>
    <row r="666" spans="1:25">
      <c r="A666" s="230">
        <v>12</v>
      </c>
      <c r="B666" s="231" t="str">
        <f>VLOOKUP(Tabel10[[#This Row],[Locatiecode]],Ruimtegroepen[[Code]:[Ruimte omschrijving]],2,FALSE)</f>
        <v>Kantine/Aula</v>
      </c>
      <c r="C666" s="232" t="s">
        <v>846</v>
      </c>
      <c r="D666" s="231" t="s">
        <v>27</v>
      </c>
      <c r="E666" s="233" t="s">
        <v>102</v>
      </c>
      <c r="F666" s="232" t="s">
        <v>849</v>
      </c>
      <c r="G666" s="281" t="s">
        <v>296</v>
      </c>
      <c r="H666" s="234" t="s">
        <v>296</v>
      </c>
      <c r="I666" s="235" t="s">
        <v>15</v>
      </c>
      <c r="J666" s="235" t="s">
        <v>296</v>
      </c>
      <c r="K666" s="235" t="s">
        <v>296</v>
      </c>
      <c r="L666" s="234" t="s">
        <v>296</v>
      </c>
      <c r="M666" s="234" t="s">
        <v>296</v>
      </c>
      <c r="N666" s="235" t="s">
        <v>296</v>
      </c>
      <c r="O666" s="236" t="s">
        <v>15</v>
      </c>
      <c r="P666" s="236" t="s">
        <v>15</v>
      </c>
      <c r="Q666" s="236" t="s">
        <v>15</v>
      </c>
      <c r="R666" s="236" t="s">
        <v>296</v>
      </c>
      <c r="S666" s="236" t="s">
        <v>296</v>
      </c>
      <c r="T666" s="236" t="s">
        <v>296</v>
      </c>
      <c r="U666" s="236" t="s">
        <v>296</v>
      </c>
      <c r="V666" s="236" t="s">
        <v>296</v>
      </c>
      <c r="W666" s="237" t="s">
        <v>296</v>
      </c>
      <c r="X666" s="237" t="s">
        <v>296</v>
      </c>
      <c r="Y666" s="238" t="s">
        <v>296</v>
      </c>
    </row>
    <row r="667" spans="1:25">
      <c r="A667" s="230">
        <v>12</v>
      </c>
      <c r="B667" s="231" t="str">
        <f>VLOOKUP(Tabel10[[#This Row],[Locatiecode]],Ruimtegroepen[[Code]:[Ruimte omschrijving]],2,FALSE)</f>
        <v>Kantine/Aula</v>
      </c>
      <c r="C667" s="232" t="s">
        <v>846</v>
      </c>
      <c r="D667" s="231" t="s">
        <v>27</v>
      </c>
      <c r="E667" s="233" t="s">
        <v>103</v>
      </c>
      <c r="F667" s="232" t="s">
        <v>850</v>
      </c>
      <c r="G667" s="281" t="s">
        <v>296</v>
      </c>
      <c r="H667" s="234" t="s">
        <v>296</v>
      </c>
      <c r="I667" s="235" t="s">
        <v>15</v>
      </c>
      <c r="J667" s="235" t="s">
        <v>296</v>
      </c>
      <c r="K667" s="235" t="s">
        <v>296</v>
      </c>
      <c r="L667" s="234" t="s">
        <v>296</v>
      </c>
      <c r="M667" s="234" t="s">
        <v>296</v>
      </c>
      <c r="N667" s="235" t="s">
        <v>296</v>
      </c>
      <c r="O667" s="236" t="s">
        <v>15</v>
      </c>
      <c r="P667" s="236" t="s">
        <v>15</v>
      </c>
      <c r="Q667" s="236" t="s">
        <v>15</v>
      </c>
      <c r="R667" s="236" t="s">
        <v>296</v>
      </c>
      <c r="S667" s="236" t="s">
        <v>296</v>
      </c>
      <c r="T667" s="236" t="s">
        <v>296</v>
      </c>
      <c r="U667" s="236" t="s">
        <v>296</v>
      </c>
      <c r="V667" s="236" t="s">
        <v>296</v>
      </c>
      <c r="W667" s="237" t="s">
        <v>296</v>
      </c>
      <c r="X667" s="237" t="s">
        <v>296</v>
      </c>
      <c r="Y667" s="238" t="s">
        <v>296</v>
      </c>
    </row>
    <row r="668" spans="1:25">
      <c r="A668" s="230">
        <v>12</v>
      </c>
      <c r="B668" s="231" t="str">
        <f>VLOOKUP(Tabel10[[#This Row],[Locatiecode]],Ruimtegroepen[[Code]:[Ruimte omschrijving]],2,FALSE)</f>
        <v>Kantine/Aula</v>
      </c>
      <c r="C668" s="232" t="s">
        <v>846</v>
      </c>
      <c r="D668" s="231" t="s">
        <v>27</v>
      </c>
      <c r="E668" s="233" t="s">
        <v>100</v>
      </c>
      <c r="F668" s="232" t="s">
        <v>848</v>
      </c>
      <c r="G668" s="281" t="s">
        <v>296</v>
      </c>
      <c r="H668" s="235" t="s">
        <v>15</v>
      </c>
      <c r="I668" s="234" t="s">
        <v>296</v>
      </c>
      <c r="J668" s="235" t="s">
        <v>296</v>
      </c>
      <c r="K668" s="235" t="s">
        <v>296</v>
      </c>
      <c r="L668" s="234" t="s">
        <v>296</v>
      </c>
      <c r="M668" s="234" t="s">
        <v>296</v>
      </c>
      <c r="N668" s="235" t="s">
        <v>296</v>
      </c>
      <c r="O668" s="236" t="s">
        <v>15</v>
      </c>
      <c r="P668" s="236" t="s">
        <v>15</v>
      </c>
      <c r="Q668" s="236" t="s">
        <v>15</v>
      </c>
      <c r="R668" s="236" t="s">
        <v>296</v>
      </c>
      <c r="S668" s="236" t="s">
        <v>296</v>
      </c>
      <c r="T668" s="236" t="s">
        <v>296</v>
      </c>
      <c r="U668" s="236" t="s">
        <v>296</v>
      </c>
      <c r="V668" s="236" t="s">
        <v>296</v>
      </c>
      <c r="W668" s="237" t="s">
        <v>296</v>
      </c>
      <c r="X668" s="237" t="s">
        <v>296</v>
      </c>
      <c r="Y668" s="238" t="s">
        <v>296</v>
      </c>
    </row>
    <row r="669" spans="1:25">
      <c r="A669" s="230">
        <v>12</v>
      </c>
      <c r="B669" s="231" t="str">
        <f>VLOOKUP(Tabel10[[#This Row],[Locatiecode]],Ruimtegroepen[[Code]:[Ruimte omschrijving]],2,FALSE)</f>
        <v>Kantine/Aula</v>
      </c>
      <c r="C669" s="232" t="s">
        <v>846</v>
      </c>
      <c r="D669" s="231" t="s">
        <v>27</v>
      </c>
      <c r="E669" s="233" t="s">
        <v>1344</v>
      </c>
      <c r="F669" s="232" t="s">
        <v>1420</v>
      </c>
      <c r="G669" s="281" t="s">
        <v>296</v>
      </c>
      <c r="H669" s="234" t="s">
        <v>296</v>
      </c>
      <c r="I669" s="235" t="s">
        <v>15</v>
      </c>
      <c r="J669" s="235" t="s">
        <v>296</v>
      </c>
      <c r="K669" s="235" t="s">
        <v>296</v>
      </c>
      <c r="L669" s="234" t="s">
        <v>296</v>
      </c>
      <c r="M669" s="234" t="s">
        <v>296</v>
      </c>
      <c r="N669" s="235" t="s">
        <v>296</v>
      </c>
      <c r="O669" s="236" t="s">
        <v>15</v>
      </c>
      <c r="P669" s="236" t="s">
        <v>15</v>
      </c>
      <c r="Q669" s="236" t="s">
        <v>15</v>
      </c>
      <c r="R669" s="236" t="s">
        <v>296</v>
      </c>
      <c r="S669" s="236" t="s">
        <v>296</v>
      </c>
      <c r="T669" s="236" t="s">
        <v>296</v>
      </c>
      <c r="U669" s="236" t="s">
        <v>296</v>
      </c>
      <c r="V669" s="236" t="s">
        <v>296</v>
      </c>
      <c r="W669" s="237" t="s">
        <v>296</v>
      </c>
      <c r="X669" s="237" t="s">
        <v>296</v>
      </c>
      <c r="Y669" s="238" t="s">
        <v>296</v>
      </c>
    </row>
    <row r="670" spans="1:25">
      <c r="A670" s="230">
        <v>12</v>
      </c>
      <c r="B670" s="231" t="str">
        <f>VLOOKUP(Tabel10[[#This Row],[Locatiecode]],Ruimtegroepen[[Code]:[Ruimte omschrijving]],2,FALSE)</f>
        <v>Kantine/Aula</v>
      </c>
      <c r="C670" s="232" t="s">
        <v>851</v>
      </c>
      <c r="D670" s="231" t="s">
        <v>28</v>
      </c>
      <c r="E670" s="233" t="s">
        <v>101</v>
      </c>
      <c r="F670" s="232" t="s">
        <v>852</v>
      </c>
      <c r="G670" s="281" t="s">
        <v>296</v>
      </c>
      <c r="H670" s="234" t="s">
        <v>296</v>
      </c>
      <c r="I670" s="235" t="s">
        <v>17</v>
      </c>
      <c r="J670" s="234" t="s">
        <v>296</v>
      </c>
      <c r="K670" s="235" t="s">
        <v>296</v>
      </c>
      <c r="L670" s="234" t="s">
        <v>296</v>
      </c>
      <c r="M670" s="234" t="s">
        <v>296</v>
      </c>
      <c r="N670" s="235" t="s">
        <v>296</v>
      </c>
      <c r="O670" s="236" t="s">
        <v>17</v>
      </c>
      <c r="P670" s="236" t="s">
        <v>17</v>
      </c>
      <c r="Q670" s="236" t="s">
        <v>15</v>
      </c>
      <c r="R670" s="236" t="s">
        <v>296</v>
      </c>
      <c r="S670" s="236" t="s">
        <v>296</v>
      </c>
      <c r="T670" s="236" t="s">
        <v>296</v>
      </c>
      <c r="U670" s="236" t="s">
        <v>296</v>
      </c>
      <c r="V670" s="236" t="s">
        <v>296</v>
      </c>
      <c r="W670" s="237" t="s">
        <v>296</v>
      </c>
      <c r="X670" s="237" t="s">
        <v>296</v>
      </c>
      <c r="Y670" s="238" t="s">
        <v>296</v>
      </c>
    </row>
    <row r="671" spans="1:25">
      <c r="A671" s="230">
        <v>12</v>
      </c>
      <c r="B671" s="231" t="str">
        <f>VLOOKUP(Tabel10[[#This Row],[Locatiecode]],Ruimtegroepen[[Code]:[Ruimte omschrijving]],2,FALSE)</f>
        <v>Kantine/Aula</v>
      </c>
      <c r="C671" s="232" t="s">
        <v>851</v>
      </c>
      <c r="D671" s="231" t="s">
        <v>28</v>
      </c>
      <c r="E671" s="233" t="s">
        <v>100</v>
      </c>
      <c r="F671" s="232" t="s">
        <v>853</v>
      </c>
      <c r="G671" s="281" t="s">
        <v>296</v>
      </c>
      <c r="H671" s="235" t="s">
        <v>17</v>
      </c>
      <c r="I671" s="234" t="s">
        <v>296</v>
      </c>
      <c r="J671" s="235" t="s">
        <v>296</v>
      </c>
      <c r="K671" s="235" t="s">
        <v>296</v>
      </c>
      <c r="L671" s="234" t="s">
        <v>296</v>
      </c>
      <c r="M671" s="234" t="s">
        <v>296</v>
      </c>
      <c r="N671" s="235" t="s">
        <v>296</v>
      </c>
      <c r="O671" s="236" t="s">
        <v>17</v>
      </c>
      <c r="P671" s="236" t="s">
        <v>17</v>
      </c>
      <c r="Q671" s="236" t="s">
        <v>15</v>
      </c>
      <c r="R671" s="236" t="s">
        <v>296</v>
      </c>
      <c r="S671" s="236" t="s">
        <v>296</v>
      </c>
      <c r="T671" s="236" t="s">
        <v>296</v>
      </c>
      <c r="U671" s="236" t="s">
        <v>296</v>
      </c>
      <c r="V671" s="236" t="s">
        <v>296</v>
      </c>
      <c r="W671" s="237" t="s">
        <v>296</v>
      </c>
      <c r="X671" s="237" t="s">
        <v>296</v>
      </c>
      <c r="Y671" s="238" t="s">
        <v>296</v>
      </c>
    </row>
    <row r="672" spans="1:25">
      <c r="A672" s="230">
        <v>12</v>
      </c>
      <c r="B672" s="231" t="str">
        <f>VLOOKUP(Tabel10[[#This Row],[Locatiecode]],Ruimtegroepen[[Code]:[Ruimte omschrijving]],2,FALSE)</f>
        <v>Kantine/Aula</v>
      </c>
      <c r="C672" s="232" t="s">
        <v>851</v>
      </c>
      <c r="D672" s="231" t="s">
        <v>28</v>
      </c>
      <c r="E672" s="233" t="s">
        <v>102</v>
      </c>
      <c r="F672" s="232" t="s">
        <v>854</v>
      </c>
      <c r="G672" s="281" t="s">
        <v>296</v>
      </c>
      <c r="H672" s="234" t="s">
        <v>296</v>
      </c>
      <c r="I672" s="235" t="s">
        <v>17</v>
      </c>
      <c r="J672" s="235" t="s">
        <v>296</v>
      </c>
      <c r="K672" s="235" t="s">
        <v>296</v>
      </c>
      <c r="L672" s="234" t="s">
        <v>296</v>
      </c>
      <c r="M672" s="234" t="s">
        <v>296</v>
      </c>
      <c r="N672" s="235" t="s">
        <v>296</v>
      </c>
      <c r="O672" s="236" t="s">
        <v>17</v>
      </c>
      <c r="P672" s="236" t="s">
        <v>17</v>
      </c>
      <c r="Q672" s="236" t="s">
        <v>15</v>
      </c>
      <c r="R672" s="236" t="s">
        <v>296</v>
      </c>
      <c r="S672" s="236" t="s">
        <v>296</v>
      </c>
      <c r="T672" s="236" t="s">
        <v>296</v>
      </c>
      <c r="U672" s="236" t="s">
        <v>296</v>
      </c>
      <c r="V672" s="236" t="s">
        <v>296</v>
      </c>
      <c r="W672" s="237" t="s">
        <v>296</v>
      </c>
      <c r="X672" s="237" t="s">
        <v>296</v>
      </c>
      <c r="Y672" s="238" t="s">
        <v>296</v>
      </c>
    </row>
    <row r="673" spans="1:25">
      <c r="A673" s="230">
        <v>12</v>
      </c>
      <c r="B673" s="231" t="str">
        <f>VLOOKUP(Tabel10[[#This Row],[Locatiecode]],Ruimtegroepen[[Code]:[Ruimte omschrijving]],2,FALSE)</f>
        <v>Kantine/Aula</v>
      </c>
      <c r="C673" s="232" t="s">
        <v>851</v>
      </c>
      <c r="D673" s="231" t="s">
        <v>28</v>
      </c>
      <c r="E673" s="233" t="s">
        <v>103</v>
      </c>
      <c r="F673" s="232" t="s">
        <v>855</v>
      </c>
      <c r="G673" s="281" t="s">
        <v>296</v>
      </c>
      <c r="H673" s="234" t="s">
        <v>296</v>
      </c>
      <c r="I673" s="235" t="s">
        <v>17</v>
      </c>
      <c r="J673" s="235" t="s">
        <v>296</v>
      </c>
      <c r="K673" s="235" t="s">
        <v>296</v>
      </c>
      <c r="L673" s="234" t="s">
        <v>296</v>
      </c>
      <c r="M673" s="234" t="s">
        <v>296</v>
      </c>
      <c r="N673" s="235" t="s">
        <v>296</v>
      </c>
      <c r="O673" s="236" t="s">
        <v>17</v>
      </c>
      <c r="P673" s="236" t="s">
        <v>17</v>
      </c>
      <c r="Q673" s="236" t="s">
        <v>15</v>
      </c>
      <c r="R673" s="236" t="s">
        <v>296</v>
      </c>
      <c r="S673" s="236" t="s">
        <v>296</v>
      </c>
      <c r="T673" s="236" t="s">
        <v>296</v>
      </c>
      <c r="U673" s="236" t="s">
        <v>296</v>
      </c>
      <c r="V673" s="236" t="s">
        <v>296</v>
      </c>
      <c r="W673" s="237" t="s">
        <v>296</v>
      </c>
      <c r="X673" s="237" t="s">
        <v>296</v>
      </c>
      <c r="Y673" s="238" t="s">
        <v>296</v>
      </c>
    </row>
    <row r="674" spans="1:25">
      <c r="A674" s="230">
        <v>12</v>
      </c>
      <c r="B674" s="231" t="str">
        <f>VLOOKUP(Tabel10[[#This Row],[Locatiecode]],Ruimtegroepen[[Code]:[Ruimte omschrijving]],2,FALSE)</f>
        <v>Kantine/Aula</v>
      </c>
      <c r="C674" s="232" t="s">
        <v>851</v>
      </c>
      <c r="D674" s="231" t="s">
        <v>28</v>
      </c>
      <c r="E674" s="233" t="s">
        <v>100</v>
      </c>
      <c r="F674" s="232" t="s">
        <v>853</v>
      </c>
      <c r="G674" s="281" t="s">
        <v>296</v>
      </c>
      <c r="H674" s="235" t="s">
        <v>17</v>
      </c>
      <c r="I674" s="234" t="s">
        <v>296</v>
      </c>
      <c r="J674" s="235" t="s">
        <v>296</v>
      </c>
      <c r="K674" s="235" t="s">
        <v>296</v>
      </c>
      <c r="L674" s="234" t="s">
        <v>296</v>
      </c>
      <c r="M674" s="234" t="s">
        <v>296</v>
      </c>
      <c r="N674" s="235" t="s">
        <v>296</v>
      </c>
      <c r="O674" s="236" t="s">
        <v>17</v>
      </c>
      <c r="P674" s="236" t="s">
        <v>17</v>
      </c>
      <c r="Q674" s="236" t="s">
        <v>15</v>
      </c>
      <c r="R674" s="236" t="s">
        <v>296</v>
      </c>
      <c r="S674" s="236" t="s">
        <v>296</v>
      </c>
      <c r="T674" s="236" t="s">
        <v>296</v>
      </c>
      <c r="U674" s="236" t="s">
        <v>296</v>
      </c>
      <c r="V674" s="236" t="s">
        <v>296</v>
      </c>
      <c r="W674" s="237" t="s">
        <v>296</v>
      </c>
      <c r="X674" s="237" t="s">
        <v>296</v>
      </c>
      <c r="Y674" s="238" t="s">
        <v>296</v>
      </c>
    </row>
    <row r="675" spans="1:25">
      <c r="A675" s="230">
        <v>12</v>
      </c>
      <c r="B675" s="231" t="str">
        <f>VLOOKUP(Tabel10[[#This Row],[Locatiecode]],Ruimtegroepen[[Code]:[Ruimte omschrijving]],2,FALSE)</f>
        <v>Kantine/Aula</v>
      </c>
      <c r="C675" s="232" t="s">
        <v>851</v>
      </c>
      <c r="D675" s="231" t="s">
        <v>28</v>
      </c>
      <c r="E675" s="233" t="s">
        <v>1344</v>
      </c>
      <c r="F675" s="232" t="s">
        <v>1453</v>
      </c>
      <c r="G675" s="281" t="s">
        <v>296</v>
      </c>
      <c r="H675" s="234" t="s">
        <v>296</v>
      </c>
      <c r="I675" s="235" t="s">
        <v>17</v>
      </c>
      <c r="J675" s="235" t="s">
        <v>296</v>
      </c>
      <c r="K675" s="235" t="s">
        <v>296</v>
      </c>
      <c r="L675" s="234" t="s">
        <v>296</v>
      </c>
      <c r="M675" s="234" t="s">
        <v>296</v>
      </c>
      <c r="N675" s="235" t="s">
        <v>296</v>
      </c>
      <c r="O675" s="236" t="s">
        <v>17</v>
      </c>
      <c r="P675" s="236" t="s">
        <v>17</v>
      </c>
      <c r="Q675" s="236" t="s">
        <v>15</v>
      </c>
      <c r="R675" s="236" t="s">
        <v>296</v>
      </c>
      <c r="S675" s="236" t="s">
        <v>296</v>
      </c>
      <c r="T675" s="236" t="s">
        <v>296</v>
      </c>
      <c r="U675" s="236" t="s">
        <v>296</v>
      </c>
      <c r="V675" s="236" t="s">
        <v>296</v>
      </c>
      <c r="W675" s="237" t="s">
        <v>296</v>
      </c>
      <c r="X675" s="237" t="s">
        <v>296</v>
      </c>
      <c r="Y675" s="238" t="s">
        <v>296</v>
      </c>
    </row>
    <row r="676" spans="1:25">
      <c r="A676" s="230">
        <v>13</v>
      </c>
      <c r="B676" s="231" t="str">
        <f>VLOOKUP(Tabel10[[#This Row],[Locatiecode]],Ruimtegroepen[[Code]:[Ruimte omschrijving]],2,FALSE)</f>
        <v>handvaardigheids lokalen</v>
      </c>
      <c r="C676" s="232" t="s">
        <v>856</v>
      </c>
      <c r="D676" s="231" t="s">
        <v>29</v>
      </c>
      <c r="E676" s="233" t="s">
        <v>101</v>
      </c>
      <c r="F676" s="232" t="s">
        <v>857</v>
      </c>
      <c r="G676" s="281" t="s">
        <v>296</v>
      </c>
      <c r="H676" s="234" t="s">
        <v>296</v>
      </c>
      <c r="I676" s="234" t="s">
        <v>2</v>
      </c>
      <c r="J676" s="234" t="s">
        <v>296</v>
      </c>
      <c r="K676" s="234" t="s">
        <v>297</v>
      </c>
      <c r="L676" s="234" t="s">
        <v>296</v>
      </c>
      <c r="M676" s="234" t="s">
        <v>296</v>
      </c>
      <c r="N676" s="235" t="s">
        <v>2</v>
      </c>
      <c r="O676" s="236" t="s">
        <v>2</v>
      </c>
      <c r="P676" s="236" t="s">
        <v>2</v>
      </c>
      <c r="Q676" s="236" t="s">
        <v>15</v>
      </c>
      <c r="R676" s="236" t="s">
        <v>15</v>
      </c>
      <c r="S676" s="236" t="s">
        <v>16</v>
      </c>
      <c r="T676" s="236" t="s">
        <v>343</v>
      </c>
      <c r="U676" s="236" t="s">
        <v>262</v>
      </c>
      <c r="V676" s="236" t="s">
        <v>2</v>
      </c>
      <c r="W676" s="237" t="s">
        <v>296</v>
      </c>
      <c r="X676" s="237" t="s">
        <v>296</v>
      </c>
      <c r="Y676" s="238" t="s">
        <v>296</v>
      </c>
    </row>
    <row r="677" spans="1:25">
      <c r="A677" s="230">
        <v>13</v>
      </c>
      <c r="B677" s="231" t="str">
        <f>VLOOKUP(Tabel10[[#This Row],[Locatiecode]],Ruimtegroepen[[Code]:[Ruimte omschrijving]],2,FALSE)</f>
        <v>handvaardigheids lokalen</v>
      </c>
      <c r="C677" s="232" t="s">
        <v>856</v>
      </c>
      <c r="D677" s="231" t="s">
        <v>29</v>
      </c>
      <c r="E677" s="233" t="s">
        <v>100</v>
      </c>
      <c r="F677" s="232" t="s">
        <v>858</v>
      </c>
      <c r="G677" s="235" t="s">
        <v>296</v>
      </c>
      <c r="H677" s="235" t="s">
        <v>2</v>
      </c>
      <c r="I677" s="234" t="s">
        <v>296</v>
      </c>
      <c r="J677" s="234" t="s">
        <v>296</v>
      </c>
      <c r="K677" s="234" t="s">
        <v>296</v>
      </c>
      <c r="L677" s="234" t="s">
        <v>296</v>
      </c>
      <c r="M677" s="234" t="s">
        <v>296</v>
      </c>
      <c r="N677" s="235" t="s">
        <v>2</v>
      </c>
      <c r="O677" s="236" t="s">
        <v>2</v>
      </c>
      <c r="P677" s="236" t="s">
        <v>2</v>
      </c>
      <c r="Q677" s="236" t="s">
        <v>15</v>
      </c>
      <c r="R677" s="236" t="s">
        <v>15</v>
      </c>
      <c r="S677" s="236" t="s">
        <v>16</v>
      </c>
      <c r="T677" s="236" t="s">
        <v>343</v>
      </c>
      <c r="U677" s="236" t="s">
        <v>262</v>
      </c>
      <c r="V677" s="236" t="s">
        <v>2</v>
      </c>
      <c r="W677" s="237" t="s">
        <v>296</v>
      </c>
      <c r="X677" s="237" t="s">
        <v>296</v>
      </c>
      <c r="Y677" s="238" t="s">
        <v>296</v>
      </c>
    </row>
    <row r="678" spans="1:25">
      <c r="A678" s="230">
        <v>13</v>
      </c>
      <c r="B678" s="231" t="str">
        <f>VLOOKUP(Tabel10[[#This Row],[Locatiecode]],Ruimtegroepen[[Code]:[Ruimte omschrijving]],2,FALSE)</f>
        <v>handvaardigheids lokalen</v>
      </c>
      <c r="C678" s="232" t="s">
        <v>856</v>
      </c>
      <c r="D678" s="231" t="s">
        <v>29</v>
      </c>
      <c r="E678" s="233" t="s">
        <v>102</v>
      </c>
      <c r="F678" s="232" t="s">
        <v>859</v>
      </c>
      <c r="G678" s="281" t="s">
        <v>296</v>
      </c>
      <c r="H678" s="234" t="s">
        <v>296</v>
      </c>
      <c r="I678" s="234" t="s">
        <v>2</v>
      </c>
      <c r="J678" s="234" t="s">
        <v>296</v>
      </c>
      <c r="K678" s="234" t="s">
        <v>297</v>
      </c>
      <c r="L678" s="234" t="s">
        <v>296</v>
      </c>
      <c r="M678" s="234" t="s">
        <v>296</v>
      </c>
      <c r="N678" s="235" t="s">
        <v>2</v>
      </c>
      <c r="O678" s="236" t="s">
        <v>2</v>
      </c>
      <c r="P678" s="236" t="s">
        <v>2</v>
      </c>
      <c r="Q678" s="236" t="s">
        <v>15</v>
      </c>
      <c r="R678" s="236" t="s">
        <v>15</v>
      </c>
      <c r="S678" s="236" t="s">
        <v>16</v>
      </c>
      <c r="T678" s="236" t="s">
        <v>343</v>
      </c>
      <c r="U678" s="236" t="s">
        <v>262</v>
      </c>
      <c r="V678" s="236" t="s">
        <v>2</v>
      </c>
      <c r="W678" s="237" t="s">
        <v>296</v>
      </c>
      <c r="X678" s="237" t="s">
        <v>296</v>
      </c>
      <c r="Y678" s="238" t="s">
        <v>296</v>
      </c>
    </row>
    <row r="679" spans="1:25">
      <c r="A679" s="230">
        <v>13</v>
      </c>
      <c r="B679" s="231" t="str">
        <f>VLOOKUP(Tabel10[[#This Row],[Locatiecode]],Ruimtegroepen[[Code]:[Ruimte omschrijving]],2,FALSE)</f>
        <v>handvaardigheids lokalen</v>
      </c>
      <c r="C679" s="232" t="s">
        <v>856</v>
      </c>
      <c r="D679" s="231" t="s">
        <v>29</v>
      </c>
      <c r="E679" s="233" t="s">
        <v>103</v>
      </c>
      <c r="F679" s="232" t="s">
        <v>860</v>
      </c>
      <c r="G679" s="281" t="s">
        <v>296</v>
      </c>
      <c r="H679" s="234" t="s">
        <v>296</v>
      </c>
      <c r="I679" s="234" t="s">
        <v>2</v>
      </c>
      <c r="J679" s="234" t="s">
        <v>296</v>
      </c>
      <c r="K679" s="234" t="s">
        <v>297</v>
      </c>
      <c r="L679" s="234" t="s">
        <v>296</v>
      </c>
      <c r="M679" s="234" t="s">
        <v>296</v>
      </c>
      <c r="N679" s="235" t="s">
        <v>2</v>
      </c>
      <c r="O679" s="236" t="s">
        <v>2</v>
      </c>
      <c r="P679" s="236" t="s">
        <v>2</v>
      </c>
      <c r="Q679" s="236" t="s">
        <v>15</v>
      </c>
      <c r="R679" s="236" t="s">
        <v>15</v>
      </c>
      <c r="S679" s="236" t="s">
        <v>16</v>
      </c>
      <c r="T679" s="236" t="s">
        <v>343</v>
      </c>
      <c r="U679" s="236" t="s">
        <v>262</v>
      </c>
      <c r="V679" s="236" t="s">
        <v>2</v>
      </c>
      <c r="W679" s="237" t="s">
        <v>296</v>
      </c>
      <c r="X679" s="237" t="s">
        <v>296</v>
      </c>
      <c r="Y679" s="238" t="s">
        <v>296</v>
      </c>
    </row>
    <row r="680" spans="1:25">
      <c r="A680" s="230">
        <v>13</v>
      </c>
      <c r="B680" s="231" t="str">
        <f>VLOOKUP(Tabel10[[#This Row],[Locatiecode]],Ruimtegroepen[[Code]:[Ruimte omschrijving]],2,FALSE)</f>
        <v>handvaardigheids lokalen</v>
      </c>
      <c r="C680" s="232" t="s">
        <v>856</v>
      </c>
      <c r="D680" s="231" t="s">
        <v>29</v>
      </c>
      <c r="E680" s="233" t="s">
        <v>100</v>
      </c>
      <c r="F680" s="232" t="s">
        <v>858</v>
      </c>
      <c r="G680" s="235" t="s">
        <v>296</v>
      </c>
      <c r="H680" s="235" t="s">
        <v>2</v>
      </c>
      <c r="I680" s="234" t="s">
        <v>296</v>
      </c>
      <c r="J680" s="234" t="s">
        <v>296</v>
      </c>
      <c r="K680" s="234" t="s">
        <v>296</v>
      </c>
      <c r="L680" s="234" t="s">
        <v>296</v>
      </c>
      <c r="M680" s="234" t="s">
        <v>296</v>
      </c>
      <c r="N680" s="235" t="s">
        <v>2</v>
      </c>
      <c r="O680" s="236" t="s">
        <v>2</v>
      </c>
      <c r="P680" s="236" t="s">
        <v>2</v>
      </c>
      <c r="Q680" s="236" t="s">
        <v>15</v>
      </c>
      <c r="R680" s="236" t="s">
        <v>15</v>
      </c>
      <c r="S680" s="236" t="s">
        <v>16</v>
      </c>
      <c r="T680" s="236" t="s">
        <v>343</v>
      </c>
      <c r="U680" s="236" t="s">
        <v>262</v>
      </c>
      <c r="V680" s="236" t="s">
        <v>2</v>
      </c>
      <c r="W680" s="237" t="s">
        <v>296</v>
      </c>
      <c r="X680" s="237" t="s">
        <v>296</v>
      </c>
      <c r="Y680" s="238" t="s">
        <v>296</v>
      </c>
    </row>
    <row r="681" spans="1:25">
      <c r="A681" s="230">
        <v>13</v>
      </c>
      <c r="B681" s="231" t="str">
        <f>VLOOKUP(Tabel10[[#This Row],[Locatiecode]],Ruimtegroepen[[Code]:[Ruimte omschrijving]],2,FALSE)</f>
        <v>handvaardigheids lokalen</v>
      </c>
      <c r="C681" s="232" t="s">
        <v>856</v>
      </c>
      <c r="D681" s="231" t="s">
        <v>29</v>
      </c>
      <c r="E681" s="233" t="s">
        <v>1344</v>
      </c>
      <c r="F681" s="232" t="s">
        <v>1521</v>
      </c>
      <c r="G681" s="281" t="s">
        <v>296</v>
      </c>
      <c r="H681" s="234" t="s">
        <v>296</v>
      </c>
      <c r="I681" s="234" t="s">
        <v>2</v>
      </c>
      <c r="J681" s="234" t="s">
        <v>296</v>
      </c>
      <c r="K681" s="234" t="s">
        <v>297</v>
      </c>
      <c r="L681" s="234" t="s">
        <v>296</v>
      </c>
      <c r="M681" s="234" t="s">
        <v>296</v>
      </c>
      <c r="N681" s="235" t="s">
        <v>2</v>
      </c>
      <c r="O681" s="236" t="s">
        <v>2</v>
      </c>
      <c r="P681" s="236" t="s">
        <v>2</v>
      </c>
      <c r="Q681" s="236" t="s">
        <v>15</v>
      </c>
      <c r="R681" s="236" t="s">
        <v>15</v>
      </c>
      <c r="S681" s="236" t="s">
        <v>16</v>
      </c>
      <c r="T681" s="236" t="s">
        <v>343</v>
      </c>
      <c r="U681" s="236" t="s">
        <v>262</v>
      </c>
      <c r="V681" s="236" t="s">
        <v>2</v>
      </c>
      <c r="W681" s="237" t="s">
        <v>296</v>
      </c>
      <c r="X681" s="237" t="s">
        <v>296</v>
      </c>
      <c r="Y681" s="238" t="s">
        <v>296</v>
      </c>
    </row>
    <row r="682" spans="1:25">
      <c r="A682" s="230">
        <v>13</v>
      </c>
      <c r="B682" s="231" t="str">
        <f>VLOOKUP(Tabel10[[#This Row],[Locatiecode]],Ruimtegroepen[[Code]:[Ruimte omschrijving]],2,FALSE)</f>
        <v>handvaardigheids lokalen</v>
      </c>
      <c r="C682" s="232" t="s">
        <v>861</v>
      </c>
      <c r="D682" s="231" t="s">
        <v>1</v>
      </c>
      <c r="E682" s="233" t="s">
        <v>101</v>
      </c>
      <c r="F682" s="232" t="s">
        <v>862</v>
      </c>
      <c r="G682" s="281" t="s">
        <v>296</v>
      </c>
      <c r="H682" s="234" t="s">
        <v>296</v>
      </c>
      <c r="I682" s="234" t="s">
        <v>2</v>
      </c>
      <c r="J682" s="234" t="s">
        <v>296</v>
      </c>
      <c r="K682" s="234" t="s">
        <v>297</v>
      </c>
      <c r="L682" s="234" t="s">
        <v>296</v>
      </c>
      <c r="M682" s="234" t="s">
        <v>296</v>
      </c>
      <c r="N682" s="235" t="s">
        <v>296</v>
      </c>
      <c r="O682" s="236" t="s">
        <v>2</v>
      </c>
      <c r="P682" s="236" t="s">
        <v>2</v>
      </c>
      <c r="Q682" s="236" t="s">
        <v>15</v>
      </c>
      <c r="R682" s="236" t="s">
        <v>15</v>
      </c>
      <c r="S682" s="236" t="s">
        <v>16</v>
      </c>
      <c r="T682" s="236" t="s">
        <v>343</v>
      </c>
      <c r="U682" s="236" t="s">
        <v>262</v>
      </c>
      <c r="V682" s="236" t="s">
        <v>296</v>
      </c>
      <c r="W682" s="237" t="s">
        <v>296</v>
      </c>
      <c r="X682" s="237" t="s">
        <v>296</v>
      </c>
      <c r="Y682" s="238" t="s">
        <v>296</v>
      </c>
    </row>
    <row r="683" spans="1:25">
      <c r="A683" s="230">
        <v>13</v>
      </c>
      <c r="B683" s="231" t="str">
        <f>VLOOKUP(Tabel10[[#This Row],[Locatiecode]],Ruimtegroepen[[Code]:[Ruimte omschrijving]],2,FALSE)</f>
        <v>handvaardigheids lokalen</v>
      </c>
      <c r="C683" s="232" t="s">
        <v>861</v>
      </c>
      <c r="D683" s="231" t="s">
        <v>1</v>
      </c>
      <c r="E683" s="233" t="s">
        <v>100</v>
      </c>
      <c r="F683" s="232" t="s">
        <v>863</v>
      </c>
      <c r="G683" s="235" t="s">
        <v>296</v>
      </c>
      <c r="H683" s="235" t="s">
        <v>2</v>
      </c>
      <c r="I683" s="234" t="s">
        <v>296</v>
      </c>
      <c r="J683" s="234" t="s">
        <v>296</v>
      </c>
      <c r="K683" s="234" t="s">
        <v>296</v>
      </c>
      <c r="L683" s="234" t="s">
        <v>296</v>
      </c>
      <c r="M683" s="234" t="s">
        <v>296</v>
      </c>
      <c r="N683" s="235" t="s">
        <v>296</v>
      </c>
      <c r="O683" s="236" t="s">
        <v>2</v>
      </c>
      <c r="P683" s="236" t="s">
        <v>2</v>
      </c>
      <c r="Q683" s="236" t="s">
        <v>15</v>
      </c>
      <c r="R683" s="236" t="s">
        <v>15</v>
      </c>
      <c r="S683" s="236" t="s">
        <v>16</v>
      </c>
      <c r="T683" s="236" t="s">
        <v>343</v>
      </c>
      <c r="U683" s="236" t="s">
        <v>262</v>
      </c>
      <c r="V683" s="236" t="s">
        <v>296</v>
      </c>
      <c r="W683" s="237" t="s">
        <v>296</v>
      </c>
      <c r="X683" s="237" t="s">
        <v>296</v>
      </c>
      <c r="Y683" s="238" t="s">
        <v>296</v>
      </c>
    </row>
    <row r="684" spans="1:25">
      <c r="A684" s="230">
        <v>13</v>
      </c>
      <c r="B684" s="231" t="str">
        <f>VLOOKUP(Tabel10[[#This Row],[Locatiecode]],Ruimtegroepen[[Code]:[Ruimte omschrijving]],2,FALSE)</f>
        <v>handvaardigheids lokalen</v>
      </c>
      <c r="C684" s="232" t="s">
        <v>861</v>
      </c>
      <c r="D684" s="231" t="s">
        <v>1</v>
      </c>
      <c r="E684" s="233" t="s">
        <v>102</v>
      </c>
      <c r="F684" s="232" t="s">
        <v>864</v>
      </c>
      <c r="G684" s="281" t="s">
        <v>296</v>
      </c>
      <c r="H684" s="234" t="s">
        <v>296</v>
      </c>
      <c r="I684" s="234" t="s">
        <v>2</v>
      </c>
      <c r="J684" s="234" t="s">
        <v>296</v>
      </c>
      <c r="K684" s="234" t="s">
        <v>297</v>
      </c>
      <c r="L684" s="234" t="s">
        <v>296</v>
      </c>
      <c r="M684" s="234" t="s">
        <v>296</v>
      </c>
      <c r="N684" s="235" t="s">
        <v>296</v>
      </c>
      <c r="O684" s="236" t="s">
        <v>2</v>
      </c>
      <c r="P684" s="236" t="s">
        <v>2</v>
      </c>
      <c r="Q684" s="236" t="s">
        <v>15</v>
      </c>
      <c r="R684" s="236" t="s">
        <v>15</v>
      </c>
      <c r="S684" s="236" t="s">
        <v>16</v>
      </c>
      <c r="T684" s="236" t="s">
        <v>343</v>
      </c>
      <c r="U684" s="236" t="s">
        <v>262</v>
      </c>
      <c r="V684" s="236" t="s">
        <v>296</v>
      </c>
      <c r="W684" s="237" t="s">
        <v>296</v>
      </c>
      <c r="X684" s="237" t="s">
        <v>296</v>
      </c>
      <c r="Y684" s="238" t="s">
        <v>296</v>
      </c>
    </row>
    <row r="685" spans="1:25">
      <c r="A685" s="230">
        <v>13</v>
      </c>
      <c r="B685" s="231" t="str">
        <f>VLOOKUP(Tabel10[[#This Row],[Locatiecode]],Ruimtegroepen[[Code]:[Ruimte omschrijving]],2,FALSE)</f>
        <v>handvaardigheids lokalen</v>
      </c>
      <c r="C685" s="232" t="s">
        <v>861</v>
      </c>
      <c r="D685" s="231" t="s">
        <v>1</v>
      </c>
      <c r="E685" s="233" t="s">
        <v>103</v>
      </c>
      <c r="F685" s="232" t="s">
        <v>865</v>
      </c>
      <c r="G685" s="281" t="s">
        <v>296</v>
      </c>
      <c r="H685" s="234" t="s">
        <v>296</v>
      </c>
      <c r="I685" s="234" t="s">
        <v>2</v>
      </c>
      <c r="J685" s="234" t="s">
        <v>296</v>
      </c>
      <c r="K685" s="234" t="s">
        <v>297</v>
      </c>
      <c r="L685" s="234" t="s">
        <v>296</v>
      </c>
      <c r="M685" s="234" t="s">
        <v>296</v>
      </c>
      <c r="N685" s="235" t="s">
        <v>296</v>
      </c>
      <c r="O685" s="236" t="s">
        <v>2</v>
      </c>
      <c r="P685" s="236" t="s">
        <v>2</v>
      </c>
      <c r="Q685" s="236" t="s">
        <v>15</v>
      </c>
      <c r="R685" s="236" t="s">
        <v>15</v>
      </c>
      <c r="S685" s="236" t="s">
        <v>16</v>
      </c>
      <c r="T685" s="236" t="s">
        <v>343</v>
      </c>
      <c r="U685" s="236" t="s">
        <v>262</v>
      </c>
      <c r="V685" s="236" t="s">
        <v>296</v>
      </c>
      <c r="W685" s="237" t="s">
        <v>296</v>
      </c>
      <c r="X685" s="237" t="s">
        <v>296</v>
      </c>
      <c r="Y685" s="238" t="s">
        <v>296</v>
      </c>
    </row>
    <row r="686" spans="1:25">
      <c r="A686" s="230">
        <v>13</v>
      </c>
      <c r="B686" s="231" t="str">
        <f>VLOOKUP(Tabel10[[#This Row],[Locatiecode]],Ruimtegroepen[[Code]:[Ruimte omschrijving]],2,FALSE)</f>
        <v>handvaardigheids lokalen</v>
      </c>
      <c r="C686" s="232" t="s">
        <v>861</v>
      </c>
      <c r="D686" s="231" t="s">
        <v>1</v>
      </c>
      <c r="E686" s="233" t="s">
        <v>100</v>
      </c>
      <c r="F686" s="232" t="s">
        <v>863</v>
      </c>
      <c r="G686" s="235" t="s">
        <v>296</v>
      </c>
      <c r="H686" s="235" t="s">
        <v>2</v>
      </c>
      <c r="I686" s="234" t="s">
        <v>296</v>
      </c>
      <c r="J686" s="234" t="s">
        <v>296</v>
      </c>
      <c r="K686" s="234" t="s">
        <v>296</v>
      </c>
      <c r="L686" s="234" t="s">
        <v>296</v>
      </c>
      <c r="M686" s="234" t="s">
        <v>296</v>
      </c>
      <c r="N686" s="235" t="s">
        <v>296</v>
      </c>
      <c r="O686" s="236" t="s">
        <v>2</v>
      </c>
      <c r="P686" s="236" t="s">
        <v>2</v>
      </c>
      <c r="Q686" s="236" t="s">
        <v>15</v>
      </c>
      <c r="R686" s="236" t="s">
        <v>15</v>
      </c>
      <c r="S686" s="236" t="s">
        <v>16</v>
      </c>
      <c r="T686" s="236" t="s">
        <v>343</v>
      </c>
      <c r="U686" s="236" t="s">
        <v>262</v>
      </c>
      <c r="V686" s="236" t="s">
        <v>296</v>
      </c>
      <c r="W686" s="237" t="s">
        <v>296</v>
      </c>
      <c r="X686" s="237" t="s">
        <v>296</v>
      </c>
      <c r="Y686" s="238" t="s">
        <v>296</v>
      </c>
    </row>
    <row r="687" spans="1:25">
      <c r="A687" s="230">
        <v>13</v>
      </c>
      <c r="B687" s="231" t="str">
        <f>VLOOKUP(Tabel10[[#This Row],[Locatiecode]],Ruimtegroepen[[Code]:[Ruimte omschrijving]],2,FALSE)</f>
        <v>handvaardigheids lokalen</v>
      </c>
      <c r="C687" s="232" t="s">
        <v>861</v>
      </c>
      <c r="D687" s="231" t="s">
        <v>1</v>
      </c>
      <c r="E687" s="233" t="s">
        <v>1344</v>
      </c>
      <c r="F687" s="232" t="s">
        <v>1505</v>
      </c>
      <c r="G687" s="281" t="s">
        <v>296</v>
      </c>
      <c r="H687" s="234" t="s">
        <v>296</v>
      </c>
      <c r="I687" s="234" t="s">
        <v>2</v>
      </c>
      <c r="J687" s="234" t="s">
        <v>296</v>
      </c>
      <c r="K687" s="234" t="s">
        <v>297</v>
      </c>
      <c r="L687" s="234" t="s">
        <v>296</v>
      </c>
      <c r="M687" s="234" t="s">
        <v>296</v>
      </c>
      <c r="N687" s="235" t="s">
        <v>296</v>
      </c>
      <c r="O687" s="236" t="s">
        <v>2</v>
      </c>
      <c r="P687" s="236" t="s">
        <v>2</v>
      </c>
      <c r="Q687" s="236" t="s">
        <v>15</v>
      </c>
      <c r="R687" s="236" t="s">
        <v>15</v>
      </c>
      <c r="S687" s="236" t="s">
        <v>16</v>
      </c>
      <c r="T687" s="236" t="s">
        <v>343</v>
      </c>
      <c r="U687" s="236" t="s">
        <v>262</v>
      </c>
      <c r="V687" s="236" t="s">
        <v>296</v>
      </c>
      <c r="W687" s="237" t="s">
        <v>296</v>
      </c>
      <c r="X687" s="237" t="s">
        <v>296</v>
      </c>
      <c r="Y687" s="238" t="s">
        <v>296</v>
      </c>
    </row>
    <row r="688" spans="1:25">
      <c r="A688" s="230">
        <v>13</v>
      </c>
      <c r="B688" s="231" t="str">
        <f>VLOOKUP(Tabel10[[#This Row],[Locatiecode]],Ruimtegroepen[[Code]:[Ruimte omschrijving]],2,FALSE)</f>
        <v>handvaardigheids lokalen</v>
      </c>
      <c r="C688" s="232" t="s">
        <v>866</v>
      </c>
      <c r="D688" s="231" t="s">
        <v>21</v>
      </c>
      <c r="E688" s="233" t="s">
        <v>101</v>
      </c>
      <c r="F688" s="232" t="s">
        <v>867</v>
      </c>
      <c r="G688" s="281" t="s">
        <v>296</v>
      </c>
      <c r="H688" s="234" t="s">
        <v>296</v>
      </c>
      <c r="I688" s="234" t="s">
        <v>20</v>
      </c>
      <c r="J688" s="234" t="s">
        <v>296</v>
      </c>
      <c r="K688" s="234" t="s">
        <v>297</v>
      </c>
      <c r="L688" s="234" t="s">
        <v>296</v>
      </c>
      <c r="M688" s="234" t="s">
        <v>296</v>
      </c>
      <c r="N688" s="235" t="s">
        <v>296</v>
      </c>
      <c r="O688" s="236" t="s">
        <v>20</v>
      </c>
      <c r="P688" s="236" t="s">
        <v>20</v>
      </c>
      <c r="Q688" s="236" t="s">
        <v>15</v>
      </c>
      <c r="R688" s="236" t="s">
        <v>15</v>
      </c>
      <c r="S688" s="236" t="s">
        <v>16</v>
      </c>
      <c r="T688" s="236" t="s">
        <v>343</v>
      </c>
      <c r="U688" s="236" t="s">
        <v>262</v>
      </c>
      <c r="V688" s="236" t="s">
        <v>296</v>
      </c>
      <c r="W688" s="237" t="s">
        <v>296</v>
      </c>
      <c r="X688" s="237" t="s">
        <v>296</v>
      </c>
      <c r="Y688" s="238" t="s">
        <v>296</v>
      </c>
    </row>
    <row r="689" spans="1:25">
      <c r="A689" s="230">
        <v>13</v>
      </c>
      <c r="B689" s="231" t="str">
        <f>VLOOKUP(Tabel10[[#This Row],[Locatiecode]],Ruimtegroepen[[Code]:[Ruimte omschrijving]],2,FALSE)</f>
        <v>handvaardigheids lokalen</v>
      </c>
      <c r="C689" s="232" t="s">
        <v>866</v>
      </c>
      <c r="D689" s="231" t="s">
        <v>21</v>
      </c>
      <c r="E689" s="233" t="s">
        <v>100</v>
      </c>
      <c r="F689" s="232" t="s">
        <v>868</v>
      </c>
      <c r="G689" s="235" t="s">
        <v>296</v>
      </c>
      <c r="H689" s="235" t="s">
        <v>20</v>
      </c>
      <c r="I689" s="234" t="s">
        <v>296</v>
      </c>
      <c r="J689" s="234" t="s">
        <v>296</v>
      </c>
      <c r="K689" s="234" t="s">
        <v>296</v>
      </c>
      <c r="L689" s="234" t="s">
        <v>296</v>
      </c>
      <c r="M689" s="234" t="s">
        <v>296</v>
      </c>
      <c r="N689" s="235" t="s">
        <v>296</v>
      </c>
      <c r="O689" s="236" t="s">
        <v>20</v>
      </c>
      <c r="P689" s="236" t="s">
        <v>20</v>
      </c>
      <c r="Q689" s="236" t="s">
        <v>15</v>
      </c>
      <c r="R689" s="236" t="s">
        <v>15</v>
      </c>
      <c r="S689" s="236" t="s">
        <v>16</v>
      </c>
      <c r="T689" s="236" t="s">
        <v>343</v>
      </c>
      <c r="U689" s="236" t="s">
        <v>262</v>
      </c>
      <c r="V689" s="236" t="s">
        <v>296</v>
      </c>
      <c r="W689" s="237" t="s">
        <v>296</v>
      </c>
      <c r="X689" s="237" t="s">
        <v>296</v>
      </c>
      <c r="Y689" s="238" t="s">
        <v>296</v>
      </c>
    </row>
    <row r="690" spans="1:25">
      <c r="A690" s="230">
        <v>13</v>
      </c>
      <c r="B690" s="231" t="str">
        <f>VLOOKUP(Tabel10[[#This Row],[Locatiecode]],Ruimtegroepen[[Code]:[Ruimte omschrijving]],2,FALSE)</f>
        <v>handvaardigheids lokalen</v>
      </c>
      <c r="C690" s="232" t="s">
        <v>866</v>
      </c>
      <c r="D690" s="231" t="s">
        <v>21</v>
      </c>
      <c r="E690" s="233" t="s">
        <v>102</v>
      </c>
      <c r="F690" s="232" t="s">
        <v>869</v>
      </c>
      <c r="G690" s="281" t="s">
        <v>296</v>
      </c>
      <c r="H690" s="234" t="s">
        <v>296</v>
      </c>
      <c r="I690" s="234" t="s">
        <v>20</v>
      </c>
      <c r="J690" s="234" t="s">
        <v>296</v>
      </c>
      <c r="K690" s="234" t="s">
        <v>297</v>
      </c>
      <c r="L690" s="234" t="s">
        <v>296</v>
      </c>
      <c r="M690" s="234" t="s">
        <v>296</v>
      </c>
      <c r="N690" s="235" t="s">
        <v>296</v>
      </c>
      <c r="O690" s="236" t="s">
        <v>20</v>
      </c>
      <c r="P690" s="236" t="s">
        <v>20</v>
      </c>
      <c r="Q690" s="236" t="s">
        <v>15</v>
      </c>
      <c r="R690" s="236" t="s">
        <v>15</v>
      </c>
      <c r="S690" s="236" t="s">
        <v>16</v>
      </c>
      <c r="T690" s="236" t="s">
        <v>343</v>
      </c>
      <c r="U690" s="236" t="s">
        <v>262</v>
      </c>
      <c r="V690" s="236" t="s">
        <v>296</v>
      </c>
      <c r="W690" s="237" t="s">
        <v>296</v>
      </c>
      <c r="X690" s="237" t="s">
        <v>296</v>
      </c>
      <c r="Y690" s="238" t="s">
        <v>296</v>
      </c>
    </row>
    <row r="691" spans="1:25">
      <c r="A691" s="230">
        <v>13</v>
      </c>
      <c r="B691" s="231" t="str">
        <f>VLOOKUP(Tabel10[[#This Row],[Locatiecode]],Ruimtegroepen[[Code]:[Ruimte omschrijving]],2,FALSE)</f>
        <v>handvaardigheids lokalen</v>
      </c>
      <c r="C691" s="232" t="s">
        <v>866</v>
      </c>
      <c r="D691" s="231" t="s">
        <v>21</v>
      </c>
      <c r="E691" s="233" t="s">
        <v>103</v>
      </c>
      <c r="F691" s="232" t="s">
        <v>870</v>
      </c>
      <c r="G691" s="281" t="s">
        <v>296</v>
      </c>
      <c r="H691" s="234" t="s">
        <v>296</v>
      </c>
      <c r="I691" s="234" t="s">
        <v>20</v>
      </c>
      <c r="J691" s="234" t="s">
        <v>296</v>
      </c>
      <c r="K691" s="234" t="s">
        <v>297</v>
      </c>
      <c r="L691" s="234" t="s">
        <v>296</v>
      </c>
      <c r="M691" s="234" t="s">
        <v>296</v>
      </c>
      <c r="N691" s="235" t="s">
        <v>296</v>
      </c>
      <c r="O691" s="236" t="s">
        <v>20</v>
      </c>
      <c r="P691" s="236" t="s">
        <v>20</v>
      </c>
      <c r="Q691" s="236" t="s">
        <v>15</v>
      </c>
      <c r="R691" s="236" t="s">
        <v>15</v>
      </c>
      <c r="S691" s="236" t="s">
        <v>16</v>
      </c>
      <c r="T691" s="236" t="s">
        <v>343</v>
      </c>
      <c r="U691" s="236" t="s">
        <v>262</v>
      </c>
      <c r="V691" s="236" t="s">
        <v>296</v>
      </c>
      <c r="W691" s="237" t="s">
        <v>296</v>
      </c>
      <c r="X691" s="237" t="s">
        <v>296</v>
      </c>
      <c r="Y691" s="238" t="s">
        <v>296</v>
      </c>
    </row>
    <row r="692" spans="1:25">
      <c r="A692" s="230">
        <v>13</v>
      </c>
      <c r="B692" s="231" t="str">
        <f>VLOOKUP(Tabel10[[#This Row],[Locatiecode]],Ruimtegroepen[[Code]:[Ruimte omschrijving]],2,FALSE)</f>
        <v>handvaardigheids lokalen</v>
      </c>
      <c r="C692" s="232" t="s">
        <v>866</v>
      </c>
      <c r="D692" s="231" t="s">
        <v>21</v>
      </c>
      <c r="E692" s="233" t="s">
        <v>100</v>
      </c>
      <c r="F692" s="232" t="s">
        <v>868</v>
      </c>
      <c r="G692" s="235" t="s">
        <v>296</v>
      </c>
      <c r="H692" s="235" t="s">
        <v>20</v>
      </c>
      <c r="I692" s="234" t="s">
        <v>296</v>
      </c>
      <c r="J692" s="234" t="s">
        <v>296</v>
      </c>
      <c r="K692" s="234" t="s">
        <v>296</v>
      </c>
      <c r="L692" s="234" t="s">
        <v>296</v>
      </c>
      <c r="M692" s="234" t="s">
        <v>296</v>
      </c>
      <c r="N692" s="235" t="s">
        <v>296</v>
      </c>
      <c r="O692" s="236" t="s">
        <v>20</v>
      </c>
      <c r="P692" s="236" t="s">
        <v>20</v>
      </c>
      <c r="Q692" s="236" t="s">
        <v>15</v>
      </c>
      <c r="R692" s="236" t="s">
        <v>15</v>
      </c>
      <c r="S692" s="236" t="s">
        <v>16</v>
      </c>
      <c r="T692" s="236" t="s">
        <v>343</v>
      </c>
      <c r="U692" s="236" t="s">
        <v>262</v>
      </c>
      <c r="V692" s="236" t="s">
        <v>296</v>
      </c>
      <c r="W692" s="237" t="s">
        <v>296</v>
      </c>
      <c r="X692" s="237" t="s">
        <v>296</v>
      </c>
      <c r="Y692" s="238" t="s">
        <v>296</v>
      </c>
    </row>
    <row r="693" spans="1:25">
      <c r="A693" s="230">
        <v>13</v>
      </c>
      <c r="B693" s="231" t="str">
        <f>VLOOKUP(Tabel10[[#This Row],[Locatiecode]],Ruimtegroepen[[Code]:[Ruimte omschrijving]],2,FALSE)</f>
        <v>handvaardigheids lokalen</v>
      </c>
      <c r="C693" s="232" t="s">
        <v>866</v>
      </c>
      <c r="D693" s="231" t="s">
        <v>21</v>
      </c>
      <c r="E693" s="233" t="s">
        <v>1344</v>
      </c>
      <c r="F693" s="232" t="s">
        <v>1488</v>
      </c>
      <c r="G693" s="281" t="s">
        <v>296</v>
      </c>
      <c r="H693" s="234" t="s">
        <v>296</v>
      </c>
      <c r="I693" s="234" t="s">
        <v>20</v>
      </c>
      <c r="J693" s="234" t="s">
        <v>296</v>
      </c>
      <c r="K693" s="234" t="s">
        <v>297</v>
      </c>
      <c r="L693" s="234" t="s">
        <v>296</v>
      </c>
      <c r="M693" s="234" t="s">
        <v>296</v>
      </c>
      <c r="N693" s="235" t="s">
        <v>296</v>
      </c>
      <c r="O693" s="236" t="s">
        <v>20</v>
      </c>
      <c r="P693" s="236" t="s">
        <v>20</v>
      </c>
      <c r="Q693" s="236" t="s">
        <v>15</v>
      </c>
      <c r="R693" s="236" t="s">
        <v>15</v>
      </c>
      <c r="S693" s="236" t="s">
        <v>16</v>
      </c>
      <c r="T693" s="236" t="s">
        <v>343</v>
      </c>
      <c r="U693" s="236" t="s">
        <v>262</v>
      </c>
      <c r="V693" s="236" t="s">
        <v>296</v>
      </c>
      <c r="W693" s="237" t="s">
        <v>296</v>
      </c>
      <c r="X693" s="237" t="s">
        <v>296</v>
      </c>
      <c r="Y693" s="238" t="s">
        <v>296</v>
      </c>
    </row>
    <row r="694" spans="1:25">
      <c r="A694" s="230">
        <v>13</v>
      </c>
      <c r="B694" s="231" t="str">
        <f>VLOOKUP(Tabel10[[#This Row],[Locatiecode]],Ruimtegroepen[[Code]:[Ruimte omschrijving]],2,FALSE)</f>
        <v>handvaardigheids lokalen</v>
      </c>
      <c r="C694" s="232" t="s">
        <v>871</v>
      </c>
      <c r="D694" s="231" t="s">
        <v>12</v>
      </c>
      <c r="E694" s="233" t="s">
        <v>101</v>
      </c>
      <c r="F694" s="232" t="s">
        <v>872</v>
      </c>
      <c r="G694" s="281" t="s">
        <v>296</v>
      </c>
      <c r="H694" s="234" t="s">
        <v>296</v>
      </c>
      <c r="I694" s="234" t="s">
        <v>18</v>
      </c>
      <c r="J694" s="234" t="s">
        <v>296</v>
      </c>
      <c r="K694" s="234" t="s">
        <v>297</v>
      </c>
      <c r="L694" s="234" t="s">
        <v>296</v>
      </c>
      <c r="M694" s="234" t="s">
        <v>296</v>
      </c>
      <c r="N694" s="235" t="s">
        <v>296</v>
      </c>
      <c r="O694" s="236" t="s">
        <v>18</v>
      </c>
      <c r="P694" s="236" t="s">
        <v>18</v>
      </c>
      <c r="Q694" s="236" t="s">
        <v>15</v>
      </c>
      <c r="R694" s="236" t="s">
        <v>15</v>
      </c>
      <c r="S694" s="236" t="s">
        <v>16</v>
      </c>
      <c r="T694" s="236" t="s">
        <v>343</v>
      </c>
      <c r="U694" s="236" t="s">
        <v>262</v>
      </c>
      <c r="V694" s="236" t="s">
        <v>296</v>
      </c>
      <c r="W694" s="237" t="s">
        <v>296</v>
      </c>
      <c r="X694" s="237" t="s">
        <v>296</v>
      </c>
      <c r="Y694" s="238" t="s">
        <v>296</v>
      </c>
    </row>
    <row r="695" spans="1:25">
      <c r="A695" s="230">
        <v>13</v>
      </c>
      <c r="B695" s="231" t="str">
        <f>VLOOKUP(Tabel10[[#This Row],[Locatiecode]],Ruimtegroepen[[Code]:[Ruimte omschrijving]],2,FALSE)</f>
        <v>handvaardigheids lokalen</v>
      </c>
      <c r="C695" s="232" t="s">
        <v>871</v>
      </c>
      <c r="D695" s="231" t="s">
        <v>12</v>
      </c>
      <c r="E695" s="233" t="s">
        <v>100</v>
      </c>
      <c r="F695" s="232" t="s">
        <v>873</v>
      </c>
      <c r="G695" s="235" t="s">
        <v>296</v>
      </c>
      <c r="H695" s="235" t="s">
        <v>18</v>
      </c>
      <c r="I695" s="234" t="s">
        <v>296</v>
      </c>
      <c r="J695" s="234" t="s">
        <v>296</v>
      </c>
      <c r="K695" s="234" t="s">
        <v>296</v>
      </c>
      <c r="L695" s="234" t="s">
        <v>296</v>
      </c>
      <c r="M695" s="234" t="s">
        <v>296</v>
      </c>
      <c r="N695" s="235" t="s">
        <v>296</v>
      </c>
      <c r="O695" s="236" t="s">
        <v>18</v>
      </c>
      <c r="P695" s="236" t="s">
        <v>18</v>
      </c>
      <c r="Q695" s="236" t="s">
        <v>15</v>
      </c>
      <c r="R695" s="236" t="s">
        <v>15</v>
      </c>
      <c r="S695" s="236" t="s">
        <v>16</v>
      </c>
      <c r="T695" s="236" t="s">
        <v>343</v>
      </c>
      <c r="U695" s="236" t="s">
        <v>262</v>
      </c>
      <c r="V695" s="236" t="s">
        <v>296</v>
      </c>
      <c r="W695" s="237" t="s">
        <v>296</v>
      </c>
      <c r="X695" s="237" t="s">
        <v>296</v>
      </c>
      <c r="Y695" s="238" t="s">
        <v>296</v>
      </c>
    </row>
    <row r="696" spans="1:25">
      <c r="A696" s="230">
        <v>13</v>
      </c>
      <c r="B696" s="231" t="str">
        <f>VLOOKUP(Tabel10[[#This Row],[Locatiecode]],Ruimtegroepen[[Code]:[Ruimte omschrijving]],2,FALSE)</f>
        <v>handvaardigheids lokalen</v>
      </c>
      <c r="C696" s="232" t="s">
        <v>871</v>
      </c>
      <c r="D696" s="231" t="s">
        <v>12</v>
      </c>
      <c r="E696" s="233" t="s">
        <v>102</v>
      </c>
      <c r="F696" s="232" t="s">
        <v>874</v>
      </c>
      <c r="G696" s="281" t="s">
        <v>296</v>
      </c>
      <c r="H696" s="234" t="s">
        <v>296</v>
      </c>
      <c r="I696" s="234" t="s">
        <v>18</v>
      </c>
      <c r="J696" s="234" t="s">
        <v>296</v>
      </c>
      <c r="K696" s="234" t="s">
        <v>297</v>
      </c>
      <c r="L696" s="234" t="s">
        <v>296</v>
      </c>
      <c r="M696" s="234" t="s">
        <v>296</v>
      </c>
      <c r="N696" s="235" t="s">
        <v>296</v>
      </c>
      <c r="O696" s="236" t="s">
        <v>18</v>
      </c>
      <c r="P696" s="236" t="s">
        <v>18</v>
      </c>
      <c r="Q696" s="236" t="s">
        <v>15</v>
      </c>
      <c r="R696" s="236" t="s">
        <v>15</v>
      </c>
      <c r="S696" s="236" t="s">
        <v>16</v>
      </c>
      <c r="T696" s="236" t="s">
        <v>343</v>
      </c>
      <c r="U696" s="236" t="s">
        <v>262</v>
      </c>
      <c r="V696" s="236" t="s">
        <v>296</v>
      </c>
      <c r="W696" s="237" t="s">
        <v>296</v>
      </c>
      <c r="X696" s="237" t="s">
        <v>296</v>
      </c>
      <c r="Y696" s="238" t="s">
        <v>296</v>
      </c>
    </row>
    <row r="697" spans="1:25">
      <c r="A697" s="230">
        <v>13</v>
      </c>
      <c r="B697" s="231" t="str">
        <f>VLOOKUP(Tabel10[[#This Row],[Locatiecode]],Ruimtegroepen[[Code]:[Ruimte omschrijving]],2,FALSE)</f>
        <v>handvaardigheids lokalen</v>
      </c>
      <c r="C697" s="232" t="s">
        <v>871</v>
      </c>
      <c r="D697" s="231" t="s">
        <v>12</v>
      </c>
      <c r="E697" s="233" t="s">
        <v>103</v>
      </c>
      <c r="F697" s="232" t="s">
        <v>875</v>
      </c>
      <c r="G697" s="281" t="s">
        <v>296</v>
      </c>
      <c r="H697" s="234" t="s">
        <v>296</v>
      </c>
      <c r="I697" s="234" t="s">
        <v>18</v>
      </c>
      <c r="J697" s="234" t="s">
        <v>296</v>
      </c>
      <c r="K697" s="234" t="s">
        <v>297</v>
      </c>
      <c r="L697" s="234" t="s">
        <v>296</v>
      </c>
      <c r="M697" s="234" t="s">
        <v>296</v>
      </c>
      <c r="N697" s="235" t="s">
        <v>296</v>
      </c>
      <c r="O697" s="236" t="s">
        <v>18</v>
      </c>
      <c r="P697" s="236" t="s">
        <v>18</v>
      </c>
      <c r="Q697" s="236" t="s">
        <v>15</v>
      </c>
      <c r="R697" s="236" t="s">
        <v>15</v>
      </c>
      <c r="S697" s="236" t="s">
        <v>16</v>
      </c>
      <c r="T697" s="236" t="s">
        <v>343</v>
      </c>
      <c r="U697" s="236" t="s">
        <v>262</v>
      </c>
      <c r="V697" s="236" t="s">
        <v>296</v>
      </c>
      <c r="W697" s="237" t="s">
        <v>296</v>
      </c>
      <c r="X697" s="237" t="s">
        <v>296</v>
      </c>
      <c r="Y697" s="238" t="s">
        <v>296</v>
      </c>
    </row>
    <row r="698" spans="1:25">
      <c r="A698" s="230">
        <v>13</v>
      </c>
      <c r="B698" s="231" t="str">
        <f>VLOOKUP(Tabel10[[#This Row],[Locatiecode]],Ruimtegroepen[[Code]:[Ruimte omschrijving]],2,FALSE)</f>
        <v>handvaardigheids lokalen</v>
      </c>
      <c r="C698" s="232" t="s">
        <v>871</v>
      </c>
      <c r="D698" s="231" t="s">
        <v>12</v>
      </c>
      <c r="E698" s="233" t="s">
        <v>100</v>
      </c>
      <c r="F698" s="232" t="s">
        <v>873</v>
      </c>
      <c r="G698" s="235" t="s">
        <v>296</v>
      </c>
      <c r="H698" s="235" t="s">
        <v>18</v>
      </c>
      <c r="I698" s="234" t="s">
        <v>296</v>
      </c>
      <c r="J698" s="234" t="s">
        <v>296</v>
      </c>
      <c r="K698" s="234" t="s">
        <v>296</v>
      </c>
      <c r="L698" s="234" t="s">
        <v>296</v>
      </c>
      <c r="M698" s="234" t="s">
        <v>296</v>
      </c>
      <c r="N698" s="235" t="s">
        <v>296</v>
      </c>
      <c r="O698" s="236" t="s">
        <v>18</v>
      </c>
      <c r="P698" s="236" t="s">
        <v>18</v>
      </c>
      <c r="Q698" s="236" t="s">
        <v>15</v>
      </c>
      <c r="R698" s="236" t="s">
        <v>15</v>
      </c>
      <c r="S698" s="236" t="s">
        <v>16</v>
      </c>
      <c r="T698" s="236" t="s">
        <v>343</v>
      </c>
      <c r="U698" s="236" t="s">
        <v>262</v>
      </c>
      <c r="V698" s="236" t="s">
        <v>296</v>
      </c>
      <c r="W698" s="237" t="s">
        <v>296</v>
      </c>
      <c r="X698" s="237" t="s">
        <v>296</v>
      </c>
      <c r="Y698" s="238" t="s">
        <v>296</v>
      </c>
    </row>
    <row r="699" spans="1:25">
      <c r="A699" s="230">
        <v>13</v>
      </c>
      <c r="B699" s="231" t="str">
        <f>VLOOKUP(Tabel10[[#This Row],[Locatiecode]],Ruimtegroepen[[Code]:[Ruimte omschrijving]],2,FALSE)</f>
        <v>handvaardigheids lokalen</v>
      </c>
      <c r="C699" s="232" t="s">
        <v>871</v>
      </c>
      <c r="D699" s="231" t="s">
        <v>12</v>
      </c>
      <c r="E699" s="233" t="s">
        <v>1344</v>
      </c>
      <c r="F699" s="232" t="s">
        <v>1470</v>
      </c>
      <c r="G699" s="281" t="s">
        <v>296</v>
      </c>
      <c r="H699" s="234" t="s">
        <v>296</v>
      </c>
      <c r="I699" s="234" t="s">
        <v>18</v>
      </c>
      <c r="J699" s="234" t="s">
        <v>296</v>
      </c>
      <c r="K699" s="234" t="s">
        <v>297</v>
      </c>
      <c r="L699" s="234" t="s">
        <v>296</v>
      </c>
      <c r="M699" s="234" t="s">
        <v>296</v>
      </c>
      <c r="N699" s="235" t="s">
        <v>296</v>
      </c>
      <c r="O699" s="236" t="s">
        <v>18</v>
      </c>
      <c r="P699" s="236" t="s">
        <v>18</v>
      </c>
      <c r="Q699" s="236" t="s">
        <v>15</v>
      </c>
      <c r="R699" s="236" t="s">
        <v>15</v>
      </c>
      <c r="S699" s="236" t="s">
        <v>16</v>
      </c>
      <c r="T699" s="236" t="s">
        <v>343</v>
      </c>
      <c r="U699" s="236" t="s">
        <v>262</v>
      </c>
      <c r="V699" s="236" t="s">
        <v>296</v>
      </c>
      <c r="W699" s="237" t="s">
        <v>296</v>
      </c>
      <c r="X699" s="237" t="s">
        <v>296</v>
      </c>
      <c r="Y699" s="238" t="s">
        <v>296</v>
      </c>
    </row>
    <row r="700" spans="1:25">
      <c r="A700" s="230">
        <v>13</v>
      </c>
      <c r="B700" s="231" t="str">
        <f>VLOOKUP(Tabel10[[#This Row],[Locatiecode]],Ruimtegroepen[[Code]:[Ruimte omschrijving]],2,FALSE)</f>
        <v>handvaardigheids lokalen</v>
      </c>
      <c r="C700" s="232" t="s">
        <v>876</v>
      </c>
      <c r="D700" s="231" t="s">
        <v>14</v>
      </c>
      <c r="E700" s="233" t="s">
        <v>101</v>
      </c>
      <c r="F700" s="232" t="s">
        <v>877</v>
      </c>
      <c r="G700" s="281" t="s">
        <v>296</v>
      </c>
      <c r="H700" s="234" t="s">
        <v>296</v>
      </c>
      <c r="I700" s="234" t="s">
        <v>17</v>
      </c>
      <c r="J700" s="234" t="s">
        <v>296</v>
      </c>
      <c r="K700" s="234" t="s">
        <v>297</v>
      </c>
      <c r="L700" s="234" t="s">
        <v>296</v>
      </c>
      <c r="M700" s="234" t="s">
        <v>296</v>
      </c>
      <c r="N700" s="235" t="s">
        <v>296</v>
      </c>
      <c r="O700" s="236" t="s">
        <v>17</v>
      </c>
      <c r="P700" s="236" t="s">
        <v>17</v>
      </c>
      <c r="Q700" s="236" t="s">
        <v>15</v>
      </c>
      <c r="R700" s="236" t="s">
        <v>15</v>
      </c>
      <c r="S700" s="236" t="s">
        <v>16</v>
      </c>
      <c r="T700" s="236" t="s">
        <v>343</v>
      </c>
      <c r="U700" s="236" t="s">
        <v>262</v>
      </c>
      <c r="V700" s="236" t="s">
        <v>296</v>
      </c>
      <c r="W700" s="237" t="s">
        <v>296</v>
      </c>
      <c r="X700" s="237" t="s">
        <v>296</v>
      </c>
      <c r="Y700" s="238" t="s">
        <v>296</v>
      </c>
    </row>
    <row r="701" spans="1:25">
      <c r="A701" s="230">
        <v>13</v>
      </c>
      <c r="B701" s="231" t="str">
        <f>VLOOKUP(Tabel10[[#This Row],[Locatiecode]],Ruimtegroepen[[Code]:[Ruimte omschrijving]],2,FALSE)</f>
        <v>handvaardigheids lokalen</v>
      </c>
      <c r="C701" s="232" t="s">
        <v>876</v>
      </c>
      <c r="D701" s="231" t="s">
        <v>14</v>
      </c>
      <c r="E701" s="233" t="s">
        <v>100</v>
      </c>
      <c r="F701" s="232" t="s">
        <v>878</v>
      </c>
      <c r="G701" s="235" t="s">
        <v>296</v>
      </c>
      <c r="H701" s="235" t="s">
        <v>17</v>
      </c>
      <c r="I701" s="234" t="s">
        <v>296</v>
      </c>
      <c r="J701" s="234" t="s">
        <v>296</v>
      </c>
      <c r="K701" s="234" t="s">
        <v>296</v>
      </c>
      <c r="L701" s="234" t="s">
        <v>296</v>
      </c>
      <c r="M701" s="234" t="s">
        <v>296</v>
      </c>
      <c r="N701" s="235" t="s">
        <v>296</v>
      </c>
      <c r="O701" s="236" t="s">
        <v>17</v>
      </c>
      <c r="P701" s="236" t="s">
        <v>17</v>
      </c>
      <c r="Q701" s="236" t="s">
        <v>15</v>
      </c>
      <c r="R701" s="236" t="s">
        <v>15</v>
      </c>
      <c r="S701" s="236" t="s">
        <v>16</v>
      </c>
      <c r="T701" s="236" t="s">
        <v>343</v>
      </c>
      <c r="U701" s="236" t="s">
        <v>262</v>
      </c>
      <c r="V701" s="236" t="s">
        <v>296</v>
      </c>
      <c r="W701" s="237" t="s">
        <v>296</v>
      </c>
      <c r="X701" s="237" t="s">
        <v>296</v>
      </c>
      <c r="Y701" s="238" t="s">
        <v>296</v>
      </c>
    </row>
    <row r="702" spans="1:25">
      <c r="A702" s="230">
        <v>13</v>
      </c>
      <c r="B702" s="231" t="str">
        <f>VLOOKUP(Tabel10[[#This Row],[Locatiecode]],Ruimtegroepen[[Code]:[Ruimte omschrijving]],2,FALSE)</f>
        <v>handvaardigheids lokalen</v>
      </c>
      <c r="C702" s="232" t="s">
        <v>876</v>
      </c>
      <c r="D702" s="231" t="s">
        <v>14</v>
      </c>
      <c r="E702" s="233" t="s">
        <v>102</v>
      </c>
      <c r="F702" s="232" t="s">
        <v>879</v>
      </c>
      <c r="G702" s="281" t="s">
        <v>296</v>
      </c>
      <c r="H702" s="234" t="s">
        <v>296</v>
      </c>
      <c r="I702" s="234" t="s">
        <v>17</v>
      </c>
      <c r="J702" s="234" t="s">
        <v>296</v>
      </c>
      <c r="K702" s="234" t="s">
        <v>297</v>
      </c>
      <c r="L702" s="234" t="s">
        <v>296</v>
      </c>
      <c r="M702" s="234" t="s">
        <v>296</v>
      </c>
      <c r="N702" s="235" t="s">
        <v>296</v>
      </c>
      <c r="O702" s="236" t="s">
        <v>17</v>
      </c>
      <c r="P702" s="236" t="s">
        <v>17</v>
      </c>
      <c r="Q702" s="236" t="s">
        <v>15</v>
      </c>
      <c r="R702" s="236" t="s">
        <v>15</v>
      </c>
      <c r="S702" s="236" t="s">
        <v>16</v>
      </c>
      <c r="T702" s="236" t="s">
        <v>343</v>
      </c>
      <c r="U702" s="236" t="s">
        <v>262</v>
      </c>
      <c r="V702" s="236" t="s">
        <v>296</v>
      </c>
      <c r="W702" s="237" t="s">
        <v>296</v>
      </c>
      <c r="X702" s="237" t="s">
        <v>296</v>
      </c>
      <c r="Y702" s="238" t="s">
        <v>296</v>
      </c>
    </row>
    <row r="703" spans="1:25">
      <c r="A703" s="230">
        <v>13</v>
      </c>
      <c r="B703" s="231" t="str">
        <f>VLOOKUP(Tabel10[[#This Row],[Locatiecode]],Ruimtegroepen[[Code]:[Ruimte omschrijving]],2,FALSE)</f>
        <v>handvaardigheids lokalen</v>
      </c>
      <c r="C703" s="232" t="s">
        <v>876</v>
      </c>
      <c r="D703" s="231" t="s">
        <v>14</v>
      </c>
      <c r="E703" s="233" t="s">
        <v>103</v>
      </c>
      <c r="F703" s="232" t="s">
        <v>880</v>
      </c>
      <c r="G703" s="281" t="s">
        <v>296</v>
      </c>
      <c r="H703" s="234" t="s">
        <v>296</v>
      </c>
      <c r="I703" s="234" t="s">
        <v>17</v>
      </c>
      <c r="J703" s="234" t="s">
        <v>296</v>
      </c>
      <c r="K703" s="234" t="s">
        <v>297</v>
      </c>
      <c r="L703" s="234" t="s">
        <v>296</v>
      </c>
      <c r="M703" s="234" t="s">
        <v>296</v>
      </c>
      <c r="N703" s="235" t="s">
        <v>296</v>
      </c>
      <c r="O703" s="236" t="s">
        <v>17</v>
      </c>
      <c r="P703" s="236" t="s">
        <v>17</v>
      </c>
      <c r="Q703" s="236" t="s">
        <v>15</v>
      </c>
      <c r="R703" s="236" t="s">
        <v>15</v>
      </c>
      <c r="S703" s="236" t="s">
        <v>16</v>
      </c>
      <c r="T703" s="236" t="s">
        <v>343</v>
      </c>
      <c r="U703" s="236" t="s">
        <v>262</v>
      </c>
      <c r="V703" s="236" t="s">
        <v>296</v>
      </c>
      <c r="W703" s="237" t="s">
        <v>296</v>
      </c>
      <c r="X703" s="237" t="s">
        <v>296</v>
      </c>
      <c r="Y703" s="238" t="s">
        <v>296</v>
      </c>
    </row>
    <row r="704" spans="1:25">
      <c r="A704" s="230">
        <v>13</v>
      </c>
      <c r="B704" s="231" t="str">
        <f>VLOOKUP(Tabel10[[#This Row],[Locatiecode]],Ruimtegroepen[[Code]:[Ruimte omschrijving]],2,FALSE)</f>
        <v>handvaardigheids lokalen</v>
      </c>
      <c r="C704" s="232" t="s">
        <v>876</v>
      </c>
      <c r="D704" s="231" t="s">
        <v>14</v>
      </c>
      <c r="E704" s="233" t="s">
        <v>100</v>
      </c>
      <c r="F704" s="232" t="s">
        <v>878</v>
      </c>
      <c r="G704" s="235" t="s">
        <v>296</v>
      </c>
      <c r="H704" s="235" t="s">
        <v>17</v>
      </c>
      <c r="I704" s="234" t="s">
        <v>296</v>
      </c>
      <c r="J704" s="234" t="s">
        <v>296</v>
      </c>
      <c r="K704" s="234" t="s">
        <v>296</v>
      </c>
      <c r="L704" s="234" t="s">
        <v>296</v>
      </c>
      <c r="M704" s="234" t="s">
        <v>296</v>
      </c>
      <c r="N704" s="235" t="s">
        <v>296</v>
      </c>
      <c r="O704" s="236" t="s">
        <v>17</v>
      </c>
      <c r="P704" s="236" t="s">
        <v>17</v>
      </c>
      <c r="Q704" s="236" t="s">
        <v>15</v>
      </c>
      <c r="R704" s="236" t="s">
        <v>15</v>
      </c>
      <c r="S704" s="236" t="s">
        <v>16</v>
      </c>
      <c r="T704" s="236" t="s">
        <v>343</v>
      </c>
      <c r="U704" s="236" t="s">
        <v>262</v>
      </c>
      <c r="V704" s="236" t="s">
        <v>296</v>
      </c>
      <c r="W704" s="237" t="s">
        <v>296</v>
      </c>
      <c r="X704" s="237" t="s">
        <v>296</v>
      </c>
      <c r="Y704" s="238" t="s">
        <v>296</v>
      </c>
    </row>
    <row r="705" spans="1:25">
      <c r="A705" s="230">
        <v>13</v>
      </c>
      <c r="B705" s="231" t="str">
        <f>VLOOKUP(Tabel10[[#This Row],[Locatiecode]],Ruimtegroepen[[Code]:[Ruimte omschrijving]],2,FALSE)</f>
        <v>handvaardigheids lokalen</v>
      </c>
      <c r="C705" s="232" t="s">
        <v>876</v>
      </c>
      <c r="D705" s="231" t="s">
        <v>14</v>
      </c>
      <c r="E705" s="233" t="s">
        <v>1344</v>
      </c>
      <c r="F705" s="232" t="s">
        <v>1437</v>
      </c>
      <c r="G705" s="281" t="s">
        <v>296</v>
      </c>
      <c r="H705" s="234" t="s">
        <v>296</v>
      </c>
      <c r="I705" s="234" t="s">
        <v>17</v>
      </c>
      <c r="J705" s="234" t="s">
        <v>296</v>
      </c>
      <c r="K705" s="234" t="s">
        <v>297</v>
      </c>
      <c r="L705" s="234" t="s">
        <v>296</v>
      </c>
      <c r="M705" s="234" t="s">
        <v>296</v>
      </c>
      <c r="N705" s="235" t="s">
        <v>296</v>
      </c>
      <c r="O705" s="236" t="s">
        <v>17</v>
      </c>
      <c r="P705" s="236" t="s">
        <v>17</v>
      </c>
      <c r="Q705" s="236" t="s">
        <v>15</v>
      </c>
      <c r="R705" s="236" t="s">
        <v>15</v>
      </c>
      <c r="S705" s="236" t="s">
        <v>16</v>
      </c>
      <c r="T705" s="236" t="s">
        <v>343</v>
      </c>
      <c r="U705" s="236" t="s">
        <v>262</v>
      </c>
      <c r="V705" s="236" t="s">
        <v>296</v>
      </c>
      <c r="W705" s="237" t="s">
        <v>296</v>
      </c>
      <c r="X705" s="237" t="s">
        <v>296</v>
      </c>
      <c r="Y705" s="238" t="s">
        <v>296</v>
      </c>
    </row>
    <row r="706" spans="1:25">
      <c r="A706" s="230">
        <v>13</v>
      </c>
      <c r="B706" s="231" t="str">
        <f>VLOOKUP(Tabel10[[#This Row],[Locatiecode]],Ruimtegroepen[[Code]:[Ruimte omschrijving]],2,FALSE)</f>
        <v>handvaardigheids lokalen</v>
      </c>
      <c r="C706" s="232" t="s">
        <v>881</v>
      </c>
      <c r="D706" s="231" t="s">
        <v>13</v>
      </c>
      <c r="E706" s="233" t="s">
        <v>101</v>
      </c>
      <c r="F706" s="232" t="s">
        <v>882</v>
      </c>
      <c r="G706" s="281" t="s">
        <v>296</v>
      </c>
      <c r="H706" s="234" t="s">
        <v>296</v>
      </c>
      <c r="I706" s="234" t="s">
        <v>15</v>
      </c>
      <c r="J706" s="234" t="s">
        <v>296</v>
      </c>
      <c r="K706" s="234" t="s">
        <v>297</v>
      </c>
      <c r="L706" s="234" t="s">
        <v>296</v>
      </c>
      <c r="M706" s="234" t="s">
        <v>296</v>
      </c>
      <c r="N706" s="235" t="s">
        <v>296</v>
      </c>
      <c r="O706" s="236" t="s">
        <v>15</v>
      </c>
      <c r="P706" s="236" t="s">
        <v>15</v>
      </c>
      <c r="Q706" s="236" t="s">
        <v>15</v>
      </c>
      <c r="R706" s="236" t="s">
        <v>15</v>
      </c>
      <c r="S706" s="236" t="s">
        <v>16</v>
      </c>
      <c r="T706" s="236" t="s">
        <v>343</v>
      </c>
      <c r="U706" s="236" t="s">
        <v>262</v>
      </c>
      <c r="V706" s="236" t="s">
        <v>296</v>
      </c>
      <c r="W706" s="237" t="s">
        <v>296</v>
      </c>
      <c r="X706" s="237" t="s">
        <v>296</v>
      </c>
      <c r="Y706" s="238" t="s">
        <v>296</v>
      </c>
    </row>
    <row r="707" spans="1:25">
      <c r="A707" s="230">
        <v>13</v>
      </c>
      <c r="B707" s="231" t="str">
        <f>VLOOKUP(Tabel10[[#This Row],[Locatiecode]],Ruimtegroepen[[Code]:[Ruimte omschrijving]],2,FALSE)</f>
        <v>handvaardigheids lokalen</v>
      </c>
      <c r="C707" s="232" t="s">
        <v>881</v>
      </c>
      <c r="D707" s="231" t="s">
        <v>13</v>
      </c>
      <c r="E707" s="233" t="s">
        <v>100</v>
      </c>
      <c r="F707" s="232" t="s">
        <v>883</v>
      </c>
      <c r="G707" s="281" t="s">
        <v>296</v>
      </c>
      <c r="H707" s="235" t="s">
        <v>15</v>
      </c>
      <c r="I707" s="234" t="s">
        <v>296</v>
      </c>
      <c r="J707" s="234" t="s">
        <v>296</v>
      </c>
      <c r="K707" s="234" t="s">
        <v>296</v>
      </c>
      <c r="L707" s="234" t="s">
        <v>296</v>
      </c>
      <c r="M707" s="234" t="s">
        <v>296</v>
      </c>
      <c r="N707" s="235" t="s">
        <v>296</v>
      </c>
      <c r="O707" s="236" t="s">
        <v>15</v>
      </c>
      <c r="P707" s="236" t="s">
        <v>15</v>
      </c>
      <c r="Q707" s="236" t="s">
        <v>15</v>
      </c>
      <c r="R707" s="236" t="s">
        <v>15</v>
      </c>
      <c r="S707" s="236" t="s">
        <v>16</v>
      </c>
      <c r="T707" s="236" t="s">
        <v>343</v>
      </c>
      <c r="U707" s="236" t="s">
        <v>262</v>
      </c>
      <c r="V707" s="236" t="s">
        <v>296</v>
      </c>
      <c r="W707" s="237" t="s">
        <v>296</v>
      </c>
      <c r="X707" s="237" t="s">
        <v>296</v>
      </c>
      <c r="Y707" s="238" t="s">
        <v>296</v>
      </c>
    </row>
    <row r="708" spans="1:25">
      <c r="A708" s="230">
        <v>13</v>
      </c>
      <c r="B708" s="231" t="str">
        <f>VLOOKUP(Tabel10[[#This Row],[Locatiecode]],Ruimtegroepen[[Code]:[Ruimte omschrijving]],2,FALSE)</f>
        <v>handvaardigheids lokalen</v>
      </c>
      <c r="C708" s="232" t="s">
        <v>881</v>
      </c>
      <c r="D708" s="231" t="s">
        <v>13</v>
      </c>
      <c r="E708" s="233" t="s">
        <v>102</v>
      </c>
      <c r="F708" s="232" t="s">
        <v>884</v>
      </c>
      <c r="G708" s="281" t="s">
        <v>296</v>
      </c>
      <c r="H708" s="234" t="s">
        <v>296</v>
      </c>
      <c r="I708" s="234" t="s">
        <v>15</v>
      </c>
      <c r="J708" s="234" t="s">
        <v>296</v>
      </c>
      <c r="K708" s="234" t="s">
        <v>297</v>
      </c>
      <c r="L708" s="234" t="s">
        <v>296</v>
      </c>
      <c r="M708" s="234" t="s">
        <v>296</v>
      </c>
      <c r="N708" s="235" t="s">
        <v>296</v>
      </c>
      <c r="O708" s="236" t="s">
        <v>15</v>
      </c>
      <c r="P708" s="236" t="s">
        <v>15</v>
      </c>
      <c r="Q708" s="236" t="s">
        <v>15</v>
      </c>
      <c r="R708" s="236" t="s">
        <v>15</v>
      </c>
      <c r="S708" s="236" t="s">
        <v>16</v>
      </c>
      <c r="T708" s="236" t="s">
        <v>343</v>
      </c>
      <c r="U708" s="236" t="s">
        <v>262</v>
      </c>
      <c r="V708" s="236" t="s">
        <v>296</v>
      </c>
      <c r="W708" s="237" t="s">
        <v>296</v>
      </c>
      <c r="X708" s="237" t="s">
        <v>296</v>
      </c>
      <c r="Y708" s="238" t="s">
        <v>296</v>
      </c>
    </row>
    <row r="709" spans="1:25">
      <c r="A709" s="230">
        <v>13</v>
      </c>
      <c r="B709" s="231" t="str">
        <f>VLOOKUP(Tabel10[[#This Row],[Locatiecode]],Ruimtegroepen[[Code]:[Ruimte omschrijving]],2,FALSE)</f>
        <v>handvaardigheids lokalen</v>
      </c>
      <c r="C709" s="232" t="s">
        <v>881</v>
      </c>
      <c r="D709" s="231" t="s">
        <v>13</v>
      </c>
      <c r="E709" s="233" t="s">
        <v>103</v>
      </c>
      <c r="F709" s="232" t="s">
        <v>885</v>
      </c>
      <c r="G709" s="281" t="s">
        <v>296</v>
      </c>
      <c r="H709" s="234" t="s">
        <v>296</v>
      </c>
      <c r="I709" s="234" t="s">
        <v>15</v>
      </c>
      <c r="J709" s="234" t="s">
        <v>296</v>
      </c>
      <c r="K709" s="234" t="s">
        <v>297</v>
      </c>
      <c r="L709" s="234" t="s">
        <v>296</v>
      </c>
      <c r="M709" s="234" t="s">
        <v>296</v>
      </c>
      <c r="N709" s="235" t="s">
        <v>296</v>
      </c>
      <c r="O709" s="236" t="s">
        <v>15</v>
      </c>
      <c r="P709" s="236" t="s">
        <v>15</v>
      </c>
      <c r="Q709" s="236" t="s">
        <v>15</v>
      </c>
      <c r="R709" s="236" t="s">
        <v>15</v>
      </c>
      <c r="S709" s="236" t="s">
        <v>16</v>
      </c>
      <c r="T709" s="236" t="s">
        <v>343</v>
      </c>
      <c r="U709" s="236" t="s">
        <v>262</v>
      </c>
      <c r="V709" s="236" t="s">
        <v>296</v>
      </c>
      <c r="W709" s="237" t="s">
        <v>296</v>
      </c>
      <c r="X709" s="237" t="s">
        <v>296</v>
      </c>
      <c r="Y709" s="238" t="s">
        <v>296</v>
      </c>
    </row>
    <row r="710" spans="1:25">
      <c r="A710" s="230">
        <v>13</v>
      </c>
      <c r="B710" s="231" t="str">
        <f>VLOOKUP(Tabel10[[#This Row],[Locatiecode]],Ruimtegroepen[[Code]:[Ruimte omschrijving]],2,FALSE)</f>
        <v>handvaardigheids lokalen</v>
      </c>
      <c r="C710" s="232" t="s">
        <v>881</v>
      </c>
      <c r="D710" s="231" t="s">
        <v>13</v>
      </c>
      <c r="E710" s="233" t="s">
        <v>100</v>
      </c>
      <c r="F710" s="232" t="s">
        <v>883</v>
      </c>
      <c r="G710" s="281" t="s">
        <v>296</v>
      </c>
      <c r="H710" s="235" t="s">
        <v>15</v>
      </c>
      <c r="I710" s="234" t="s">
        <v>296</v>
      </c>
      <c r="J710" s="234" t="s">
        <v>296</v>
      </c>
      <c r="K710" s="234" t="s">
        <v>296</v>
      </c>
      <c r="L710" s="234" t="s">
        <v>296</v>
      </c>
      <c r="M710" s="234" t="s">
        <v>296</v>
      </c>
      <c r="N710" s="235" t="s">
        <v>296</v>
      </c>
      <c r="O710" s="236" t="s">
        <v>15</v>
      </c>
      <c r="P710" s="236" t="s">
        <v>15</v>
      </c>
      <c r="Q710" s="236" t="s">
        <v>15</v>
      </c>
      <c r="R710" s="236" t="s">
        <v>15</v>
      </c>
      <c r="S710" s="236" t="s">
        <v>16</v>
      </c>
      <c r="T710" s="236" t="s">
        <v>343</v>
      </c>
      <c r="U710" s="236" t="s">
        <v>262</v>
      </c>
      <c r="V710" s="236" t="s">
        <v>296</v>
      </c>
      <c r="W710" s="237" t="s">
        <v>296</v>
      </c>
      <c r="X710" s="237" t="s">
        <v>296</v>
      </c>
      <c r="Y710" s="238" t="s">
        <v>296</v>
      </c>
    </row>
    <row r="711" spans="1:25">
      <c r="A711" s="230">
        <v>13</v>
      </c>
      <c r="B711" s="231" t="str">
        <f>VLOOKUP(Tabel10[[#This Row],[Locatiecode]],Ruimtegroepen[[Code]:[Ruimte omschrijving]],2,FALSE)</f>
        <v>handvaardigheids lokalen</v>
      </c>
      <c r="C711" s="232" t="s">
        <v>881</v>
      </c>
      <c r="D711" s="231" t="s">
        <v>13</v>
      </c>
      <c r="E711" s="233" t="s">
        <v>1344</v>
      </c>
      <c r="F711" s="232" t="s">
        <v>1404</v>
      </c>
      <c r="G711" s="281" t="s">
        <v>296</v>
      </c>
      <c r="H711" s="234" t="s">
        <v>296</v>
      </c>
      <c r="I711" s="234" t="s">
        <v>15</v>
      </c>
      <c r="J711" s="234" t="s">
        <v>296</v>
      </c>
      <c r="K711" s="234" t="s">
        <v>297</v>
      </c>
      <c r="L711" s="234" t="s">
        <v>296</v>
      </c>
      <c r="M711" s="234" t="s">
        <v>296</v>
      </c>
      <c r="N711" s="235" t="s">
        <v>296</v>
      </c>
      <c r="O711" s="236" t="s">
        <v>15</v>
      </c>
      <c r="P711" s="236" t="s">
        <v>15</v>
      </c>
      <c r="Q711" s="236" t="s">
        <v>15</v>
      </c>
      <c r="R711" s="236" t="s">
        <v>15</v>
      </c>
      <c r="S711" s="236" t="s">
        <v>16</v>
      </c>
      <c r="T711" s="236" t="s">
        <v>343</v>
      </c>
      <c r="U711" s="236" t="s">
        <v>262</v>
      </c>
      <c r="V711" s="236" t="s">
        <v>296</v>
      </c>
      <c r="W711" s="237" t="s">
        <v>296</v>
      </c>
      <c r="X711" s="237" t="s">
        <v>296</v>
      </c>
      <c r="Y711" s="238" t="s">
        <v>296</v>
      </c>
    </row>
    <row r="712" spans="1:25">
      <c r="A712" s="230">
        <v>13</v>
      </c>
      <c r="B712" s="231" t="str">
        <f>VLOOKUP(Tabel10[[#This Row],[Locatiecode]],Ruimtegroepen[[Code]:[Ruimte omschrijving]],2,FALSE)</f>
        <v>handvaardigheids lokalen</v>
      </c>
      <c r="C712" s="232" t="s">
        <v>886</v>
      </c>
      <c r="D712" s="231" t="s">
        <v>0</v>
      </c>
      <c r="E712" s="233" t="s">
        <v>101</v>
      </c>
      <c r="F712" s="232" t="s">
        <v>887</v>
      </c>
      <c r="G712" s="281" t="s">
        <v>296</v>
      </c>
      <c r="H712" s="234" t="s">
        <v>296</v>
      </c>
      <c r="I712" s="234" t="s">
        <v>16</v>
      </c>
      <c r="J712" s="234" t="s">
        <v>296</v>
      </c>
      <c r="K712" s="234" t="s">
        <v>297</v>
      </c>
      <c r="L712" s="234" t="s">
        <v>296</v>
      </c>
      <c r="M712" s="234" t="s">
        <v>296</v>
      </c>
      <c r="N712" s="235" t="s">
        <v>296</v>
      </c>
      <c r="O712" s="236" t="s">
        <v>16</v>
      </c>
      <c r="P712" s="236" t="s">
        <v>16</v>
      </c>
      <c r="Q712" s="236" t="s">
        <v>16</v>
      </c>
      <c r="R712" s="236" t="s">
        <v>16</v>
      </c>
      <c r="S712" s="236" t="s">
        <v>16</v>
      </c>
      <c r="T712" s="236" t="s">
        <v>343</v>
      </c>
      <c r="U712" s="236" t="s">
        <v>262</v>
      </c>
      <c r="V712" s="236" t="s">
        <v>296</v>
      </c>
      <c r="W712" s="237" t="s">
        <v>296</v>
      </c>
      <c r="X712" s="237" t="s">
        <v>296</v>
      </c>
      <c r="Y712" s="238" t="s">
        <v>296</v>
      </c>
    </row>
    <row r="713" spans="1:25">
      <c r="A713" s="230">
        <v>13</v>
      </c>
      <c r="B713" s="231" t="str">
        <f>VLOOKUP(Tabel10[[#This Row],[Locatiecode]],Ruimtegroepen[[Code]:[Ruimte omschrijving]],2,FALSE)</f>
        <v>handvaardigheids lokalen</v>
      </c>
      <c r="C713" s="232" t="s">
        <v>886</v>
      </c>
      <c r="D713" s="231" t="s">
        <v>0</v>
      </c>
      <c r="E713" s="233" t="s">
        <v>100</v>
      </c>
      <c r="F713" s="232" t="s">
        <v>888</v>
      </c>
      <c r="G713" s="281" t="s">
        <v>296</v>
      </c>
      <c r="H713" s="235" t="s">
        <v>16</v>
      </c>
      <c r="I713" s="234" t="s">
        <v>296</v>
      </c>
      <c r="J713" s="234" t="s">
        <v>296</v>
      </c>
      <c r="K713" s="234" t="s">
        <v>296</v>
      </c>
      <c r="L713" s="234" t="s">
        <v>296</v>
      </c>
      <c r="M713" s="234" t="s">
        <v>296</v>
      </c>
      <c r="N713" s="235" t="s">
        <v>296</v>
      </c>
      <c r="O713" s="236" t="s">
        <v>16</v>
      </c>
      <c r="P713" s="236" t="s">
        <v>16</v>
      </c>
      <c r="Q713" s="236" t="s">
        <v>16</v>
      </c>
      <c r="R713" s="236" t="s">
        <v>16</v>
      </c>
      <c r="S713" s="236" t="s">
        <v>16</v>
      </c>
      <c r="T713" s="236" t="s">
        <v>343</v>
      </c>
      <c r="U713" s="236" t="s">
        <v>262</v>
      </c>
      <c r="V713" s="236" t="s">
        <v>296</v>
      </c>
      <c r="W713" s="237" t="s">
        <v>296</v>
      </c>
      <c r="X713" s="237" t="s">
        <v>296</v>
      </c>
      <c r="Y713" s="238" t="s">
        <v>296</v>
      </c>
    </row>
    <row r="714" spans="1:25">
      <c r="A714" s="230">
        <v>13</v>
      </c>
      <c r="B714" s="231" t="str">
        <f>VLOOKUP(Tabel10[[#This Row],[Locatiecode]],Ruimtegroepen[[Code]:[Ruimte omschrijving]],2,FALSE)</f>
        <v>handvaardigheids lokalen</v>
      </c>
      <c r="C714" s="232" t="s">
        <v>886</v>
      </c>
      <c r="D714" s="231" t="s">
        <v>0</v>
      </c>
      <c r="E714" s="233" t="s">
        <v>102</v>
      </c>
      <c r="F714" s="232" t="s">
        <v>889</v>
      </c>
      <c r="G714" s="281" t="s">
        <v>296</v>
      </c>
      <c r="H714" s="234" t="s">
        <v>296</v>
      </c>
      <c r="I714" s="234" t="s">
        <v>16</v>
      </c>
      <c r="J714" s="234" t="s">
        <v>375</v>
      </c>
      <c r="K714" s="234" t="s">
        <v>297</v>
      </c>
      <c r="L714" s="234" t="s">
        <v>296</v>
      </c>
      <c r="M714" s="234" t="s">
        <v>296</v>
      </c>
      <c r="N714" s="235" t="s">
        <v>296</v>
      </c>
      <c r="O714" s="236" t="s">
        <v>16</v>
      </c>
      <c r="P714" s="236" t="s">
        <v>16</v>
      </c>
      <c r="Q714" s="236" t="s">
        <v>16</v>
      </c>
      <c r="R714" s="236" t="s">
        <v>16</v>
      </c>
      <c r="S714" s="236" t="s">
        <v>16</v>
      </c>
      <c r="T714" s="236" t="s">
        <v>343</v>
      </c>
      <c r="U714" s="236" t="s">
        <v>262</v>
      </c>
      <c r="V714" s="236" t="s">
        <v>296</v>
      </c>
      <c r="W714" s="237" t="s">
        <v>296</v>
      </c>
      <c r="X714" s="237" t="s">
        <v>296</v>
      </c>
      <c r="Y714" s="238" t="s">
        <v>296</v>
      </c>
    </row>
    <row r="715" spans="1:25">
      <c r="A715" s="230">
        <v>13</v>
      </c>
      <c r="B715" s="231" t="str">
        <f>VLOOKUP(Tabel10[[#This Row],[Locatiecode]],Ruimtegroepen[[Code]:[Ruimte omschrijving]],2,FALSE)</f>
        <v>handvaardigheids lokalen</v>
      </c>
      <c r="C715" s="232" t="s">
        <v>886</v>
      </c>
      <c r="D715" s="231" t="s">
        <v>0</v>
      </c>
      <c r="E715" s="233" t="s">
        <v>103</v>
      </c>
      <c r="F715" s="232" t="s">
        <v>890</v>
      </c>
      <c r="G715" s="281" t="s">
        <v>296</v>
      </c>
      <c r="H715" s="234" t="s">
        <v>296</v>
      </c>
      <c r="I715" s="234" t="s">
        <v>16</v>
      </c>
      <c r="J715" s="234" t="s">
        <v>296</v>
      </c>
      <c r="K715" s="234" t="s">
        <v>297</v>
      </c>
      <c r="L715" s="234" t="s">
        <v>296</v>
      </c>
      <c r="M715" s="234" t="s">
        <v>296</v>
      </c>
      <c r="N715" s="235" t="s">
        <v>296</v>
      </c>
      <c r="O715" s="236" t="s">
        <v>16</v>
      </c>
      <c r="P715" s="236" t="s">
        <v>16</v>
      </c>
      <c r="Q715" s="236" t="s">
        <v>16</v>
      </c>
      <c r="R715" s="236" t="s">
        <v>16</v>
      </c>
      <c r="S715" s="236" t="s">
        <v>16</v>
      </c>
      <c r="T715" s="236" t="s">
        <v>343</v>
      </c>
      <c r="U715" s="236" t="s">
        <v>262</v>
      </c>
      <c r="V715" s="236" t="s">
        <v>296</v>
      </c>
      <c r="W715" s="237" t="s">
        <v>296</v>
      </c>
      <c r="X715" s="237" t="s">
        <v>296</v>
      </c>
      <c r="Y715" s="238" t="s">
        <v>296</v>
      </c>
    </row>
    <row r="716" spans="1:25">
      <c r="A716" s="230">
        <v>13</v>
      </c>
      <c r="B716" s="231" t="str">
        <f>VLOOKUP(Tabel10[[#This Row],[Locatiecode]],Ruimtegroepen[[Code]:[Ruimte omschrijving]],2,FALSE)</f>
        <v>handvaardigheids lokalen</v>
      </c>
      <c r="C716" s="232" t="s">
        <v>886</v>
      </c>
      <c r="D716" s="231" t="s">
        <v>0</v>
      </c>
      <c r="E716" s="233" t="s">
        <v>100</v>
      </c>
      <c r="F716" s="232" t="s">
        <v>888</v>
      </c>
      <c r="G716" s="281" t="s">
        <v>296</v>
      </c>
      <c r="H716" s="235" t="s">
        <v>16</v>
      </c>
      <c r="I716" s="234" t="s">
        <v>296</v>
      </c>
      <c r="J716" s="234" t="s">
        <v>296</v>
      </c>
      <c r="K716" s="234" t="s">
        <v>296</v>
      </c>
      <c r="L716" s="234" t="s">
        <v>296</v>
      </c>
      <c r="M716" s="234" t="s">
        <v>296</v>
      </c>
      <c r="N716" s="235" t="s">
        <v>296</v>
      </c>
      <c r="O716" s="236" t="s">
        <v>16</v>
      </c>
      <c r="P716" s="236" t="s">
        <v>16</v>
      </c>
      <c r="Q716" s="236" t="s">
        <v>16</v>
      </c>
      <c r="R716" s="236" t="s">
        <v>16</v>
      </c>
      <c r="S716" s="236" t="s">
        <v>16</v>
      </c>
      <c r="T716" s="236" t="s">
        <v>343</v>
      </c>
      <c r="U716" s="236" t="s">
        <v>262</v>
      </c>
      <c r="V716" s="236" t="s">
        <v>296</v>
      </c>
      <c r="W716" s="237" t="s">
        <v>296</v>
      </c>
      <c r="X716" s="237" t="s">
        <v>296</v>
      </c>
      <c r="Y716" s="238" t="s">
        <v>296</v>
      </c>
    </row>
    <row r="717" spans="1:25">
      <c r="A717" s="230">
        <v>13</v>
      </c>
      <c r="B717" s="231" t="str">
        <f>VLOOKUP(Tabel10[[#This Row],[Locatiecode]],Ruimtegroepen[[Code]:[Ruimte omschrijving]],2,FALSE)</f>
        <v>handvaardigheids lokalen</v>
      </c>
      <c r="C717" s="232" t="s">
        <v>886</v>
      </c>
      <c r="D717" s="231" t="s">
        <v>0</v>
      </c>
      <c r="E717" s="233" t="s">
        <v>1344</v>
      </c>
      <c r="F717" s="232" t="s">
        <v>1388</v>
      </c>
      <c r="G717" s="281" t="s">
        <v>296</v>
      </c>
      <c r="H717" s="234" t="s">
        <v>296</v>
      </c>
      <c r="I717" s="234" t="s">
        <v>16</v>
      </c>
      <c r="J717" s="234" t="s">
        <v>296</v>
      </c>
      <c r="K717" s="234" t="s">
        <v>297</v>
      </c>
      <c r="L717" s="234" t="s">
        <v>296</v>
      </c>
      <c r="M717" s="234" t="s">
        <v>296</v>
      </c>
      <c r="N717" s="235" t="s">
        <v>296</v>
      </c>
      <c r="O717" s="236" t="s">
        <v>16</v>
      </c>
      <c r="P717" s="236" t="s">
        <v>16</v>
      </c>
      <c r="Q717" s="236" t="s">
        <v>16</v>
      </c>
      <c r="R717" s="236" t="s">
        <v>16</v>
      </c>
      <c r="S717" s="236" t="s">
        <v>16</v>
      </c>
      <c r="T717" s="236" t="s">
        <v>343</v>
      </c>
      <c r="U717" s="236" t="s">
        <v>262</v>
      </c>
      <c r="V717" s="236" t="s">
        <v>296</v>
      </c>
      <c r="W717" s="237" t="s">
        <v>296</v>
      </c>
      <c r="X717" s="237" t="s">
        <v>296</v>
      </c>
      <c r="Y717" s="238" t="s">
        <v>296</v>
      </c>
    </row>
    <row r="718" spans="1:25">
      <c r="A718" s="230">
        <v>13</v>
      </c>
      <c r="B718" s="231" t="str">
        <f>VLOOKUP(Tabel10[[#This Row],[Locatiecode]],Ruimtegroepen[[Code]:[Ruimte omschrijving]],2,FALSE)</f>
        <v>handvaardigheids lokalen</v>
      </c>
      <c r="C718" s="232" t="s">
        <v>891</v>
      </c>
      <c r="D718" s="231" t="s">
        <v>27</v>
      </c>
      <c r="E718" s="233" t="s">
        <v>101</v>
      </c>
      <c r="F718" s="232" t="s">
        <v>892</v>
      </c>
      <c r="G718" s="281" t="s">
        <v>296</v>
      </c>
      <c r="H718" s="234" t="s">
        <v>296</v>
      </c>
      <c r="I718" s="234" t="s">
        <v>15</v>
      </c>
      <c r="J718" s="234" t="s">
        <v>296</v>
      </c>
      <c r="K718" s="234" t="s">
        <v>296</v>
      </c>
      <c r="L718" s="234" t="s">
        <v>296</v>
      </c>
      <c r="M718" s="234" t="s">
        <v>296</v>
      </c>
      <c r="N718" s="235" t="s">
        <v>296</v>
      </c>
      <c r="O718" s="236" t="s">
        <v>15</v>
      </c>
      <c r="P718" s="236" t="s">
        <v>15</v>
      </c>
      <c r="Q718" s="236" t="s">
        <v>15</v>
      </c>
      <c r="R718" s="236" t="s">
        <v>296</v>
      </c>
      <c r="S718" s="236" t="s">
        <v>296</v>
      </c>
      <c r="T718" s="236" t="s">
        <v>296</v>
      </c>
      <c r="U718" s="236" t="s">
        <v>296</v>
      </c>
      <c r="V718" s="236" t="s">
        <v>296</v>
      </c>
      <c r="W718" s="237" t="s">
        <v>296</v>
      </c>
      <c r="X718" s="237" t="s">
        <v>296</v>
      </c>
      <c r="Y718" s="238" t="s">
        <v>296</v>
      </c>
    </row>
    <row r="719" spans="1:25">
      <c r="A719" s="230">
        <v>13</v>
      </c>
      <c r="B719" s="231" t="str">
        <f>VLOOKUP(Tabel10[[#This Row],[Locatiecode]],Ruimtegroepen[[Code]:[Ruimte omschrijving]],2,FALSE)</f>
        <v>handvaardigheids lokalen</v>
      </c>
      <c r="C719" s="232" t="s">
        <v>891</v>
      </c>
      <c r="D719" s="231" t="s">
        <v>27</v>
      </c>
      <c r="E719" s="233" t="s">
        <v>100</v>
      </c>
      <c r="F719" s="232" t="s">
        <v>893</v>
      </c>
      <c r="G719" s="281" t="s">
        <v>296</v>
      </c>
      <c r="H719" s="235" t="s">
        <v>15</v>
      </c>
      <c r="I719" s="234" t="s">
        <v>296</v>
      </c>
      <c r="J719" s="234" t="s">
        <v>296</v>
      </c>
      <c r="K719" s="234" t="s">
        <v>296</v>
      </c>
      <c r="L719" s="234" t="s">
        <v>296</v>
      </c>
      <c r="M719" s="234" t="s">
        <v>296</v>
      </c>
      <c r="N719" s="235" t="s">
        <v>296</v>
      </c>
      <c r="O719" s="236" t="s">
        <v>15</v>
      </c>
      <c r="P719" s="236" t="s">
        <v>15</v>
      </c>
      <c r="Q719" s="236" t="s">
        <v>15</v>
      </c>
      <c r="R719" s="236" t="s">
        <v>296</v>
      </c>
      <c r="S719" s="236" t="s">
        <v>296</v>
      </c>
      <c r="T719" s="236" t="s">
        <v>296</v>
      </c>
      <c r="U719" s="236" t="s">
        <v>296</v>
      </c>
      <c r="V719" s="236" t="s">
        <v>296</v>
      </c>
      <c r="W719" s="237" t="s">
        <v>296</v>
      </c>
      <c r="X719" s="237" t="s">
        <v>296</v>
      </c>
      <c r="Y719" s="238" t="s">
        <v>296</v>
      </c>
    </row>
    <row r="720" spans="1:25">
      <c r="A720" s="230">
        <v>13</v>
      </c>
      <c r="B720" s="231" t="str">
        <f>VLOOKUP(Tabel10[[#This Row],[Locatiecode]],Ruimtegroepen[[Code]:[Ruimte omschrijving]],2,FALSE)</f>
        <v>handvaardigheids lokalen</v>
      </c>
      <c r="C720" s="232" t="s">
        <v>891</v>
      </c>
      <c r="D720" s="231" t="s">
        <v>27</v>
      </c>
      <c r="E720" s="233" t="s">
        <v>102</v>
      </c>
      <c r="F720" s="232" t="s">
        <v>894</v>
      </c>
      <c r="G720" s="281" t="s">
        <v>296</v>
      </c>
      <c r="H720" s="234" t="s">
        <v>296</v>
      </c>
      <c r="I720" s="234" t="s">
        <v>15</v>
      </c>
      <c r="J720" s="234" t="s">
        <v>296</v>
      </c>
      <c r="K720" s="234" t="s">
        <v>296</v>
      </c>
      <c r="L720" s="234" t="s">
        <v>296</v>
      </c>
      <c r="M720" s="234" t="s">
        <v>296</v>
      </c>
      <c r="N720" s="235" t="s">
        <v>296</v>
      </c>
      <c r="O720" s="236" t="s">
        <v>15</v>
      </c>
      <c r="P720" s="236" t="s">
        <v>15</v>
      </c>
      <c r="Q720" s="236" t="s">
        <v>15</v>
      </c>
      <c r="R720" s="236" t="s">
        <v>296</v>
      </c>
      <c r="S720" s="236" t="s">
        <v>296</v>
      </c>
      <c r="T720" s="236" t="s">
        <v>296</v>
      </c>
      <c r="U720" s="236" t="s">
        <v>296</v>
      </c>
      <c r="V720" s="236" t="s">
        <v>296</v>
      </c>
      <c r="W720" s="237" t="s">
        <v>296</v>
      </c>
      <c r="X720" s="237" t="s">
        <v>296</v>
      </c>
      <c r="Y720" s="238" t="s">
        <v>296</v>
      </c>
    </row>
    <row r="721" spans="1:25">
      <c r="A721" s="230">
        <v>13</v>
      </c>
      <c r="B721" s="231" t="str">
        <f>VLOOKUP(Tabel10[[#This Row],[Locatiecode]],Ruimtegroepen[[Code]:[Ruimte omschrijving]],2,FALSE)</f>
        <v>handvaardigheids lokalen</v>
      </c>
      <c r="C721" s="232" t="s">
        <v>891</v>
      </c>
      <c r="D721" s="231" t="s">
        <v>27</v>
      </c>
      <c r="E721" s="233" t="s">
        <v>103</v>
      </c>
      <c r="F721" s="232" t="s">
        <v>895</v>
      </c>
      <c r="G721" s="281" t="s">
        <v>296</v>
      </c>
      <c r="H721" s="234" t="s">
        <v>296</v>
      </c>
      <c r="I721" s="234" t="s">
        <v>15</v>
      </c>
      <c r="J721" s="234" t="s">
        <v>296</v>
      </c>
      <c r="K721" s="234" t="s">
        <v>296</v>
      </c>
      <c r="L721" s="234" t="s">
        <v>296</v>
      </c>
      <c r="M721" s="234" t="s">
        <v>296</v>
      </c>
      <c r="N721" s="235" t="s">
        <v>296</v>
      </c>
      <c r="O721" s="236" t="s">
        <v>15</v>
      </c>
      <c r="P721" s="236" t="s">
        <v>15</v>
      </c>
      <c r="Q721" s="236" t="s">
        <v>15</v>
      </c>
      <c r="R721" s="236" t="s">
        <v>296</v>
      </c>
      <c r="S721" s="236" t="s">
        <v>296</v>
      </c>
      <c r="T721" s="236" t="s">
        <v>296</v>
      </c>
      <c r="U721" s="236" t="s">
        <v>296</v>
      </c>
      <c r="V721" s="236" t="s">
        <v>296</v>
      </c>
      <c r="W721" s="237" t="s">
        <v>296</v>
      </c>
      <c r="X721" s="237" t="s">
        <v>296</v>
      </c>
      <c r="Y721" s="238" t="s">
        <v>296</v>
      </c>
    </row>
    <row r="722" spans="1:25">
      <c r="A722" s="230">
        <v>13</v>
      </c>
      <c r="B722" s="231" t="str">
        <f>VLOOKUP(Tabel10[[#This Row],[Locatiecode]],Ruimtegroepen[[Code]:[Ruimte omschrijving]],2,FALSE)</f>
        <v>handvaardigheids lokalen</v>
      </c>
      <c r="C722" s="232" t="s">
        <v>891</v>
      </c>
      <c r="D722" s="231" t="s">
        <v>27</v>
      </c>
      <c r="E722" s="233" t="s">
        <v>100</v>
      </c>
      <c r="F722" s="232" t="s">
        <v>893</v>
      </c>
      <c r="G722" s="281" t="s">
        <v>296</v>
      </c>
      <c r="H722" s="235" t="s">
        <v>15</v>
      </c>
      <c r="I722" s="234" t="s">
        <v>296</v>
      </c>
      <c r="J722" s="234" t="s">
        <v>296</v>
      </c>
      <c r="K722" s="234" t="s">
        <v>296</v>
      </c>
      <c r="L722" s="234" t="s">
        <v>296</v>
      </c>
      <c r="M722" s="234" t="s">
        <v>296</v>
      </c>
      <c r="N722" s="235" t="s">
        <v>296</v>
      </c>
      <c r="O722" s="236" t="s">
        <v>15</v>
      </c>
      <c r="P722" s="236" t="s">
        <v>15</v>
      </c>
      <c r="Q722" s="236" t="s">
        <v>15</v>
      </c>
      <c r="R722" s="236" t="s">
        <v>296</v>
      </c>
      <c r="S722" s="236" t="s">
        <v>296</v>
      </c>
      <c r="T722" s="236" t="s">
        <v>296</v>
      </c>
      <c r="U722" s="236" t="s">
        <v>296</v>
      </c>
      <c r="V722" s="236" t="s">
        <v>296</v>
      </c>
      <c r="W722" s="237" t="s">
        <v>296</v>
      </c>
      <c r="X722" s="237" t="s">
        <v>296</v>
      </c>
      <c r="Y722" s="238" t="s">
        <v>296</v>
      </c>
    </row>
    <row r="723" spans="1:25">
      <c r="A723" s="230">
        <v>13</v>
      </c>
      <c r="B723" s="231" t="str">
        <f>VLOOKUP(Tabel10[[#This Row],[Locatiecode]],Ruimtegroepen[[Code]:[Ruimte omschrijving]],2,FALSE)</f>
        <v>handvaardigheids lokalen</v>
      </c>
      <c r="C723" s="232" t="s">
        <v>891</v>
      </c>
      <c r="D723" s="231" t="s">
        <v>27</v>
      </c>
      <c r="E723" s="233" t="s">
        <v>1344</v>
      </c>
      <c r="F723" s="232" t="s">
        <v>1421</v>
      </c>
      <c r="G723" s="281" t="s">
        <v>296</v>
      </c>
      <c r="H723" s="234" t="s">
        <v>296</v>
      </c>
      <c r="I723" s="235" t="s">
        <v>15</v>
      </c>
      <c r="J723" s="235" t="s">
        <v>296</v>
      </c>
      <c r="K723" s="235" t="s">
        <v>296</v>
      </c>
      <c r="L723" s="234" t="s">
        <v>296</v>
      </c>
      <c r="M723" s="234" t="s">
        <v>296</v>
      </c>
      <c r="N723" s="235" t="s">
        <v>296</v>
      </c>
      <c r="O723" s="236" t="s">
        <v>15</v>
      </c>
      <c r="P723" s="236" t="s">
        <v>15</v>
      </c>
      <c r="Q723" s="236" t="s">
        <v>15</v>
      </c>
      <c r="R723" s="236" t="s">
        <v>296</v>
      </c>
      <c r="S723" s="236" t="s">
        <v>296</v>
      </c>
      <c r="T723" s="236" t="s">
        <v>296</v>
      </c>
      <c r="U723" s="236" t="s">
        <v>296</v>
      </c>
      <c r="V723" s="236" t="s">
        <v>296</v>
      </c>
      <c r="W723" s="237" t="s">
        <v>296</v>
      </c>
      <c r="X723" s="237" t="s">
        <v>296</v>
      </c>
      <c r="Y723" s="238" t="s">
        <v>296</v>
      </c>
    </row>
    <row r="724" spans="1:25">
      <c r="A724" s="230">
        <v>13</v>
      </c>
      <c r="B724" s="231" t="str">
        <f>VLOOKUP(Tabel10[[#This Row],[Locatiecode]],Ruimtegroepen[[Code]:[Ruimte omschrijving]],2,FALSE)</f>
        <v>handvaardigheids lokalen</v>
      </c>
      <c r="C724" s="232" t="s">
        <v>896</v>
      </c>
      <c r="D724" s="231" t="s">
        <v>28</v>
      </c>
      <c r="E724" s="233" t="s">
        <v>101</v>
      </c>
      <c r="F724" s="232" t="s">
        <v>897</v>
      </c>
      <c r="G724" s="281" t="s">
        <v>296</v>
      </c>
      <c r="H724" s="234" t="s">
        <v>296</v>
      </c>
      <c r="I724" s="234" t="s">
        <v>17</v>
      </c>
      <c r="J724" s="234" t="s">
        <v>296</v>
      </c>
      <c r="K724" s="234" t="s">
        <v>296</v>
      </c>
      <c r="L724" s="234" t="s">
        <v>296</v>
      </c>
      <c r="M724" s="234" t="s">
        <v>296</v>
      </c>
      <c r="N724" s="235" t="s">
        <v>296</v>
      </c>
      <c r="O724" s="236" t="s">
        <v>17</v>
      </c>
      <c r="P724" s="236" t="s">
        <v>17</v>
      </c>
      <c r="Q724" s="236" t="s">
        <v>15</v>
      </c>
      <c r="R724" s="236" t="s">
        <v>296</v>
      </c>
      <c r="S724" s="236" t="s">
        <v>296</v>
      </c>
      <c r="T724" s="236" t="s">
        <v>296</v>
      </c>
      <c r="U724" s="236" t="s">
        <v>296</v>
      </c>
      <c r="V724" s="236" t="s">
        <v>296</v>
      </c>
      <c r="W724" s="237" t="s">
        <v>296</v>
      </c>
      <c r="X724" s="237" t="s">
        <v>296</v>
      </c>
      <c r="Y724" s="238" t="s">
        <v>296</v>
      </c>
    </row>
    <row r="725" spans="1:25">
      <c r="A725" s="230">
        <v>13</v>
      </c>
      <c r="B725" s="231" t="str">
        <f>VLOOKUP(Tabel10[[#This Row],[Locatiecode]],Ruimtegroepen[[Code]:[Ruimte omschrijving]],2,FALSE)</f>
        <v>handvaardigheids lokalen</v>
      </c>
      <c r="C725" s="232" t="s">
        <v>896</v>
      </c>
      <c r="D725" s="231" t="s">
        <v>28</v>
      </c>
      <c r="E725" s="233" t="s">
        <v>100</v>
      </c>
      <c r="F725" s="232" t="s">
        <v>898</v>
      </c>
      <c r="G725" s="281" t="s">
        <v>296</v>
      </c>
      <c r="H725" s="235" t="s">
        <v>17</v>
      </c>
      <c r="I725" s="234" t="s">
        <v>296</v>
      </c>
      <c r="J725" s="234" t="s">
        <v>296</v>
      </c>
      <c r="K725" s="234" t="s">
        <v>296</v>
      </c>
      <c r="L725" s="234" t="s">
        <v>296</v>
      </c>
      <c r="M725" s="234" t="s">
        <v>296</v>
      </c>
      <c r="N725" s="235" t="s">
        <v>296</v>
      </c>
      <c r="O725" s="236" t="s">
        <v>17</v>
      </c>
      <c r="P725" s="236" t="s">
        <v>17</v>
      </c>
      <c r="Q725" s="236" t="s">
        <v>15</v>
      </c>
      <c r="R725" s="236" t="s">
        <v>296</v>
      </c>
      <c r="S725" s="236" t="s">
        <v>296</v>
      </c>
      <c r="T725" s="236" t="s">
        <v>296</v>
      </c>
      <c r="U725" s="236" t="s">
        <v>296</v>
      </c>
      <c r="V725" s="236" t="s">
        <v>296</v>
      </c>
      <c r="W725" s="237" t="s">
        <v>296</v>
      </c>
      <c r="X725" s="237" t="s">
        <v>296</v>
      </c>
      <c r="Y725" s="238" t="s">
        <v>296</v>
      </c>
    </row>
    <row r="726" spans="1:25">
      <c r="A726" s="230">
        <v>13</v>
      </c>
      <c r="B726" s="231" t="str">
        <f>VLOOKUP(Tabel10[[#This Row],[Locatiecode]],Ruimtegroepen[[Code]:[Ruimte omschrijving]],2,FALSE)</f>
        <v>handvaardigheids lokalen</v>
      </c>
      <c r="C726" s="232" t="s">
        <v>896</v>
      </c>
      <c r="D726" s="231" t="s">
        <v>28</v>
      </c>
      <c r="E726" s="233" t="s">
        <v>102</v>
      </c>
      <c r="F726" s="232" t="s">
        <v>899</v>
      </c>
      <c r="G726" s="281" t="s">
        <v>296</v>
      </c>
      <c r="H726" s="234" t="s">
        <v>296</v>
      </c>
      <c r="I726" s="234" t="s">
        <v>17</v>
      </c>
      <c r="J726" s="234" t="s">
        <v>296</v>
      </c>
      <c r="K726" s="234" t="s">
        <v>296</v>
      </c>
      <c r="L726" s="234" t="s">
        <v>296</v>
      </c>
      <c r="M726" s="234" t="s">
        <v>296</v>
      </c>
      <c r="N726" s="235" t="s">
        <v>296</v>
      </c>
      <c r="O726" s="236" t="s">
        <v>17</v>
      </c>
      <c r="P726" s="236" t="s">
        <v>17</v>
      </c>
      <c r="Q726" s="236" t="s">
        <v>15</v>
      </c>
      <c r="R726" s="236" t="s">
        <v>296</v>
      </c>
      <c r="S726" s="236" t="s">
        <v>296</v>
      </c>
      <c r="T726" s="236" t="s">
        <v>296</v>
      </c>
      <c r="U726" s="236" t="s">
        <v>296</v>
      </c>
      <c r="V726" s="236" t="s">
        <v>296</v>
      </c>
      <c r="W726" s="237" t="s">
        <v>296</v>
      </c>
      <c r="X726" s="237" t="s">
        <v>296</v>
      </c>
      <c r="Y726" s="238" t="s">
        <v>296</v>
      </c>
    </row>
    <row r="727" spans="1:25">
      <c r="A727" s="230">
        <v>13</v>
      </c>
      <c r="B727" s="231" t="str">
        <f>VLOOKUP(Tabel10[[#This Row],[Locatiecode]],Ruimtegroepen[[Code]:[Ruimte omschrijving]],2,FALSE)</f>
        <v>handvaardigheids lokalen</v>
      </c>
      <c r="C727" s="232" t="s">
        <v>896</v>
      </c>
      <c r="D727" s="231" t="s">
        <v>28</v>
      </c>
      <c r="E727" s="233" t="s">
        <v>103</v>
      </c>
      <c r="F727" s="232" t="s">
        <v>900</v>
      </c>
      <c r="G727" s="281" t="s">
        <v>296</v>
      </c>
      <c r="H727" s="234" t="s">
        <v>296</v>
      </c>
      <c r="I727" s="234" t="s">
        <v>17</v>
      </c>
      <c r="J727" s="234" t="s">
        <v>296</v>
      </c>
      <c r="K727" s="234" t="s">
        <v>296</v>
      </c>
      <c r="L727" s="234" t="s">
        <v>296</v>
      </c>
      <c r="M727" s="234" t="s">
        <v>296</v>
      </c>
      <c r="N727" s="235" t="s">
        <v>296</v>
      </c>
      <c r="O727" s="236" t="s">
        <v>17</v>
      </c>
      <c r="P727" s="236" t="s">
        <v>17</v>
      </c>
      <c r="Q727" s="236" t="s">
        <v>15</v>
      </c>
      <c r="R727" s="236" t="s">
        <v>296</v>
      </c>
      <c r="S727" s="236" t="s">
        <v>296</v>
      </c>
      <c r="T727" s="236" t="s">
        <v>296</v>
      </c>
      <c r="U727" s="236" t="s">
        <v>296</v>
      </c>
      <c r="V727" s="236" t="s">
        <v>296</v>
      </c>
      <c r="W727" s="237" t="s">
        <v>296</v>
      </c>
      <c r="X727" s="237" t="s">
        <v>296</v>
      </c>
      <c r="Y727" s="238" t="s">
        <v>296</v>
      </c>
    </row>
    <row r="728" spans="1:25">
      <c r="A728" s="230">
        <v>13</v>
      </c>
      <c r="B728" s="231" t="str">
        <f>VLOOKUP(Tabel10[[#This Row],[Locatiecode]],Ruimtegroepen[[Code]:[Ruimte omschrijving]],2,FALSE)</f>
        <v>handvaardigheids lokalen</v>
      </c>
      <c r="C728" s="232" t="s">
        <v>896</v>
      </c>
      <c r="D728" s="231" t="s">
        <v>28</v>
      </c>
      <c r="E728" s="233" t="s">
        <v>100</v>
      </c>
      <c r="F728" s="232" t="s">
        <v>898</v>
      </c>
      <c r="G728" s="281" t="s">
        <v>296</v>
      </c>
      <c r="H728" s="235" t="s">
        <v>17</v>
      </c>
      <c r="I728" s="234" t="s">
        <v>296</v>
      </c>
      <c r="J728" s="234" t="s">
        <v>296</v>
      </c>
      <c r="K728" s="234" t="s">
        <v>296</v>
      </c>
      <c r="L728" s="234" t="s">
        <v>296</v>
      </c>
      <c r="M728" s="234" t="s">
        <v>296</v>
      </c>
      <c r="N728" s="235" t="s">
        <v>296</v>
      </c>
      <c r="O728" s="236" t="s">
        <v>17</v>
      </c>
      <c r="P728" s="236" t="s">
        <v>17</v>
      </c>
      <c r="Q728" s="236" t="s">
        <v>15</v>
      </c>
      <c r="R728" s="236" t="s">
        <v>296</v>
      </c>
      <c r="S728" s="236" t="s">
        <v>296</v>
      </c>
      <c r="T728" s="236" t="s">
        <v>296</v>
      </c>
      <c r="U728" s="236" t="s">
        <v>296</v>
      </c>
      <c r="V728" s="236" t="s">
        <v>296</v>
      </c>
      <c r="W728" s="237" t="s">
        <v>296</v>
      </c>
      <c r="X728" s="237" t="s">
        <v>296</v>
      </c>
      <c r="Y728" s="238" t="s">
        <v>296</v>
      </c>
    </row>
    <row r="729" spans="1:25">
      <c r="A729" s="230">
        <v>13</v>
      </c>
      <c r="B729" s="231" t="str">
        <f>VLOOKUP(Tabel10[[#This Row],[Locatiecode]],Ruimtegroepen[[Code]:[Ruimte omschrijving]],2,FALSE)</f>
        <v>handvaardigheids lokalen</v>
      </c>
      <c r="C729" s="232" t="s">
        <v>896</v>
      </c>
      <c r="D729" s="231" t="s">
        <v>28</v>
      </c>
      <c r="E729" s="233" t="s">
        <v>1344</v>
      </c>
      <c r="F729" s="232" t="s">
        <v>1454</v>
      </c>
      <c r="G729" s="281" t="s">
        <v>296</v>
      </c>
      <c r="H729" s="234" t="s">
        <v>296</v>
      </c>
      <c r="I729" s="235" t="s">
        <v>17</v>
      </c>
      <c r="J729" s="235" t="s">
        <v>296</v>
      </c>
      <c r="K729" s="235" t="s">
        <v>296</v>
      </c>
      <c r="L729" s="234" t="s">
        <v>296</v>
      </c>
      <c r="M729" s="234" t="s">
        <v>296</v>
      </c>
      <c r="N729" s="235" t="s">
        <v>296</v>
      </c>
      <c r="O729" s="236" t="s">
        <v>17</v>
      </c>
      <c r="P729" s="236" t="s">
        <v>17</v>
      </c>
      <c r="Q729" s="236" t="s">
        <v>15</v>
      </c>
      <c r="R729" s="236" t="s">
        <v>296</v>
      </c>
      <c r="S729" s="236" t="s">
        <v>296</v>
      </c>
      <c r="T729" s="236" t="s">
        <v>296</v>
      </c>
      <c r="U729" s="236" t="s">
        <v>296</v>
      </c>
      <c r="V729" s="236" t="s">
        <v>296</v>
      </c>
      <c r="W729" s="237" t="s">
        <v>296</v>
      </c>
      <c r="X729" s="237" t="s">
        <v>296</v>
      </c>
      <c r="Y729" s="238" t="s">
        <v>296</v>
      </c>
    </row>
    <row r="730" spans="1:25">
      <c r="A730" s="230">
        <v>14</v>
      </c>
      <c r="B730" s="231" t="str">
        <f>VLOOKUP(Tabel10[[#This Row],[Locatiecode]],Ruimtegroepen[[Code]:[Ruimte omschrijving]],2,FALSE)</f>
        <v>Praktijklokalen</v>
      </c>
      <c r="C730" s="232" t="s">
        <v>901</v>
      </c>
      <c r="D730" s="231" t="s">
        <v>29</v>
      </c>
      <c r="E730" s="233" t="s">
        <v>101</v>
      </c>
      <c r="F730" s="232" t="s">
        <v>902</v>
      </c>
      <c r="G730" s="281" t="s">
        <v>296</v>
      </c>
      <c r="H730" s="234" t="s">
        <v>296</v>
      </c>
      <c r="I730" s="234" t="s">
        <v>20</v>
      </c>
      <c r="J730" s="234" t="s">
        <v>15</v>
      </c>
      <c r="K730" s="234" t="s">
        <v>296</v>
      </c>
      <c r="L730" s="234" t="s">
        <v>296</v>
      </c>
      <c r="M730" s="234" t="s">
        <v>296</v>
      </c>
      <c r="N730" s="235" t="s">
        <v>2</v>
      </c>
      <c r="O730" s="236" t="s">
        <v>2</v>
      </c>
      <c r="P730" s="236" t="s">
        <v>2</v>
      </c>
      <c r="Q730" s="236" t="s">
        <v>15</v>
      </c>
      <c r="R730" s="236" t="s">
        <v>15</v>
      </c>
      <c r="S730" s="236" t="s">
        <v>16</v>
      </c>
      <c r="T730" s="236" t="s">
        <v>343</v>
      </c>
      <c r="U730" s="236" t="s">
        <v>262</v>
      </c>
      <c r="V730" s="236" t="s">
        <v>2</v>
      </c>
      <c r="W730" s="237" t="s">
        <v>296</v>
      </c>
      <c r="X730" s="237" t="s">
        <v>296</v>
      </c>
      <c r="Y730" s="238" t="s">
        <v>296</v>
      </c>
    </row>
    <row r="731" spans="1:25">
      <c r="A731" s="230">
        <v>14</v>
      </c>
      <c r="B731" s="231" t="str">
        <f>VLOOKUP(Tabel10[[#This Row],[Locatiecode]],Ruimtegroepen[[Code]:[Ruimte omschrijving]],2,FALSE)</f>
        <v>Praktijklokalen</v>
      </c>
      <c r="C731" s="232" t="s">
        <v>901</v>
      </c>
      <c r="D731" s="231" t="s">
        <v>29</v>
      </c>
      <c r="E731" s="233" t="s">
        <v>100</v>
      </c>
      <c r="F731" s="232" t="s">
        <v>903</v>
      </c>
      <c r="G731" s="235" t="s">
        <v>20</v>
      </c>
      <c r="H731" s="235" t="s">
        <v>15</v>
      </c>
      <c r="I731" s="234" t="s">
        <v>296</v>
      </c>
      <c r="J731" s="234" t="s">
        <v>296</v>
      </c>
      <c r="K731" s="234" t="s">
        <v>296</v>
      </c>
      <c r="L731" s="234" t="s">
        <v>296</v>
      </c>
      <c r="M731" s="234" t="s">
        <v>296</v>
      </c>
      <c r="N731" s="235" t="s">
        <v>2</v>
      </c>
      <c r="O731" s="236" t="s">
        <v>2</v>
      </c>
      <c r="P731" s="236" t="s">
        <v>2</v>
      </c>
      <c r="Q731" s="236" t="s">
        <v>15</v>
      </c>
      <c r="R731" s="236" t="s">
        <v>15</v>
      </c>
      <c r="S731" s="236" t="s">
        <v>16</v>
      </c>
      <c r="T731" s="236" t="s">
        <v>343</v>
      </c>
      <c r="U731" s="236" t="s">
        <v>262</v>
      </c>
      <c r="V731" s="236" t="s">
        <v>2</v>
      </c>
      <c r="W731" s="237" t="s">
        <v>296</v>
      </c>
      <c r="X731" s="237" t="s">
        <v>296</v>
      </c>
      <c r="Y731" s="238" t="s">
        <v>296</v>
      </c>
    </row>
    <row r="732" spans="1:25">
      <c r="A732" s="230">
        <v>14</v>
      </c>
      <c r="B732" s="231" t="str">
        <f>VLOOKUP(Tabel10[[#This Row],[Locatiecode]],Ruimtegroepen[[Code]:[Ruimte omschrijving]],2,FALSE)</f>
        <v>Praktijklokalen</v>
      </c>
      <c r="C732" s="232" t="s">
        <v>901</v>
      </c>
      <c r="D732" s="231" t="s">
        <v>29</v>
      </c>
      <c r="E732" s="233" t="s">
        <v>102</v>
      </c>
      <c r="F732" s="232" t="s">
        <v>904</v>
      </c>
      <c r="G732" s="281" t="s">
        <v>296</v>
      </c>
      <c r="H732" s="234" t="s">
        <v>296</v>
      </c>
      <c r="I732" s="234" t="s">
        <v>20</v>
      </c>
      <c r="J732" s="234" t="s">
        <v>15</v>
      </c>
      <c r="K732" s="234" t="s">
        <v>262</v>
      </c>
      <c r="L732" s="234" t="s">
        <v>296</v>
      </c>
      <c r="M732" s="234" t="s">
        <v>296</v>
      </c>
      <c r="N732" s="235" t="s">
        <v>2</v>
      </c>
      <c r="O732" s="236" t="s">
        <v>2</v>
      </c>
      <c r="P732" s="236" t="s">
        <v>2</v>
      </c>
      <c r="Q732" s="236" t="s">
        <v>15</v>
      </c>
      <c r="R732" s="236" t="s">
        <v>15</v>
      </c>
      <c r="S732" s="236" t="s">
        <v>16</v>
      </c>
      <c r="T732" s="236" t="s">
        <v>343</v>
      </c>
      <c r="U732" s="236" t="s">
        <v>262</v>
      </c>
      <c r="V732" s="236" t="s">
        <v>2</v>
      </c>
      <c r="W732" s="237" t="s">
        <v>296</v>
      </c>
      <c r="X732" s="237" t="s">
        <v>296</v>
      </c>
      <c r="Y732" s="238" t="s">
        <v>296</v>
      </c>
    </row>
    <row r="733" spans="1:25">
      <c r="A733" s="230">
        <v>14</v>
      </c>
      <c r="B733" s="231" t="str">
        <f>VLOOKUP(Tabel10[[#This Row],[Locatiecode]],Ruimtegroepen[[Code]:[Ruimte omschrijving]],2,FALSE)</f>
        <v>Praktijklokalen</v>
      </c>
      <c r="C733" s="232" t="s">
        <v>901</v>
      </c>
      <c r="D733" s="231" t="s">
        <v>29</v>
      </c>
      <c r="E733" s="233" t="s">
        <v>103</v>
      </c>
      <c r="F733" s="232" t="s">
        <v>905</v>
      </c>
      <c r="G733" s="281" t="s">
        <v>296</v>
      </c>
      <c r="H733" s="234" t="s">
        <v>296</v>
      </c>
      <c r="I733" s="234" t="s">
        <v>20</v>
      </c>
      <c r="J733" s="234" t="s">
        <v>15</v>
      </c>
      <c r="K733" s="234" t="s">
        <v>262</v>
      </c>
      <c r="L733" s="234" t="s">
        <v>296</v>
      </c>
      <c r="M733" s="234" t="s">
        <v>296</v>
      </c>
      <c r="N733" s="235" t="s">
        <v>2</v>
      </c>
      <c r="O733" s="236" t="s">
        <v>2</v>
      </c>
      <c r="P733" s="236" t="s">
        <v>2</v>
      </c>
      <c r="Q733" s="236" t="s">
        <v>15</v>
      </c>
      <c r="R733" s="236" t="s">
        <v>15</v>
      </c>
      <c r="S733" s="236" t="s">
        <v>16</v>
      </c>
      <c r="T733" s="236" t="s">
        <v>343</v>
      </c>
      <c r="U733" s="236" t="s">
        <v>262</v>
      </c>
      <c r="V733" s="236" t="s">
        <v>2</v>
      </c>
      <c r="W733" s="237" t="s">
        <v>296</v>
      </c>
      <c r="X733" s="237" t="s">
        <v>296</v>
      </c>
      <c r="Y733" s="238" t="s">
        <v>296</v>
      </c>
    </row>
    <row r="734" spans="1:25">
      <c r="A734" s="230">
        <v>14</v>
      </c>
      <c r="B734" s="231" t="str">
        <f>VLOOKUP(Tabel10[[#This Row],[Locatiecode]],Ruimtegroepen[[Code]:[Ruimte omschrijving]],2,FALSE)</f>
        <v>Praktijklokalen</v>
      </c>
      <c r="C734" s="232" t="s">
        <v>901</v>
      </c>
      <c r="D734" s="231" t="s">
        <v>29</v>
      </c>
      <c r="E734" s="233" t="s">
        <v>100</v>
      </c>
      <c r="F734" s="232" t="s">
        <v>903</v>
      </c>
      <c r="G734" s="235" t="s">
        <v>20</v>
      </c>
      <c r="H734" s="235" t="s">
        <v>15</v>
      </c>
      <c r="I734" s="234" t="s">
        <v>296</v>
      </c>
      <c r="J734" s="234" t="s">
        <v>296</v>
      </c>
      <c r="K734" s="234" t="s">
        <v>296</v>
      </c>
      <c r="L734" s="234" t="s">
        <v>296</v>
      </c>
      <c r="M734" s="234" t="s">
        <v>296</v>
      </c>
      <c r="N734" s="235" t="s">
        <v>2</v>
      </c>
      <c r="O734" s="236" t="s">
        <v>296</v>
      </c>
      <c r="P734" s="236" t="s">
        <v>296</v>
      </c>
      <c r="Q734" s="236" t="s">
        <v>296</v>
      </c>
      <c r="R734" s="236" t="s">
        <v>296</v>
      </c>
      <c r="S734" s="236" t="s">
        <v>296</v>
      </c>
      <c r="T734" s="236" t="s">
        <v>296</v>
      </c>
      <c r="U734" s="236" t="s">
        <v>296</v>
      </c>
      <c r="V734" s="236" t="s">
        <v>296</v>
      </c>
      <c r="W734" s="237" t="s">
        <v>296</v>
      </c>
      <c r="X734" s="237" t="s">
        <v>296</v>
      </c>
      <c r="Y734" s="238" t="s">
        <v>296</v>
      </c>
    </row>
    <row r="735" spans="1:25">
      <c r="A735" s="230">
        <v>14</v>
      </c>
      <c r="B735" s="231" t="str">
        <f>VLOOKUP(Tabel10[[#This Row],[Locatiecode]],Ruimtegroepen[[Code]:[Ruimte omschrijving]],2,FALSE)</f>
        <v>Praktijklokalen</v>
      </c>
      <c r="C735" s="232" t="s">
        <v>901</v>
      </c>
      <c r="D735" s="231" t="s">
        <v>29</v>
      </c>
      <c r="E735" s="233" t="s">
        <v>1344</v>
      </c>
      <c r="F735" s="232" t="s">
        <v>1522</v>
      </c>
      <c r="G735" s="281" t="s">
        <v>296</v>
      </c>
      <c r="H735" s="234" t="s">
        <v>296</v>
      </c>
      <c r="I735" s="234" t="s">
        <v>20</v>
      </c>
      <c r="J735" s="234" t="s">
        <v>15</v>
      </c>
      <c r="K735" s="234" t="s">
        <v>262</v>
      </c>
      <c r="L735" s="234" t="s">
        <v>296</v>
      </c>
      <c r="M735" s="234" t="s">
        <v>296</v>
      </c>
      <c r="N735" s="235" t="s">
        <v>2</v>
      </c>
      <c r="O735" s="236" t="s">
        <v>2</v>
      </c>
      <c r="P735" s="236" t="s">
        <v>2</v>
      </c>
      <c r="Q735" s="236" t="s">
        <v>15</v>
      </c>
      <c r="R735" s="236" t="s">
        <v>15</v>
      </c>
      <c r="S735" s="236" t="s">
        <v>16</v>
      </c>
      <c r="T735" s="236" t="s">
        <v>343</v>
      </c>
      <c r="U735" s="236" t="s">
        <v>262</v>
      </c>
      <c r="V735" s="236" t="s">
        <v>2</v>
      </c>
      <c r="W735" s="237" t="s">
        <v>296</v>
      </c>
      <c r="X735" s="237" t="s">
        <v>296</v>
      </c>
      <c r="Y735" s="238" t="s">
        <v>296</v>
      </c>
    </row>
    <row r="736" spans="1:25">
      <c r="A736" s="230">
        <v>14</v>
      </c>
      <c r="B736" s="231" t="str">
        <f>VLOOKUP(Tabel10[[#This Row],[Locatiecode]],Ruimtegroepen[[Code]:[Ruimte omschrijving]],2,FALSE)</f>
        <v>Praktijklokalen</v>
      </c>
      <c r="C736" s="232" t="s">
        <v>906</v>
      </c>
      <c r="D736" s="231" t="s">
        <v>1</v>
      </c>
      <c r="E736" s="233" t="s">
        <v>101</v>
      </c>
      <c r="F736" s="232" t="s">
        <v>907</v>
      </c>
      <c r="G736" s="281" t="s">
        <v>296</v>
      </c>
      <c r="H736" s="234" t="s">
        <v>296</v>
      </c>
      <c r="I736" s="234" t="s">
        <v>20</v>
      </c>
      <c r="J736" s="234" t="s">
        <v>15</v>
      </c>
      <c r="K736" s="234" t="s">
        <v>296</v>
      </c>
      <c r="L736" s="234" t="s">
        <v>296</v>
      </c>
      <c r="M736" s="234" t="s">
        <v>296</v>
      </c>
      <c r="N736" s="235" t="s">
        <v>296</v>
      </c>
      <c r="O736" s="236" t="s">
        <v>2</v>
      </c>
      <c r="P736" s="236" t="s">
        <v>2</v>
      </c>
      <c r="Q736" s="236" t="s">
        <v>15</v>
      </c>
      <c r="R736" s="236" t="s">
        <v>15</v>
      </c>
      <c r="S736" s="236" t="s">
        <v>16</v>
      </c>
      <c r="T736" s="236" t="s">
        <v>343</v>
      </c>
      <c r="U736" s="236" t="s">
        <v>262</v>
      </c>
      <c r="V736" s="236" t="s">
        <v>296</v>
      </c>
      <c r="W736" s="237" t="s">
        <v>296</v>
      </c>
      <c r="X736" s="237" t="s">
        <v>296</v>
      </c>
      <c r="Y736" s="238" t="s">
        <v>296</v>
      </c>
    </row>
    <row r="737" spans="1:25">
      <c r="A737" s="230">
        <v>14</v>
      </c>
      <c r="B737" s="231" t="str">
        <f>VLOOKUP(Tabel10[[#This Row],[Locatiecode]],Ruimtegroepen[[Code]:[Ruimte omschrijving]],2,FALSE)</f>
        <v>Praktijklokalen</v>
      </c>
      <c r="C737" s="232" t="s">
        <v>906</v>
      </c>
      <c r="D737" s="231" t="s">
        <v>1</v>
      </c>
      <c r="E737" s="233" t="s">
        <v>100</v>
      </c>
      <c r="F737" s="232" t="s">
        <v>908</v>
      </c>
      <c r="G737" s="235" t="s">
        <v>20</v>
      </c>
      <c r="H737" s="235" t="s">
        <v>15</v>
      </c>
      <c r="I737" s="234" t="s">
        <v>296</v>
      </c>
      <c r="J737" s="234" t="s">
        <v>296</v>
      </c>
      <c r="K737" s="234" t="s">
        <v>296</v>
      </c>
      <c r="L737" s="234" t="s">
        <v>296</v>
      </c>
      <c r="M737" s="234" t="s">
        <v>296</v>
      </c>
      <c r="N737" s="235" t="s">
        <v>296</v>
      </c>
      <c r="O737" s="236" t="s">
        <v>2</v>
      </c>
      <c r="P737" s="236" t="s">
        <v>2</v>
      </c>
      <c r="Q737" s="236" t="s">
        <v>15</v>
      </c>
      <c r="R737" s="236" t="s">
        <v>15</v>
      </c>
      <c r="S737" s="236" t="s">
        <v>16</v>
      </c>
      <c r="T737" s="236" t="s">
        <v>343</v>
      </c>
      <c r="U737" s="236" t="s">
        <v>262</v>
      </c>
      <c r="V737" s="236" t="s">
        <v>296</v>
      </c>
      <c r="W737" s="237" t="s">
        <v>296</v>
      </c>
      <c r="X737" s="237" t="s">
        <v>296</v>
      </c>
      <c r="Y737" s="238" t="s">
        <v>296</v>
      </c>
    </row>
    <row r="738" spans="1:25">
      <c r="A738" s="230">
        <v>14</v>
      </c>
      <c r="B738" s="231" t="str">
        <f>VLOOKUP(Tabel10[[#This Row],[Locatiecode]],Ruimtegroepen[[Code]:[Ruimte omschrijving]],2,FALSE)</f>
        <v>Praktijklokalen</v>
      </c>
      <c r="C738" s="232" t="s">
        <v>906</v>
      </c>
      <c r="D738" s="231" t="s">
        <v>1</v>
      </c>
      <c r="E738" s="233" t="s">
        <v>102</v>
      </c>
      <c r="F738" s="232" t="s">
        <v>909</v>
      </c>
      <c r="G738" s="281" t="s">
        <v>296</v>
      </c>
      <c r="H738" s="234" t="s">
        <v>296</v>
      </c>
      <c r="I738" s="234" t="s">
        <v>20</v>
      </c>
      <c r="J738" s="234" t="s">
        <v>15</v>
      </c>
      <c r="K738" s="234" t="s">
        <v>262</v>
      </c>
      <c r="L738" s="234" t="s">
        <v>296</v>
      </c>
      <c r="M738" s="234" t="s">
        <v>296</v>
      </c>
      <c r="N738" s="235" t="s">
        <v>296</v>
      </c>
      <c r="O738" s="236" t="s">
        <v>2</v>
      </c>
      <c r="P738" s="236" t="s">
        <v>2</v>
      </c>
      <c r="Q738" s="236" t="s">
        <v>15</v>
      </c>
      <c r="R738" s="236" t="s">
        <v>15</v>
      </c>
      <c r="S738" s="236" t="s">
        <v>16</v>
      </c>
      <c r="T738" s="236" t="s">
        <v>343</v>
      </c>
      <c r="U738" s="236" t="s">
        <v>262</v>
      </c>
      <c r="V738" s="236" t="s">
        <v>296</v>
      </c>
      <c r="W738" s="237" t="s">
        <v>296</v>
      </c>
      <c r="X738" s="237" t="s">
        <v>296</v>
      </c>
      <c r="Y738" s="238" t="s">
        <v>296</v>
      </c>
    </row>
    <row r="739" spans="1:25">
      <c r="A739" s="230">
        <v>14</v>
      </c>
      <c r="B739" s="231" t="str">
        <f>VLOOKUP(Tabel10[[#This Row],[Locatiecode]],Ruimtegroepen[[Code]:[Ruimte omschrijving]],2,FALSE)</f>
        <v>Praktijklokalen</v>
      </c>
      <c r="C739" s="232" t="s">
        <v>906</v>
      </c>
      <c r="D739" s="231" t="s">
        <v>1</v>
      </c>
      <c r="E739" s="233" t="s">
        <v>103</v>
      </c>
      <c r="F739" s="232" t="s">
        <v>910</v>
      </c>
      <c r="G739" s="281" t="s">
        <v>296</v>
      </c>
      <c r="H739" s="234" t="s">
        <v>296</v>
      </c>
      <c r="I739" s="234" t="s">
        <v>20</v>
      </c>
      <c r="J739" s="234" t="s">
        <v>15</v>
      </c>
      <c r="K739" s="234" t="s">
        <v>262</v>
      </c>
      <c r="L739" s="234" t="s">
        <v>296</v>
      </c>
      <c r="M739" s="234" t="s">
        <v>296</v>
      </c>
      <c r="N739" s="235" t="s">
        <v>296</v>
      </c>
      <c r="O739" s="236" t="s">
        <v>2</v>
      </c>
      <c r="P739" s="236" t="s">
        <v>2</v>
      </c>
      <c r="Q739" s="236" t="s">
        <v>15</v>
      </c>
      <c r="R739" s="236" t="s">
        <v>15</v>
      </c>
      <c r="S739" s="236" t="s">
        <v>16</v>
      </c>
      <c r="T739" s="236" t="s">
        <v>343</v>
      </c>
      <c r="U739" s="236" t="s">
        <v>262</v>
      </c>
      <c r="V739" s="236" t="s">
        <v>296</v>
      </c>
      <c r="W739" s="237" t="s">
        <v>296</v>
      </c>
      <c r="X739" s="237" t="s">
        <v>296</v>
      </c>
      <c r="Y739" s="238" t="s">
        <v>296</v>
      </c>
    </row>
    <row r="740" spans="1:25">
      <c r="A740" s="230">
        <v>14</v>
      </c>
      <c r="B740" s="231" t="str">
        <f>VLOOKUP(Tabel10[[#This Row],[Locatiecode]],Ruimtegroepen[[Code]:[Ruimte omschrijving]],2,FALSE)</f>
        <v>Praktijklokalen</v>
      </c>
      <c r="C740" s="232" t="s">
        <v>906</v>
      </c>
      <c r="D740" s="231" t="s">
        <v>1</v>
      </c>
      <c r="E740" s="233" t="s">
        <v>100</v>
      </c>
      <c r="F740" s="232" t="s">
        <v>908</v>
      </c>
      <c r="G740" s="235" t="s">
        <v>20</v>
      </c>
      <c r="H740" s="235" t="s">
        <v>15</v>
      </c>
      <c r="I740" s="234" t="s">
        <v>296</v>
      </c>
      <c r="J740" s="234" t="s">
        <v>296</v>
      </c>
      <c r="K740" s="234" t="s">
        <v>296</v>
      </c>
      <c r="L740" s="234" t="s">
        <v>296</v>
      </c>
      <c r="M740" s="234" t="s">
        <v>296</v>
      </c>
      <c r="N740" s="235" t="s">
        <v>296</v>
      </c>
      <c r="O740" s="236" t="s">
        <v>2</v>
      </c>
      <c r="P740" s="236" t="s">
        <v>2</v>
      </c>
      <c r="Q740" s="236" t="s">
        <v>15</v>
      </c>
      <c r="R740" s="236" t="s">
        <v>15</v>
      </c>
      <c r="S740" s="236" t="s">
        <v>16</v>
      </c>
      <c r="T740" s="236" t="s">
        <v>343</v>
      </c>
      <c r="U740" s="236" t="s">
        <v>262</v>
      </c>
      <c r="V740" s="236" t="s">
        <v>296</v>
      </c>
      <c r="W740" s="237" t="s">
        <v>296</v>
      </c>
      <c r="X740" s="237" t="s">
        <v>296</v>
      </c>
      <c r="Y740" s="238" t="s">
        <v>296</v>
      </c>
    </row>
    <row r="741" spans="1:25">
      <c r="A741" s="230">
        <v>14</v>
      </c>
      <c r="B741" s="231" t="str">
        <f>VLOOKUP(Tabel10[[#This Row],[Locatiecode]],Ruimtegroepen[[Code]:[Ruimte omschrijving]],2,FALSE)</f>
        <v>Praktijklokalen</v>
      </c>
      <c r="C741" s="232" t="s">
        <v>906</v>
      </c>
      <c r="D741" s="231" t="s">
        <v>1</v>
      </c>
      <c r="E741" s="233" t="s">
        <v>1344</v>
      </c>
      <c r="F741" s="232" t="s">
        <v>1506</v>
      </c>
      <c r="G741" s="281" t="s">
        <v>296</v>
      </c>
      <c r="H741" s="234" t="s">
        <v>296</v>
      </c>
      <c r="I741" s="234" t="s">
        <v>20</v>
      </c>
      <c r="J741" s="234" t="s">
        <v>15</v>
      </c>
      <c r="K741" s="234" t="s">
        <v>262</v>
      </c>
      <c r="L741" s="234" t="s">
        <v>296</v>
      </c>
      <c r="M741" s="234" t="s">
        <v>296</v>
      </c>
      <c r="N741" s="235" t="s">
        <v>296</v>
      </c>
      <c r="O741" s="236" t="s">
        <v>2</v>
      </c>
      <c r="P741" s="236" t="s">
        <v>2</v>
      </c>
      <c r="Q741" s="236" t="s">
        <v>15</v>
      </c>
      <c r="R741" s="236" t="s">
        <v>15</v>
      </c>
      <c r="S741" s="236" t="s">
        <v>16</v>
      </c>
      <c r="T741" s="236" t="s">
        <v>343</v>
      </c>
      <c r="U741" s="236" t="s">
        <v>262</v>
      </c>
      <c r="V741" s="236" t="s">
        <v>296</v>
      </c>
      <c r="W741" s="237" t="s">
        <v>296</v>
      </c>
      <c r="X741" s="237" t="s">
        <v>296</v>
      </c>
      <c r="Y741" s="238" t="s">
        <v>296</v>
      </c>
    </row>
    <row r="742" spans="1:25">
      <c r="A742" s="230">
        <v>14</v>
      </c>
      <c r="B742" s="231" t="str">
        <f>VLOOKUP(Tabel10[[#This Row],[Locatiecode]],Ruimtegroepen[[Code]:[Ruimte omschrijving]],2,FALSE)</f>
        <v>Praktijklokalen</v>
      </c>
      <c r="C742" s="232" t="s">
        <v>911</v>
      </c>
      <c r="D742" s="231" t="s">
        <v>21</v>
      </c>
      <c r="E742" s="233" t="s">
        <v>101</v>
      </c>
      <c r="F742" s="232" t="s">
        <v>912</v>
      </c>
      <c r="G742" s="281" t="s">
        <v>296</v>
      </c>
      <c r="H742" s="234" t="s">
        <v>296</v>
      </c>
      <c r="I742" s="234" t="s">
        <v>18</v>
      </c>
      <c r="J742" s="234" t="s">
        <v>15</v>
      </c>
      <c r="K742" s="234" t="s">
        <v>296</v>
      </c>
      <c r="L742" s="234" t="s">
        <v>296</v>
      </c>
      <c r="M742" s="234" t="s">
        <v>296</v>
      </c>
      <c r="N742" s="235" t="s">
        <v>296</v>
      </c>
      <c r="O742" s="236" t="s">
        <v>20</v>
      </c>
      <c r="P742" s="236" t="s">
        <v>20</v>
      </c>
      <c r="Q742" s="236" t="s">
        <v>15</v>
      </c>
      <c r="R742" s="236" t="s">
        <v>15</v>
      </c>
      <c r="S742" s="236" t="s">
        <v>16</v>
      </c>
      <c r="T742" s="236" t="s">
        <v>343</v>
      </c>
      <c r="U742" s="236" t="s">
        <v>262</v>
      </c>
      <c r="V742" s="236" t="s">
        <v>296</v>
      </c>
      <c r="W742" s="237" t="s">
        <v>296</v>
      </c>
      <c r="X742" s="237" t="s">
        <v>296</v>
      </c>
      <c r="Y742" s="238" t="s">
        <v>296</v>
      </c>
    </row>
    <row r="743" spans="1:25">
      <c r="A743" s="230">
        <v>14</v>
      </c>
      <c r="B743" s="231" t="str">
        <f>VLOOKUP(Tabel10[[#This Row],[Locatiecode]],Ruimtegroepen[[Code]:[Ruimte omschrijving]],2,FALSE)</f>
        <v>Praktijklokalen</v>
      </c>
      <c r="C743" s="232" t="s">
        <v>911</v>
      </c>
      <c r="D743" s="231" t="s">
        <v>21</v>
      </c>
      <c r="E743" s="233" t="s">
        <v>100</v>
      </c>
      <c r="F743" s="232" t="s">
        <v>913</v>
      </c>
      <c r="G743" s="235" t="s">
        <v>18</v>
      </c>
      <c r="H743" s="235" t="s">
        <v>15</v>
      </c>
      <c r="I743" s="234" t="s">
        <v>296</v>
      </c>
      <c r="J743" s="234" t="s">
        <v>296</v>
      </c>
      <c r="K743" s="234" t="s">
        <v>296</v>
      </c>
      <c r="L743" s="234" t="s">
        <v>296</v>
      </c>
      <c r="M743" s="234" t="s">
        <v>296</v>
      </c>
      <c r="N743" s="235" t="s">
        <v>296</v>
      </c>
      <c r="O743" s="236" t="s">
        <v>20</v>
      </c>
      <c r="P743" s="236" t="s">
        <v>20</v>
      </c>
      <c r="Q743" s="236" t="s">
        <v>15</v>
      </c>
      <c r="R743" s="236" t="s">
        <v>15</v>
      </c>
      <c r="S743" s="236" t="s">
        <v>16</v>
      </c>
      <c r="T743" s="236" t="s">
        <v>343</v>
      </c>
      <c r="U743" s="236" t="s">
        <v>262</v>
      </c>
      <c r="V743" s="236" t="s">
        <v>296</v>
      </c>
      <c r="W743" s="237" t="s">
        <v>296</v>
      </c>
      <c r="X743" s="237" t="s">
        <v>296</v>
      </c>
      <c r="Y743" s="238" t="s">
        <v>296</v>
      </c>
    </row>
    <row r="744" spans="1:25">
      <c r="A744" s="230">
        <v>14</v>
      </c>
      <c r="B744" s="231" t="str">
        <f>VLOOKUP(Tabel10[[#This Row],[Locatiecode]],Ruimtegroepen[[Code]:[Ruimte omschrijving]],2,FALSE)</f>
        <v>Praktijklokalen</v>
      </c>
      <c r="C744" s="232" t="s">
        <v>911</v>
      </c>
      <c r="D744" s="231" t="s">
        <v>21</v>
      </c>
      <c r="E744" s="233" t="s">
        <v>102</v>
      </c>
      <c r="F744" s="232" t="s">
        <v>914</v>
      </c>
      <c r="G744" s="281" t="s">
        <v>296</v>
      </c>
      <c r="H744" s="234" t="s">
        <v>296</v>
      </c>
      <c r="I744" s="234" t="s">
        <v>18</v>
      </c>
      <c r="J744" s="234" t="s">
        <v>15</v>
      </c>
      <c r="K744" s="234" t="s">
        <v>262</v>
      </c>
      <c r="L744" s="234" t="s">
        <v>296</v>
      </c>
      <c r="M744" s="234" t="s">
        <v>296</v>
      </c>
      <c r="N744" s="235" t="s">
        <v>296</v>
      </c>
      <c r="O744" s="236" t="s">
        <v>20</v>
      </c>
      <c r="P744" s="236" t="s">
        <v>20</v>
      </c>
      <c r="Q744" s="236" t="s">
        <v>15</v>
      </c>
      <c r="R744" s="236" t="s">
        <v>15</v>
      </c>
      <c r="S744" s="236" t="s">
        <v>16</v>
      </c>
      <c r="T744" s="236" t="s">
        <v>343</v>
      </c>
      <c r="U744" s="236" t="s">
        <v>262</v>
      </c>
      <c r="V744" s="236" t="s">
        <v>296</v>
      </c>
      <c r="W744" s="237" t="s">
        <v>296</v>
      </c>
      <c r="X744" s="237" t="s">
        <v>296</v>
      </c>
      <c r="Y744" s="238" t="s">
        <v>296</v>
      </c>
    </row>
    <row r="745" spans="1:25">
      <c r="A745" s="230">
        <v>14</v>
      </c>
      <c r="B745" s="231" t="str">
        <f>VLOOKUP(Tabel10[[#This Row],[Locatiecode]],Ruimtegroepen[[Code]:[Ruimte omschrijving]],2,FALSE)</f>
        <v>Praktijklokalen</v>
      </c>
      <c r="C745" s="232" t="s">
        <v>911</v>
      </c>
      <c r="D745" s="231" t="s">
        <v>21</v>
      </c>
      <c r="E745" s="233" t="s">
        <v>103</v>
      </c>
      <c r="F745" s="232" t="s">
        <v>915</v>
      </c>
      <c r="G745" s="281" t="s">
        <v>296</v>
      </c>
      <c r="H745" s="234" t="s">
        <v>296</v>
      </c>
      <c r="I745" s="234" t="s">
        <v>18</v>
      </c>
      <c r="J745" s="234" t="s">
        <v>15</v>
      </c>
      <c r="K745" s="234" t="s">
        <v>262</v>
      </c>
      <c r="L745" s="234" t="s">
        <v>296</v>
      </c>
      <c r="M745" s="234" t="s">
        <v>296</v>
      </c>
      <c r="N745" s="235" t="s">
        <v>296</v>
      </c>
      <c r="O745" s="236" t="s">
        <v>20</v>
      </c>
      <c r="P745" s="236" t="s">
        <v>20</v>
      </c>
      <c r="Q745" s="236" t="s">
        <v>15</v>
      </c>
      <c r="R745" s="236" t="s">
        <v>15</v>
      </c>
      <c r="S745" s="236" t="s">
        <v>16</v>
      </c>
      <c r="T745" s="236" t="s">
        <v>343</v>
      </c>
      <c r="U745" s="236" t="s">
        <v>262</v>
      </c>
      <c r="V745" s="236" t="s">
        <v>296</v>
      </c>
      <c r="W745" s="237" t="s">
        <v>296</v>
      </c>
      <c r="X745" s="237" t="s">
        <v>296</v>
      </c>
      <c r="Y745" s="238" t="s">
        <v>296</v>
      </c>
    </row>
    <row r="746" spans="1:25">
      <c r="A746" s="230">
        <v>14</v>
      </c>
      <c r="B746" s="231" t="str">
        <f>VLOOKUP(Tabel10[[#This Row],[Locatiecode]],Ruimtegroepen[[Code]:[Ruimte omschrijving]],2,FALSE)</f>
        <v>Praktijklokalen</v>
      </c>
      <c r="C746" s="232" t="s">
        <v>911</v>
      </c>
      <c r="D746" s="231" t="s">
        <v>21</v>
      </c>
      <c r="E746" s="233" t="s">
        <v>100</v>
      </c>
      <c r="F746" s="232" t="s">
        <v>913</v>
      </c>
      <c r="G746" s="235" t="s">
        <v>18</v>
      </c>
      <c r="H746" s="235" t="s">
        <v>15</v>
      </c>
      <c r="I746" s="234" t="s">
        <v>296</v>
      </c>
      <c r="J746" s="234" t="s">
        <v>296</v>
      </c>
      <c r="K746" s="234" t="s">
        <v>296</v>
      </c>
      <c r="L746" s="234" t="s">
        <v>296</v>
      </c>
      <c r="M746" s="234" t="s">
        <v>296</v>
      </c>
      <c r="N746" s="235" t="s">
        <v>296</v>
      </c>
      <c r="O746" s="236" t="s">
        <v>296</v>
      </c>
      <c r="P746" s="236" t="s">
        <v>296</v>
      </c>
      <c r="Q746" s="236" t="s">
        <v>296</v>
      </c>
      <c r="R746" s="236" t="s">
        <v>296</v>
      </c>
      <c r="S746" s="236" t="s">
        <v>296</v>
      </c>
      <c r="T746" s="236" t="s">
        <v>296</v>
      </c>
      <c r="U746" s="236" t="s">
        <v>296</v>
      </c>
      <c r="V746" s="236" t="s">
        <v>296</v>
      </c>
      <c r="W746" s="237" t="s">
        <v>296</v>
      </c>
      <c r="X746" s="237" t="s">
        <v>296</v>
      </c>
      <c r="Y746" s="238" t="s">
        <v>296</v>
      </c>
    </row>
    <row r="747" spans="1:25">
      <c r="A747" s="230">
        <v>14</v>
      </c>
      <c r="B747" s="231" t="str">
        <f>VLOOKUP(Tabel10[[#This Row],[Locatiecode]],Ruimtegroepen[[Code]:[Ruimte omschrijving]],2,FALSE)</f>
        <v>Praktijklokalen</v>
      </c>
      <c r="C747" s="232" t="s">
        <v>911</v>
      </c>
      <c r="D747" s="231" t="s">
        <v>21</v>
      </c>
      <c r="E747" s="233" t="s">
        <v>1344</v>
      </c>
      <c r="F747" s="232" t="s">
        <v>1489</v>
      </c>
      <c r="G747" s="281" t="s">
        <v>296</v>
      </c>
      <c r="H747" s="234" t="s">
        <v>296</v>
      </c>
      <c r="I747" s="234" t="s">
        <v>18</v>
      </c>
      <c r="J747" s="234" t="s">
        <v>15</v>
      </c>
      <c r="K747" s="234" t="s">
        <v>262</v>
      </c>
      <c r="L747" s="234" t="s">
        <v>296</v>
      </c>
      <c r="M747" s="234" t="s">
        <v>296</v>
      </c>
      <c r="N747" s="235" t="s">
        <v>296</v>
      </c>
      <c r="O747" s="236" t="s">
        <v>20</v>
      </c>
      <c r="P747" s="236" t="s">
        <v>20</v>
      </c>
      <c r="Q747" s="236" t="s">
        <v>15</v>
      </c>
      <c r="R747" s="236" t="s">
        <v>15</v>
      </c>
      <c r="S747" s="236" t="s">
        <v>16</v>
      </c>
      <c r="T747" s="236" t="s">
        <v>343</v>
      </c>
      <c r="U747" s="236" t="s">
        <v>262</v>
      </c>
      <c r="V747" s="236" t="s">
        <v>296</v>
      </c>
      <c r="W747" s="237" t="s">
        <v>296</v>
      </c>
      <c r="X747" s="237" t="s">
        <v>296</v>
      </c>
      <c r="Y747" s="238" t="s">
        <v>296</v>
      </c>
    </row>
    <row r="748" spans="1:25">
      <c r="A748" s="230">
        <v>14</v>
      </c>
      <c r="B748" s="231" t="str">
        <f>VLOOKUP(Tabel10[[#This Row],[Locatiecode]],Ruimtegroepen[[Code]:[Ruimte omschrijving]],2,FALSE)</f>
        <v>Praktijklokalen</v>
      </c>
      <c r="C748" s="232" t="s">
        <v>916</v>
      </c>
      <c r="D748" s="231" t="s">
        <v>12</v>
      </c>
      <c r="E748" s="233" t="s">
        <v>101</v>
      </c>
      <c r="F748" s="232" t="s">
        <v>917</v>
      </c>
      <c r="G748" s="281" t="s">
        <v>296</v>
      </c>
      <c r="H748" s="234" t="s">
        <v>296</v>
      </c>
      <c r="I748" s="234" t="s">
        <v>17</v>
      </c>
      <c r="J748" s="234" t="s">
        <v>15</v>
      </c>
      <c r="K748" s="234" t="s">
        <v>296</v>
      </c>
      <c r="L748" s="234" t="s">
        <v>296</v>
      </c>
      <c r="M748" s="234" t="s">
        <v>296</v>
      </c>
      <c r="N748" s="235" t="s">
        <v>296</v>
      </c>
      <c r="O748" s="236" t="s">
        <v>18</v>
      </c>
      <c r="P748" s="236" t="s">
        <v>18</v>
      </c>
      <c r="Q748" s="236" t="s">
        <v>15</v>
      </c>
      <c r="R748" s="236" t="s">
        <v>15</v>
      </c>
      <c r="S748" s="236" t="s">
        <v>16</v>
      </c>
      <c r="T748" s="236" t="s">
        <v>343</v>
      </c>
      <c r="U748" s="236" t="s">
        <v>262</v>
      </c>
      <c r="V748" s="236" t="s">
        <v>296</v>
      </c>
      <c r="W748" s="237" t="s">
        <v>296</v>
      </c>
      <c r="X748" s="237" t="s">
        <v>296</v>
      </c>
      <c r="Y748" s="238" t="s">
        <v>296</v>
      </c>
    </row>
    <row r="749" spans="1:25">
      <c r="A749" s="230">
        <v>14</v>
      </c>
      <c r="B749" s="231" t="str">
        <f>VLOOKUP(Tabel10[[#This Row],[Locatiecode]],Ruimtegroepen[[Code]:[Ruimte omschrijving]],2,FALSE)</f>
        <v>Praktijklokalen</v>
      </c>
      <c r="C749" s="232" t="s">
        <v>916</v>
      </c>
      <c r="D749" s="231" t="s">
        <v>12</v>
      </c>
      <c r="E749" s="233" t="s">
        <v>100</v>
      </c>
      <c r="F749" s="232" t="s">
        <v>918</v>
      </c>
      <c r="G749" s="235" t="s">
        <v>17</v>
      </c>
      <c r="H749" s="235" t="s">
        <v>15</v>
      </c>
      <c r="I749" s="234" t="s">
        <v>296</v>
      </c>
      <c r="J749" s="234" t="s">
        <v>296</v>
      </c>
      <c r="K749" s="234" t="s">
        <v>296</v>
      </c>
      <c r="L749" s="234" t="s">
        <v>296</v>
      </c>
      <c r="M749" s="234" t="s">
        <v>296</v>
      </c>
      <c r="N749" s="235" t="s">
        <v>296</v>
      </c>
      <c r="O749" s="236" t="s">
        <v>18</v>
      </c>
      <c r="P749" s="236" t="s">
        <v>18</v>
      </c>
      <c r="Q749" s="236" t="s">
        <v>15</v>
      </c>
      <c r="R749" s="236" t="s">
        <v>15</v>
      </c>
      <c r="S749" s="236" t="s">
        <v>16</v>
      </c>
      <c r="T749" s="236" t="s">
        <v>343</v>
      </c>
      <c r="U749" s="236" t="s">
        <v>262</v>
      </c>
      <c r="V749" s="236" t="s">
        <v>296</v>
      </c>
      <c r="W749" s="237" t="s">
        <v>296</v>
      </c>
      <c r="X749" s="237" t="s">
        <v>296</v>
      </c>
      <c r="Y749" s="238" t="s">
        <v>296</v>
      </c>
    </row>
    <row r="750" spans="1:25">
      <c r="A750" s="230">
        <v>14</v>
      </c>
      <c r="B750" s="231" t="str">
        <f>VLOOKUP(Tabel10[[#This Row],[Locatiecode]],Ruimtegroepen[[Code]:[Ruimte omschrijving]],2,FALSE)</f>
        <v>Praktijklokalen</v>
      </c>
      <c r="C750" s="232" t="s">
        <v>916</v>
      </c>
      <c r="D750" s="231" t="s">
        <v>12</v>
      </c>
      <c r="E750" s="233" t="s">
        <v>102</v>
      </c>
      <c r="F750" s="232" t="s">
        <v>919</v>
      </c>
      <c r="G750" s="281" t="s">
        <v>296</v>
      </c>
      <c r="H750" s="234" t="s">
        <v>296</v>
      </c>
      <c r="I750" s="234" t="s">
        <v>17</v>
      </c>
      <c r="J750" s="234" t="s">
        <v>15</v>
      </c>
      <c r="K750" s="234" t="s">
        <v>262</v>
      </c>
      <c r="L750" s="234" t="s">
        <v>296</v>
      </c>
      <c r="M750" s="234" t="s">
        <v>296</v>
      </c>
      <c r="N750" s="235" t="s">
        <v>296</v>
      </c>
      <c r="O750" s="236" t="s">
        <v>18</v>
      </c>
      <c r="P750" s="236" t="s">
        <v>18</v>
      </c>
      <c r="Q750" s="236" t="s">
        <v>15</v>
      </c>
      <c r="R750" s="236" t="s">
        <v>15</v>
      </c>
      <c r="S750" s="236" t="s">
        <v>16</v>
      </c>
      <c r="T750" s="236" t="s">
        <v>343</v>
      </c>
      <c r="U750" s="236" t="s">
        <v>262</v>
      </c>
      <c r="V750" s="236" t="s">
        <v>296</v>
      </c>
      <c r="W750" s="237" t="s">
        <v>296</v>
      </c>
      <c r="X750" s="237" t="s">
        <v>296</v>
      </c>
      <c r="Y750" s="238" t="s">
        <v>296</v>
      </c>
    </row>
    <row r="751" spans="1:25">
      <c r="A751" s="230">
        <v>14</v>
      </c>
      <c r="B751" s="231" t="str">
        <f>VLOOKUP(Tabel10[[#This Row],[Locatiecode]],Ruimtegroepen[[Code]:[Ruimte omschrijving]],2,FALSE)</f>
        <v>Praktijklokalen</v>
      </c>
      <c r="C751" s="232" t="s">
        <v>916</v>
      </c>
      <c r="D751" s="231" t="s">
        <v>12</v>
      </c>
      <c r="E751" s="233" t="s">
        <v>103</v>
      </c>
      <c r="F751" s="232" t="s">
        <v>920</v>
      </c>
      <c r="G751" s="281" t="s">
        <v>296</v>
      </c>
      <c r="H751" s="234" t="s">
        <v>296</v>
      </c>
      <c r="I751" s="234" t="s">
        <v>17</v>
      </c>
      <c r="J751" s="234" t="s">
        <v>15</v>
      </c>
      <c r="K751" s="234" t="s">
        <v>262</v>
      </c>
      <c r="L751" s="234" t="s">
        <v>296</v>
      </c>
      <c r="M751" s="234" t="s">
        <v>296</v>
      </c>
      <c r="N751" s="235" t="s">
        <v>296</v>
      </c>
      <c r="O751" s="236" t="s">
        <v>18</v>
      </c>
      <c r="P751" s="236" t="s">
        <v>18</v>
      </c>
      <c r="Q751" s="236" t="s">
        <v>15</v>
      </c>
      <c r="R751" s="236" t="s">
        <v>15</v>
      </c>
      <c r="S751" s="236" t="s">
        <v>16</v>
      </c>
      <c r="T751" s="236" t="s">
        <v>343</v>
      </c>
      <c r="U751" s="236" t="s">
        <v>262</v>
      </c>
      <c r="V751" s="236" t="s">
        <v>296</v>
      </c>
      <c r="W751" s="237" t="s">
        <v>296</v>
      </c>
      <c r="X751" s="237" t="s">
        <v>296</v>
      </c>
      <c r="Y751" s="238" t="s">
        <v>296</v>
      </c>
    </row>
    <row r="752" spans="1:25">
      <c r="A752" s="230">
        <v>14</v>
      </c>
      <c r="B752" s="231" t="str">
        <f>VLOOKUP(Tabel10[[#This Row],[Locatiecode]],Ruimtegroepen[[Code]:[Ruimte omschrijving]],2,FALSE)</f>
        <v>Praktijklokalen</v>
      </c>
      <c r="C752" s="232" t="s">
        <v>916</v>
      </c>
      <c r="D752" s="231" t="s">
        <v>12</v>
      </c>
      <c r="E752" s="233" t="s">
        <v>100</v>
      </c>
      <c r="F752" s="232" t="s">
        <v>918</v>
      </c>
      <c r="G752" s="235" t="s">
        <v>17</v>
      </c>
      <c r="H752" s="235" t="s">
        <v>15</v>
      </c>
      <c r="I752" s="234" t="s">
        <v>296</v>
      </c>
      <c r="J752" s="234" t="s">
        <v>296</v>
      </c>
      <c r="K752" s="234" t="s">
        <v>296</v>
      </c>
      <c r="L752" s="234" t="s">
        <v>296</v>
      </c>
      <c r="M752" s="234" t="s">
        <v>296</v>
      </c>
      <c r="N752" s="235" t="s">
        <v>296</v>
      </c>
      <c r="O752" s="236" t="s">
        <v>296</v>
      </c>
      <c r="P752" s="236" t="s">
        <v>296</v>
      </c>
      <c r="Q752" s="236" t="s">
        <v>296</v>
      </c>
      <c r="R752" s="236" t="s">
        <v>296</v>
      </c>
      <c r="S752" s="236" t="s">
        <v>296</v>
      </c>
      <c r="T752" s="236" t="s">
        <v>296</v>
      </c>
      <c r="U752" s="236" t="s">
        <v>296</v>
      </c>
      <c r="V752" s="236" t="s">
        <v>296</v>
      </c>
      <c r="W752" s="237" t="s">
        <v>296</v>
      </c>
      <c r="X752" s="237" t="s">
        <v>296</v>
      </c>
      <c r="Y752" s="238" t="s">
        <v>296</v>
      </c>
    </row>
    <row r="753" spans="1:25">
      <c r="A753" s="230">
        <v>14</v>
      </c>
      <c r="B753" s="231" t="str">
        <f>VLOOKUP(Tabel10[[#This Row],[Locatiecode]],Ruimtegroepen[[Code]:[Ruimte omschrijving]],2,FALSE)</f>
        <v>Praktijklokalen</v>
      </c>
      <c r="C753" s="232" t="s">
        <v>916</v>
      </c>
      <c r="D753" s="231" t="s">
        <v>12</v>
      </c>
      <c r="E753" s="233" t="s">
        <v>1344</v>
      </c>
      <c r="F753" s="232" t="s">
        <v>1471</v>
      </c>
      <c r="G753" s="281" t="s">
        <v>296</v>
      </c>
      <c r="H753" s="234" t="s">
        <v>296</v>
      </c>
      <c r="I753" s="234" t="s">
        <v>17</v>
      </c>
      <c r="J753" s="234" t="s">
        <v>15</v>
      </c>
      <c r="K753" s="234" t="s">
        <v>262</v>
      </c>
      <c r="L753" s="234" t="s">
        <v>296</v>
      </c>
      <c r="M753" s="234" t="s">
        <v>296</v>
      </c>
      <c r="N753" s="235" t="s">
        <v>296</v>
      </c>
      <c r="O753" s="236" t="s">
        <v>18</v>
      </c>
      <c r="P753" s="236" t="s">
        <v>18</v>
      </c>
      <c r="Q753" s="236" t="s">
        <v>15</v>
      </c>
      <c r="R753" s="236" t="s">
        <v>15</v>
      </c>
      <c r="S753" s="236" t="s">
        <v>16</v>
      </c>
      <c r="T753" s="236" t="s">
        <v>343</v>
      </c>
      <c r="U753" s="236" t="s">
        <v>262</v>
      </c>
      <c r="V753" s="236" t="s">
        <v>296</v>
      </c>
      <c r="W753" s="237" t="s">
        <v>296</v>
      </c>
      <c r="X753" s="237" t="s">
        <v>296</v>
      </c>
      <c r="Y753" s="238" t="s">
        <v>296</v>
      </c>
    </row>
    <row r="754" spans="1:25">
      <c r="A754" s="230">
        <v>14</v>
      </c>
      <c r="B754" s="231" t="str">
        <f>VLOOKUP(Tabel10[[#This Row],[Locatiecode]],Ruimtegroepen[[Code]:[Ruimte omschrijving]],2,FALSE)</f>
        <v>Praktijklokalen</v>
      </c>
      <c r="C754" s="232" t="s">
        <v>921</v>
      </c>
      <c r="D754" s="231" t="s">
        <v>14</v>
      </c>
      <c r="E754" s="233" t="s">
        <v>101</v>
      </c>
      <c r="F754" s="232" t="s">
        <v>922</v>
      </c>
      <c r="G754" s="281" t="s">
        <v>296</v>
      </c>
      <c r="H754" s="234" t="s">
        <v>296</v>
      </c>
      <c r="I754" s="234" t="s">
        <v>15</v>
      </c>
      <c r="J754" s="234" t="s">
        <v>15</v>
      </c>
      <c r="K754" s="234" t="s">
        <v>296</v>
      </c>
      <c r="L754" s="234" t="s">
        <v>296</v>
      </c>
      <c r="M754" s="234" t="s">
        <v>296</v>
      </c>
      <c r="N754" s="235" t="s">
        <v>296</v>
      </c>
      <c r="O754" s="236" t="s">
        <v>17</v>
      </c>
      <c r="P754" s="236" t="s">
        <v>17</v>
      </c>
      <c r="Q754" s="236" t="s">
        <v>15</v>
      </c>
      <c r="R754" s="236" t="s">
        <v>15</v>
      </c>
      <c r="S754" s="236" t="s">
        <v>16</v>
      </c>
      <c r="T754" s="236" t="s">
        <v>343</v>
      </c>
      <c r="U754" s="236" t="s">
        <v>262</v>
      </c>
      <c r="V754" s="236" t="s">
        <v>296</v>
      </c>
      <c r="W754" s="237" t="s">
        <v>296</v>
      </c>
      <c r="X754" s="237" t="s">
        <v>296</v>
      </c>
      <c r="Y754" s="238" t="s">
        <v>296</v>
      </c>
    </row>
    <row r="755" spans="1:25">
      <c r="A755" s="230">
        <v>14</v>
      </c>
      <c r="B755" s="231" t="str">
        <f>VLOOKUP(Tabel10[[#This Row],[Locatiecode]],Ruimtegroepen[[Code]:[Ruimte omschrijving]],2,FALSE)</f>
        <v>Praktijklokalen</v>
      </c>
      <c r="C755" s="232" t="s">
        <v>921</v>
      </c>
      <c r="D755" s="231" t="s">
        <v>14</v>
      </c>
      <c r="E755" s="233" t="s">
        <v>100</v>
      </c>
      <c r="F755" s="232" t="s">
        <v>923</v>
      </c>
      <c r="G755" s="235" t="s">
        <v>15</v>
      </c>
      <c r="H755" s="235" t="s">
        <v>15</v>
      </c>
      <c r="I755" s="234" t="s">
        <v>296</v>
      </c>
      <c r="J755" s="234" t="s">
        <v>296</v>
      </c>
      <c r="K755" s="234" t="s">
        <v>296</v>
      </c>
      <c r="L755" s="234" t="s">
        <v>296</v>
      </c>
      <c r="M755" s="234" t="s">
        <v>296</v>
      </c>
      <c r="N755" s="235" t="s">
        <v>296</v>
      </c>
      <c r="O755" s="236" t="s">
        <v>17</v>
      </c>
      <c r="P755" s="236" t="s">
        <v>17</v>
      </c>
      <c r="Q755" s="236" t="s">
        <v>15</v>
      </c>
      <c r="R755" s="236" t="s">
        <v>15</v>
      </c>
      <c r="S755" s="236" t="s">
        <v>16</v>
      </c>
      <c r="T755" s="236" t="s">
        <v>343</v>
      </c>
      <c r="U755" s="236" t="s">
        <v>262</v>
      </c>
      <c r="V755" s="236" t="s">
        <v>296</v>
      </c>
      <c r="W755" s="237" t="s">
        <v>296</v>
      </c>
      <c r="X755" s="237" t="s">
        <v>296</v>
      </c>
      <c r="Y755" s="238" t="s">
        <v>296</v>
      </c>
    </row>
    <row r="756" spans="1:25">
      <c r="A756" s="230">
        <v>14</v>
      </c>
      <c r="B756" s="231" t="str">
        <f>VLOOKUP(Tabel10[[#This Row],[Locatiecode]],Ruimtegroepen[[Code]:[Ruimte omschrijving]],2,FALSE)</f>
        <v>Praktijklokalen</v>
      </c>
      <c r="C756" s="232" t="s">
        <v>921</v>
      </c>
      <c r="D756" s="231" t="s">
        <v>14</v>
      </c>
      <c r="E756" s="233" t="s">
        <v>102</v>
      </c>
      <c r="F756" s="232" t="s">
        <v>924</v>
      </c>
      <c r="G756" s="281" t="s">
        <v>296</v>
      </c>
      <c r="H756" s="234" t="s">
        <v>296</v>
      </c>
      <c r="I756" s="234" t="s">
        <v>15</v>
      </c>
      <c r="J756" s="234" t="s">
        <v>15</v>
      </c>
      <c r="K756" s="234" t="s">
        <v>262</v>
      </c>
      <c r="L756" s="234" t="s">
        <v>296</v>
      </c>
      <c r="M756" s="234" t="s">
        <v>296</v>
      </c>
      <c r="N756" s="235" t="s">
        <v>296</v>
      </c>
      <c r="O756" s="236" t="s">
        <v>17</v>
      </c>
      <c r="P756" s="236" t="s">
        <v>17</v>
      </c>
      <c r="Q756" s="236" t="s">
        <v>15</v>
      </c>
      <c r="R756" s="236" t="s">
        <v>15</v>
      </c>
      <c r="S756" s="236" t="s">
        <v>16</v>
      </c>
      <c r="T756" s="236" t="s">
        <v>343</v>
      </c>
      <c r="U756" s="236" t="s">
        <v>262</v>
      </c>
      <c r="V756" s="236" t="s">
        <v>296</v>
      </c>
      <c r="W756" s="237" t="s">
        <v>296</v>
      </c>
      <c r="X756" s="237" t="s">
        <v>296</v>
      </c>
      <c r="Y756" s="238" t="s">
        <v>296</v>
      </c>
    </row>
    <row r="757" spans="1:25">
      <c r="A757" s="230">
        <v>14</v>
      </c>
      <c r="B757" s="231" t="str">
        <f>VLOOKUP(Tabel10[[#This Row],[Locatiecode]],Ruimtegroepen[[Code]:[Ruimte omschrijving]],2,FALSE)</f>
        <v>Praktijklokalen</v>
      </c>
      <c r="C757" s="232" t="s">
        <v>921</v>
      </c>
      <c r="D757" s="231" t="s">
        <v>14</v>
      </c>
      <c r="E757" s="233" t="s">
        <v>103</v>
      </c>
      <c r="F757" s="232" t="s">
        <v>925</v>
      </c>
      <c r="G757" s="281" t="s">
        <v>296</v>
      </c>
      <c r="H757" s="234" t="s">
        <v>296</v>
      </c>
      <c r="I757" s="234" t="s">
        <v>15</v>
      </c>
      <c r="J757" s="234" t="s">
        <v>15</v>
      </c>
      <c r="K757" s="234" t="s">
        <v>262</v>
      </c>
      <c r="L757" s="234" t="s">
        <v>296</v>
      </c>
      <c r="M757" s="234" t="s">
        <v>296</v>
      </c>
      <c r="N757" s="235" t="s">
        <v>296</v>
      </c>
      <c r="O757" s="236" t="s">
        <v>17</v>
      </c>
      <c r="P757" s="236" t="s">
        <v>17</v>
      </c>
      <c r="Q757" s="236" t="s">
        <v>15</v>
      </c>
      <c r="R757" s="236" t="s">
        <v>15</v>
      </c>
      <c r="S757" s="236" t="s">
        <v>16</v>
      </c>
      <c r="T757" s="236" t="s">
        <v>343</v>
      </c>
      <c r="U757" s="236" t="s">
        <v>262</v>
      </c>
      <c r="V757" s="236" t="s">
        <v>296</v>
      </c>
      <c r="W757" s="237" t="s">
        <v>296</v>
      </c>
      <c r="X757" s="237" t="s">
        <v>296</v>
      </c>
      <c r="Y757" s="238" t="s">
        <v>296</v>
      </c>
    </row>
    <row r="758" spans="1:25">
      <c r="A758" s="230">
        <v>14</v>
      </c>
      <c r="B758" s="231" t="str">
        <f>VLOOKUP(Tabel10[[#This Row],[Locatiecode]],Ruimtegroepen[[Code]:[Ruimte omschrijving]],2,FALSE)</f>
        <v>Praktijklokalen</v>
      </c>
      <c r="C758" s="232" t="s">
        <v>921</v>
      </c>
      <c r="D758" s="231" t="s">
        <v>14</v>
      </c>
      <c r="E758" s="233" t="s">
        <v>100</v>
      </c>
      <c r="F758" s="232" t="s">
        <v>923</v>
      </c>
      <c r="G758" s="235" t="s">
        <v>15</v>
      </c>
      <c r="H758" s="235" t="s">
        <v>15</v>
      </c>
      <c r="I758" s="234" t="s">
        <v>296</v>
      </c>
      <c r="J758" s="234" t="s">
        <v>296</v>
      </c>
      <c r="K758" s="234" t="s">
        <v>296</v>
      </c>
      <c r="L758" s="234" t="s">
        <v>296</v>
      </c>
      <c r="M758" s="234" t="s">
        <v>296</v>
      </c>
      <c r="N758" s="235" t="s">
        <v>296</v>
      </c>
      <c r="O758" s="236" t="s">
        <v>296</v>
      </c>
      <c r="P758" s="236" t="s">
        <v>296</v>
      </c>
      <c r="Q758" s="236" t="s">
        <v>296</v>
      </c>
      <c r="R758" s="236" t="s">
        <v>296</v>
      </c>
      <c r="S758" s="236" t="s">
        <v>296</v>
      </c>
      <c r="T758" s="236" t="s">
        <v>296</v>
      </c>
      <c r="U758" s="236" t="s">
        <v>296</v>
      </c>
      <c r="V758" s="236" t="s">
        <v>296</v>
      </c>
      <c r="W758" s="237" t="s">
        <v>296</v>
      </c>
      <c r="X758" s="237" t="s">
        <v>296</v>
      </c>
      <c r="Y758" s="238" t="s">
        <v>296</v>
      </c>
    </row>
    <row r="759" spans="1:25">
      <c r="A759" s="230">
        <v>14</v>
      </c>
      <c r="B759" s="231" t="str">
        <f>VLOOKUP(Tabel10[[#This Row],[Locatiecode]],Ruimtegroepen[[Code]:[Ruimte omschrijving]],2,FALSE)</f>
        <v>Praktijklokalen</v>
      </c>
      <c r="C759" s="232" t="s">
        <v>921</v>
      </c>
      <c r="D759" s="231" t="s">
        <v>14</v>
      </c>
      <c r="E759" s="233" t="s">
        <v>1344</v>
      </c>
      <c r="F759" s="232" t="s">
        <v>1438</v>
      </c>
      <c r="G759" s="281" t="s">
        <v>296</v>
      </c>
      <c r="H759" s="234" t="s">
        <v>296</v>
      </c>
      <c r="I759" s="234" t="s">
        <v>15</v>
      </c>
      <c r="J759" s="234" t="s">
        <v>15</v>
      </c>
      <c r="K759" s="234" t="s">
        <v>262</v>
      </c>
      <c r="L759" s="234" t="s">
        <v>296</v>
      </c>
      <c r="M759" s="234" t="s">
        <v>296</v>
      </c>
      <c r="N759" s="235" t="s">
        <v>296</v>
      </c>
      <c r="O759" s="236" t="s">
        <v>17</v>
      </c>
      <c r="P759" s="236" t="s">
        <v>17</v>
      </c>
      <c r="Q759" s="236" t="s">
        <v>15</v>
      </c>
      <c r="R759" s="236" t="s">
        <v>15</v>
      </c>
      <c r="S759" s="236" t="s">
        <v>16</v>
      </c>
      <c r="T759" s="236" t="s">
        <v>343</v>
      </c>
      <c r="U759" s="236" t="s">
        <v>262</v>
      </c>
      <c r="V759" s="236" t="s">
        <v>296</v>
      </c>
      <c r="W759" s="237" t="s">
        <v>296</v>
      </c>
      <c r="X759" s="237" t="s">
        <v>296</v>
      </c>
      <c r="Y759" s="238" t="s">
        <v>296</v>
      </c>
    </row>
    <row r="760" spans="1:25">
      <c r="A760" s="230">
        <v>14</v>
      </c>
      <c r="B760" s="231" t="str">
        <f>VLOOKUP(Tabel10[[#This Row],[Locatiecode]],Ruimtegroepen[[Code]:[Ruimte omschrijving]],2,FALSE)</f>
        <v>Praktijklokalen</v>
      </c>
      <c r="C760" s="232" t="s">
        <v>926</v>
      </c>
      <c r="D760" s="231" t="s">
        <v>13</v>
      </c>
      <c r="E760" s="233" t="s">
        <v>101</v>
      </c>
      <c r="F760" s="232" t="s">
        <v>927</v>
      </c>
      <c r="G760" s="281" t="s">
        <v>296</v>
      </c>
      <c r="H760" s="234" t="s">
        <v>296</v>
      </c>
      <c r="I760" s="234" t="s">
        <v>296</v>
      </c>
      <c r="J760" s="234" t="s">
        <v>15</v>
      </c>
      <c r="K760" s="234" t="s">
        <v>296</v>
      </c>
      <c r="L760" s="234" t="s">
        <v>296</v>
      </c>
      <c r="M760" s="234" t="s">
        <v>296</v>
      </c>
      <c r="N760" s="235" t="s">
        <v>296</v>
      </c>
      <c r="O760" s="236" t="s">
        <v>15</v>
      </c>
      <c r="P760" s="236" t="s">
        <v>15</v>
      </c>
      <c r="Q760" s="236" t="s">
        <v>15</v>
      </c>
      <c r="R760" s="236" t="s">
        <v>15</v>
      </c>
      <c r="S760" s="236" t="s">
        <v>16</v>
      </c>
      <c r="T760" s="236" t="s">
        <v>343</v>
      </c>
      <c r="U760" s="236" t="s">
        <v>262</v>
      </c>
      <c r="V760" s="236" t="s">
        <v>296</v>
      </c>
      <c r="W760" s="237" t="s">
        <v>296</v>
      </c>
      <c r="X760" s="237" t="s">
        <v>296</v>
      </c>
      <c r="Y760" s="238" t="s">
        <v>296</v>
      </c>
    </row>
    <row r="761" spans="1:25">
      <c r="A761" s="230">
        <v>14</v>
      </c>
      <c r="B761" s="231" t="str">
        <f>VLOOKUP(Tabel10[[#This Row],[Locatiecode]],Ruimtegroepen[[Code]:[Ruimte omschrijving]],2,FALSE)</f>
        <v>Praktijklokalen</v>
      </c>
      <c r="C761" s="232" t="s">
        <v>926</v>
      </c>
      <c r="D761" s="231" t="s">
        <v>13</v>
      </c>
      <c r="E761" s="233" t="s">
        <v>100</v>
      </c>
      <c r="F761" s="232" t="s">
        <v>928</v>
      </c>
      <c r="G761" s="281" t="s">
        <v>296</v>
      </c>
      <c r="H761" s="235" t="s">
        <v>15</v>
      </c>
      <c r="I761" s="234" t="s">
        <v>296</v>
      </c>
      <c r="J761" s="234" t="s">
        <v>296</v>
      </c>
      <c r="K761" s="234" t="s">
        <v>296</v>
      </c>
      <c r="L761" s="234" t="s">
        <v>296</v>
      </c>
      <c r="M761" s="234" t="s">
        <v>296</v>
      </c>
      <c r="N761" s="235" t="s">
        <v>296</v>
      </c>
      <c r="O761" s="236" t="s">
        <v>15</v>
      </c>
      <c r="P761" s="236" t="s">
        <v>15</v>
      </c>
      <c r="Q761" s="236" t="s">
        <v>15</v>
      </c>
      <c r="R761" s="236" t="s">
        <v>15</v>
      </c>
      <c r="S761" s="236" t="s">
        <v>16</v>
      </c>
      <c r="T761" s="236" t="s">
        <v>343</v>
      </c>
      <c r="U761" s="236" t="s">
        <v>262</v>
      </c>
      <c r="V761" s="236" t="s">
        <v>296</v>
      </c>
      <c r="W761" s="237" t="s">
        <v>296</v>
      </c>
      <c r="X761" s="237" t="s">
        <v>296</v>
      </c>
      <c r="Y761" s="238" t="s">
        <v>296</v>
      </c>
    </row>
    <row r="762" spans="1:25">
      <c r="A762" s="230">
        <v>14</v>
      </c>
      <c r="B762" s="231" t="str">
        <f>VLOOKUP(Tabel10[[#This Row],[Locatiecode]],Ruimtegroepen[[Code]:[Ruimte omschrijving]],2,FALSE)</f>
        <v>Praktijklokalen</v>
      </c>
      <c r="C762" s="232" t="s">
        <v>926</v>
      </c>
      <c r="D762" s="231" t="s">
        <v>13</v>
      </c>
      <c r="E762" s="233" t="s">
        <v>102</v>
      </c>
      <c r="F762" s="232" t="s">
        <v>929</v>
      </c>
      <c r="G762" s="281" t="s">
        <v>296</v>
      </c>
      <c r="H762" s="234" t="s">
        <v>296</v>
      </c>
      <c r="I762" s="234" t="s">
        <v>296</v>
      </c>
      <c r="J762" s="234" t="s">
        <v>15</v>
      </c>
      <c r="K762" s="234" t="s">
        <v>262</v>
      </c>
      <c r="L762" s="234" t="s">
        <v>296</v>
      </c>
      <c r="M762" s="234" t="s">
        <v>296</v>
      </c>
      <c r="N762" s="235" t="s">
        <v>296</v>
      </c>
      <c r="O762" s="236" t="s">
        <v>15</v>
      </c>
      <c r="P762" s="236" t="s">
        <v>15</v>
      </c>
      <c r="Q762" s="236" t="s">
        <v>15</v>
      </c>
      <c r="R762" s="236" t="s">
        <v>15</v>
      </c>
      <c r="S762" s="236" t="s">
        <v>16</v>
      </c>
      <c r="T762" s="236" t="s">
        <v>343</v>
      </c>
      <c r="U762" s="236" t="s">
        <v>262</v>
      </c>
      <c r="V762" s="236" t="s">
        <v>296</v>
      </c>
      <c r="W762" s="237" t="s">
        <v>296</v>
      </c>
      <c r="X762" s="237" t="s">
        <v>296</v>
      </c>
      <c r="Y762" s="238" t="s">
        <v>296</v>
      </c>
    </row>
    <row r="763" spans="1:25">
      <c r="A763" s="230">
        <v>14</v>
      </c>
      <c r="B763" s="231" t="str">
        <f>VLOOKUP(Tabel10[[#This Row],[Locatiecode]],Ruimtegroepen[[Code]:[Ruimte omschrijving]],2,FALSE)</f>
        <v>Praktijklokalen</v>
      </c>
      <c r="C763" s="232" t="s">
        <v>926</v>
      </c>
      <c r="D763" s="231" t="s">
        <v>13</v>
      </c>
      <c r="E763" s="233" t="s">
        <v>103</v>
      </c>
      <c r="F763" s="232" t="s">
        <v>930</v>
      </c>
      <c r="G763" s="281" t="s">
        <v>296</v>
      </c>
      <c r="H763" s="234" t="s">
        <v>296</v>
      </c>
      <c r="I763" s="234" t="s">
        <v>296</v>
      </c>
      <c r="J763" s="234" t="s">
        <v>15</v>
      </c>
      <c r="K763" s="234" t="s">
        <v>262</v>
      </c>
      <c r="L763" s="234" t="s">
        <v>296</v>
      </c>
      <c r="M763" s="234" t="s">
        <v>296</v>
      </c>
      <c r="N763" s="235" t="s">
        <v>296</v>
      </c>
      <c r="O763" s="236" t="s">
        <v>15</v>
      </c>
      <c r="P763" s="236" t="s">
        <v>15</v>
      </c>
      <c r="Q763" s="236" t="s">
        <v>15</v>
      </c>
      <c r="R763" s="236" t="s">
        <v>15</v>
      </c>
      <c r="S763" s="236" t="s">
        <v>16</v>
      </c>
      <c r="T763" s="236" t="s">
        <v>343</v>
      </c>
      <c r="U763" s="236" t="s">
        <v>262</v>
      </c>
      <c r="V763" s="236" t="s">
        <v>296</v>
      </c>
      <c r="W763" s="237" t="s">
        <v>296</v>
      </c>
      <c r="X763" s="237" t="s">
        <v>296</v>
      </c>
      <c r="Y763" s="238" t="s">
        <v>296</v>
      </c>
    </row>
    <row r="764" spans="1:25">
      <c r="A764" s="230">
        <v>14</v>
      </c>
      <c r="B764" s="231" t="str">
        <f>VLOOKUP(Tabel10[[#This Row],[Locatiecode]],Ruimtegroepen[[Code]:[Ruimte omschrijving]],2,FALSE)</f>
        <v>Praktijklokalen</v>
      </c>
      <c r="C764" s="232" t="s">
        <v>926</v>
      </c>
      <c r="D764" s="231" t="s">
        <v>13</v>
      </c>
      <c r="E764" s="233" t="s">
        <v>100</v>
      </c>
      <c r="F764" s="232" t="s">
        <v>928</v>
      </c>
      <c r="G764" s="281" t="s">
        <v>296</v>
      </c>
      <c r="H764" s="235" t="s">
        <v>15</v>
      </c>
      <c r="I764" s="234" t="s">
        <v>296</v>
      </c>
      <c r="J764" s="234" t="s">
        <v>296</v>
      </c>
      <c r="K764" s="234" t="s">
        <v>296</v>
      </c>
      <c r="L764" s="234" t="s">
        <v>296</v>
      </c>
      <c r="M764" s="234" t="s">
        <v>296</v>
      </c>
      <c r="N764" s="235" t="s">
        <v>296</v>
      </c>
      <c r="O764" s="236" t="s">
        <v>296</v>
      </c>
      <c r="P764" s="236" t="s">
        <v>296</v>
      </c>
      <c r="Q764" s="236" t="s">
        <v>296</v>
      </c>
      <c r="R764" s="236" t="s">
        <v>296</v>
      </c>
      <c r="S764" s="236" t="s">
        <v>296</v>
      </c>
      <c r="T764" s="236" t="s">
        <v>296</v>
      </c>
      <c r="U764" s="236" t="s">
        <v>296</v>
      </c>
      <c r="V764" s="236" t="s">
        <v>296</v>
      </c>
      <c r="W764" s="237" t="s">
        <v>296</v>
      </c>
      <c r="X764" s="237" t="s">
        <v>296</v>
      </c>
      <c r="Y764" s="238" t="s">
        <v>296</v>
      </c>
    </row>
    <row r="765" spans="1:25">
      <c r="A765" s="230">
        <v>14</v>
      </c>
      <c r="B765" s="231" t="str">
        <f>VLOOKUP(Tabel10[[#This Row],[Locatiecode]],Ruimtegroepen[[Code]:[Ruimte omschrijving]],2,FALSE)</f>
        <v>Praktijklokalen</v>
      </c>
      <c r="C765" s="232" t="s">
        <v>926</v>
      </c>
      <c r="D765" s="231" t="s">
        <v>13</v>
      </c>
      <c r="E765" s="233" t="s">
        <v>1344</v>
      </c>
      <c r="F765" s="232" t="s">
        <v>1405</v>
      </c>
      <c r="G765" s="281" t="s">
        <v>296</v>
      </c>
      <c r="H765" s="234" t="s">
        <v>296</v>
      </c>
      <c r="I765" s="234" t="s">
        <v>296</v>
      </c>
      <c r="J765" s="234" t="s">
        <v>15</v>
      </c>
      <c r="K765" s="234" t="s">
        <v>262</v>
      </c>
      <c r="L765" s="234" t="s">
        <v>296</v>
      </c>
      <c r="M765" s="234" t="s">
        <v>296</v>
      </c>
      <c r="N765" s="235" t="s">
        <v>296</v>
      </c>
      <c r="O765" s="236" t="s">
        <v>15</v>
      </c>
      <c r="P765" s="236" t="s">
        <v>15</v>
      </c>
      <c r="Q765" s="236" t="s">
        <v>15</v>
      </c>
      <c r="R765" s="236" t="s">
        <v>15</v>
      </c>
      <c r="S765" s="236" t="s">
        <v>16</v>
      </c>
      <c r="T765" s="236" t="s">
        <v>343</v>
      </c>
      <c r="U765" s="236" t="s">
        <v>262</v>
      </c>
      <c r="V765" s="236" t="s">
        <v>296</v>
      </c>
      <c r="W765" s="237" t="s">
        <v>296</v>
      </c>
      <c r="X765" s="237" t="s">
        <v>296</v>
      </c>
      <c r="Y765" s="238" t="s">
        <v>296</v>
      </c>
    </row>
    <row r="766" spans="1:25">
      <c r="A766" s="230">
        <v>14</v>
      </c>
      <c r="B766" s="231" t="str">
        <f>VLOOKUP(Tabel10[[#This Row],[Locatiecode]],Ruimtegroepen[[Code]:[Ruimte omschrijving]],2,FALSE)</f>
        <v>Praktijklokalen</v>
      </c>
      <c r="C766" s="232" t="s">
        <v>931</v>
      </c>
      <c r="D766" s="231" t="s">
        <v>0</v>
      </c>
      <c r="E766" s="233" t="s">
        <v>101</v>
      </c>
      <c r="F766" s="232" t="s">
        <v>932</v>
      </c>
      <c r="G766" s="281" t="s">
        <v>296</v>
      </c>
      <c r="H766" s="234" t="s">
        <v>296</v>
      </c>
      <c r="I766" s="234" t="s">
        <v>16</v>
      </c>
      <c r="J766" s="234" t="s">
        <v>296</v>
      </c>
      <c r="K766" s="234" t="s">
        <v>296</v>
      </c>
      <c r="L766" s="234" t="s">
        <v>296</v>
      </c>
      <c r="M766" s="234" t="s">
        <v>296</v>
      </c>
      <c r="N766" s="235" t="s">
        <v>296</v>
      </c>
      <c r="O766" s="236" t="s">
        <v>16</v>
      </c>
      <c r="P766" s="236" t="s">
        <v>16</v>
      </c>
      <c r="Q766" s="236" t="s">
        <v>16</v>
      </c>
      <c r="R766" s="236" t="s">
        <v>16</v>
      </c>
      <c r="S766" s="236" t="s">
        <v>16</v>
      </c>
      <c r="T766" s="236" t="s">
        <v>343</v>
      </c>
      <c r="U766" s="236" t="s">
        <v>262</v>
      </c>
      <c r="V766" s="236" t="s">
        <v>296</v>
      </c>
      <c r="W766" s="237" t="s">
        <v>296</v>
      </c>
      <c r="X766" s="237" t="s">
        <v>296</v>
      </c>
      <c r="Y766" s="238" t="s">
        <v>296</v>
      </c>
    </row>
    <row r="767" spans="1:25">
      <c r="A767" s="230">
        <v>14</v>
      </c>
      <c r="B767" s="231" t="str">
        <f>VLOOKUP(Tabel10[[#This Row],[Locatiecode]],Ruimtegroepen[[Code]:[Ruimte omschrijving]],2,FALSE)</f>
        <v>Praktijklokalen</v>
      </c>
      <c r="C767" s="232" t="s">
        <v>931</v>
      </c>
      <c r="D767" s="231" t="s">
        <v>0</v>
      </c>
      <c r="E767" s="233" t="s">
        <v>100</v>
      </c>
      <c r="F767" s="232" t="s">
        <v>933</v>
      </c>
      <c r="G767" s="281" t="s">
        <v>296</v>
      </c>
      <c r="H767" s="235" t="s">
        <v>16</v>
      </c>
      <c r="I767" s="234" t="s">
        <v>296</v>
      </c>
      <c r="J767" s="234" t="s">
        <v>296</v>
      </c>
      <c r="K767" s="234" t="s">
        <v>296</v>
      </c>
      <c r="L767" s="234" t="s">
        <v>296</v>
      </c>
      <c r="M767" s="234" t="s">
        <v>296</v>
      </c>
      <c r="N767" s="235" t="s">
        <v>296</v>
      </c>
      <c r="O767" s="236" t="s">
        <v>16</v>
      </c>
      <c r="P767" s="236" t="s">
        <v>16</v>
      </c>
      <c r="Q767" s="236" t="s">
        <v>16</v>
      </c>
      <c r="R767" s="236" t="s">
        <v>16</v>
      </c>
      <c r="S767" s="236" t="s">
        <v>16</v>
      </c>
      <c r="T767" s="236" t="s">
        <v>343</v>
      </c>
      <c r="U767" s="236" t="s">
        <v>262</v>
      </c>
      <c r="V767" s="236" t="s">
        <v>296</v>
      </c>
      <c r="W767" s="237" t="s">
        <v>296</v>
      </c>
      <c r="X767" s="237" t="s">
        <v>296</v>
      </c>
      <c r="Y767" s="238" t="s">
        <v>296</v>
      </c>
    </row>
    <row r="768" spans="1:25">
      <c r="A768" s="230">
        <v>14</v>
      </c>
      <c r="B768" s="231" t="str">
        <f>VLOOKUP(Tabel10[[#This Row],[Locatiecode]],Ruimtegroepen[[Code]:[Ruimte omschrijving]],2,FALSE)</f>
        <v>Praktijklokalen</v>
      </c>
      <c r="C768" s="232" t="s">
        <v>931</v>
      </c>
      <c r="D768" s="231" t="s">
        <v>0</v>
      </c>
      <c r="E768" s="233" t="s">
        <v>102</v>
      </c>
      <c r="F768" s="232" t="s">
        <v>934</v>
      </c>
      <c r="G768" s="281" t="s">
        <v>296</v>
      </c>
      <c r="H768" s="234" t="s">
        <v>296</v>
      </c>
      <c r="I768" s="234" t="s">
        <v>296</v>
      </c>
      <c r="J768" s="234" t="s">
        <v>16</v>
      </c>
      <c r="K768" s="234" t="s">
        <v>262</v>
      </c>
      <c r="L768" s="234" t="s">
        <v>296</v>
      </c>
      <c r="M768" s="234" t="s">
        <v>296</v>
      </c>
      <c r="N768" s="235" t="s">
        <v>296</v>
      </c>
      <c r="O768" s="236" t="s">
        <v>16</v>
      </c>
      <c r="P768" s="236" t="s">
        <v>16</v>
      </c>
      <c r="Q768" s="236" t="s">
        <v>16</v>
      </c>
      <c r="R768" s="236" t="s">
        <v>16</v>
      </c>
      <c r="S768" s="236" t="s">
        <v>16</v>
      </c>
      <c r="T768" s="236" t="s">
        <v>343</v>
      </c>
      <c r="U768" s="236" t="s">
        <v>262</v>
      </c>
      <c r="V768" s="236" t="s">
        <v>296</v>
      </c>
      <c r="W768" s="237" t="s">
        <v>296</v>
      </c>
      <c r="X768" s="237" t="s">
        <v>296</v>
      </c>
      <c r="Y768" s="238" t="s">
        <v>296</v>
      </c>
    </row>
    <row r="769" spans="1:25">
      <c r="A769" s="230">
        <v>14</v>
      </c>
      <c r="B769" s="231" t="str">
        <f>VLOOKUP(Tabel10[[#This Row],[Locatiecode]],Ruimtegroepen[[Code]:[Ruimte omschrijving]],2,FALSE)</f>
        <v>Praktijklokalen</v>
      </c>
      <c r="C769" s="232" t="s">
        <v>931</v>
      </c>
      <c r="D769" s="231" t="s">
        <v>0</v>
      </c>
      <c r="E769" s="233" t="s">
        <v>103</v>
      </c>
      <c r="F769" s="232" t="s">
        <v>935</v>
      </c>
      <c r="G769" s="281" t="s">
        <v>296</v>
      </c>
      <c r="H769" s="234" t="s">
        <v>296</v>
      </c>
      <c r="I769" s="234" t="s">
        <v>16</v>
      </c>
      <c r="J769" s="234" t="s">
        <v>296</v>
      </c>
      <c r="K769" s="234" t="s">
        <v>262</v>
      </c>
      <c r="L769" s="234" t="s">
        <v>296</v>
      </c>
      <c r="M769" s="234" t="s">
        <v>296</v>
      </c>
      <c r="N769" s="235" t="s">
        <v>296</v>
      </c>
      <c r="O769" s="236" t="s">
        <v>16</v>
      </c>
      <c r="P769" s="236" t="s">
        <v>16</v>
      </c>
      <c r="Q769" s="236" t="s">
        <v>16</v>
      </c>
      <c r="R769" s="236" t="s">
        <v>16</v>
      </c>
      <c r="S769" s="236" t="s">
        <v>16</v>
      </c>
      <c r="T769" s="236" t="s">
        <v>343</v>
      </c>
      <c r="U769" s="236" t="s">
        <v>262</v>
      </c>
      <c r="V769" s="236" t="s">
        <v>296</v>
      </c>
      <c r="W769" s="237" t="s">
        <v>296</v>
      </c>
      <c r="X769" s="237" t="s">
        <v>296</v>
      </c>
      <c r="Y769" s="238" t="s">
        <v>296</v>
      </c>
    </row>
    <row r="770" spans="1:25">
      <c r="A770" s="230">
        <v>14</v>
      </c>
      <c r="B770" s="231" t="str">
        <f>VLOOKUP(Tabel10[[#This Row],[Locatiecode]],Ruimtegroepen[[Code]:[Ruimte omschrijving]],2,FALSE)</f>
        <v>Praktijklokalen</v>
      </c>
      <c r="C770" s="232" t="s">
        <v>931</v>
      </c>
      <c r="D770" s="231" t="s">
        <v>0</v>
      </c>
      <c r="E770" s="233" t="s">
        <v>100</v>
      </c>
      <c r="F770" s="232" t="s">
        <v>933</v>
      </c>
      <c r="G770" s="281" t="s">
        <v>296</v>
      </c>
      <c r="H770" s="235" t="s">
        <v>16</v>
      </c>
      <c r="I770" s="234" t="s">
        <v>296</v>
      </c>
      <c r="J770" s="234" t="s">
        <v>296</v>
      </c>
      <c r="K770" s="234" t="s">
        <v>296</v>
      </c>
      <c r="L770" s="234" t="s">
        <v>296</v>
      </c>
      <c r="M770" s="234" t="s">
        <v>296</v>
      </c>
      <c r="N770" s="235" t="s">
        <v>296</v>
      </c>
      <c r="O770" s="236" t="s">
        <v>296</v>
      </c>
      <c r="P770" s="236" t="s">
        <v>296</v>
      </c>
      <c r="Q770" s="236" t="s">
        <v>296</v>
      </c>
      <c r="R770" s="236" t="s">
        <v>296</v>
      </c>
      <c r="S770" s="236" t="s">
        <v>296</v>
      </c>
      <c r="T770" s="236" t="s">
        <v>296</v>
      </c>
      <c r="U770" s="236" t="s">
        <v>296</v>
      </c>
      <c r="V770" s="236" t="s">
        <v>296</v>
      </c>
      <c r="W770" s="237" t="s">
        <v>296</v>
      </c>
      <c r="X770" s="237" t="s">
        <v>296</v>
      </c>
      <c r="Y770" s="238" t="s">
        <v>296</v>
      </c>
    </row>
    <row r="771" spans="1:25">
      <c r="A771" s="230">
        <v>14</v>
      </c>
      <c r="B771" s="231" t="str">
        <f>VLOOKUP(Tabel10[[#This Row],[Locatiecode]],Ruimtegroepen[[Code]:[Ruimte omschrijving]],2,FALSE)</f>
        <v>Praktijklokalen</v>
      </c>
      <c r="C771" s="232" t="s">
        <v>931</v>
      </c>
      <c r="D771" s="231" t="s">
        <v>0</v>
      </c>
      <c r="E771" s="233" t="s">
        <v>1344</v>
      </c>
      <c r="F771" s="232" t="s">
        <v>1389</v>
      </c>
      <c r="G771" s="281" t="s">
        <v>296</v>
      </c>
      <c r="H771" s="234" t="s">
        <v>296</v>
      </c>
      <c r="I771" s="234" t="s">
        <v>16</v>
      </c>
      <c r="J771" s="234" t="s">
        <v>296</v>
      </c>
      <c r="K771" s="234" t="s">
        <v>262</v>
      </c>
      <c r="L771" s="234" t="s">
        <v>296</v>
      </c>
      <c r="M771" s="234" t="s">
        <v>296</v>
      </c>
      <c r="N771" s="235" t="s">
        <v>296</v>
      </c>
      <c r="O771" s="236" t="s">
        <v>16</v>
      </c>
      <c r="P771" s="236" t="s">
        <v>16</v>
      </c>
      <c r="Q771" s="236" t="s">
        <v>16</v>
      </c>
      <c r="R771" s="236" t="s">
        <v>16</v>
      </c>
      <c r="S771" s="236" t="s">
        <v>16</v>
      </c>
      <c r="T771" s="236" t="s">
        <v>343</v>
      </c>
      <c r="U771" s="236" t="s">
        <v>262</v>
      </c>
      <c r="V771" s="236" t="s">
        <v>296</v>
      </c>
      <c r="W771" s="237" t="s">
        <v>296</v>
      </c>
      <c r="X771" s="237" t="s">
        <v>296</v>
      </c>
      <c r="Y771" s="238" t="s">
        <v>296</v>
      </c>
    </row>
    <row r="772" spans="1:25">
      <c r="A772" s="230">
        <v>14</v>
      </c>
      <c r="B772" s="231" t="str">
        <f>VLOOKUP(Tabel10[[#This Row],[Locatiecode]],Ruimtegroepen[[Code]:[Ruimte omschrijving]],2,FALSE)</f>
        <v>Praktijklokalen</v>
      </c>
      <c r="C772" s="232" t="s">
        <v>936</v>
      </c>
      <c r="D772" s="231" t="s">
        <v>27</v>
      </c>
      <c r="E772" s="233" t="s">
        <v>101</v>
      </c>
      <c r="F772" s="232" t="s">
        <v>937</v>
      </c>
      <c r="G772" s="281" t="s">
        <v>296</v>
      </c>
      <c r="H772" s="234" t="s">
        <v>296</v>
      </c>
      <c r="I772" s="234" t="s">
        <v>15</v>
      </c>
      <c r="J772" s="234" t="s">
        <v>296</v>
      </c>
      <c r="K772" s="234" t="s">
        <v>296</v>
      </c>
      <c r="L772" s="234" t="s">
        <v>296</v>
      </c>
      <c r="M772" s="234" t="s">
        <v>296</v>
      </c>
      <c r="N772" s="235" t="s">
        <v>296</v>
      </c>
      <c r="O772" s="236" t="s">
        <v>15</v>
      </c>
      <c r="P772" s="236" t="s">
        <v>15</v>
      </c>
      <c r="Q772" s="236" t="s">
        <v>15</v>
      </c>
      <c r="R772" s="236" t="s">
        <v>296</v>
      </c>
      <c r="S772" s="236" t="s">
        <v>296</v>
      </c>
      <c r="T772" s="236" t="s">
        <v>296</v>
      </c>
      <c r="U772" s="236" t="s">
        <v>296</v>
      </c>
      <c r="V772" s="236" t="s">
        <v>296</v>
      </c>
      <c r="W772" s="237" t="s">
        <v>296</v>
      </c>
      <c r="X772" s="237" t="s">
        <v>296</v>
      </c>
      <c r="Y772" s="238" t="s">
        <v>296</v>
      </c>
    </row>
    <row r="773" spans="1:25">
      <c r="A773" s="230">
        <v>14</v>
      </c>
      <c r="B773" s="231" t="str">
        <f>VLOOKUP(Tabel10[[#This Row],[Locatiecode]],Ruimtegroepen[[Code]:[Ruimte omschrijving]],2,FALSE)</f>
        <v>Praktijklokalen</v>
      </c>
      <c r="C773" s="232" t="s">
        <v>936</v>
      </c>
      <c r="D773" s="231" t="s">
        <v>27</v>
      </c>
      <c r="E773" s="233" t="s">
        <v>100</v>
      </c>
      <c r="F773" s="232" t="s">
        <v>938</v>
      </c>
      <c r="G773" s="281" t="s">
        <v>296</v>
      </c>
      <c r="H773" s="235" t="s">
        <v>15</v>
      </c>
      <c r="I773" s="234" t="s">
        <v>296</v>
      </c>
      <c r="J773" s="234" t="s">
        <v>296</v>
      </c>
      <c r="K773" s="234" t="s">
        <v>296</v>
      </c>
      <c r="L773" s="234" t="s">
        <v>296</v>
      </c>
      <c r="M773" s="234" t="s">
        <v>296</v>
      </c>
      <c r="N773" s="235" t="s">
        <v>296</v>
      </c>
      <c r="O773" s="236" t="s">
        <v>15</v>
      </c>
      <c r="P773" s="236" t="s">
        <v>15</v>
      </c>
      <c r="Q773" s="236" t="s">
        <v>15</v>
      </c>
      <c r="R773" s="236" t="s">
        <v>296</v>
      </c>
      <c r="S773" s="236" t="s">
        <v>296</v>
      </c>
      <c r="T773" s="236" t="s">
        <v>296</v>
      </c>
      <c r="U773" s="236" t="s">
        <v>296</v>
      </c>
      <c r="V773" s="236" t="s">
        <v>296</v>
      </c>
      <c r="W773" s="237" t="s">
        <v>296</v>
      </c>
      <c r="X773" s="237" t="s">
        <v>296</v>
      </c>
      <c r="Y773" s="238" t="s">
        <v>296</v>
      </c>
    </row>
    <row r="774" spans="1:25">
      <c r="A774" s="230">
        <v>14</v>
      </c>
      <c r="B774" s="231" t="str">
        <f>VLOOKUP(Tabel10[[#This Row],[Locatiecode]],Ruimtegroepen[[Code]:[Ruimte omschrijving]],2,FALSE)</f>
        <v>Praktijklokalen</v>
      </c>
      <c r="C774" s="232" t="s">
        <v>936</v>
      </c>
      <c r="D774" s="231" t="s">
        <v>27</v>
      </c>
      <c r="E774" s="233" t="s">
        <v>102</v>
      </c>
      <c r="F774" s="232" t="s">
        <v>939</v>
      </c>
      <c r="G774" s="281" t="s">
        <v>296</v>
      </c>
      <c r="H774" s="234" t="s">
        <v>296</v>
      </c>
      <c r="I774" s="234" t="s">
        <v>15</v>
      </c>
      <c r="J774" s="234" t="s">
        <v>296</v>
      </c>
      <c r="K774" s="234" t="s">
        <v>296</v>
      </c>
      <c r="L774" s="234" t="s">
        <v>296</v>
      </c>
      <c r="M774" s="234" t="s">
        <v>296</v>
      </c>
      <c r="N774" s="235" t="s">
        <v>296</v>
      </c>
      <c r="O774" s="236" t="s">
        <v>15</v>
      </c>
      <c r="P774" s="236" t="s">
        <v>15</v>
      </c>
      <c r="Q774" s="236" t="s">
        <v>15</v>
      </c>
      <c r="R774" s="236" t="s">
        <v>296</v>
      </c>
      <c r="S774" s="236" t="s">
        <v>296</v>
      </c>
      <c r="T774" s="236" t="s">
        <v>296</v>
      </c>
      <c r="U774" s="236" t="s">
        <v>296</v>
      </c>
      <c r="V774" s="236" t="s">
        <v>296</v>
      </c>
      <c r="W774" s="237" t="s">
        <v>296</v>
      </c>
      <c r="X774" s="237" t="s">
        <v>296</v>
      </c>
      <c r="Y774" s="238" t="s">
        <v>296</v>
      </c>
    </row>
    <row r="775" spans="1:25">
      <c r="A775" s="230">
        <v>14</v>
      </c>
      <c r="B775" s="231" t="str">
        <f>VLOOKUP(Tabel10[[#This Row],[Locatiecode]],Ruimtegroepen[[Code]:[Ruimte omschrijving]],2,FALSE)</f>
        <v>Praktijklokalen</v>
      </c>
      <c r="C775" s="232" t="s">
        <v>936</v>
      </c>
      <c r="D775" s="231" t="s">
        <v>27</v>
      </c>
      <c r="E775" s="233" t="s">
        <v>103</v>
      </c>
      <c r="F775" s="232" t="s">
        <v>940</v>
      </c>
      <c r="G775" s="281" t="s">
        <v>296</v>
      </c>
      <c r="H775" s="234" t="s">
        <v>296</v>
      </c>
      <c r="I775" s="234" t="s">
        <v>15</v>
      </c>
      <c r="J775" s="234" t="s">
        <v>296</v>
      </c>
      <c r="K775" s="234" t="s">
        <v>296</v>
      </c>
      <c r="L775" s="234" t="s">
        <v>296</v>
      </c>
      <c r="M775" s="234" t="s">
        <v>296</v>
      </c>
      <c r="N775" s="235" t="s">
        <v>296</v>
      </c>
      <c r="O775" s="236" t="s">
        <v>15</v>
      </c>
      <c r="P775" s="236" t="s">
        <v>15</v>
      </c>
      <c r="Q775" s="236" t="s">
        <v>15</v>
      </c>
      <c r="R775" s="236" t="s">
        <v>296</v>
      </c>
      <c r="S775" s="236" t="s">
        <v>296</v>
      </c>
      <c r="T775" s="236" t="s">
        <v>296</v>
      </c>
      <c r="U775" s="236" t="s">
        <v>296</v>
      </c>
      <c r="V775" s="236" t="s">
        <v>296</v>
      </c>
      <c r="W775" s="237" t="s">
        <v>296</v>
      </c>
      <c r="X775" s="237" t="s">
        <v>296</v>
      </c>
      <c r="Y775" s="238" t="s">
        <v>296</v>
      </c>
    </row>
    <row r="776" spans="1:25">
      <c r="A776" s="230">
        <v>14</v>
      </c>
      <c r="B776" s="231" t="str">
        <f>VLOOKUP(Tabel10[[#This Row],[Locatiecode]],Ruimtegroepen[[Code]:[Ruimte omschrijving]],2,FALSE)</f>
        <v>Praktijklokalen</v>
      </c>
      <c r="C776" s="232" t="s">
        <v>936</v>
      </c>
      <c r="D776" s="231" t="s">
        <v>27</v>
      </c>
      <c r="E776" s="233" t="s">
        <v>100</v>
      </c>
      <c r="F776" s="232" t="s">
        <v>938</v>
      </c>
      <c r="G776" s="281" t="s">
        <v>296</v>
      </c>
      <c r="H776" s="235" t="s">
        <v>15</v>
      </c>
      <c r="I776" s="234" t="s">
        <v>296</v>
      </c>
      <c r="J776" s="234" t="s">
        <v>296</v>
      </c>
      <c r="K776" s="234" t="s">
        <v>296</v>
      </c>
      <c r="L776" s="234" t="s">
        <v>296</v>
      </c>
      <c r="M776" s="234" t="s">
        <v>296</v>
      </c>
      <c r="N776" s="235" t="s">
        <v>296</v>
      </c>
      <c r="O776" s="236" t="s">
        <v>15</v>
      </c>
      <c r="P776" s="236" t="s">
        <v>15</v>
      </c>
      <c r="Q776" s="236" t="s">
        <v>15</v>
      </c>
      <c r="R776" s="236" t="s">
        <v>296</v>
      </c>
      <c r="S776" s="236" t="s">
        <v>296</v>
      </c>
      <c r="T776" s="236" t="s">
        <v>296</v>
      </c>
      <c r="U776" s="236" t="s">
        <v>296</v>
      </c>
      <c r="V776" s="236" t="s">
        <v>296</v>
      </c>
      <c r="W776" s="237" t="s">
        <v>296</v>
      </c>
      <c r="X776" s="237" t="s">
        <v>296</v>
      </c>
      <c r="Y776" s="238" t="s">
        <v>296</v>
      </c>
    </row>
    <row r="777" spans="1:25">
      <c r="A777" s="230">
        <v>14</v>
      </c>
      <c r="B777" s="231" t="str">
        <f>VLOOKUP(Tabel10[[#This Row],[Locatiecode]],Ruimtegroepen[[Code]:[Ruimte omschrijving]],2,FALSE)</f>
        <v>Praktijklokalen</v>
      </c>
      <c r="C777" s="232" t="s">
        <v>936</v>
      </c>
      <c r="D777" s="231" t="s">
        <v>27</v>
      </c>
      <c r="E777" s="233" t="s">
        <v>1344</v>
      </c>
      <c r="F777" s="232" t="s">
        <v>1422</v>
      </c>
      <c r="G777" s="281" t="s">
        <v>296</v>
      </c>
      <c r="H777" s="234" t="s">
        <v>296</v>
      </c>
      <c r="I777" s="235" t="s">
        <v>15</v>
      </c>
      <c r="J777" s="235" t="s">
        <v>296</v>
      </c>
      <c r="K777" s="235" t="s">
        <v>296</v>
      </c>
      <c r="L777" s="234" t="s">
        <v>296</v>
      </c>
      <c r="M777" s="234" t="s">
        <v>296</v>
      </c>
      <c r="N777" s="235" t="s">
        <v>296</v>
      </c>
      <c r="O777" s="236" t="s">
        <v>15</v>
      </c>
      <c r="P777" s="236" t="s">
        <v>15</v>
      </c>
      <c r="Q777" s="236" t="s">
        <v>15</v>
      </c>
      <c r="R777" s="236" t="s">
        <v>296</v>
      </c>
      <c r="S777" s="236" t="s">
        <v>296</v>
      </c>
      <c r="T777" s="236" t="s">
        <v>296</v>
      </c>
      <c r="U777" s="236" t="s">
        <v>296</v>
      </c>
      <c r="V777" s="236" t="s">
        <v>296</v>
      </c>
      <c r="W777" s="237" t="s">
        <v>296</v>
      </c>
      <c r="X777" s="237" t="s">
        <v>296</v>
      </c>
      <c r="Y777" s="238" t="s">
        <v>296</v>
      </c>
    </row>
    <row r="778" spans="1:25">
      <c r="A778" s="230">
        <v>14</v>
      </c>
      <c r="B778" s="231" t="str">
        <f>VLOOKUP(Tabel10[[#This Row],[Locatiecode]],Ruimtegroepen[[Code]:[Ruimte omschrijving]],2,FALSE)</f>
        <v>Praktijklokalen</v>
      </c>
      <c r="C778" s="232" t="s">
        <v>941</v>
      </c>
      <c r="D778" s="231" t="s">
        <v>28</v>
      </c>
      <c r="E778" s="233" t="s">
        <v>101</v>
      </c>
      <c r="F778" s="232" t="s">
        <v>942</v>
      </c>
      <c r="G778" s="281" t="s">
        <v>296</v>
      </c>
      <c r="H778" s="234" t="s">
        <v>296</v>
      </c>
      <c r="I778" s="234" t="s">
        <v>17</v>
      </c>
      <c r="J778" s="234" t="s">
        <v>296</v>
      </c>
      <c r="K778" s="234" t="s">
        <v>296</v>
      </c>
      <c r="L778" s="234" t="s">
        <v>296</v>
      </c>
      <c r="M778" s="234" t="s">
        <v>296</v>
      </c>
      <c r="N778" s="235" t="s">
        <v>296</v>
      </c>
      <c r="O778" s="236" t="s">
        <v>17</v>
      </c>
      <c r="P778" s="236" t="s">
        <v>17</v>
      </c>
      <c r="Q778" s="236" t="s">
        <v>15</v>
      </c>
      <c r="R778" s="236" t="s">
        <v>296</v>
      </c>
      <c r="S778" s="236" t="s">
        <v>296</v>
      </c>
      <c r="T778" s="236" t="s">
        <v>296</v>
      </c>
      <c r="U778" s="236" t="s">
        <v>296</v>
      </c>
      <c r="V778" s="236" t="s">
        <v>296</v>
      </c>
      <c r="W778" s="237" t="s">
        <v>296</v>
      </c>
      <c r="X778" s="237" t="s">
        <v>296</v>
      </c>
      <c r="Y778" s="238" t="s">
        <v>296</v>
      </c>
    </row>
    <row r="779" spans="1:25">
      <c r="A779" s="230">
        <v>14</v>
      </c>
      <c r="B779" s="231" t="str">
        <f>VLOOKUP(Tabel10[[#This Row],[Locatiecode]],Ruimtegroepen[[Code]:[Ruimte omschrijving]],2,FALSE)</f>
        <v>Praktijklokalen</v>
      </c>
      <c r="C779" s="232" t="s">
        <v>941</v>
      </c>
      <c r="D779" s="231" t="s">
        <v>28</v>
      </c>
      <c r="E779" s="233" t="s">
        <v>100</v>
      </c>
      <c r="F779" s="232" t="s">
        <v>943</v>
      </c>
      <c r="G779" s="281" t="s">
        <v>296</v>
      </c>
      <c r="H779" s="235" t="s">
        <v>17</v>
      </c>
      <c r="I779" s="234" t="s">
        <v>296</v>
      </c>
      <c r="J779" s="234" t="s">
        <v>296</v>
      </c>
      <c r="K779" s="234" t="s">
        <v>296</v>
      </c>
      <c r="L779" s="234" t="s">
        <v>296</v>
      </c>
      <c r="M779" s="234" t="s">
        <v>296</v>
      </c>
      <c r="N779" s="235" t="s">
        <v>296</v>
      </c>
      <c r="O779" s="236" t="s">
        <v>17</v>
      </c>
      <c r="P779" s="236" t="s">
        <v>17</v>
      </c>
      <c r="Q779" s="236" t="s">
        <v>15</v>
      </c>
      <c r="R779" s="236" t="s">
        <v>296</v>
      </c>
      <c r="S779" s="236" t="s">
        <v>296</v>
      </c>
      <c r="T779" s="236" t="s">
        <v>296</v>
      </c>
      <c r="U779" s="236" t="s">
        <v>296</v>
      </c>
      <c r="V779" s="236" t="s">
        <v>296</v>
      </c>
      <c r="W779" s="237" t="s">
        <v>296</v>
      </c>
      <c r="X779" s="237" t="s">
        <v>296</v>
      </c>
      <c r="Y779" s="238" t="s">
        <v>296</v>
      </c>
    </row>
    <row r="780" spans="1:25">
      <c r="A780" s="230">
        <v>14</v>
      </c>
      <c r="B780" s="231" t="str">
        <f>VLOOKUP(Tabel10[[#This Row],[Locatiecode]],Ruimtegroepen[[Code]:[Ruimte omschrijving]],2,FALSE)</f>
        <v>Praktijklokalen</v>
      </c>
      <c r="C780" s="232" t="s">
        <v>941</v>
      </c>
      <c r="D780" s="231" t="s">
        <v>28</v>
      </c>
      <c r="E780" s="233" t="s">
        <v>102</v>
      </c>
      <c r="F780" s="232" t="s">
        <v>944</v>
      </c>
      <c r="G780" s="281" t="s">
        <v>296</v>
      </c>
      <c r="H780" s="234" t="s">
        <v>296</v>
      </c>
      <c r="I780" s="234" t="s">
        <v>17</v>
      </c>
      <c r="J780" s="234" t="s">
        <v>296</v>
      </c>
      <c r="K780" s="234" t="s">
        <v>296</v>
      </c>
      <c r="L780" s="234" t="s">
        <v>296</v>
      </c>
      <c r="M780" s="234" t="s">
        <v>296</v>
      </c>
      <c r="N780" s="235" t="s">
        <v>296</v>
      </c>
      <c r="O780" s="236" t="s">
        <v>17</v>
      </c>
      <c r="P780" s="236" t="s">
        <v>17</v>
      </c>
      <c r="Q780" s="236" t="s">
        <v>15</v>
      </c>
      <c r="R780" s="236" t="s">
        <v>296</v>
      </c>
      <c r="S780" s="236" t="s">
        <v>296</v>
      </c>
      <c r="T780" s="236" t="s">
        <v>296</v>
      </c>
      <c r="U780" s="236" t="s">
        <v>296</v>
      </c>
      <c r="V780" s="236" t="s">
        <v>296</v>
      </c>
      <c r="W780" s="237" t="s">
        <v>296</v>
      </c>
      <c r="X780" s="237" t="s">
        <v>296</v>
      </c>
      <c r="Y780" s="238" t="s">
        <v>296</v>
      </c>
    </row>
    <row r="781" spans="1:25">
      <c r="A781" s="230">
        <v>14</v>
      </c>
      <c r="B781" s="231" t="str">
        <f>VLOOKUP(Tabel10[[#This Row],[Locatiecode]],Ruimtegroepen[[Code]:[Ruimte omschrijving]],2,FALSE)</f>
        <v>Praktijklokalen</v>
      </c>
      <c r="C781" s="232" t="s">
        <v>941</v>
      </c>
      <c r="D781" s="231" t="s">
        <v>28</v>
      </c>
      <c r="E781" s="233" t="s">
        <v>103</v>
      </c>
      <c r="F781" s="232" t="s">
        <v>945</v>
      </c>
      <c r="G781" s="281" t="s">
        <v>296</v>
      </c>
      <c r="H781" s="234" t="s">
        <v>296</v>
      </c>
      <c r="I781" s="234" t="s">
        <v>17</v>
      </c>
      <c r="J781" s="234" t="s">
        <v>296</v>
      </c>
      <c r="K781" s="234" t="s">
        <v>296</v>
      </c>
      <c r="L781" s="234" t="s">
        <v>296</v>
      </c>
      <c r="M781" s="234" t="s">
        <v>296</v>
      </c>
      <c r="N781" s="235" t="s">
        <v>296</v>
      </c>
      <c r="O781" s="236" t="s">
        <v>17</v>
      </c>
      <c r="P781" s="236" t="s">
        <v>17</v>
      </c>
      <c r="Q781" s="236" t="s">
        <v>15</v>
      </c>
      <c r="R781" s="236" t="s">
        <v>296</v>
      </c>
      <c r="S781" s="236" t="s">
        <v>296</v>
      </c>
      <c r="T781" s="236" t="s">
        <v>296</v>
      </c>
      <c r="U781" s="236" t="s">
        <v>296</v>
      </c>
      <c r="V781" s="236" t="s">
        <v>296</v>
      </c>
      <c r="W781" s="237" t="s">
        <v>296</v>
      </c>
      <c r="X781" s="237" t="s">
        <v>296</v>
      </c>
      <c r="Y781" s="238" t="s">
        <v>296</v>
      </c>
    </row>
    <row r="782" spans="1:25">
      <c r="A782" s="230">
        <v>14</v>
      </c>
      <c r="B782" s="231" t="str">
        <f>VLOOKUP(Tabel10[[#This Row],[Locatiecode]],Ruimtegroepen[[Code]:[Ruimte omschrijving]],2,FALSE)</f>
        <v>Praktijklokalen</v>
      </c>
      <c r="C782" s="232" t="s">
        <v>941</v>
      </c>
      <c r="D782" s="231" t="s">
        <v>28</v>
      </c>
      <c r="E782" s="233" t="s">
        <v>100</v>
      </c>
      <c r="F782" s="232" t="s">
        <v>943</v>
      </c>
      <c r="G782" s="281" t="s">
        <v>296</v>
      </c>
      <c r="H782" s="235" t="s">
        <v>17</v>
      </c>
      <c r="I782" s="234" t="s">
        <v>296</v>
      </c>
      <c r="J782" s="234" t="s">
        <v>296</v>
      </c>
      <c r="K782" s="234" t="s">
        <v>296</v>
      </c>
      <c r="L782" s="234" t="s">
        <v>296</v>
      </c>
      <c r="M782" s="234" t="s">
        <v>296</v>
      </c>
      <c r="N782" s="235" t="s">
        <v>296</v>
      </c>
      <c r="O782" s="236" t="s">
        <v>17</v>
      </c>
      <c r="P782" s="236" t="s">
        <v>17</v>
      </c>
      <c r="Q782" s="236" t="s">
        <v>15</v>
      </c>
      <c r="R782" s="236" t="s">
        <v>296</v>
      </c>
      <c r="S782" s="236" t="s">
        <v>296</v>
      </c>
      <c r="T782" s="236" t="s">
        <v>296</v>
      </c>
      <c r="U782" s="236" t="s">
        <v>296</v>
      </c>
      <c r="V782" s="236" t="s">
        <v>296</v>
      </c>
      <c r="W782" s="237" t="s">
        <v>296</v>
      </c>
      <c r="X782" s="237" t="s">
        <v>296</v>
      </c>
      <c r="Y782" s="238" t="s">
        <v>296</v>
      </c>
    </row>
    <row r="783" spans="1:25">
      <c r="A783" s="230">
        <v>14</v>
      </c>
      <c r="B783" s="231" t="str">
        <f>VLOOKUP(Tabel10[[#This Row],[Locatiecode]],Ruimtegroepen[[Code]:[Ruimte omschrijving]],2,FALSE)</f>
        <v>Praktijklokalen</v>
      </c>
      <c r="C783" s="232" t="s">
        <v>941</v>
      </c>
      <c r="D783" s="231" t="s">
        <v>28</v>
      </c>
      <c r="E783" s="233" t="s">
        <v>1344</v>
      </c>
      <c r="F783" s="232" t="s">
        <v>1455</v>
      </c>
      <c r="G783" s="281" t="s">
        <v>296</v>
      </c>
      <c r="H783" s="234" t="s">
        <v>296</v>
      </c>
      <c r="I783" s="235" t="s">
        <v>17</v>
      </c>
      <c r="J783" s="235" t="s">
        <v>296</v>
      </c>
      <c r="K783" s="235" t="s">
        <v>296</v>
      </c>
      <c r="L783" s="234" t="s">
        <v>296</v>
      </c>
      <c r="M783" s="234" t="s">
        <v>296</v>
      </c>
      <c r="N783" s="235" t="s">
        <v>296</v>
      </c>
      <c r="O783" s="236" t="s">
        <v>17</v>
      </c>
      <c r="P783" s="236" t="s">
        <v>17</v>
      </c>
      <c r="Q783" s="236" t="s">
        <v>15</v>
      </c>
      <c r="R783" s="236" t="s">
        <v>296</v>
      </c>
      <c r="S783" s="236" t="s">
        <v>296</v>
      </c>
      <c r="T783" s="236" t="s">
        <v>296</v>
      </c>
      <c r="U783" s="236" t="s">
        <v>296</v>
      </c>
      <c r="V783" s="236" t="s">
        <v>296</v>
      </c>
      <c r="W783" s="237" t="s">
        <v>296</v>
      </c>
      <c r="X783" s="237" t="s">
        <v>296</v>
      </c>
      <c r="Y783" s="238" t="s">
        <v>296</v>
      </c>
    </row>
    <row r="784" spans="1:25">
      <c r="A784" s="230">
        <v>15</v>
      </c>
      <c r="B784" s="231" t="str">
        <f>VLOOKUP(Tabel10[[#This Row],[Locatiecode]],Ruimtegroepen[[Code]:[Ruimte omschrijving]],2,FALSE)</f>
        <v>Keuken/pantry</v>
      </c>
      <c r="C784" s="232" t="s">
        <v>946</v>
      </c>
      <c r="D784" s="231" t="s">
        <v>29</v>
      </c>
      <c r="E784" s="233" t="s">
        <v>101</v>
      </c>
      <c r="F784" s="232" t="s">
        <v>947</v>
      </c>
      <c r="G784" s="281" t="s">
        <v>296</v>
      </c>
      <c r="H784" s="234" t="s">
        <v>296</v>
      </c>
      <c r="I784" s="234" t="s">
        <v>296</v>
      </c>
      <c r="J784" s="234" t="s">
        <v>2</v>
      </c>
      <c r="K784" s="235" t="s">
        <v>296</v>
      </c>
      <c r="L784" s="234" t="s">
        <v>296</v>
      </c>
      <c r="M784" s="234" t="s">
        <v>296</v>
      </c>
      <c r="N784" s="235" t="s">
        <v>2</v>
      </c>
      <c r="O784" s="236" t="s">
        <v>2</v>
      </c>
      <c r="P784" s="236" t="s">
        <v>2</v>
      </c>
      <c r="Q784" s="236" t="s">
        <v>15</v>
      </c>
      <c r="R784" s="236" t="s">
        <v>15</v>
      </c>
      <c r="S784" s="236" t="s">
        <v>16</v>
      </c>
      <c r="T784" s="236" t="s">
        <v>343</v>
      </c>
      <c r="U784" s="236" t="s">
        <v>262</v>
      </c>
      <c r="V784" s="236" t="s">
        <v>2</v>
      </c>
      <c r="W784" s="237" t="s">
        <v>296</v>
      </c>
      <c r="X784" s="237" t="s">
        <v>296</v>
      </c>
      <c r="Y784" s="238" t="s">
        <v>296</v>
      </c>
    </row>
    <row r="785" spans="1:25">
      <c r="A785" s="230">
        <v>15</v>
      </c>
      <c r="B785" s="231" t="str">
        <f>VLOOKUP(Tabel10[[#This Row],[Locatiecode]],Ruimtegroepen[[Code]:[Ruimte omschrijving]],2,FALSE)</f>
        <v>Keuken/pantry</v>
      </c>
      <c r="C785" s="232" t="s">
        <v>946</v>
      </c>
      <c r="D785" s="231" t="s">
        <v>29</v>
      </c>
      <c r="E785" s="233" t="s">
        <v>100</v>
      </c>
      <c r="F785" s="232" t="s">
        <v>948</v>
      </c>
      <c r="G785" s="281" t="s">
        <v>296</v>
      </c>
      <c r="H785" s="235" t="s">
        <v>2</v>
      </c>
      <c r="I785" s="234" t="s">
        <v>296</v>
      </c>
      <c r="J785" s="235" t="s">
        <v>296</v>
      </c>
      <c r="K785" s="235" t="s">
        <v>296</v>
      </c>
      <c r="L785" s="234" t="s">
        <v>296</v>
      </c>
      <c r="M785" s="234" t="s">
        <v>296</v>
      </c>
      <c r="N785" s="235" t="s">
        <v>2</v>
      </c>
      <c r="O785" s="236" t="s">
        <v>2</v>
      </c>
      <c r="P785" s="236" t="s">
        <v>2</v>
      </c>
      <c r="Q785" s="236" t="s">
        <v>15</v>
      </c>
      <c r="R785" s="236" t="s">
        <v>15</v>
      </c>
      <c r="S785" s="236" t="s">
        <v>16</v>
      </c>
      <c r="T785" s="236" t="s">
        <v>343</v>
      </c>
      <c r="U785" s="236" t="s">
        <v>262</v>
      </c>
      <c r="V785" s="236" t="s">
        <v>2</v>
      </c>
      <c r="W785" s="237" t="s">
        <v>296</v>
      </c>
      <c r="X785" s="237" t="s">
        <v>296</v>
      </c>
      <c r="Y785" s="238" t="s">
        <v>296</v>
      </c>
    </row>
    <row r="786" spans="1:25">
      <c r="A786" s="230">
        <v>15</v>
      </c>
      <c r="B786" s="231" t="str">
        <f>VLOOKUP(Tabel10[[#This Row],[Locatiecode]],Ruimtegroepen[[Code]:[Ruimte omschrijving]],2,FALSE)</f>
        <v>Keuken/pantry</v>
      </c>
      <c r="C786" s="232" t="s">
        <v>946</v>
      </c>
      <c r="D786" s="231" t="s">
        <v>29</v>
      </c>
      <c r="E786" s="233" t="s">
        <v>102</v>
      </c>
      <c r="F786" s="232" t="s">
        <v>949</v>
      </c>
      <c r="G786" s="281" t="s">
        <v>296</v>
      </c>
      <c r="H786" s="234" t="s">
        <v>296</v>
      </c>
      <c r="I786" s="235" t="s">
        <v>2</v>
      </c>
      <c r="J786" s="235" t="s">
        <v>296</v>
      </c>
      <c r="K786" s="235" t="s">
        <v>2</v>
      </c>
      <c r="L786" s="234" t="s">
        <v>296</v>
      </c>
      <c r="M786" s="234" t="s">
        <v>296</v>
      </c>
      <c r="N786" s="235" t="s">
        <v>2</v>
      </c>
      <c r="O786" s="236" t="s">
        <v>2</v>
      </c>
      <c r="P786" s="236" t="s">
        <v>2</v>
      </c>
      <c r="Q786" s="236" t="s">
        <v>15</v>
      </c>
      <c r="R786" s="236" t="s">
        <v>15</v>
      </c>
      <c r="S786" s="236" t="s">
        <v>16</v>
      </c>
      <c r="T786" s="236" t="s">
        <v>343</v>
      </c>
      <c r="U786" s="236" t="s">
        <v>262</v>
      </c>
      <c r="V786" s="236" t="s">
        <v>2</v>
      </c>
      <c r="W786" s="237" t="s">
        <v>296</v>
      </c>
      <c r="X786" s="237" t="s">
        <v>296</v>
      </c>
      <c r="Y786" s="238" t="s">
        <v>296</v>
      </c>
    </row>
    <row r="787" spans="1:25">
      <c r="A787" s="230">
        <v>15</v>
      </c>
      <c r="B787" s="231" t="str">
        <f>VLOOKUP(Tabel10[[#This Row],[Locatiecode]],Ruimtegroepen[[Code]:[Ruimte omschrijving]],2,FALSE)</f>
        <v>Keuken/pantry</v>
      </c>
      <c r="C787" s="232" t="s">
        <v>946</v>
      </c>
      <c r="D787" s="231" t="s">
        <v>29</v>
      </c>
      <c r="E787" s="233" t="s">
        <v>103</v>
      </c>
      <c r="F787" s="232" t="s">
        <v>950</v>
      </c>
      <c r="G787" s="281" t="s">
        <v>296</v>
      </c>
      <c r="H787" s="234" t="s">
        <v>296</v>
      </c>
      <c r="I787" s="235" t="s">
        <v>2</v>
      </c>
      <c r="J787" s="235" t="s">
        <v>296</v>
      </c>
      <c r="K787" s="235" t="s">
        <v>2</v>
      </c>
      <c r="L787" s="234" t="s">
        <v>296</v>
      </c>
      <c r="M787" s="234" t="s">
        <v>296</v>
      </c>
      <c r="N787" s="235" t="s">
        <v>2</v>
      </c>
      <c r="O787" s="236" t="s">
        <v>2</v>
      </c>
      <c r="P787" s="236" t="s">
        <v>2</v>
      </c>
      <c r="Q787" s="236" t="s">
        <v>15</v>
      </c>
      <c r="R787" s="236" t="s">
        <v>15</v>
      </c>
      <c r="S787" s="236" t="s">
        <v>16</v>
      </c>
      <c r="T787" s="236" t="s">
        <v>343</v>
      </c>
      <c r="U787" s="236" t="s">
        <v>262</v>
      </c>
      <c r="V787" s="236" t="s">
        <v>2</v>
      </c>
      <c r="W787" s="237" t="s">
        <v>296</v>
      </c>
      <c r="X787" s="237" t="s">
        <v>296</v>
      </c>
      <c r="Y787" s="238" t="s">
        <v>296</v>
      </c>
    </row>
    <row r="788" spans="1:25">
      <c r="A788" s="230">
        <v>15</v>
      </c>
      <c r="B788" s="231" t="str">
        <f>VLOOKUP(Tabel10[[#This Row],[Locatiecode]],Ruimtegroepen[[Code]:[Ruimte omschrijving]],2,FALSE)</f>
        <v>Keuken/pantry</v>
      </c>
      <c r="C788" s="232" t="s">
        <v>946</v>
      </c>
      <c r="D788" s="231" t="s">
        <v>29</v>
      </c>
      <c r="E788" s="233" t="s">
        <v>100</v>
      </c>
      <c r="F788" s="232" t="s">
        <v>948</v>
      </c>
      <c r="G788" s="281" t="s">
        <v>296</v>
      </c>
      <c r="H788" s="235" t="s">
        <v>2</v>
      </c>
      <c r="I788" s="234" t="s">
        <v>296</v>
      </c>
      <c r="J788" s="235" t="s">
        <v>296</v>
      </c>
      <c r="K788" s="235" t="s">
        <v>296</v>
      </c>
      <c r="L788" s="234" t="s">
        <v>296</v>
      </c>
      <c r="M788" s="234" t="s">
        <v>296</v>
      </c>
      <c r="N788" s="235" t="s">
        <v>2</v>
      </c>
      <c r="O788" s="236" t="s">
        <v>2</v>
      </c>
      <c r="P788" s="236" t="s">
        <v>2</v>
      </c>
      <c r="Q788" s="236" t="s">
        <v>15</v>
      </c>
      <c r="R788" s="236" t="s">
        <v>15</v>
      </c>
      <c r="S788" s="236" t="s">
        <v>16</v>
      </c>
      <c r="T788" s="236" t="s">
        <v>343</v>
      </c>
      <c r="U788" s="236" t="s">
        <v>262</v>
      </c>
      <c r="V788" s="236" t="s">
        <v>2</v>
      </c>
      <c r="W788" s="237" t="s">
        <v>296</v>
      </c>
      <c r="X788" s="237" t="s">
        <v>296</v>
      </c>
      <c r="Y788" s="238" t="s">
        <v>296</v>
      </c>
    </row>
    <row r="789" spans="1:25">
      <c r="A789" s="230">
        <v>15</v>
      </c>
      <c r="B789" s="231" t="str">
        <f>VLOOKUP(Tabel10[[#This Row],[Locatiecode]],Ruimtegroepen[[Code]:[Ruimte omschrijving]],2,FALSE)</f>
        <v>Keuken/pantry</v>
      </c>
      <c r="C789" s="232" t="s">
        <v>946</v>
      </c>
      <c r="D789" s="231" t="s">
        <v>29</v>
      </c>
      <c r="E789" s="233" t="s">
        <v>1344</v>
      </c>
      <c r="F789" s="232" t="s">
        <v>1523</v>
      </c>
      <c r="G789" s="281" t="s">
        <v>296</v>
      </c>
      <c r="H789" s="234" t="s">
        <v>296</v>
      </c>
      <c r="I789" s="235" t="s">
        <v>2</v>
      </c>
      <c r="J789" s="235" t="s">
        <v>296</v>
      </c>
      <c r="K789" s="235" t="s">
        <v>2</v>
      </c>
      <c r="L789" s="234" t="s">
        <v>296</v>
      </c>
      <c r="M789" s="234" t="s">
        <v>296</v>
      </c>
      <c r="N789" s="235" t="s">
        <v>2</v>
      </c>
      <c r="O789" s="236" t="s">
        <v>2</v>
      </c>
      <c r="P789" s="236" t="s">
        <v>2</v>
      </c>
      <c r="Q789" s="236" t="s">
        <v>15</v>
      </c>
      <c r="R789" s="236" t="s">
        <v>15</v>
      </c>
      <c r="S789" s="236" t="s">
        <v>16</v>
      </c>
      <c r="T789" s="236" t="s">
        <v>343</v>
      </c>
      <c r="U789" s="236" t="s">
        <v>262</v>
      </c>
      <c r="V789" s="236" t="s">
        <v>2</v>
      </c>
      <c r="W789" s="237" t="s">
        <v>296</v>
      </c>
      <c r="X789" s="237" t="s">
        <v>296</v>
      </c>
      <c r="Y789" s="238" t="s">
        <v>296</v>
      </c>
    </row>
    <row r="790" spans="1:25">
      <c r="A790" s="230">
        <v>15</v>
      </c>
      <c r="B790" s="231" t="str">
        <f>VLOOKUP(Tabel10[[#This Row],[Locatiecode]],Ruimtegroepen[[Code]:[Ruimte omschrijving]],2,FALSE)</f>
        <v>Keuken/pantry</v>
      </c>
      <c r="C790" s="232" t="s">
        <v>951</v>
      </c>
      <c r="D790" s="231" t="s">
        <v>1</v>
      </c>
      <c r="E790" s="233" t="s">
        <v>101</v>
      </c>
      <c r="F790" s="232" t="s">
        <v>952</v>
      </c>
      <c r="G790" s="281" t="s">
        <v>296</v>
      </c>
      <c r="H790" s="234" t="s">
        <v>296</v>
      </c>
      <c r="I790" s="234" t="s">
        <v>296</v>
      </c>
      <c r="J790" s="234" t="s">
        <v>2</v>
      </c>
      <c r="K790" s="235" t="s">
        <v>296</v>
      </c>
      <c r="L790" s="234" t="s">
        <v>296</v>
      </c>
      <c r="M790" s="234" t="s">
        <v>296</v>
      </c>
      <c r="N790" s="235" t="s">
        <v>296</v>
      </c>
      <c r="O790" s="236" t="s">
        <v>2</v>
      </c>
      <c r="P790" s="236" t="s">
        <v>2</v>
      </c>
      <c r="Q790" s="236" t="s">
        <v>15</v>
      </c>
      <c r="R790" s="236" t="s">
        <v>15</v>
      </c>
      <c r="S790" s="236" t="s">
        <v>16</v>
      </c>
      <c r="T790" s="236" t="s">
        <v>343</v>
      </c>
      <c r="U790" s="236" t="s">
        <v>262</v>
      </c>
      <c r="V790" s="236" t="s">
        <v>296</v>
      </c>
      <c r="W790" s="237" t="s">
        <v>296</v>
      </c>
      <c r="X790" s="237" t="s">
        <v>296</v>
      </c>
      <c r="Y790" s="238" t="s">
        <v>296</v>
      </c>
    </row>
    <row r="791" spans="1:25">
      <c r="A791" s="230">
        <v>15</v>
      </c>
      <c r="B791" s="231" t="str">
        <f>VLOOKUP(Tabel10[[#This Row],[Locatiecode]],Ruimtegroepen[[Code]:[Ruimte omschrijving]],2,FALSE)</f>
        <v>Keuken/pantry</v>
      </c>
      <c r="C791" s="232" t="s">
        <v>951</v>
      </c>
      <c r="D791" s="231" t="s">
        <v>1</v>
      </c>
      <c r="E791" s="233" t="s">
        <v>100</v>
      </c>
      <c r="F791" s="232" t="s">
        <v>953</v>
      </c>
      <c r="G791" s="281" t="s">
        <v>296</v>
      </c>
      <c r="H791" s="235" t="s">
        <v>2</v>
      </c>
      <c r="I791" s="234" t="s">
        <v>296</v>
      </c>
      <c r="J791" s="235" t="s">
        <v>296</v>
      </c>
      <c r="K791" s="235" t="s">
        <v>296</v>
      </c>
      <c r="L791" s="234" t="s">
        <v>296</v>
      </c>
      <c r="M791" s="234" t="s">
        <v>296</v>
      </c>
      <c r="N791" s="235" t="s">
        <v>296</v>
      </c>
      <c r="O791" s="236" t="s">
        <v>2</v>
      </c>
      <c r="P791" s="236" t="s">
        <v>2</v>
      </c>
      <c r="Q791" s="236" t="s">
        <v>15</v>
      </c>
      <c r="R791" s="236" t="s">
        <v>15</v>
      </c>
      <c r="S791" s="236" t="s">
        <v>16</v>
      </c>
      <c r="T791" s="236" t="s">
        <v>343</v>
      </c>
      <c r="U791" s="236" t="s">
        <v>262</v>
      </c>
      <c r="V791" s="236" t="s">
        <v>296</v>
      </c>
      <c r="W791" s="237" t="s">
        <v>296</v>
      </c>
      <c r="X791" s="237" t="s">
        <v>296</v>
      </c>
      <c r="Y791" s="238" t="s">
        <v>296</v>
      </c>
    </row>
    <row r="792" spans="1:25">
      <c r="A792" s="230">
        <v>15</v>
      </c>
      <c r="B792" s="231" t="str">
        <f>VLOOKUP(Tabel10[[#This Row],[Locatiecode]],Ruimtegroepen[[Code]:[Ruimte omschrijving]],2,FALSE)</f>
        <v>Keuken/pantry</v>
      </c>
      <c r="C792" s="232" t="s">
        <v>951</v>
      </c>
      <c r="D792" s="231" t="s">
        <v>1</v>
      </c>
      <c r="E792" s="233" t="s">
        <v>102</v>
      </c>
      <c r="F792" s="232" t="s">
        <v>954</v>
      </c>
      <c r="G792" s="281" t="s">
        <v>296</v>
      </c>
      <c r="H792" s="234" t="s">
        <v>296</v>
      </c>
      <c r="I792" s="235" t="s">
        <v>2</v>
      </c>
      <c r="J792" s="235" t="s">
        <v>296</v>
      </c>
      <c r="K792" s="235" t="s">
        <v>2</v>
      </c>
      <c r="L792" s="234" t="s">
        <v>296</v>
      </c>
      <c r="M792" s="234" t="s">
        <v>296</v>
      </c>
      <c r="N792" s="235" t="s">
        <v>296</v>
      </c>
      <c r="O792" s="236" t="s">
        <v>2</v>
      </c>
      <c r="P792" s="236" t="s">
        <v>2</v>
      </c>
      <c r="Q792" s="236" t="s">
        <v>15</v>
      </c>
      <c r="R792" s="236" t="s">
        <v>15</v>
      </c>
      <c r="S792" s="236" t="s">
        <v>16</v>
      </c>
      <c r="T792" s="236" t="s">
        <v>343</v>
      </c>
      <c r="U792" s="236" t="s">
        <v>262</v>
      </c>
      <c r="V792" s="236" t="s">
        <v>296</v>
      </c>
      <c r="W792" s="237" t="s">
        <v>296</v>
      </c>
      <c r="X792" s="237" t="s">
        <v>296</v>
      </c>
      <c r="Y792" s="238" t="s">
        <v>296</v>
      </c>
    </row>
    <row r="793" spans="1:25">
      <c r="A793" s="230">
        <v>15</v>
      </c>
      <c r="B793" s="231" t="str">
        <f>VLOOKUP(Tabel10[[#This Row],[Locatiecode]],Ruimtegroepen[[Code]:[Ruimte omschrijving]],2,FALSE)</f>
        <v>Keuken/pantry</v>
      </c>
      <c r="C793" s="232" t="s">
        <v>951</v>
      </c>
      <c r="D793" s="231" t="s">
        <v>1</v>
      </c>
      <c r="E793" s="233" t="s">
        <v>103</v>
      </c>
      <c r="F793" s="232" t="s">
        <v>955</v>
      </c>
      <c r="G793" s="281" t="s">
        <v>296</v>
      </c>
      <c r="H793" s="234" t="s">
        <v>296</v>
      </c>
      <c r="I793" s="235" t="s">
        <v>2</v>
      </c>
      <c r="J793" s="235" t="s">
        <v>296</v>
      </c>
      <c r="K793" s="235" t="s">
        <v>2</v>
      </c>
      <c r="L793" s="234" t="s">
        <v>296</v>
      </c>
      <c r="M793" s="234" t="s">
        <v>296</v>
      </c>
      <c r="N793" s="235" t="s">
        <v>296</v>
      </c>
      <c r="O793" s="236" t="s">
        <v>2</v>
      </c>
      <c r="P793" s="236" t="s">
        <v>2</v>
      </c>
      <c r="Q793" s="236" t="s">
        <v>15</v>
      </c>
      <c r="R793" s="236" t="s">
        <v>15</v>
      </c>
      <c r="S793" s="236" t="s">
        <v>16</v>
      </c>
      <c r="T793" s="236" t="s">
        <v>343</v>
      </c>
      <c r="U793" s="236" t="s">
        <v>262</v>
      </c>
      <c r="V793" s="236" t="s">
        <v>296</v>
      </c>
      <c r="W793" s="237" t="s">
        <v>296</v>
      </c>
      <c r="X793" s="237" t="s">
        <v>296</v>
      </c>
      <c r="Y793" s="238" t="s">
        <v>296</v>
      </c>
    </row>
    <row r="794" spans="1:25">
      <c r="A794" s="230">
        <v>15</v>
      </c>
      <c r="B794" s="231" t="str">
        <f>VLOOKUP(Tabel10[[#This Row],[Locatiecode]],Ruimtegroepen[[Code]:[Ruimte omschrijving]],2,FALSE)</f>
        <v>Keuken/pantry</v>
      </c>
      <c r="C794" s="232" t="s">
        <v>951</v>
      </c>
      <c r="D794" s="231" t="s">
        <v>1</v>
      </c>
      <c r="E794" s="233" t="s">
        <v>100</v>
      </c>
      <c r="F794" s="232" t="s">
        <v>953</v>
      </c>
      <c r="G794" s="281" t="s">
        <v>296</v>
      </c>
      <c r="H794" s="235" t="s">
        <v>2</v>
      </c>
      <c r="I794" s="234" t="s">
        <v>296</v>
      </c>
      <c r="J794" s="235" t="s">
        <v>296</v>
      </c>
      <c r="K794" s="235" t="s">
        <v>296</v>
      </c>
      <c r="L794" s="234" t="s">
        <v>296</v>
      </c>
      <c r="M794" s="234" t="s">
        <v>296</v>
      </c>
      <c r="N794" s="235" t="s">
        <v>296</v>
      </c>
      <c r="O794" s="236" t="s">
        <v>2</v>
      </c>
      <c r="P794" s="236" t="s">
        <v>2</v>
      </c>
      <c r="Q794" s="236" t="s">
        <v>15</v>
      </c>
      <c r="R794" s="236" t="s">
        <v>15</v>
      </c>
      <c r="S794" s="236" t="s">
        <v>16</v>
      </c>
      <c r="T794" s="236" t="s">
        <v>343</v>
      </c>
      <c r="U794" s="236" t="s">
        <v>262</v>
      </c>
      <c r="V794" s="236" t="s">
        <v>296</v>
      </c>
      <c r="W794" s="237" t="s">
        <v>296</v>
      </c>
      <c r="X794" s="237" t="s">
        <v>296</v>
      </c>
      <c r="Y794" s="238" t="s">
        <v>296</v>
      </c>
    </row>
    <row r="795" spans="1:25">
      <c r="A795" s="230">
        <v>15</v>
      </c>
      <c r="B795" s="231" t="str">
        <f>VLOOKUP(Tabel10[[#This Row],[Locatiecode]],Ruimtegroepen[[Code]:[Ruimte omschrijving]],2,FALSE)</f>
        <v>Keuken/pantry</v>
      </c>
      <c r="C795" s="232" t="s">
        <v>951</v>
      </c>
      <c r="D795" s="231" t="s">
        <v>1</v>
      </c>
      <c r="E795" s="233" t="s">
        <v>1344</v>
      </c>
      <c r="F795" s="232" t="s">
        <v>1507</v>
      </c>
      <c r="G795" s="281" t="s">
        <v>296</v>
      </c>
      <c r="H795" s="234" t="s">
        <v>296</v>
      </c>
      <c r="I795" s="235" t="s">
        <v>2</v>
      </c>
      <c r="J795" s="235" t="s">
        <v>296</v>
      </c>
      <c r="K795" s="235" t="s">
        <v>2</v>
      </c>
      <c r="L795" s="234" t="s">
        <v>296</v>
      </c>
      <c r="M795" s="234" t="s">
        <v>296</v>
      </c>
      <c r="N795" s="235" t="s">
        <v>296</v>
      </c>
      <c r="O795" s="236" t="s">
        <v>2</v>
      </c>
      <c r="P795" s="236" t="s">
        <v>2</v>
      </c>
      <c r="Q795" s="236" t="s">
        <v>15</v>
      </c>
      <c r="R795" s="236" t="s">
        <v>15</v>
      </c>
      <c r="S795" s="236" t="s">
        <v>16</v>
      </c>
      <c r="T795" s="236" t="s">
        <v>343</v>
      </c>
      <c r="U795" s="236" t="s">
        <v>262</v>
      </c>
      <c r="V795" s="236" t="s">
        <v>296</v>
      </c>
      <c r="W795" s="237" t="s">
        <v>296</v>
      </c>
      <c r="X795" s="237" t="s">
        <v>296</v>
      </c>
      <c r="Y795" s="238" t="s">
        <v>296</v>
      </c>
    </row>
    <row r="796" spans="1:25">
      <c r="A796" s="230">
        <v>15</v>
      </c>
      <c r="B796" s="231" t="str">
        <f>VLOOKUP(Tabel10[[#This Row],[Locatiecode]],Ruimtegroepen[[Code]:[Ruimte omschrijving]],2,FALSE)</f>
        <v>Keuken/pantry</v>
      </c>
      <c r="C796" s="232" t="s">
        <v>956</v>
      </c>
      <c r="D796" s="231" t="s">
        <v>21</v>
      </c>
      <c r="E796" s="233" t="s">
        <v>101</v>
      </c>
      <c r="F796" s="232" t="s">
        <v>957</v>
      </c>
      <c r="G796" s="281" t="s">
        <v>296</v>
      </c>
      <c r="H796" s="234" t="s">
        <v>296</v>
      </c>
      <c r="I796" s="234" t="s">
        <v>296</v>
      </c>
      <c r="J796" s="234" t="s">
        <v>20</v>
      </c>
      <c r="K796" s="235" t="s">
        <v>296</v>
      </c>
      <c r="L796" s="234" t="s">
        <v>296</v>
      </c>
      <c r="M796" s="234" t="s">
        <v>296</v>
      </c>
      <c r="N796" s="235" t="s">
        <v>296</v>
      </c>
      <c r="O796" s="236" t="s">
        <v>20</v>
      </c>
      <c r="P796" s="236" t="s">
        <v>20</v>
      </c>
      <c r="Q796" s="236" t="s">
        <v>15</v>
      </c>
      <c r="R796" s="236" t="s">
        <v>15</v>
      </c>
      <c r="S796" s="236" t="s">
        <v>16</v>
      </c>
      <c r="T796" s="236" t="s">
        <v>343</v>
      </c>
      <c r="U796" s="236" t="s">
        <v>262</v>
      </c>
      <c r="V796" s="236" t="s">
        <v>296</v>
      </c>
      <c r="W796" s="237" t="s">
        <v>296</v>
      </c>
      <c r="X796" s="237" t="s">
        <v>296</v>
      </c>
      <c r="Y796" s="238" t="s">
        <v>296</v>
      </c>
    </row>
    <row r="797" spans="1:25">
      <c r="A797" s="230">
        <v>15</v>
      </c>
      <c r="B797" s="231" t="str">
        <f>VLOOKUP(Tabel10[[#This Row],[Locatiecode]],Ruimtegroepen[[Code]:[Ruimte omschrijving]],2,FALSE)</f>
        <v>Keuken/pantry</v>
      </c>
      <c r="C797" s="232" t="s">
        <v>956</v>
      </c>
      <c r="D797" s="231" t="s">
        <v>21</v>
      </c>
      <c r="E797" s="233" t="s">
        <v>100</v>
      </c>
      <c r="F797" s="232" t="s">
        <v>958</v>
      </c>
      <c r="G797" s="281" t="s">
        <v>296</v>
      </c>
      <c r="H797" s="235" t="s">
        <v>20</v>
      </c>
      <c r="I797" s="234" t="s">
        <v>296</v>
      </c>
      <c r="J797" s="235" t="s">
        <v>296</v>
      </c>
      <c r="K797" s="235" t="s">
        <v>296</v>
      </c>
      <c r="L797" s="234" t="s">
        <v>296</v>
      </c>
      <c r="M797" s="234" t="s">
        <v>296</v>
      </c>
      <c r="N797" s="235" t="s">
        <v>296</v>
      </c>
      <c r="O797" s="236" t="s">
        <v>20</v>
      </c>
      <c r="P797" s="236" t="s">
        <v>20</v>
      </c>
      <c r="Q797" s="236" t="s">
        <v>15</v>
      </c>
      <c r="R797" s="236" t="s">
        <v>15</v>
      </c>
      <c r="S797" s="236" t="s">
        <v>16</v>
      </c>
      <c r="T797" s="236" t="s">
        <v>343</v>
      </c>
      <c r="U797" s="236" t="s">
        <v>262</v>
      </c>
      <c r="V797" s="236" t="s">
        <v>296</v>
      </c>
      <c r="W797" s="237" t="s">
        <v>296</v>
      </c>
      <c r="X797" s="237" t="s">
        <v>296</v>
      </c>
      <c r="Y797" s="238" t="s">
        <v>296</v>
      </c>
    </row>
    <row r="798" spans="1:25">
      <c r="A798" s="230">
        <v>15</v>
      </c>
      <c r="B798" s="231" t="str">
        <f>VLOOKUP(Tabel10[[#This Row],[Locatiecode]],Ruimtegroepen[[Code]:[Ruimte omschrijving]],2,FALSE)</f>
        <v>Keuken/pantry</v>
      </c>
      <c r="C798" s="232" t="s">
        <v>956</v>
      </c>
      <c r="D798" s="231" t="s">
        <v>21</v>
      </c>
      <c r="E798" s="233" t="s">
        <v>102</v>
      </c>
      <c r="F798" s="232" t="s">
        <v>959</v>
      </c>
      <c r="G798" s="281" t="s">
        <v>296</v>
      </c>
      <c r="H798" s="234" t="s">
        <v>296</v>
      </c>
      <c r="I798" s="235" t="s">
        <v>20</v>
      </c>
      <c r="J798" s="235" t="s">
        <v>296</v>
      </c>
      <c r="K798" s="235" t="s">
        <v>20</v>
      </c>
      <c r="L798" s="234" t="s">
        <v>296</v>
      </c>
      <c r="M798" s="234" t="s">
        <v>296</v>
      </c>
      <c r="N798" s="235" t="s">
        <v>296</v>
      </c>
      <c r="O798" s="236" t="s">
        <v>20</v>
      </c>
      <c r="P798" s="236" t="s">
        <v>20</v>
      </c>
      <c r="Q798" s="236" t="s">
        <v>15</v>
      </c>
      <c r="R798" s="236" t="s">
        <v>15</v>
      </c>
      <c r="S798" s="236" t="s">
        <v>16</v>
      </c>
      <c r="T798" s="236" t="s">
        <v>343</v>
      </c>
      <c r="U798" s="236" t="s">
        <v>262</v>
      </c>
      <c r="V798" s="236" t="s">
        <v>296</v>
      </c>
      <c r="W798" s="237" t="s">
        <v>296</v>
      </c>
      <c r="X798" s="237" t="s">
        <v>296</v>
      </c>
      <c r="Y798" s="238" t="s">
        <v>296</v>
      </c>
    </row>
    <row r="799" spans="1:25">
      <c r="A799" s="230">
        <v>15</v>
      </c>
      <c r="B799" s="231" t="str">
        <f>VLOOKUP(Tabel10[[#This Row],[Locatiecode]],Ruimtegroepen[[Code]:[Ruimte omschrijving]],2,FALSE)</f>
        <v>Keuken/pantry</v>
      </c>
      <c r="C799" s="232" t="s">
        <v>956</v>
      </c>
      <c r="D799" s="231" t="s">
        <v>21</v>
      </c>
      <c r="E799" s="233" t="s">
        <v>103</v>
      </c>
      <c r="F799" s="232" t="s">
        <v>960</v>
      </c>
      <c r="G799" s="281" t="s">
        <v>296</v>
      </c>
      <c r="H799" s="234" t="s">
        <v>296</v>
      </c>
      <c r="I799" s="235" t="s">
        <v>20</v>
      </c>
      <c r="J799" s="235" t="s">
        <v>296</v>
      </c>
      <c r="K799" s="235" t="s">
        <v>20</v>
      </c>
      <c r="L799" s="234" t="s">
        <v>296</v>
      </c>
      <c r="M799" s="234" t="s">
        <v>296</v>
      </c>
      <c r="N799" s="235" t="s">
        <v>296</v>
      </c>
      <c r="O799" s="236" t="s">
        <v>20</v>
      </c>
      <c r="P799" s="236" t="s">
        <v>20</v>
      </c>
      <c r="Q799" s="236" t="s">
        <v>15</v>
      </c>
      <c r="R799" s="236" t="s">
        <v>15</v>
      </c>
      <c r="S799" s="236" t="s">
        <v>16</v>
      </c>
      <c r="T799" s="236" t="s">
        <v>343</v>
      </c>
      <c r="U799" s="236" t="s">
        <v>262</v>
      </c>
      <c r="V799" s="236" t="s">
        <v>296</v>
      </c>
      <c r="W799" s="237" t="s">
        <v>296</v>
      </c>
      <c r="X799" s="237" t="s">
        <v>296</v>
      </c>
      <c r="Y799" s="238" t="s">
        <v>296</v>
      </c>
    </row>
    <row r="800" spans="1:25">
      <c r="A800" s="230">
        <v>15</v>
      </c>
      <c r="B800" s="231" t="str">
        <f>VLOOKUP(Tabel10[[#This Row],[Locatiecode]],Ruimtegroepen[[Code]:[Ruimte omschrijving]],2,FALSE)</f>
        <v>Keuken/pantry</v>
      </c>
      <c r="C800" s="232" t="s">
        <v>956</v>
      </c>
      <c r="D800" s="231" t="s">
        <v>21</v>
      </c>
      <c r="E800" s="233" t="s">
        <v>100</v>
      </c>
      <c r="F800" s="232" t="s">
        <v>958</v>
      </c>
      <c r="G800" s="281" t="s">
        <v>296</v>
      </c>
      <c r="H800" s="235" t="s">
        <v>20</v>
      </c>
      <c r="I800" s="234" t="s">
        <v>296</v>
      </c>
      <c r="J800" s="235" t="s">
        <v>296</v>
      </c>
      <c r="K800" s="235" t="s">
        <v>296</v>
      </c>
      <c r="L800" s="234" t="s">
        <v>296</v>
      </c>
      <c r="M800" s="234" t="s">
        <v>296</v>
      </c>
      <c r="N800" s="235" t="s">
        <v>296</v>
      </c>
      <c r="O800" s="236" t="s">
        <v>20</v>
      </c>
      <c r="P800" s="236" t="s">
        <v>20</v>
      </c>
      <c r="Q800" s="236" t="s">
        <v>15</v>
      </c>
      <c r="R800" s="236" t="s">
        <v>15</v>
      </c>
      <c r="S800" s="236" t="s">
        <v>16</v>
      </c>
      <c r="T800" s="236" t="s">
        <v>343</v>
      </c>
      <c r="U800" s="236" t="s">
        <v>262</v>
      </c>
      <c r="V800" s="236" t="s">
        <v>296</v>
      </c>
      <c r="W800" s="237" t="s">
        <v>296</v>
      </c>
      <c r="X800" s="237" t="s">
        <v>296</v>
      </c>
      <c r="Y800" s="238" t="s">
        <v>296</v>
      </c>
    </row>
    <row r="801" spans="1:25">
      <c r="A801" s="230">
        <v>15</v>
      </c>
      <c r="B801" s="231" t="str">
        <f>VLOOKUP(Tabel10[[#This Row],[Locatiecode]],Ruimtegroepen[[Code]:[Ruimte omschrijving]],2,FALSE)</f>
        <v>Keuken/pantry</v>
      </c>
      <c r="C801" s="232" t="s">
        <v>956</v>
      </c>
      <c r="D801" s="231" t="s">
        <v>21</v>
      </c>
      <c r="E801" s="233" t="s">
        <v>1344</v>
      </c>
      <c r="F801" s="232" t="s">
        <v>1490</v>
      </c>
      <c r="G801" s="281" t="s">
        <v>296</v>
      </c>
      <c r="H801" s="234" t="s">
        <v>296</v>
      </c>
      <c r="I801" s="235" t="s">
        <v>20</v>
      </c>
      <c r="J801" s="235" t="s">
        <v>296</v>
      </c>
      <c r="K801" s="235" t="s">
        <v>20</v>
      </c>
      <c r="L801" s="234" t="s">
        <v>296</v>
      </c>
      <c r="M801" s="234" t="s">
        <v>296</v>
      </c>
      <c r="N801" s="235" t="s">
        <v>296</v>
      </c>
      <c r="O801" s="236" t="s">
        <v>20</v>
      </c>
      <c r="P801" s="236" t="s">
        <v>20</v>
      </c>
      <c r="Q801" s="236" t="s">
        <v>15</v>
      </c>
      <c r="R801" s="236" t="s">
        <v>15</v>
      </c>
      <c r="S801" s="236" t="s">
        <v>16</v>
      </c>
      <c r="T801" s="236" t="s">
        <v>343</v>
      </c>
      <c r="U801" s="236" t="s">
        <v>262</v>
      </c>
      <c r="V801" s="236" t="s">
        <v>296</v>
      </c>
      <c r="W801" s="237" t="s">
        <v>296</v>
      </c>
      <c r="X801" s="237" t="s">
        <v>296</v>
      </c>
      <c r="Y801" s="238" t="s">
        <v>296</v>
      </c>
    </row>
    <row r="802" spans="1:25">
      <c r="A802" s="230">
        <v>15</v>
      </c>
      <c r="B802" s="231" t="str">
        <f>VLOOKUP(Tabel10[[#This Row],[Locatiecode]],Ruimtegroepen[[Code]:[Ruimte omschrijving]],2,FALSE)</f>
        <v>Keuken/pantry</v>
      </c>
      <c r="C802" s="232" t="s">
        <v>961</v>
      </c>
      <c r="D802" s="231" t="s">
        <v>12</v>
      </c>
      <c r="E802" s="233" t="s">
        <v>101</v>
      </c>
      <c r="F802" s="232" t="s">
        <v>962</v>
      </c>
      <c r="G802" s="281" t="s">
        <v>296</v>
      </c>
      <c r="H802" s="234" t="s">
        <v>296</v>
      </c>
      <c r="I802" s="234" t="s">
        <v>296</v>
      </c>
      <c r="J802" s="234" t="s">
        <v>18</v>
      </c>
      <c r="K802" s="235" t="s">
        <v>296</v>
      </c>
      <c r="L802" s="234" t="s">
        <v>296</v>
      </c>
      <c r="M802" s="234" t="s">
        <v>296</v>
      </c>
      <c r="N802" s="235" t="s">
        <v>296</v>
      </c>
      <c r="O802" s="236" t="s">
        <v>18</v>
      </c>
      <c r="P802" s="236" t="s">
        <v>18</v>
      </c>
      <c r="Q802" s="236" t="s">
        <v>15</v>
      </c>
      <c r="R802" s="236" t="s">
        <v>15</v>
      </c>
      <c r="S802" s="236" t="s">
        <v>16</v>
      </c>
      <c r="T802" s="236" t="s">
        <v>343</v>
      </c>
      <c r="U802" s="236" t="s">
        <v>262</v>
      </c>
      <c r="V802" s="236" t="s">
        <v>296</v>
      </c>
      <c r="W802" s="237" t="s">
        <v>296</v>
      </c>
      <c r="X802" s="237" t="s">
        <v>296</v>
      </c>
      <c r="Y802" s="238" t="s">
        <v>296</v>
      </c>
    </row>
    <row r="803" spans="1:25">
      <c r="A803" s="230">
        <v>15</v>
      </c>
      <c r="B803" s="231" t="str">
        <f>VLOOKUP(Tabel10[[#This Row],[Locatiecode]],Ruimtegroepen[[Code]:[Ruimte omschrijving]],2,FALSE)</f>
        <v>Keuken/pantry</v>
      </c>
      <c r="C803" s="232" t="s">
        <v>961</v>
      </c>
      <c r="D803" s="231" t="s">
        <v>12</v>
      </c>
      <c r="E803" s="233" t="s">
        <v>100</v>
      </c>
      <c r="F803" s="232" t="s">
        <v>963</v>
      </c>
      <c r="G803" s="281" t="s">
        <v>296</v>
      </c>
      <c r="H803" s="235" t="s">
        <v>18</v>
      </c>
      <c r="I803" s="234" t="s">
        <v>296</v>
      </c>
      <c r="J803" s="235" t="s">
        <v>296</v>
      </c>
      <c r="K803" s="235" t="s">
        <v>296</v>
      </c>
      <c r="L803" s="234" t="s">
        <v>296</v>
      </c>
      <c r="M803" s="234" t="s">
        <v>296</v>
      </c>
      <c r="N803" s="235" t="s">
        <v>296</v>
      </c>
      <c r="O803" s="236" t="s">
        <v>18</v>
      </c>
      <c r="P803" s="236" t="s">
        <v>18</v>
      </c>
      <c r="Q803" s="236" t="s">
        <v>15</v>
      </c>
      <c r="R803" s="236" t="s">
        <v>15</v>
      </c>
      <c r="S803" s="236" t="s">
        <v>16</v>
      </c>
      <c r="T803" s="236" t="s">
        <v>343</v>
      </c>
      <c r="U803" s="236" t="s">
        <v>262</v>
      </c>
      <c r="V803" s="236" t="s">
        <v>296</v>
      </c>
      <c r="W803" s="237" t="s">
        <v>296</v>
      </c>
      <c r="X803" s="237" t="s">
        <v>296</v>
      </c>
      <c r="Y803" s="238" t="s">
        <v>296</v>
      </c>
    </row>
    <row r="804" spans="1:25">
      <c r="A804" s="230">
        <v>15</v>
      </c>
      <c r="B804" s="231" t="str">
        <f>VLOOKUP(Tabel10[[#This Row],[Locatiecode]],Ruimtegroepen[[Code]:[Ruimte omschrijving]],2,FALSE)</f>
        <v>Keuken/pantry</v>
      </c>
      <c r="C804" s="232" t="s">
        <v>961</v>
      </c>
      <c r="D804" s="231" t="s">
        <v>12</v>
      </c>
      <c r="E804" s="233" t="s">
        <v>102</v>
      </c>
      <c r="F804" s="232" t="s">
        <v>964</v>
      </c>
      <c r="G804" s="281" t="s">
        <v>296</v>
      </c>
      <c r="H804" s="234" t="s">
        <v>296</v>
      </c>
      <c r="I804" s="235" t="s">
        <v>18</v>
      </c>
      <c r="J804" s="235" t="s">
        <v>296</v>
      </c>
      <c r="K804" s="235" t="s">
        <v>18</v>
      </c>
      <c r="L804" s="234" t="s">
        <v>296</v>
      </c>
      <c r="M804" s="234" t="s">
        <v>296</v>
      </c>
      <c r="N804" s="235" t="s">
        <v>296</v>
      </c>
      <c r="O804" s="236" t="s">
        <v>18</v>
      </c>
      <c r="P804" s="236" t="s">
        <v>18</v>
      </c>
      <c r="Q804" s="236" t="s">
        <v>15</v>
      </c>
      <c r="R804" s="236" t="s">
        <v>15</v>
      </c>
      <c r="S804" s="236" t="s">
        <v>16</v>
      </c>
      <c r="T804" s="236" t="s">
        <v>343</v>
      </c>
      <c r="U804" s="236" t="s">
        <v>262</v>
      </c>
      <c r="V804" s="236" t="s">
        <v>296</v>
      </c>
      <c r="W804" s="237" t="s">
        <v>296</v>
      </c>
      <c r="X804" s="237" t="s">
        <v>296</v>
      </c>
      <c r="Y804" s="238" t="s">
        <v>296</v>
      </c>
    </row>
    <row r="805" spans="1:25">
      <c r="A805" s="230">
        <v>15</v>
      </c>
      <c r="B805" s="231" t="str">
        <f>VLOOKUP(Tabel10[[#This Row],[Locatiecode]],Ruimtegroepen[[Code]:[Ruimte omschrijving]],2,FALSE)</f>
        <v>Keuken/pantry</v>
      </c>
      <c r="C805" s="232" t="s">
        <v>961</v>
      </c>
      <c r="D805" s="231" t="s">
        <v>12</v>
      </c>
      <c r="E805" s="233" t="s">
        <v>103</v>
      </c>
      <c r="F805" s="232" t="s">
        <v>965</v>
      </c>
      <c r="G805" s="281" t="s">
        <v>296</v>
      </c>
      <c r="H805" s="234" t="s">
        <v>296</v>
      </c>
      <c r="I805" s="235" t="s">
        <v>18</v>
      </c>
      <c r="J805" s="235" t="s">
        <v>296</v>
      </c>
      <c r="K805" s="235" t="s">
        <v>18</v>
      </c>
      <c r="L805" s="234" t="s">
        <v>296</v>
      </c>
      <c r="M805" s="234" t="s">
        <v>296</v>
      </c>
      <c r="N805" s="235" t="s">
        <v>296</v>
      </c>
      <c r="O805" s="236" t="s">
        <v>18</v>
      </c>
      <c r="P805" s="236" t="s">
        <v>18</v>
      </c>
      <c r="Q805" s="236" t="s">
        <v>15</v>
      </c>
      <c r="R805" s="236" t="s">
        <v>15</v>
      </c>
      <c r="S805" s="236" t="s">
        <v>16</v>
      </c>
      <c r="T805" s="236" t="s">
        <v>343</v>
      </c>
      <c r="U805" s="236" t="s">
        <v>262</v>
      </c>
      <c r="V805" s="236" t="s">
        <v>296</v>
      </c>
      <c r="W805" s="237" t="s">
        <v>296</v>
      </c>
      <c r="X805" s="237" t="s">
        <v>296</v>
      </c>
      <c r="Y805" s="238" t="s">
        <v>296</v>
      </c>
    </row>
    <row r="806" spans="1:25">
      <c r="A806" s="230">
        <v>15</v>
      </c>
      <c r="B806" s="231" t="str">
        <f>VLOOKUP(Tabel10[[#This Row],[Locatiecode]],Ruimtegroepen[[Code]:[Ruimte omschrijving]],2,FALSE)</f>
        <v>Keuken/pantry</v>
      </c>
      <c r="C806" s="232" t="s">
        <v>961</v>
      </c>
      <c r="D806" s="231" t="s">
        <v>12</v>
      </c>
      <c r="E806" s="233" t="s">
        <v>100</v>
      </c>
      <c r="F806" s="232" t="s">
        <v>963</v>
      </c>
      <c r="G806" s="281" t="s">
        <v>296</v>
      </c>
      <c r="H806" s="235" t="s">
        <v>18</v>
      </c>
      <c r="I806" s="234" t="s">
        <v>296</v>
      </c>
      <c r="J806" s="235" t="s">
        <v>296</v>
      </c>
      <c r="K806" s="235" t="s">
        <v>296</v>
      </c>
      <c r="L806" s="234" t="s">
        <v>296</v>
      </c>
      <c r="M806" s="234" t="s">
        <v>296</v>
      </c>
      <c r="N806" s="235" t="s">
        <v>296</v>
      </c>
      <c r="O806" s="236" t="s">
        <v>18</v>
      </c>
      <c r="P806" s="236" t="s">
        <v>18</v>
      </c>
      <c r="Q806" s="236" t="s">
        <v>15</v>
      </c>
      <c r="R806" s="236" t="s">
        <v>15</v>
      </c>
      <c r="S806" s="236" t="s">
        <v>16</v>
      </c>
      <c r="T806" s="236" t="s">
        <v>343</v>
      </c>
      <c r="U806" s="236" t="s">
        <v>262</v>
      </c>
      <c r="V806" s="236" t="s">
        <v>296</v>
      </c>
      <c r="W806" s="237" t="s">
        <v>296</v>
      </c>
      <c r="X806" s="237" t="s">
        <v>296</v>
      </c>
      <c r="Y806" s="238" t="s">
        <v>296</v>
      </c>
    </row>
    <row r="807" spans="1:25">
      <c r="A807" s="230">
        <v>15</v>
      </c>
      <c r="B807" s="231" t="str">
        <f>VLOOKUP(Tabel10[[#This Row],[Locatiecode]],Ruimtegroepen[[Code]:[Ruimte omschrijving]],2,FALSE)</f>
        <v>Keuken/pantry</v>
      </c>
      <c r="C807" s="232" t="s">
        <v>961</v>
      </c>
      <c r="D807" s="231" t="s">
        <v>12</v>
      </c>
      <c r="E807" s="233" t="s">
        <v>1344</v>
      </c>
      <c r="F807" s="232" t="s">
        <v>1472</v>
      </c>
      <c r="G807" s="281" t="s">
        <v>296</v>
      </c>
      <c r="H807" s="234" t="s">
        <v>296</v>
      </c>
      <c r="I807" s="235" t="s">
        <v>18</v>
      </c>
      <c r="J807" s="235" t="s">
        <v>296</v>
      </c>
      <c r="K807" s="235" t="s">
        <v>18</v>
      </c>
      <c r="L807" s="234" t="s">
        <v>296</v>
      </c>
      <c r="M807" s="234" t="s">
        <v>296</v>
      </c>
      <c r="N807" s="235" t="s">
        <v>296</v>
      </c>
      <c r="O807" s="236" t="s">
        <v>18</v>
      </c>
      <c r="P807" s="236" t="s">
        <v>18</v>
      </c>
      <c r="Q807" s="236" t="s">
        <v>15</v>
      </c>
      <c r="R807" s="236" t="s">
        <v>15</v>
      </c>
      <c r="S807" s="236" t="s">
        <v>16</v>
      </c>
      <c r="T807" s="236" t="s">
        <v>343</v>
      </c>
      <c r="U807" s="236" t="s">
        <v>262</v>
      </c>
      <c r="V807" s="236" t="s">
        <v>296</v>
      </c>
      <c r="W807" s="237" t="s">
        <v>296</v>
      </c>
      <c r="X807" s="237" t="s">
        <v>296</v>
      </c>
      <c r="Y807" s="238" t="s">
        <v>296</v>
      </c>
    </row>
    <row r="808" spans="1:25">
      <c r="A808" s="230">
        <v>15</v>
      </c>
      <c r="B808" s="231" t="str">
        <f>VLOOKUP(Tabel10[[#This Row],[Locatiecode]],Ruimtegroepen[[Code]:[Ruimte omschrijving]],2,FALSE)</f>
        <v>Keuken/pantry</v>
      </c>
      <c r="C808" s="232" t="s">
        <v>966</v>
      </c>
      <c r="D808" s="231" t="s">
        <v>14</v>
      </c>
      <c r="E808" s="233" t="s">
        <v>101</v>
      </c>
      <c r="F808" s="232" t="s">
        <v>967</v>
      </c>
      <c r="G808" s="281" t="s">
        <v>296</v>
      </c>
      <c r="H808" s="234" t="s">
        <v>296</v>
      </c>
      <c r="I808" s="234" t="s">
        <v>296</v>
      </c>
      <c r="J808" s="234" t="s">
        <v>17</v>
      </c>
      <c r="K808" s="235" t="s">
        <v>296</v>
      </c>
      <c r="L808" s="234" t="s">
        <v>296</v>
      </c>
      <c r="M808" s="234" t="s">
        <v>296</v>
      </c>
      <c r="N808" s="235" t="s">
        <v>296</v>
      </c>
      <c r="O808" s="236" t="s">
        <v>17</v>
      </c>
      <c r="P808" s="236" t="s">
        <v>17</v>
      </c>
      <c r="Q808" s="236" t="s">
        <v>15</v>
      </c>
      <c r="R808" s="236" t="s">
        <v>15</v>
      </c>
      <c r="S808" s="236" t="s">
        <v>16</v>
      </c>
      <c r="T808" s="236" t="s">
        <v>343</v>
      </c>
      <c r="U808" s="236" t="s">
        <v>262</v>
      </c>
      <c r="V808" s="236" t="s">
        <v>296</v>
      </c>
      <c r="W808" s="237" t="s">
        <v>296</v>
      </c>
      <c r="X808" s="237" t="s">
        <v>296</v>
      </c>
      <c r="Y808" s="238" t="s">
        <v>296</v>
      </c>
    </row>
    <row r="809" spans="1:25">
      <c r="A809" s="230">
        <v>15</v>
      </c>
      <c r="B809" s="231" t="str">
        <f>VLOOKUP(Tabel10[[#This Row],[Locatiecode]],Ruimtegroepen[[Code]:[Ruimte omschrijving]],2,FALSE)</f>
        <v>Keuken/pantry</v>
      </c>
      <c r="C809" s="232" t="s">
        <v>966</v>
      </c>
      <c r="D809" s="231" t="s">
        <v>14</v>
      </c>
      <c r="E809" s="233" t="s">
        <v>100</v>
      </c>
      <c r="F809" s="232" t="s">
        <v>968</v>
      </c>
      <c r="G809" s="281" t="s">
        <v>296</v>
      </c>
      <c r="H809" s="235" t="s">
        <v>17</v>
      </c>
      <c r="I809" s="234" t="s">
        <v>296</v>
      </c>
      <c r="J809" s="235" t="s">
        <v>296</v>
      </c>
      <c r="K809" s="235" t="s">
        <v>296</v>
      </c>
      <c r="L809" s="234" t="s">
        <v>296</v>
      </c>
      <c r="M809" s="234" t="s">
        <v>296</v>
      </c>
      <c r="N809" s="235" t="s">
        <v>296</v>
      </c>
      <c r="O809" s="236" t="s">
        <v>17</v>
      </c>
      <c r="P809" s="236" t="s">
        <v>17</v>
      </c>
      <c r="Q809" s="236" t="s">
        <v>15</v>
      </c>
      <c r="R809" s="236" t="s">
        <v>15</v>
      </c>
      <c r="S809" s="236" t="s">
        <v>16</v>
      </c>
      <c r="T809" s="236" t="s">
        <v>343</v>
      </c>
      <c r="U809" s="236" t="s">
        <v>262</v>
      </c>
      <c r="V809" s="236" t="s">
        <v>296</v>
      </c>
      <c r="W809" s="237" t="s">
        <v>296</v>
      </c>
      <c r="X809" s="237" t="s">
        <v>296</v>
      </c>
      <c r="Y809" s="238" t="s">
        <v>296</v>
      </c>
    </row>
    <row r="810" spans="1:25">
      <c r="A810" s="230">
        <v>15</v>
      </c>
      <c r="B810" s="231" t="str">
        <f>VLOOKUP(Tabel10[[#This Row],[Locatiecode]],Ruimtegroepen[[Code]:[Ruimte omschrijving]],2,FALSE)</f>
        <v>Keuken/pantry</v>
      </c>
      <c r="C810" s="232" t="s">
        <v>966</v>
      </c>
      <c r="D810" s="231" t="s">
        <v>14</v>
      </c>
      <c r="E810" s="233" t="s">
        <v>102</v>
      </c>
      <c r="F810" s="232" t="s">
        <v>969</v>
      </c>
      <c r="G810" s="281" t="s">
        <v>296</v>
      </c>
      <c r="H810" s="234" t="s">
        <v>296</v>
      </c>
      <c r="I810" s="235" t="s">
        <v>17</v>
      </c>
      <c r="J810" s="235" t="s">
        <v>296</v>
      </c>
      <c r="K810" s="235" t="s">
        <v>17</v>
      </c>
      <c r="L810" s="234" t="s">
        <v>296</v>
      </c>
      <c r="M810" s="234" t="s">
        <v>296</v>
      </c>
      <c r="N810" s="235" t="s">
        <v>296</v>
      </c>
      <c r="O810" s="236" t="s">
        <v>17</v>
      </c>
      <c r="P810" s="236" t="s">
        <v>17</v>
      </c>
      <c r="Q810" s="236" t="s">
        <v>15</v>
      </c>
      <c r="R810" s="236" t="s">
        <v>15</v>
      </c>
      <c r="S810" s="236" t="s">
        <v>16</v>
      </c>
      <c r="T810" s="236" t="s">
        <v>343</v>
      </c>
      <c r="U810" s="236" t="s">
        <v>262</v>
      </c>
      <c r="V810" s="236" t="s">
        <v>296</v>
      </c>
      <c r="W810" s="237" t="s">
        <v>296</v>
      </c>
      <c r="X810" s="237" t="s">
        <v>296</v>
      </c>
      <c r="Y810" s="238" t="s">
        <v>296</v>
      </c>
    </row>
    <row r="811" spans="1:25">
      <c r="A811" s="230">
        <v>15</v>
      </c>
      <c r="B811" s="231" t="str">
        <f>VLOOKUP(Tabel10[[#This Row],[Locatiecode]],Ruimtegroepen[[Code]:[Ruimte omschrijving]],2,FALSE)</f>
        <v>Keuken/pantry</v>
      </c>
      <c r="C811" s="232" t="s">
        <v>966</v>
      </c>
      <c r="D811" s="231" t="s">
        <v>14</v>
      </c>
      <c r="E811" s="233" t="s">
        <v>103</v>
      </c>
      <c r="F811" s="232" t="s">
        <v>970</v>
      </c>
      <c r="G811" s="281" t="s">
        <v>296</v>
      </c>
      <c r="H811" s="234" t="s">
        <v>296</v>
      </c>
      <c r="I811" s="235" t="s">
        <v>17</v>
      </c>
      <c r="J811" s="235" t="s">
        <v>296</v>
      </c>
      <c r="K811" s="235" t="s">
        <v>17</v>
      </c>
      <c r="L811" s="234" t="s">
        <v>296</v>
      </c>
      <c r="M811" s="234" t="s">
        <v>296</v>
      </c>
      <c r="N811" s="235" t="s">
        <v>296</v>
      </c>
      <c r="O811" s="236" t="s">
        <v>17</v>
      </c>
      <c r="P811" s="236" t="s">
        <v>17</v>
      </c>
      <c r="Q811" s="236" t="s">
        <v>15</v>
      </c>
      <c r="R811" s="236" t="s">
        <v>15</v>
      </c>
      <c r="S811" s="236" t="s">
        <v>16</v>
      </c>
      <c r="T811" s="236" t="s">
        <v>343</v>
      </c>
      <c r="U811" s="236" t="s">
        <v>262</v>
      </c>
      <c r="V811" s="236" t="s">
        <v>296</v>
      </c>
      <c r="W811" s="237" t="s">
        <v>296</v>
      </c>
      <c r="X811" s="237" t="s">
        <v>296</v>
      </c>
      <c r="Y811" s="238" t="s">
        <v>296</v>
      </c>
    </row>
    <row r="812" spans="1:25">
      <c r="A812" s="230">
        <v>15</v>
      </c>
      <c r="B812" s="231" t="str">
        <f>VLOOKUP(Tabel10[[#This Row],[Locatiecode]],Ruimtegroepen[[Code]:[Ruimte omschrijving]],2,FALSE)</f>
        <v>Keuken/pantry</v>
      </c>
      <c r="C812" s="232" t="s">
        <v>966</v>
      </c>
      <c r="D812" s="231" t="s">
        <v>14</v>
      </c>
      <c r="E812" s="233" t="s">
        <v>100</v>
      </c>
      <c r="F812" s="232" t="s">
        <v>968</v>
      </c>
      <c r="G812" s="281" t="s">
        <v>296</v>
      </c>
      <c r="H812" s="235" t="s">
        <v>17</v>
      </c>
      <c r="I812" s="234" t="s">
        <v>296</v>
      </c>
      <c r="J812" s="235" t="s">
        <v>296</v>
      </c>
      <c r="K812" s="235" t="s">
        <v>296</v>
      </c>
      <c r="L812" s="234" t="s">
        <v>296</v>
      </c>
      <c r="M812" s="234" t="s">
        <v>296</v>
      </c>
      <c r="N812" s="235" t="s">
        <v>296</v>
      </c>
      <c r="O812" s="236" t="s">
        <v>17</v>
      </c>
      <c r="P812" s="236" t="s">
        <v>17</v>
      </c>
      <c r="Q812" s="236" t="s">
        <v>15</v>
      </c>
      <c r="R812" s="236" t="s">
        <v>15</v>
      </c>
      <c r="S812" s="236" t="s">
        <v>16</v>
      </c>
      <c r="T812" s="236" t="s">
        <v>343</v>
      </c>
      <c r="U812" s="236" t="s">
        <v>262</v>
      </c>
      <c r="V812" s="236" t="s">
        <v>296</v>
      </c>
      <c r="W812" s="237" t="s">
        <v>296</v>
      </c>
      <c r="X812" s="237" t="s">
        <v>296</v>
      </c>
      <c r="Y812" s="238" t="s">
        <v>296</v>
      </c>
    </row>
    <row r="813" spans="1:25">
      <c r="A813" s="230">
        <v>15</v>
      </c>
      <c r="B813" s="231" t="str">
        <f>VLOOKUP(Tabel10[[#This Row],[Locatiecode]],Ruimtegroepen[[Code]:[Ruimte omschrijving]],2,FALSE)</f>
        <v>Keuken/pantry</v>
      </c>
      <c r="C813" s="232" t="s">
        <v>966</v>
      </c>
      <c r="D813" s="231" t="s">
        <v>14</v>
      </c>
      <c r="E813" s="233" t="s">
        <v>1344</v>
      </c>
      <c r="F813" s="232" t="s">
        <v>1439</v>
      </c>
      <c r="G813" s="281" t="s">
        <v>296</v>
      </c>
      <c r="H813" s="234" t="s">
        <v>296</v>
      </c>
      <c r="I813" s="235" t="s">
        <v>17</v>
      </c>
      <c r="J813" s="235" t="s">
        <v>296</v>
      </c>
      <c r="K813" s="235" t="s">
        <v>17</v>
      </c>
      <c r="L813" s="234" t="s">
        <v>296</v>
      </c>
      <c r="M813" s="234" t="s">
        <v>296</v>
      </c>
      <c r="N813" s="235" t="s">
        <v>296</v>
      </c>
      <c r="O813" s="236" t="s">
        <v>17</v>
      </c>
      <c r="P813" s="236" t="s">
        <v>17</v>
      </c>
      <c r="Q813" s="236" t="s">
        <v>15</v>
      </c>
      <c r="R813" s="236" t="s">
        <v>15</v>
      </c>
      <c r="S813" s="236" t="s">
        <v>16</v>
      </c>
      <c r="T813" s="236" t="s">
        <v>343</v>
      </c>
      <c r="U813" s="236" t="s">
        <v>262</v>
      </c>
      <c r="V813" s="236" t="s">
        <v>296</v>
      </c>
      <c r="W813" s="237" t="s">
        <v>296</v>
      </c>
      <c r="X813" s="237" t="s">
        <v>296</v>
      </c>
      <c r="Y813" s="238" t="s">
        <v>296</v>
      </c>
    </row>
    <row r="814" spans="1:25">
      <c r="A814" s="230">
        <v>15</v>
      </c>
      <c r="B814" s="231" t="str">
        <f>VLOOKUP(Tabel10[[#This Row],[Locatiecode]],Ruimtegroepen[[Code]:[Ruimte omschrijving]],2,FALSE)</f>
        <v>Keuken/pantry</v>
      </c>
      <c r="C814" s="232" t="s">
        <v>971</v>
      </c>
      <c r="D814" s="231" t="s">
        <v>13</v>
      </c>
      <c r="E814" s="233" t="s">
        <v>101</v>
      </c>
      <c r="F814" s="232" t="s">
        <v>972</v>
      </c>
      <c r="G814" s="281" t="s">
        <v>296</v>
      </c>
      <c r="H814" s="234" t="s">
        <v>296</v>
      </c>
      <c r="I814" s="234" t="s">
        <v>296</v>
      </c>
      <c r="J814" s="235" t="s">
        <v>15</v>
      </c>
      <c r="K814" s="235" t="s">
        <v>296</v>
      </c>
      <c r="L814" s="234" t="s">
        <v>296</v>
      </c>
      <c r="M814" s="234" t="s">
        <v>296</v>
      </c>
      <c r="N814" s="235" t="s">
        <v>296</v>
      </c>
      <c r="O814" s="236" t="s">
        <v>15</v>
      </c>
      <c r="P814" s="236" t="s">
        <v>15</v>
      </c>
      <c r="Q814" s="236" t="s">
        <v>15</v>
      </c>
      <c r="R814" s="236" t="s">
        <v>15</v>
      </c>
      <c r="S814" s="236" t="s">
        <v>16</v>
      </c>
      <c r="T814" s="236" t="s">
        <v>343</v>
      </c>
      <c r="U814" s="236" t="s">
        <v>262</v>
      </c>
      <c r="V814" s="236" t="s">
        <v>296</v>
      </c>
      <c r="W814" s="237" t="s">
        <v>296</v>
      </c>
      <c r="X814" s="237" t="s">
        <v>296</v>
      </c>
      <c r="Y814" s="238" t="s">
        <v>296</v>
      </c>
    </row>
    <row r="815" spans="1:25">
      <c r="A815" s="230">
        <v>15</v>
      </c>
      <c r="B815" s="231" t="str">
        <f>VLOOKUP(Tabel10[[#This Row],[Locatiecode]],Ruimtegroepen[[Code]:[Ruimte omschrijving]],2,FALSE)</f>
        <v>Keuken/pantry</v>
      </c>
      <c r="C815" s="232" t="s">
        <v>971</v>
      </c>
      <c r="D815" s="231" t="s">
        <v>13</v>
      </c>
      <c r="E815" s="233" t="s">
        <v>100</v>
      </c>
      <c r="F815" s="232" t="s">
        <v>973</v>
      </c>
      <c r="G815" s="281" t="s">
        <v>296</v>
      </c>
      <c r="H815" s="235" t="s">
        <v>15</v>
      </c>
      <c r="I815" s="234" t="s">
        <v>296</v>
      </c>
      <c r="J815" s="235" t="s">
        <v>296</v>
      </c>
      <c r="K815" s="235" t="s">
        <v>296</v>
      </c>
      <c r="L815" s="234" t="s">
        <v>296</v>
      </c>
      <c r="M815" s="234" t="s">
        <v>296</v>
      </c>
      <c r="N815" s="235" t="s">
        <v>296</v>
      </c>
      <c r="O815" s="236" t="s">
        <v>15</v>
      </c>
      <c r="P815" s="236" t="s">
        <v>15</v>
      </c>
      <c r="Q815" s="236" t="s">
        <v>15</v>
      </c>
      <c r="R815" s="236" t="s">
        <v>15</v>
      </c>
      <c r="S815" s="236" t="s">
        <v>16</v>
      </c>
      <c r="T815" s="236" t="s">
        <v>343</v>
      </c>
      <c r="U815" s="236" t="s">
        <v>262</v>
      </c>
      <c r="V815" s="236" t="s">
        <v>296</v>
      </c>
      <c r="W815" s="237" t="s">
        <v>296</v>
      </c>
      <c r="X815" s="237" t="s">
        <v>296</v>
      </c>
      <c r="Y815" s="238" t="s">
        <v>296</v>
      </c>
    </row>
    <row r="816" spans="1:25">
      <c r="A816" s="230">
        <v>15</v>
      </c>
      <c r="B816" s="231" t="str">
        <f>VLOOKUP(Tabel10[[#This Row],[Locatiecode]],Ruimtegroepen[[Code]:[Ruimte omschrijving]],2,FALSE)</f>
        <v>Keuken/pantry</v>
      </c>
      <c r="C816" s="232" t="s">
        <v>971</v>
      </c>
      <c r="D816" s="231" t="s">
        <v>13</v>
      </c>
      <c r="E816" s="233" t="s">
        <v>102</v>
      </c>
      <c r="F816" s="232" t="s">
        <v>974</v>
      </c>
      <c r="G816" s="281" t="s">
        <v>296</v>
      </c>
      <c r="H816" s="234" t="s">
        <v>296</v>
      </c>
      <c r="I816" s="235" t="s">
        <v>15</v>
      </c>
      <c r="J816" s="235" t="s">
        <v>296</v>
      </c>
      <c r="K816" s="235" t="s">
        <v>15</v>
      </c>
      <c r="L816" s="234" t="s">
        <v>296</v>
      </c>
      <c r="M816" s="234" t="s">
        <v>296</v>
      </c>
      <c r="N816" s="235" t="s">
        <v>296</v>
      </c>
      <c r="O816" s="236" t="s">
        <v>15</v>
      </c>
      <c r="P816" s="236" t="s">
        <v>15</v>
      </c>
      <c r="Q816" s="236" t="s">
        <v>15</v>
      </c>
      <c r="R816" s="236" t="s">
        <v>15</v>
      </c>
      <c r="S816" s="236" t="s">
        <v>16</v>
      </c>
      <c r="T816" s="236" t="s">
        <v>343</v>
      </c>
      <c r="U816" s="236" t="s">
        <v>262</v>
      </c>
      <c r="V816" s="236" t="s">
        <v>296</v>
      </c>
      <c r="W816" s="237" t="s">
        <v>296</v>
      </c>
      <c r="X816" s="237" t="s">
        <v>296</v>
      </c>
      <c r="Y816" s="238" t="s">
        <v>296</v>
      </c>
    </row>
    <row r="817" spans="1:25">
      <c r="A817" s="230">
        <v>15</v>
      </c>
      <c r="B817" s="231" t="str">
        <f>VLOOKUP(Tabel10[[#This Row],[Locatiecode]],Ruimtegroepen[[Code]:[Ruimte omschrijving]],2,FALSE)</f>
        <v>Keuken/pantry</v>
      </c>
      <c r="C817" s="232" t="s">
        <v>971</v>
      </c>
      <c r="D817" s="231" t="s">
        <v>13</v>
      </c>
      <c r="E817" s="233" t="s">
        <v>103</v>
      </c>
      <c r="F817" s="232" t="s">
        <v>975</v>
      </c>
      <c r="G817" s="281" t="s">
        <v>296</v>
      </c>
      <c r="H817" s="234" t="s">
        <v>296</v>
      </c>
      <c r="I817" s="235" t="s">
        <v>15</v>
      </c>
      <c r="J817" s="235" t="s">
        <v>296</v>
      </c>
      <c r="K817" s="235" t="s">
        <v>15</v>
      </c>
      <c r="L817" s="234" t="s">
        <v>296</v>
      </c>
      <c r="M817" s="234" t="s">
        <v>296</v>
      </c>
      <c r="N817" s="235" t="s">
        <v>296</v>
      </c>
      <c r="O817" s="236" t="s">
        <v>15</v>
      </c>
      <c r="P817" s="236" t="s">
        <v>15</v>
      </c>
      <c r="Q817" s="236" t="s">
        <v>15</v>
      </c>
      <c r="R817" s="236" t="s">
        <v>15</v>
      </c>
      <c r="S817" s="236" t="s">
        <v>16</v>
      </c>
      <c r="T817" s="236" t="s">
        <v>343</v>
      </c>
      <c r="U817" s="236" t="s">
        <v>262</v>
      </c>
      <c r="V817" s="236" t="s">
        <v>296</v>
      </c>
      <c r="W817" s="237" t="s">
        <v>296</v>
      </c>
      <c r="X817" s="237" t="s">
        <v>296</v>
      </c>
      <c r="Y817" s="238" t="s">
        <v>296</v>
      </c>
    </row>
    <row r="818" spans="1:25">
      <c r="A818" s="230">
        <v>15</v>
      </c>
      <c r="B818" s="231" t="str">
        <f>VLOOKUP(Tabel10[[#This Row],[Locatiecode]],Ruimtegroepen[[Code]:[Ruimte omschrijving]],2,FALSE)</f>
        <v>Keuken/pantry</v>
      </c>
      <c r="C818" s="232" t="s">
        <v>971</v>
      </c>
      <c r="D818" s="231" t="s">
        <v>13</v>
      </c>
      <c r="E818" s="233" t="s">
        <v>100</v>
      </c>
      <c r="F818" s="232" t="s">
        <v>973</v>
      </c>
      <c r="G818" s="281" t="s">
        <v>296</v>
      </c>
      <c r="H818" s="235" t="s">
        <v>15</v>
      </c>
      <c r="I818" s="234" t="s">
        <v>296</v>
      </c>
      <c r="J818" s="235" t="s">
        <v>296</v>
      </c>
      <c r="K818" s="235" t="s">
        <v>296</v>
      </c>
      <c r="L818" s="234" t="s">
        <v>296</v>
      </c>
      <c r="M818" s="234" t="s">
        <v>296</v>
      </c>
      <c r="N818" s="235" t="s">
        <v>296</v>
      </c>
      <c r="O818" s="236" t="s">
        <v>15</v>
      </c>
      <c r="P818" s="236" t="s">
        <v>15</v>
      </c>
      <c r="Q818" s="236" t="s">
        <v>15</v>
      </c>
      <c r="R818" s="236" t="s">
        <v>15</v>
      </c>
      <c r="S818" s="236" t="s">
        <v>16</v>
      </c>
      <c r="T818" s="236" t="s">
        <v>343</v>
      </c>
      <c r="U818" s="236" t="s">
        <v>262</v>
      </c>
      <c r="V818" s="236" t="s">
        <v>296</v>
      </c>
      <c r="W818" s="237" t="s">
        <v>296</v>
      </c>
      <c r="X818" s="237" t="s">
        <v>296</v>
      </c>
      <c r="Y818" s="238" t="s">
        <v>296</v>
      </c>
    </row>
    <row r="819" spans="1:25">
      <c r="A819" s="230">
        <v>15</v>
      </c>
      <c r="B819" s="231" t="str">
        <f>VLOOKUP(Tabel10[[#This Row],[Locatiecode]],Ruimtegroepen[[Code]:[Ruimte omschrijving]],2,FALSE)</f>
        <v>Keuken/pantry</v>
      </c>
      <c r="C819" s="232" t="s">
        <v>971</v>
      </c>
      <c r="D819" s="231" t="s">
        <v>13</v>
      </c>
      <c r="E819" s="233" t="s">
        <v>1344</v>
      </c>
      <c r="F819" s="232" t="s">
        <v>1406</v>
      </c>
      <c r="G819" s="281" t="s">
        <v>296</v>
      </c>
      <c r="H819" s="234" t="s">
        <v>296</v>
      </c>
      <c r="I819" s="235" t="s">
        <v>15</v>
      </c>
      <c r="J819" s="235" t="s">
        <v>296</v>
      </c>
      <c r="K819" s="235" t="s">
        <v>15</v>
      </c>
      <c r="L819" s="234" t="s">
        <v>296</v>
      </c>
      <c r="M819" s="234" t="s">
        <v>296</v>
      </c>
      <c r="N819" s="235" t="s">
        <v>296</v>
      </c>
      <c r="O819" s="236" t="s">
        <v>15</v>
      </c>
      <c r="P819" s="236" t="s">
        <v>15</v>
      </c>
      <c r="Q819" s="236" t="s">
        <v>15</v>
      </c>
      <c r="R819" s="236" t="s">
        <v>15</v>
      </c>
      <c r="S819" s="236" t="s">
        <v>16</v>
      </c>
      <c r="T819" s="236" t="s">
        <v>343</v>
      </c>
      <c r="U819" s="236" t="s">
        <v>262</v>
      </c>
      <c r="V819" s="236" t="s">
        <v>296</v>
      </c>
      <c r="W819" s="237" t="s">
        <v>296</v>
      </c>
      <c r="X819" s="237" t="s">
        <v>296</v>
      </c>
      <c r="Y819" s="238" t="s">
        <v>296</v>
      </c>
    </row>
    <row r="820" spans="1:25">
      <c r="A820" s="230">
        <v>15</v>
      </c>
      <c r="B820" s="231" t="str">
        <f>VLOOKUP(Tabel10[[#This Row],[Locatiecode]],Ruimtegroepen[[Code]:[Ruimte omschrijving]],2,FALSE)</f>
        <v>Keuken/pantry</v>
      </c>
      <c r="C820" s="232" t="s">
        <v>976</v>
      </c>
      <c r="D820" s="231" t="s">
        <v>0</v>
      </c>
      <c r="E820" s="233" t="s">
        <v>101</v>
      </c>
      <c r="F820" s="232" t="s">
        <v>977</v>
      </c>
      <c r="G820" s="281" t="s">
        <v>296</v>
      </c>
      <c r="H820" s="234" t="s">
        <v>296</v>
      </c>
      <c r="I820" s="234" t="s">
        <v>296</v>
      </c>
      <c r="J820" s="235" t="s">
        <v>16</v>
      </c>
      <c r="K820" s="235" t="s">
        <v>296</v>
      </c>
      <c r="L820" s="234" t="s">
        <v>296</v>
      </c>
      <c r="M820" s="234" t="s">
        <v>296</v>
      </c>
      <c r="N820" s="235" t="s">
        <v>296</v>
      </c>
      <c r="O820" s="236" t="s">
        <v>16</v>
      </c>
      <c r="P820" s="236" t="s">
        <v>16</v>
      </c>
      <c r="Q820" s="236" t="s">
        <v>16</v>
      </c>
      <c r="R820" s="236" t="s">
        <v>16</v>
      </c>
      <c r="S820" s="236" t="s">
        <v>16</v>
      </c>
      <c r="T820" s="236" t="s">
        <v>343</v>
      </c>
      <c r="U820" s="236" t="s">
        <v>262</v>
      </c>
      <c r="V820" s="236" t="s">
        <v>296</v>
      </c>
      <c r="W820" s="237" t="s">
        <v>296</v>
      </c>
      <c r="X820" s="237" t="s">
        <v>296</v>
      </c>
      <c r="Y820" s="238" t="s">
        <v>296</v>
      </c>
    </row>
    <row r="821" spans="1:25">
      <c r="A821" s="230">
        <v>15</v>
      </c>
      <c r="B821" s="231" t="str">
        <f>VLOOKUP(Tabel10[[#This Row],[Locatiecode]],Ruimtegroepen[[Code]:[Ruimte omschrijving]],2,FALSE)</f>
        <v>Keuken/pantry</v>
      </c>
      <c r="C821" s="232" t="s">
        <v>976</v>
      </c>
      <c r="D821" s="231" t="s">
        <v>0</v>
      </c>
      <c r="E821" s="233" t="s">
        <v>100</v>
      </c>
      <c r="F821" s="232" t="s">
        <v>978</v>
      </c>
      <c r="G821" s="281" t="s">
        <v>296</v>
      </c>
      <c r="H821" s="235" t="s">
        <v>16</v>
      </c>
      <c r="I821" s="234" t="s">
        <v>296</v>
      </c>
      <c r="J821" s="235" t="s">
        <v>296</v>
      </c>
      <c r="K821" s="235" t="s">
        <v>296</v>
      </c>
      <c r="L821" s="234" t="s">
        <v>296</v>
      </c>
      <c r="M821" s="234" t="s">
        <v>296</v>
      </c>
      <c r="N821" s="235" t="s">
        <v>296</v>
      </c>
      <c r="O821" s="236" t="s">
        <v>16</v>
      </c>
      <c r="P821" s="236" t="s">
        <v>16</v>
      </c>
      <c r="Q821" s="236" t="s">
        <v>16</v>
      </c>
      <c r="R821" s="236" t="s">
        <v>16</v>
      </c>
      <c r="S821" s="236" t="s">
        <v>16</v>
      </c>
      <c r="T821" s="236" t="s">
        <v>343</v>
      </c>
      <c r="U821" s="236" t="s">
        <v>262</v>
      </c>
      <c r="V821" s="236" t="s">
        <v>296</v>
      </c>
      <c r="W821" s="237" t="s">
        <v>296</v>
      </c>
      <c r="X821" s="237" t="s">
        <v>296</v>
      </c>
      <c r="Y821" s="238" t="s">
        <v>296</v>
      </c>
    </row>
    <row r="822" spans="1:25">
      <c r="A822" s="230">
        <v>15</v>
      </c>
      <c r="B822" s="231" t="str">
        <f>VLOOKUP(Tabel10[[#This Row],[Locatiecode]],Ruimtegroepen[[Code]:[Ruimte omschrijving]],2,FALSE)</f>
        <v>Keuken/pantry</v>
      </c>
      <c r="C822" s="232" t="s">
        <v>976</v>
      </c>
      <c r="D822" s="231" t="s">
        <v>0</v>
      </c>
      <c r="E822" s="233" t="s">
        <v>102</v>
      </c>
      <c r="F822" s="232" t="s">
        <v>979</v>
      </c>
      <c r="G822" s="281" t="s">
        <v>296</v>
      </c>
      <c r="H822" s="234" t="s">
        <v>296</v>
      </c>
      <c r="I822" s="235" t="s">
        <v>16</v>
      </c>
      <c r="J822" s="235" t="s">
        <v>375</v>
      </c>
      <c r="K822" s="235" t="s">
        <v>16</v>
      </c>
      <c r="L822" s="234" t="s">
        <v>296</v>
      </c>
      <c r="M822" s="234" t="s">
        <v>296</v>
      </c>
      <c r="N822" s="235" t="s">
        <v>296</v>
      </c>
      <c r="O822" s="236" t="s">
        <v>16</v>
      </c>
      <c r="P822" s="236" t="s">
        <v>16</v>
      </c>
      <c r="Q822" s="236" t="s">
        <v>16</v>
      </c>
      <c r="R822" s="236" t="s">
        <v>16</v>
      </c>
      <c r="S822" s="236" t="s">
        <v>16</v>
      </c>
      <c r="T822" s="236" t="s">
        <v>343</v>
      </c>
      <c r="U822" s="236" t="s">
        <v>262</v>
      </c>
      <c r="V822" s="236" t="s">
        <v>296</v>
      </c>
      <c r="W822" s="237" t="s">
        <v>296</v>
      </c>
      <c r="X822" s="237" t="s">
        <v>296</v>
      </c>
      <c r="Y822" s="238" t="s">
        <v>296</v>
      </c>
    </row>
    <row r="823" spans="1:25">
      <c r="A823" s="230">
        <v>15</v>
      </c>
      <c r="B823" s="231" t="str">
        <f>VLOOKUP(Tabel10[[#This Row],[Locatiecode]],Ruimtegroepen[[Code]:[Ruimte omschrijving]],2,FALSE)</f>
        <v>Keuken/pantry</v>
      </c>
      <c r="C823" s="232" t="s">
        <v>976</v>
      </c>
      <c r="D823" s="231" t="s">
        <v>0</v>
      </c>
      <c r="E823" s="233" t="s">
        <v>103</v>
      </c>
      <c r="F823" s="232" t="s">
        <v>980</v>
      </c>
      <c r="G823" s="281" t="s">
        <v>296</v>
      </c>
      <c r="H823" s="234" t="s">
        <v>296</v>
      </c>
      <c r="I823" s="235" t="s">
        <v>16</v>
      </c>
      <c r="J823" s="235" t="s">
        <v>296</v>
      </c>
      <c r="K823" s="235" t="s">
        <v>16</v>
      </c>
      <c r="L823" s="234" t="s">
        <v>296</v>
      </c>
      <c r="M823" s="234" t="s">
        <v>296</v>
      </c>
      <c r="N823" s="235" t="s">
        <v>296</v>
      </c>
      <c r="O823" s="236" t="s">
        <v>16</v>
      </c>
      <c r="P823" s="236" t="s">
        <v>16</v>
      </c>
      <c r="Q823" s="236" t="s">
        <v>16</v>
      </c>
      <c r="R823" s="236" t="s">
        <v>16</v>
      </c>
      <c r="S823" s="236" t="s">
        <v>16</v>
      </c>
      <c r="T823" s="236" t="s">
        <v>343</v>
      </c>
      <c r="U823" s="236" t="s">
        <v>262</v>
      </c>
      <c r="V823" s="236" t="s">
        <v>296</v>
      </c>
      <c r="W823" s="237" t="s">
        <v>296</v>
      </c>
      <c r="X823" s="237" t="s">
        <v>296</v>
      </c>
      <c r="Y823" s="238" t="s">
        <v>296</v>
      </c>
    </row>
    <row r="824" spans="1:25">
      <c r="A824" s="230">
        <v>15</v>
      </c>
      <c r="B824" s="231" t="str">
        <f>VLOOKUP(Tabel10[[#This Row],[Locatiecode]],Ruimtegroepen[[Code]:[Ruimte omschrijving]],2,FALSE)</f>
        <v>Keuken/pantry</v>
      </c>
      <c r="C824" s="232" t="s">
        <v>976</v>
      </c>
      <c r="D824" s="231" t="s">
        <v>0</v>
      </c>
      <c r="E824" s="233" t="s">
        <v>100</v>
      </c>
      <c r="F824" s="232" t="s">
        <v>978</v>
      </c>
      <c r="G824" s="281" t="s">
        <v>296</v>
      </c>
      <c r="H824" s="235" t="s">
        <v>16</v>
      </c>
      <c r="I824" s="234" t="s">
        <v>296</v>
      </c>
      <c r="J824" s="235" t="s">
        <v>296</v>
      </c>
      <c r="K824" s="235" t="s">
        <v>296</v>
      </c>
      <c r="L824" s="234" t="s">
        <v>296</v>
      </c>
      <c r="M824" s="234" t="s">
        <v>296</v>
      </c>
      <c r="N824" s="235" t="s">
        <v>296</v>
      </c>
      <c r="O824" s="236" t="s">
        <v>16</v>
      </c>
      <c r="P824" s="236" t="s">
        <v>16</v>
      </c>
      <c r="Q824" s="236" t="s">
        <v>16</v>
      </c>
      <c r="R824" s="236" t="s">
        <v>16</v>
      </c>
      <c r="S824" s="236" t="s">
        <v>16</v>
      </c>
      <c r="T824" s="236" t="s">
        <v>343</v>
      </c>
      <c r="U824" s="236" t="s">
        <v>262</v>
      </c>
      <c r="V824" s="236" t="s">
        <v>296</v>
      </c>
      <c r="W824" s="237" t="s">
        <v>296</v>
      </c>
      <c r="X824" s="237" t="s">
        <v>296</v>
      </c>
      <c r="Y824" s="238" t="s">
        <v>296</v>
      </c>
    </row>
    <row r="825" spans="1:25">
      <c r="A825" s="230">
        <v>15</v>
      </c>
      <c r="B825" s="231" t="str">
        <f>VLOOKUP(Tabel10[[#This Row],[Locatiecode]],Ruimtegroepen[[Code]:[Ruimte omschrijving]],2,FALSE)</f>
        <v>Keuken/pantry</v>
      </c>
      <c r="C825" s="232" t="s">
        <v>976</v>
      </c>
      <c r="D825" s="231" t="s">
        <v>0</v>
      </c>
      <c r="E825" s="233" t="s">
        <v>1344</v>
      </c>
      <c r="F825" s="232" t="s">
        <v>1390</v>
      </c>
      <c r="G825" s="281" t="s">
        <v>296</v>
      </c>
      <c r="H825" s="234" t="s">
        <v>296</v>
      </c>
      <c r="I825" s="235" t="s">
        <v>16</v>
      </c>
      <c r="J825" s="235" t="s">
        <v>296</v>
      </c>
      <c r="K825" s="235" t="s">
        <v>16</v>
      </c>
      <c r="L825" s="234" t="s">
        <v>296</v>
      </c>
      <c r="M825" s="234" t="s">
        <v>296</v>
      </c>
      <c r="N825" s="235" t="s">
        <v>296</v>
      </c>
      <c r="O825" s="236" t="s">
        <v>16</v>
      </c>
      <c r="P825" s="236" t="s">
        <v>16</v>
      </c>
      <c r="Q825" s="236" t="s">
        <v>16</v>
      </c>
      <c r="R825" s="236" t="s">
        <v>16</v>
      </c>
      <c r="S825" s="236" t="s">
        <v>16</v>
      </c>
      <c r="T825" s="236" t="s">
        <v>343</v>
      </c>
      <c r="U825" s="236" t="s">
        <v>262</v>
      </c>
      <c r="V825" s="236" t="s">
        <v>296</v>
      </c>
      <c r="W825" s="237" t="s">
        <v>296</v>
      </c>
      <c r="X825" s="237" t="s">
        <v>296</v>
      </c>
      <c r="Y825" s="238" t="s">
        <v>296</v>
      </c>
    </row>
    <row r="826" spans="1:25">
      <c r="A826" s="230">
        <v>15</v>
      </c>
      <c r="B826" s="231" t="str">
        <f>VLOOKUP(Tabel10[[#This Row],[Locatiecode]],Ruimtegroepen[[Code]:[Ruimte omschrijving]],2,FALSE)</f>
        <v>Keuken/pantry</v>
      </c>
      <c r="C826" s="232" t="s">
        <v>981</v>
      </c>
      <c r="D826" s="231" t="s">
        <v>27</v>
      </c>
      <c r="E826" s="233" t="s">
        <v>101</v>
      </c>
      <c r="F826" s="232" t="s">
        <v>982</v>
      </c>
      <c r="G826" s="281" t="s">
        <v>296</v>
      </c>
      <c r="H826" s="234" t="s">
        <v>296</v>
      </c>
      <c r="I826" s="235" t="s">
        <v>15</v>
      </c>
      <c r="J826" s="234" t="s">
        <v>296</v>
      </c>
      <c r="K826" s="235" t="s">
        <v>296</v>
      </c>
      <c r="L826" s="234" t="s">
        <v>296</v>
      </c>
      <c r="M826" s="234" t="s">
        <v>296</v>
      </c>
      <c r="N826" s="235" t="s">
        <v>296</v>
      </c>
      <c r="O826" s="236" t="s">
        <v>15</v>
      </c>
      <c r="P826" s="236" t="s">
        <v>15</v>
      </c>
      <c r="Q826" s="236" t="s">
        <v>15</v>
      </c>
      <c r="R826" s="236" t="s">
        <v>296</v>
      </c>
      <c r="S826" s="236" t="s">
        <v>296</v>
      </c>
      <c r="T826" s="236" t="s">
        <v>296</v>
      </c>
      <c r="U826" s="236" t="s">
        <v>296</v>
      </c>
      <c r="V826" s="236" t="s">
        <v>296</v>
      </c>
      <c r="W826" s="237" t="s">
        <v>296</v>
      </c>
      <c r="X826" s="237" t="s">
        <v>296</v>
      </c>
      <c r="Y826" s="238" t="s">
        <v>296</v>
      </c>
    </row>
    <row r="827" spans="1:25">
      <c r="A827" s="230">
        <v>15</v>
      </c>
      <c r="B827" s="231" t="str">
        <f>VLOOKUP(Tabel10[[#This Row],[Locatiecode]],Ruimtegroepen[[Code]:[Ruimte omschrijving]],2,FALSE)</f>
        <v>Keuken/pantry</v>
      </c>
      <c r="C827" s="232" t="s">
        <v>981</v>
      </c>
      <c r="D827" s="231" t="s">
        <v>27</v>
      </c>
      <c r="E827" s="233" t="s">
        <v>100</v>
      </c>
      <c r="F827" s="232" t="s">
        <v>983</v>
      </c>
      <c r="G827" s="281" t="s">
        <v>296</v>
      </c>
      <c r="H827" s="235" t="s">
        <v>15</v>
      </c>
      <c r="I827" s="234" t="s">
        <v>296</v>
      </c>
      <c r="J827" s="235" t="s">
        <v>296</v>
      </c>
      <c r="K827" s="235" t="s">
        <v>296</v>
      </c>
      <c r="L827" s="234" t="s">
        <v>296</v>
      </c>
      <c r="M827" s="234" t="s">
        <v>296</v>
      </c>
      <c r="N827" s="235" t="s">
        <v>296</v>
      </c>
      <c r="O827" s="236" t="s">
        <v>15</v>
      </c>
      <c r="P827" s="236" t="s">
        <v>15</v>
      </c>
      <c r="Q827" s="236" t="s">
        <v>15</v>
      </c>
      <c r="R827" s="236" t="s">
        <v>296</v>
      </c>
      <c r="S827" s="236" t="s">
        <v>296</v>
      </c>
      <c r="T827" s="236" t="s">
        <v>296</v>
      </c>
      <c r="U827" s="236" t="s">
        <v>296</v>
      </c>
      <c r="V827" s="236" t="s">
        <v>296</v>
      </c>
      <c r="W827" s="237" t="s">
        <v>296</v>
      </c>
      <c r="X827" s="237" t="s">
        <v>296</v>
      </c>
      <c r="Y827" s="238" t="s">
        <v>296</v>
      </c>
    </row>
    <row r="828" spans="1:25">
      <c r="A828" s="230">
        <v>15</v>
      </c>
      <c r="B828" s="231" t="str">
        <f>VLOOKUP(Tabel10[[#This Row],[Locatiecode]],Ruimtegroepen[[Code]:[Ruimte omschrijving]],2,FALSE)</f>
        <v>Keuken/pantry</v>
      </c>
      <c r="C828" s="232" t="s">
        <v>981</v>
      </c>
      <c r="D828" s="231" t="s">
        <v>27</v>
      </c>
      <c r="E828" s="233" t="s">
        <v>102</v>
      </c>
      <c r="F828" s="232" t="s">
        <v>984</v>
      </c>
      <c r="G828" s="281" t="s">
        <v>296</v>
      </c>
      <c r="H828" s="234" t="s">
        <v>296</v>
      </c>
      <c r="I828" s="235" t="s">
        <v>15</v>
      </c>
      <c r="J828" s="235" t="s">
        <v>296</v>
      </c>
      <c r="K828" s="235" t="s">
        <v>296</v>
      </c>
      <c r="L828" s="234" t="s">
        <v>296</v>
      </c>
      <c r="M828" s="234" t="s">
        <v>296</v>
      </c>
      <c r="N828" s="235" t="s">
        <v>296</v>
      </c>
      <c r="O828" s="236" t="s">
        <v>15</v>
      </c>
      <c r="P828" s="236" t="s">
        <v>15</v>
      </c>
      <c r="Q828" s="236" t="s">
        <v>15</v>
      </c>
      <c r="R828" s="236" t="s">
        <v>296</v>
      </c>
      <c r="S828" s="236" t="s">
        <v>296</v>
      </c>
      <c r="T828" s="236" t="s">
        <v>296</v>
      </c>
      <c r="U828" s="236" t="s">
        <v>296</v>
      </c>
      <c r="V828" s="236" t="s">
        <v>296</v>
      </c>
      <c r="W828" s="237" t="s">
        <v>296</v>
      </c>
      <c r="X828" s="237" t="s">
        <v>296</v>
      </c>
      <c r="Y828" s="238" t="s">
        <v>296</v>
      </c>
    </row>
    <row r="829" spans="1:25">
      <c r="A829" s="230">
        <v>15</v>
      </c>
      <c r="B829" s="231" t="str">
        <f>VLOOKUP(Tabel10[[#This Row],[Locatiecode]],Ruimtegroepen[[Code]:[Ruimte omschrijving]],2,FALSE)</f>
        <v>Keuken/pantry</v>
      </c>
      <c r="C829" s="232" t="s">
        <v>981</v>
      </c>
      <c r="D829" s="231" t="s">
        <v>27</v>
      </c>
      <c r="E829" s="233" t="s">
        <v>103</v>
      </c>
      <c r="F829" s="232" t="s">
        <v>985</v>
      </c>
      <c r="G829" s="281" t="s">
        <v>296</v>
      </c>
      <c r="H829" s="234" t="s">
        <v>296</v>
      </c>
      <c r="I829" s="235" t="s">
        <v>15</v>
      </c>
      <c r="J829" s="235" t="s">
        <v>296</v>
      </c>
      <c r="K829" s="235" t="s">
        <v>296</v>
      </c>
      <c r="L829" s="234" t="s">
        <v>296</v>
      </c>
      <c r="M829" s="234" t="s">
        <v>296</v>
      </c>
      <c r="N829" s="235" t="s">
        <v>296</v>
      </c>
      <c r="O829" s="236" t="s">
        <v>15</v>
      </c>
      <c r="P829" s="236" t="s">
        <v>15</v>
      </c>
      <c r="Q829" s="236" t="s">
        <v>15</v>
      </c>
      <c r="R829" s="236" t="s">
        <v>296</v>
      </c>
      <c r="S829" s="236" t="s">
        <v>296</v>
      </c>
      <c r="T829" s="236" t="s">
        <v>296</v>
      </c>
      <c r="U829" s="236" t="s">
        <v>296</v>
      </c>
      <c r="V829" s="236" t="s">
        <v>296</v>
      </c>
      <c r="W829" s="237" t="s">
        <v>296</v>
      </c>
      <c r="X829" s="237" t="s">
        <v>296</v>
      </c>
      <c r="Y829" s="238" t="s">
        <v>296</v>
      </c>
    </row>
    <row r="830" spans="1:25">
      <c r="A830" s="230">
        <v>15</v>
      </c>
      <c r="B830" s="231" t="str">
        <f>VLOOKUP(Tabel10[[#This Row],[Locatiecode]],Ruimtegroepen[[Code]:[Ruimte omschrijving]],2,FALSE)</f>
        <v>Keuken/pantry</v>
      </c>
      <c r="C830" s="232" t="s">
        <v>981</v>
      </c>
      <c r="D830" s="231" t="s">
        <v>27</v>
      </c>
      <c r="E830" s="233" t="s">
        <v>100</v>
      </c>
      <c r="F830" s="232" t="s">
        <v>983</v>
      </c>
      <c r="G830" s="281" t="s">
        <v>296</v>
      </c>
      <c r="H830" s="235" t="s">
        <v>15</v>
      </c>
      <c r="I830" s="234" t="s">
        <v>296</v>
      </c>
      <c r="J830" s="235" t="s">
        <v>296</v>
      </c>
      <c r="K830" s="235" t="s">
        <v>296</v>
      </c>
      <c r="L830" s="234" t="s">
        <v>296</v>
      </c>
      <c r="M830" s="234" t="s">
        <v>296</v>
      </c>
      <c r="N830" s="235" t="s">
        <v>296</v>
      </c>
      <c r="O830" s="236" t="s">
        <v>15</v>
      </c>
      <c r="P830" s="236" t="s">
        <v>15</v>
      </c>
      <c r="Q830" s="236" t="s">
        <v>15</v>
      </c>
      <c r="R830" s="236" t="s">
        <v>296</v>
      </c>
      <c r="S830" s="236" t="s">
        <v>296</v>
      </c>
      <c r="T830" s="236" t="s">
        <v>296</v>
      </c>
      <c r="U830" s="236" t="s">
        <v>296</v>
      </c>
      <c r="V830" s="236" t="s">
        <v>296</v>
      </c>
      <c r="W830" s="237" t="s">
        <v>296</v>
      </c>
      <c r="X830" s="237" t="s">
        <v>296</v>
      </c>
      <c r="Y830" s="238" t="s">
        <v>296</v>
      </c>
    </row>
    <row r="831" spans="1:25">
      <c r="A831" s="230">
        <v>15</v>
      </c>
      <c r="B831" s="231" t="str">
        <f>VLOOKUP(Tabel10[[#This Row],[Locatiecode]],Ruimtegroepen[[Code]:[Ruimte omschrijving]],2,FALSE)</f>
        <v>Keuken/pantry</v>
      </c>
      <c r="C831" s="232" t="s">
        <v>981</v>
      </c>
      <c r="D831" s="231" t="s">
        <v>27</v>
      </c>
      <c r="E831" s="233" t="s">
        <v>1344</v>
      </c>
      <c r="F831" s="232" t="s">
        <v>1423</v>
      </c>
      <c r="G831" s="281" t="s">
        <v>296</v>
      </c>
      <c r="H831" s="234" t="s">
        <v>296</v>
      </c>
      <c r="I831" s="235" t="s">
        <v>15</v>
      </c>
      <c r="J831" s="235" t="s">
        <v>296</v>
      </c>
      <c r="K831" s="235" t="s">
        <v>296</v>
      </c>
      <c r="L831" s="234" t="s">
        <v>296</v>
      </c>
      <c r="M831" s="234" t="s">
        <v>296</v>
      </c>
      <c r="N831" s="235" t="s">
        <v>296</v>
      </c>
      <c r="O831" s="236" t="s">
        <v>15</v>
      </c>
      <c r="P831" s="236" t="s">
        <v>15</v>
      </c>
      <c r="Q831" s="236" t="s">
        <v>15</v>
      </c>
      <c r="R831" s="236" t="s">
        <v>296</v>
      </c>
      <c r="S831" s="236" t="s">
        <v>296</v>
      </c>
      <c r="T831" s="236" t="s">
        <v>296</v>
      </c>
      <c r="U831" s="236" t="s">
        <v>296</v>
      </c>
      <c r="V831" s="236" t="s">
        <v>296</v>
      </c>
      <c r="W831" s="237" t="s">
        <v>296</v>
      </c>
      <c r="X831" s="237" t="s">
        <v>296</v>
      </c>
      <c r="Y831" s="238" t="s">
        <v>296</v>
      </c>
    </row>
    <row r="832" spans="1:25">
      <c r="A832" s="230">
        <v>15</v>
      </c>
      <c r="B832" s="231" t="str">
        <f>VLOOKUP(Tabel10[[#This Row],[Locatiecode]],Ruimtegroepen[[Code]:[Ruimte omschrijving]],2,FALSE)</f>
        <v>Keuken/pantry</v>
      </c>
      <c r="C832" s="232" t="s">
        <v>986</v>
      </c>
      <c r="D832" s="231" t="s">
        <v>28</v>
      </c>
      <c r="E832" s="233" t="s">
        <v>101</v>
      </c>
      <c r="F832" s="232" t="s">
        <v>987</v>
      </c>
      <c r="G832" s="281" t="s">
        <v>296</v>
      </c>
      <c r="H832" s="234" t="s">
        <v>296</v>
      </c>
      <c r="I832" s="235" t="s">
        <v>17</v>
      </c>
      <c r="J832" s="234" t="s">
        <v>296</v>
      </c>
      <c r="K832" s="235" t="s">
        <v>296</v>
      </c>
      <c r="L832" s="234" t="s">
        <v>296</v>
      </c>
      <c r="M832" s="234" t="s">
        <v>296</v>
      </c>
      <c r="N832" s="235" t="s">
        <v>296</v>
      </c>
      <c r="O832" s="236" t="s">
        <v>17</v>
      </c>
      <c r="P832" s="236" t="s">
        <v>17</v>
      </c>
      <c r="Q832" s="236" t="s">
        <v>15</v>
      </c>
      <c r="R832" s="236" t="s">
        <v>296</v>
      </c>
      <c r="S832" s="236" t="s">
        <v>296</v>
      </c>
      <c r="T832" s="236" t="s">
        <v>296</v>
      </c>
      <c r="U832" s="236" t="s">
        <v>296</v>
      </c>
      <c r="V832" s="236" t="s">
        <v>296</v>
      </c>
      <c r="W832" s="237" t="s">
        <v>296</v>
      </c>
      <c r="X832" s="237" t="s">
        <v>296</v>
      </c>
      <c r="Y832" s="238" t="s">
        <v>296</v>
      </c>
    </row>
    <row r="833" spans="1:25">
      <c r="A833" s="230">
        <v>15</v>
      </c>
      <c r="B833" s="231" t="str">
        <f>VLOOKUP(Tabel10[[#This Row],[Locatiecode]],Ruimtegroepen[[Code]:[Ruimte omschrijving]],2,FALSE)</f>
        <v>Keuken/pantry</v>
      </c>
      <c r="C833" s="232" t="s">
        <v>986</v>
      </c>
      <c r="D833" s="231" t="s">
        <v>28</v>
      </c>
      <c r="E833" s="233" t="s">
        <v>100</v>
      </c>
      <c r="F833" s="232" t="s">
        <v>988</v>
      </c>
      <c r="G833" s="281" t="s">
        <v>296</v>
      </c>
      <c r="H833" s="235" t="s">
        <v>17</v>
      </c>
      <c r="I833" s="234" t="s">
        <v>296</v>
      </c>
      <c r="J833" s="235" t="s">
        <v>296</v>
      </c>
      <c r="K833" s="235" t="s">
        <v>296</v>
      </c>
      <c r="L833" s="234" t="s">
        <v>296</v>
      </c>
      <c r="M833" s="234" t="s">
        <v>296</v>
      </c>
      <c r="N833" s="235" t="s">
        <v>296</v>
      </c>
      <c r="O833" s="236" t="s">
        <v>17</v>
      </c>
      <c r="P833" s="236" t="s">
        <v>17</v>
      </c>
      <c r="Q833" s="236" t="s">
        <v>15</v>
      </c>
      <c r="R833" s="236" t="s">
        <v>296</v>
      </c>
      <c r="S833" s="236" t="s">
        <v>296</v>
      </c>
      <c r="T833" s="236" t="s">
        <v>296</v>
      </c>
      <c r="U833" s="236" t="s">
        <v>296</v>
      </c>
      <c r="V833" s="236" t="s">
        <v>296</v>
      </c>
      <c r="W833" s="237" t="s">
        <v>296</v>
      </c>
      <c r="X833" s="237" t="s">
        <v>296</v>
      </c>
      <c r="Y833" s="238" t="s">
        <v>296</v>
      </c>
    </row>
    <row r="834" spans="1:25">
      <c r="A834" s="230">
        <v>15</v>
      </c>
      <c r="B834" s="231" t="str">
        <f>VLOOKUP(Tabel10[[#This Row],[Locatiecode]],Ruimtegroepen[[Code]:[Ruimte omschrijving]],2,FALSE)</f>
        <v>Keuken/pantry</v>
      </c>
      <c r="C834" s="232" t="s">
        <v>986</v>
      </c>
      <c r="D834" s="231" t="s">
        <v>28</v>
      </c>
      <c r="E834" s="233" t="s">
        <v>102</v>
      </c>
      <c r="F834" s="232" t="s">
        <v>989</v>
      </c>
      <c r="G834" s="281" t="s">
        <v>296</v>
      </c>
      <c r="H834" s="234" t="s">
        <v>296</v>
      </c>
      <c r="I834" s="235" t="s">
        <v>17</v>
      </c>
      <c r="J834" s="235" t="s">
        <v>296</v>
      </c>
      <c r="K834" s="235" t="s">
        <v>296</v>
      </c>
      <c r="L834" s="234" t="s">
        <v>296</v>
      </c>
      <c r="M834" s="234" t="s">
        <v>296</v>
      </c>
      <c r="N834" s="235" t="s">
        <v>296</v>
      </c>
      <c r="O834" s="236" t="s">
        <v>17</v>
      </c>
      <c r="P834" s="236" t="s">
        <v>17</v>
      </c>
      <c r="Q834" s="236" t="s">
        <v>15</v>
      </c>
      <c r="R834" s="236" t="s">
        <v>296</v>
      </c>
      <c r="S834" s="236" t="s">
        <v>296</v>
      </c>
      <c r="T834" s="236" t="s">
        <v>296</v>
      </c>
      <c r="U834" s="236" t="s">
        <v>296</v>
      </c>
      <c r="V834" s="236" t="s">
        <v>296</v>
      </c>
      <c r="W834" s="237" t="s">
        <v>296</v>
      </c>
      <c r="X834" s="237" t="s">
        <v>296</v>
      </c>
      <c r="Y834" s="238" t="s">
        <v>296</v>
      </c>
    </row>
    <row r="835" spans="1:25">
      <c r="A835" s="230">
        <v>15</v>
      </c>
      <c r="B835" s="231" t="str">
        <f>VLOOKUP(Tabel10[[#This Row],[Locatiecode]],Ruimtegroepen[[Code]:[Ruimte omschrijving]],2,FALSE)</f>
        <v>Keuken/pantry</v>
      </c>
      <c r="C835" s="232" t="s">
        <v>986</v>
      </c>
      <c r="D835" s="231" t="s">
        <v>28</v>
      </c>
      <c r="E835" s="233" t="s">
        <v>103</v>
      </c>
      <c r="F835" s="232" t="s">
        <v>990</v>
      </c>
      <c r="G835" s="281" t="s">
        <v>296</v>
      </c>
      <c r="H835" s="234" t="s">
        <v>296</v>
      </c>
      <c r="I835" s="235" t="s">
        <v>17</v>
      </c>
      <c r="J835" s="235" t="s">
        <v>296</v>
      </c>
      <c r="K835" s="235" t="s">
        <v>296</v>
      </c>
      <c r="L835" s="234" t="s">
        <v>296</v>
      </c>
      <c r="M835" s="234" t="s">
        <v>296</v>
      </c>
      <c r="N835" s="235" t="s">
        <v>296</v>
      </c>
      <c r="O835" s="236" t="s">
        <v>17</v>
      </c>
      <c r="P835" s="236" t="s">
        <v>17</v>
      </c>
      <c r="Q835" s="236" t="s">
        <v>15</v>
      </c>
      <c r="R835" s="236" t="s">
        <v>296</v>
      </c>
      <c r="S835" s="236" t="s">
        <v>296</v>
      </c>
      <c r="T835" s="236" t="s">
        <v>296</v>
      </c>
      <c r="U835" s="236" t="s">
        <v>296</v>
      </c>
      <c r="V835" s="236" t="s">
        <v>296</v>
      </c>
      <c r="W835" s="237" t="s">
        <v>296</v>
      </c>
      <c r="X835" s="237" t="s">
        <v>296</v>
      </c>
      <c r="Y835" s="238" t="s">
        <v>296</v>
      </c>
    </row>
    <row r="836" spans="1:25">
      <c r="A836" s="230">
        <v>15</v>
      </c>
      <c r="B836" s="231" t="str">
        <f>VLOOKUP(Tabel10[[#This Row],[Locatiecode]],Ruimtegroepen[[Code]:[Ruimte omschrijving]],2,FALSE)</f>
        <v>Keuken/pantry</v>
      </c>
      <c r="C836" s="232" t="s">
        <v>986</v>
      </c>
      <c r="D836" s="231" t="s">
        <v>28</v>
      </c>
      <c r="E836" s="233" t="s">
        <v>100</v>
      </c>
      <c r="F836" s="232" t="s">
        <v>988</v>
      </c>
      <c r="G836" s="281" t="s">
        <v>296</v>
      </c>
      <c r="H836" s="235" t="s">
        <v>17</v>
      </c>
      <c r="I836" s="234" t="s">
        <v>296</v>
      </c>
      <c r="J836" s="235" t="s">
        <v>296</v>
      </c>
      <c r="K836" s="235" t="s">
        <v>296</v>
      </c>
      <c r="L836" s="234" t="s">
        <v>296</v>
      </c>
      <c r="M836" s="234" t="s">
        <v>296</v>
      </c>
      <c r="N836" s="235" t="s">
        <v>296</v>
      </c>
      <c r="O836" s="236" t="s">
        <v>17</v>
      </c>
      <c r="P836" s="236" t="s">
        <v>17</v>
      </c>
      <c r="Q836" s="236" t="s">
        <v>15</v>
      </c>
      <c r="R836" s="236" t="s">
        <v>296</v>
      </c>
      <c r="S836" s="236" t="s">
        <v>296</v>
      </c>
      <c r="T836" s="236" t="s">
        <v>296</v>
      </c>
      <c r="U836" s="236" t="s">
        <v>296</v>
      </c>
      <c r="V836" s="236" t="s">
        <v>296</v>
      </c>
      <c r="W836" s="237" t="s">
        <v>296</v>
      </c>
      <c r="X836" s="237" t="s">
        <v>296</v>
      </c>
      <c r="Y836" s="238" t="s">
        <v>296</v>
      </c>
    </row>
    <row r="837" spans="1:25">
      <c r="A837" s="230">
        <v>15</v>
      </c>
      <c r="B837" s="231" t="str">
        <f>VLOOKUP(Tabel10[[#This Row],[Locatiecode]],Ruimtegroepen[[Code]:[Ruimte omschrijving]],2,FALSE)</f>
        <v>Keuken/pantry</v>
      </c>
      <c r="C837" s="232" t="s">
        <v>986</v>
      </c>
      <c r="D837" s="231" t="s">
        <v>28</v>
      </c>
      <c r="E837" s="233" t="s">
        <v>1344</v>
      </c>
      <c r="F837" s="232" t="s">
        <v>1456</v>
      </c>
      <c r="G837" s="281" t="s">
        <v>296</v>
      </c>
      <c r="H837" s="234" t="s">
        <v>296</v>
      </c>
      <c r="I837" s="235" t="s">
        <v>17</v>
      </c>
      <c r="J837" s="235" t="s">
        <v>296</v>
      </c>
      <c r="K837" s="235" t="s">
        <v>296</v>
      </c>
      <c r="L837" s="234" t="s">
        <v>296</v>
      </c>
      <c r="M837" s="234" t="s">
        <v>296</v>
      </c>
      <c r="N837" s="235" t="s">
        <v>296</v>
      </c>
      <c r="O837" s="236" t="s">
        <v>17</v>
      </c>
      <c r="P837" s="236" t="s">
        <v>17</v>
      </c>
      <c r="Q837" s="236" t="s">
        <v>15</v>
      </c>
      <c r="R837" s="236" t="s">
        <v>296</v>
      </c>
      <c r="S837" s="236" t="s">
        <v>296</v>
      </c>
      <c r="T837" s="236" t="s">
        <v>296</v>
      </c>
      <c r="U837" s="236" t="s">
        <v>296</v>
      </c>
      <c r="V837" s="236" t="s">
        <v>296</v>
      </c>
      <c r="W837" s="237" t="s">
        <v>296</v>
      </c>
      <c r="X837" s="237" t="s">
        <v>296</v>
      </c>
      <c r="Y837" s="238" t="s">
        <v>296</v>
      </c>
    </row>
    <row r="838" spans="1:25">
      <c r="A838" s="230">
        <v>16</v>
      </c>
      <c r="B838" s="231" t="str">
        <f>VLOOKUP(Tabel10[[#This Row],[Locatiecode]],Ruimtegroepen[[Code]:[Ruimte omschrijving]],2,FALSE)</f>
        <v>Leslokalen</v>
      </c>
      <c r="C838" s="232" t="s">
        <v>991</v>
      </c>
      <c r="D838" s="231" t="s">
        <v>29</v>
      </c>
      <c r="E838" s="233" t="s">
        <v>101</v>
      </c>
      <c r="F838" s="232" t="s">
        <v>992</v>
      </c>
      <c r="G838" s="281" t="s">
        <v>296</v>
      </c>
      <c r="H838" s="234" t="s">
        <v>296</v>
      </c>
      <c r="I838" s="234" t="s">
        <v>20</v>
      </c>
      <c r="J838" s="235" t="s">
        <v>15</v>
      </c>
      <c r="K838" s="235" t="s">
        <v>296</v>
      </c>
      <c r="L838" s="234" t="s">
        <v>296</v>
      </c>
      <c r="M838" s="234" t="s">
        <v>296</v>
      </c>
      <c r="N838" s="235" t="s">
        <v>2</v>
      </c>
      <c r="O838" s="236" t="s">
        <v>2</v>
      </c>
      <c r="P838" s="236" t="s">
        <v>2</v>
      </c>
      <c r="Q838" s="236" t="s">
        <v>15</v>
      </c>
      <c r="R838" s="236" t="s">
        <v>15</v>
      </c>
      <c r="S838" s="236" t="s">
        <v>16</v>
      </c>
      <c r="T838" s="236" t="s">
        <v>343</v>
      </c>
      <c r="U838" s="236" t="s">
        <v>262</v>
      </c>
      <c r="V838" s="236" t="s">
        <v>2</v>
      </c>
      <c r="W838" s="237" t="s">
        <v>296</v>
      </c>
      <c r="X838" s="237" t="s">
        <v>296</v>
      </c>
      <c r="Y838" s="238" t="s">
        <v>296</v>
      </c>
    </row>
    <row r="839" spans="1:25">
      <c r="A839" s="230">
        <v>16</v>
      </c>
      <c r="B839" s="231" t="str">
        <f>VLOOKUP(Tabel10[[#This Row],[Locatiecode]],Ruimtegroepen[[Code]:[Ruimte omschrijving]],2,FALSE)</f>
        <v>Leslokalen</v>
      </c>
      <c r="C839" s="232" t="s">
        <v>991</v>
      </c>
      <c r="D839" s="231" t="s">
        <v>29</v>
      </c>
      <c r="E839" s="233" t="s">
        <v>100</v>
      </c>
      <c r="F839" s="232" t="s">
        <v>993</v>
      </c>
      <c r="G839" s="235" t="s">
        <v>18</v>
      </c>
      <c r="H839" s="235" t="s">
        <v>17</v>
      </c>
      <c r="I839" s="234" t="s">
        <v>296</v>
      </c>
      <c r="J839" s="235" t="s">
        <v>296</v>
      </c>
      <c r="K839" s="235" t="s">
        <v>296</v>
      </c>
      <c r="L839" s="234" t="s">
        <v>296</v>
      </c>
      <c r="M839" s="234" t="s">
        <v>296</v>
      </c>
      <c r="N839" s="235" t="s">
        <v>2</v>
      </c>
      <c r="O839" s="236" t="s">
        <v>2</v>
      </c>
      <c r="P839" s="236" t="s">
        <v>2</v>
      </c>
      <c r="Q839" s="236" t="s">
        <v>15</v>
      </c>
      <c r="R839" s="236" t="s">
        <v>15</v>
      </c>
      <c r="S839" s="236" t="s">
        <v>16</v>
      </c>
      <c r="T839" s="236" t="s">
        <v>343</v>
      </c>
      <c r="U839" s="236" t="s">
        <v>262</v>
      </c>
      <c r="V839" s="236" t="s">
        <v>2</v>
      </c>
      <c r="W839" s="237" t="s">
        <v>296</v>
      </c>
      <c r="X839" s="237" t="s">
        <v>296</v>
      </c>
      <c r="Y839" s="238" t="s">
        <v>296</v>
      </c>
    </row>
    <row r="840" spans="1:25">
      <c r="A840" s="230">
        <v>16</v>
      </c>
      <c r="B840" s="231" t="str">
        <f>VLOOKUP(Tabel10[[#This Row],[Locatiecode]],Ruimtegroepen[[Code]:[Ruimte omschrijving]],2,FALSE)</f>
        <v>Leslokalen</v>
      </c>
      <c r="C840" s="232" t="s">
        <v>991</v>
      </c>
      <c r="D840" s="231" t="s">
        <v>29</v>
      </c>
      <c r="E840" s="233" t="s">
        <v>102</v>
      </c>
      <c r="F840" s="232" t="s">
        <v>994</v>
      </c>
      <c r="G840" s="281" t="s">
        <v>296</v>
      </c>
      <c r="H840" s="234" t="s">
        <v>296</v>
      </c>
      <c r="I840" s="234" t="s">
        <v>20</v>
      </c>
      <c r="J840" s="235" t="s">
        <v>15</v>
      </c>
      <c r="K840" s="235" t="s">
        <v>16</v>
      </c>
      <c r="L840" s="234" t="s">
        <v>296</v>
      </c>
      <c r="M840" s="234" t="s">
        <v>296</v>
      </c>
      <c r="N840" s="235" t="s">
        <v>2</v>
      </c>
      <c r="O840" s="236" t="s">
        <v>2</v>
      </c>
      <c r="P840" s="236" t="s">
        <v>2</v>
      </c>
      <c r="Q840" s="236" t="s">
        <v>15</v>
      </c>
      <c r="R840" s="236" t="s">
        <v>15</v>
      </c>
      <c r="S840" s="236" t="s">
        <v>16</v>
      </c>
      <c r="T840" s="236" t="s">
        <v>343</v>
      </c>
      <c r="U840" s="236" t="s">
        <v>262</v>
      </c>
      <c r="V840" s="236" t="s">
        <v>2</v>
      </c>
      <c r="W840" s="237" t="s">
        <v>296</v>
      </c>
      <c r="X840" s="237" t="s">
        <v>296</v>
      </c>
      <c r="Y840" s="238" t="s">
        <v>296</v>
      </c>
    </row>
    <row r="841" spans="1:25">
      <c r="A841" s="230">
        <v>16</v>
      </c>
      <c r="B841" s="231" t="str">
        <f>VLOOKUP(Tabel10[[#This Row],[Locatiecode]],Ruimtegroepen[[Code]:[Ruimte omschrijving]],2,FALSE)</f>
        <v>Leslokalen</v>
      </c>
      <c r="C841" s="232" t="s">
        <v>991</v>
      </c>
      <c r="D841" s="231" t="s">
        <v>29</v>
      </c>
      <c r="E841" s="233" t="s">
        <v>103</v>
      </c>
      <c r="F841" s="232" t="s">
        <v>995</v>
      </c>
      <c r="G841" s="281" t="s">
        <v>296</v>
      </c>
      <c r="H841" s="234" t="s">
        <v>296</v>
      </c>
      <c r="I841" s="234" t="s">
        <v>20</v>
      </c>
      <c r="J841" s="235" t="s">
        <v>15</v>
      </c>
      <c r="K841" s="235" t="s">
        <v>16</v>
      </c>
      <c r="L841" s="234" t="s">
        <v>296</v>
      </c>
      <c r="M841" s="234" t="s">
        <v>296</v>
      </c>
      <c r="N841" s="235" t="s">
        <v>2</v>
      </c>
      <c r="O841" s="236" t="s">
        <v>2</v>
      </c>
      <c r="P841" s="236" t="s">
        <v>2</v>
      </c>
      <c r="Q841" s="236" t="s">
        <v>15</v>
      </c>
      <c r="R841" s="236" t="s">
        <v>15</v>
      </c>
      <c r="S841" s="236" t="s">
        <v>16</v>
      </c>
      <c r="T841" s="236" t="s">
        <v>343</v>
      </c>
      <c r="U841" s="236" t="s">
        <v>262</v>
      </c>
      <c r="V841" s="236" t="s">
        <v>2</v>
      </c>
      <c r="W841" s="237" t="s">
        <v>296</v>
      </c>
      <c r="X841" s="237" t="s">
        <v>296</v>
      </c>
      <c r="Y841" s="238" t="s">
        <v>296</v>
      </c>
    </row>
    <row r="842" spans="1:25">
      <c r="A842" s="230">
        <v>16</v>
      </c>
      <c r="B842" s="231" t="str">
        <f>VLOOKUP(Tabel10[[#This Row],[Locatiecode]],Ruimtegroepen[[Code]:[Ruimte omschrijving]],2,FALSE)</f>
        <v>Leslokalen</v>
      </c>
      <c r="C842" s="232" t="s">
        <v>991</v>
      </c>
      <c r="D842" s="231" t="s">
        <v>29</v>
      </c>
      <c r="E842" s="233" t="s">
        <v>100</v>
      </c>
      <c r="F842" s="232" t="s">
        <v>993</v>
      </c>
      <c r="G842" s="235" t="s">
        <v>18</v>
      </c>
      <c r="H842" s="235" t="s">
        <v>17</v>
      </c>
      <c r="I842" s="234" t="s">
        <v>296</v>
      </c>
      <c r="J842" s="235" t="s">
        <v>296</v>
      </c>
      <c r="K842" s="235" t="s">
        <v>296</v>
      </c>
      <c r="L842" s="234" t="s">
        <v>296</v>
      </c>
      <c r="M842" s="234" t="s">
        <v>296</v>
      </c>
      <c r="N842" s="235" t="s">
        <v>296</v>
      </c>
      <c r="O842" s="236" t="s">
        <v>296</v>
      </c>
      <c r="P842" s="236" t="s">
        <v>296</v>
      </c>
      <c r="Q842" s="236" t="s">
        <v>296</v>
      </c>
      <c r="R842" s="236" t="s">
        <v>296</v>
      </c>
      <c r="S842" s="236" t="s">
        <v>296</v>
      </c>
      <c r="T842" s="236" t="s">
        <v>296</v>
      </c>
      <c r="U842" s="236" t="s">
        <v>296</v>
      </c>
      <c r="V842" s="236" t="s">
        <v>296</v>
      </c>
      <c r="W842" s="237" t="s">
        <v>296</v>
      </c>
      <c r="X842" s="237" t="s">
        <v>296</v>
      </c>
      <c r="Y842" s="238" t="s">
        <v>296</v>
      </c>
    </row>
    <row r="843" spans="1:25">
      <c r="A843" s="230">
        <v>16</v>
      </c>
      <c r="B843" s="231" t="str">
        <f>VLOOKUP(Tabel10[[#This Row],[Locatiecode]],Ruimtegroepen[[Code]:[Ruimte omschrijving]],2,FALSE)</f>
        <v>Leslokalen</v>
      </c>
      <c r="C843" s="232" t="s">
        <v>991</v>
      </c>
      <c r="D843" s="231" t="s">
        <v>29</v>
      </c>
      <c r="E843" s="233" t="s">
        <v>1344</v>
      </c>
      <c r="F843" s="232" t="s">
        <v>1524</v>
      </c>
      <c r="G843" s="281" t="s">
        <v>296</v>
      </c>
      <c r="H843" s="234" t="s">
        <v>296</v>
      </c>
      <c r="I843" s="234" t="s">
        <v>20</v>
      </c>
      <c r="J843" s="235" t="s">
        <v>15</v>
      </c>
      <c r="K843" s="235" t="s">
        <v>16</v>
      </c>
      <c r="L843" s="234" t="s">
        <v>296</v>
      </c>
      <c r="M843" s="234" t="s">
        <v>296</v>
      </c>
      <c r="N843" s="235" t="s">
        <v>2</v>
      </c>
      <c r="O843" s="236" t="s">
        <v>2</v>
      </c>
      <c r="P843" s="236" t="s">
        <v>2</v>
      </c>
      <c r="Q843" s="236" t="s">
        <v>15</v>
      </c>
      <c r="R843" s="236" t="s">
        <v>15</v>
      </c>
      <c r="S843" s="236" t="s">
        <v>16</v>
      </c>
      <c r="T843" s="236" t="s">
        <v>343</v>
      </c>
      <c r="U843" s="236" t="s">
        <v>262</v>
      </c>
      <c r="V843" s="236" t="s">
        <v>2</v>
      </c>
      <c r="W843" s="237" t="s">
        <v>296</v>
      </c>
      <c r="X843" s="237" t="s">
        <v>296</v>
      </c>
      <c r="Y843" s="238" t="s">
        <v>296</v>
      </c>
    </row>
    <row r="844" spans="1:25">
      <c r="A844" s="230">
        <v>16</v>
      </c>
      <c r="B844" s="231" t="str">
        <f>VLOOKUP(Tabel10[[#This Row],[Locatiecode]],Ruimtegroepen[[Code]:[Ruimte omschrijving]],2,FALSE)</f>
        <v>Leslokalen</v>
      </c>
      <c r="C844" s="232" t="s">
        <v>996</v>
      </c>
      <c r="D844" s="231" t="s">
        <v>1</v>
      </c>
      <c r="E844" s="233" t="s">
        <v>101</v>
      </c>
      <c r="F844" s="232" t="s">
        <v>997</v>
      </c>
      <c r="G844" s="281" t="s">
        <v>296</v>
      </c>
      <c r="H844" s="234" t="s">
        <v>296</v>
      </c>
      <c r="I844" s="234" t="s">
        <v>20</v>
      </c>
      <c r="J844" s="235" t="s">
        <v>15</v>
      </c>
      <c r="K844" s="235" t="s">
        <v>296</v>
      </c>
      <c r="L844" s="234" t="s">
        <v>296</v>
      </c>
      <c r="M844" s="234" t="s">
        <v>296</v>
      </c>
      <c r="N844" s="235" t="s">
        <v>296</v>
      </c>
      <c r="O844" s="236" t="s">
        <v>2</v>
      </c>
      <c r="P844" s="236" t="s">
        <v>2</v>
      </c>
      <c r="Q844" s="236" t="s">
        <v>15</v>
      </c>
      <c r="R844" s="236" t="s">
        <v>15</v>
      </c>
      <c r="S844" s="236" t="s">
        <v>16</v>
      </c>
      <c r="T844" s="236" t="s">
        <v>343</v>
      </c>
      <c r="U844" s="236" t="s">
        <v>262</v>
      </c>
      <c r="V844" s="236" t="s">
        <v>296</v>
      </c>
      <c r="W844" s="237" t="s">
        <v>296</v>
      </c>
      <c r="X844" s="237" t="s">
        <v>296</v>
      </c>
      <c r="Y844" s="238" t="s">
        <v>296</v>
      </c>
    </row>
    <row r="845" spans="1:25">
      <c r="A845" s="230">
        <v>16</v>
      </c>
      <c r="B845" s="231" t="str">
        <f>VLOOKUP(Tabel10[[#This Row],[Locatiecode]],Ruimtegroepen[[Code]:[Ruimte omschrijving]],2,FALSE)</f>
        <v>Leslokalen</v>
      </c>
      <c r="C845" s="232" t="s">
        <v>996</v>
      </c>
      <c r="D845" s="231" t="s">
        <v>1</v>
      </c>
      <c r="E845" s="233" t="s">
        <v>100</v>
      </c>
      <c r="F845" s="232" t="s">
        <v>998</v>
      </c>
      <c r="G845" s="235" t="s">
        <v>18</v>
      </c>
      <c r="H845" s="235" t="s">
        <v>17</v>
      </c>
      <c r="I845" s="234" t="s">
        <v>296</v>
      </c>
      <c r="J845" s="235" t="s">
        <v>296</v>
      </c>
      <c r="K845" s="235" t="s">
        <v>296</v>
      </c>
      <c r="L845" s="234" t="s">
        <v>296</v>
      </c>
      <c r="M845" s="234" t="s">
        <v>296</v>
      </c>
      <c r="N845" s="235" t="s">
        <v>296</v>
      </c>
      <c r="O845" s="236" t="s">
        <v>2</v>
      </c>
      <c r="P845" s="236" t="s">
        <v>2</v>
      </c>
      <c r="Q845" s="236" t="s">
        <v>15</v>
      </c>
      <c r="R845" s="236" t="s">
        <v>15</v>
      </c>
      <c r="S845" s="236" t="s">
        <v>16</v>
      </c>
      <c r="T845" s="236" t="s">
        <v>343</v>
      </c>
      <c r="U845" s="236" t="s">
        <v>262</v>
      </c>
      <c r="V845" s="236" t="s">
        <v>296</v>
      </c>
      <c r="W845" s="237" t="s">
        <v>296</v>
      </c>
      <c r="X845" s="237" t="s">
        <v>296</v>
      </c>
      <c r="Y845" s="238" t="s">
        <v>296</v>
      </c>
    </row>
    <row r="846" spans="1:25">
      <c r="A846" s="230">
        <v>16</v>
      </c>
      <c r="B846" s="231" t="str">
        <f>VLOOKUP(Tabel10[[#This Row],[Locatiecode]],Ruimtegroepen[[Code]:[Ruimte omschrijving]],2,FALSE)</f>
        <v>Leslokalen</v>
      </c>
      <c r="C846" s="232" t="s">
        <v>996</v>
      </c>
      <c r="D846" s="231" t="s">
        <v>1</v>
      </c>
      <c r="E846" s="233" t="s">
        <v>102</v>
      </c>
      <c r="F846" s="232" t="s">
        <v>999</v>
      </c>
      <c r="G846" s="281" t="s">
        <v>296</v>
      </c>
      <c r="H846" s="234" t="s">
        <v>296</v>
      </c>
      <c r="I846" s="234" t="s">
        <v>20</v>
      </c>
      <c r="J846" s="235" t="s">
        <v>15</v>
      </c>
      <c r="K846" s="235" t="s">
        <v>16</v>
      </c>
      <c r="L846" s="234" t="s">
        <v>296</v>
      </c>
      <c r="M846" s="234" t="s">
        <v>296</v>
      </c>
      <c r="N846" s="235" t="s">
        <v>296</v>
      </c>
      <c r="O846" s="236" t="s">
        <v>2</v>
      </c>
      <c r="P846" s="236" t="s">
        <v>2</v>
      </c>
      <c r="Q846" s="236" t="s">
        <v>15</v>
      </c>
      <c r="R846" s="236" t="s">
        <v>15</v>
      </c>
      <c r="S846" s="236" t="s">
        <v>16</v>
      </c>
      <c r="T846" s="236" t="s">
        <v>343</v>
      </c>
      <c r="U846" s="236" t="s">
        <v>262</v>
      </c>
      <c r="V846" s="236" t="s">
        <v>296</v>
      </c>
      <c r="W846" s="237" t="s">
        <v>296</v>
      </c>
      <c r="X846" s="237" t="s">
        <v>296</v>
      </c>
      <c r="Y846" s="238" t="s">
        <v>296</v>
      </c>
    </row>
    <row r="847" spans="1:25">
      <c r="A847" s="230">
        <v>16</v>
      </c>
      <c r="B847" s="231" t="str">
        <f>VLOOKUP(Tabel10[[#This Row],[Locatiecode]],Ruimtegroepen[[Code]:[Ruimte omschrijving]],2,FALSE)</f>
        <v>Leslokalen</v>
      </c>
      <c r="C847" s="232" t="s">
        <v>996</v>
      </c>
      <c r="D847" s="231" t="s">
        <v>1</v>
      </c>
      <c r="E847" s="233" t="s">
        <v>103</v>
      </c>
      <c r="F847" s="232" t="s">
        <v>1000</v>
      </c>
      <c r="G847" s="281" t="s">
        <v>296</v>
      </c>
      <c r="H847" s="234" t="s">
        <v>296</v>
      </c>
      <c r="I847" s="234" t="s">
        <v>20</v>
      </c>
      <c r="J847" s="235" t="s">
        <v>15</v>
      </c>
      <c r="K847" s="235" t="s">
        <v>16</v>
      </c>
      <c r="L847" s="234" t="s">
        <v>296</v>
      </c>
      <c r="M847" s="234" t="s">
        <v>296</v>
      </c>
      <c r="N847" s="235" t="s">
        <v>296</v>
      </c>
      <c r="O847" s="236" t="s">
        <v>2</v>
      </c>
      <c r="P847" s="236" t="s">
        <v>2</v>
      </c>
      <c r="Q847" s="236" t="s">
        <v>15</v>
      </c>
      <c r="R847" s="236" t="s">
        <v>15</v>
      </c>
      <c r="S847" s="236" t="s">
        <v>16</v>
      </c>
      <c r="T847" s="236" t="s">
        <v>343</v>
      </c>
      <c r="U847" s="236" t="s">
        <v>262</v>
      </c>
      <c r="V847" s="236" t="s">
        <v>296</v>
      </c>
      <c r="W847" s="237" t="s">
        <v>296</v>
      </c>
      <c r="X847" s="237" t="s">
        <v>296</v>
      </c>
      <c r="Y847" s="238" t="s">
        <v>296</v>
      </c>
    </row>
    <row r="848" spans="1:25">
      <c r="A848" s="230">
        <v>16</v>
      </c>
      <c r="B848" s="231" t="str">
        <f>VLOOKUP(Tabel10[[#This Row],[Locatiecode]],Ruimtegroepen[[Code]:[Ruimte omschrijving]],2,FALSE)</f>
        <v>Leslokalen</v>
      </c>
      <c r="C848" s="232" t="s">
        <v>996</v>
      </c>
      <c r="D848" s="231" t="s">
        <v>1</v>
      </c>
      <c r="E848" s="233" t="s">
        <v>100</v>
      </c>
      <c r="F848" s="232" t="s">
        <v>998</v>
      </c>
      <c r="G848" s="235" t="s">
        <v>18</v>
      </c>
      <c r="H848" s="235" t="s">
        <v>17</v>
      </c>
      <c r="I848" s="234" t="s">
        <v>296</v>
      </c>
      <c r="J848" s="235" t="s">
        <v>296</v>
      </c>
      <c r="K848" s="235" t="s">
        <v>296</v>
      </c>
      <c r="L848" s="234" t="s">
        <v>296</v>
      </c>
      <c r="M848" s="234" t="s">
        <v>296</v>
      </c>
      <c r="N848" s="235" t="s">
        <v>296</v>
      </c>
      <c r="O848" s="236" t="s">
        <v>2</v>
      </c>
      <c r="P848" s="236" t="s">
        <v>2</v>
      </c>
      <c r="Q848" s="236" t="s">
        <v>15</v>
      </c>
      <c r="R848" s="236" t="s">
        <v>15</v>
      </c>
      <c r="S848" s="236" t="s">
        <v>16</v>
      </c>
      <c r="T848" s="236" t="s">
        <v>343</v>
      </c>
      <c r="U848" s="236" t="s">
        <v>262</v>
      </c>
      <c r="V848" s="236" t="s">
        <v>296</v>
      </c>
      <c r="W848" s="237" t="s">
        <v>296</v>
      </c>
      <c r="X848" s="237" t="s">
        <v>296</v>
      </c>
      <c r="Y848" s="238" t="s">
        <v>296</v>
      </c>
    </row>
    <row r="849" spans="1:25">
      <c r="A849" s="230">
        <v>16</v>
      </c>
      <c r="B849" s="231" t="str">
        <f>VLOOKUP(Tabel10[[#This Row],[Locatiecode]],Ruimtegroepen[[Code]:[Ruimte omschrijving]],2,FALSE)</f>
        <v>Leslokalen</v>
      </c>
      <c r="C849" s="232" t="s">
        <v>996</v>
      </c>
      <c r="D849" s="231" t="s">
        <v>1</v>
      </c>
      <c r="E849" s="233" t="s">
        <v>1344</v>
      </c>
      <c r="F849" s="232" t="s">
        <v>1508</v>
      </c>
      <c r="G849" s="281" t="s">
        <v>296</v>
      </c>
      <c r="H849" s="234" t="s">
        <v>296</v>
      </c>
      <c r="I849" s="234" t="s">
        <v>20</v>
      </c>
      <c r="J849" s="235" t="s">
        <v>15</v>
      </c>
      <c r="K849" s="235" t="s">
        <v>16</v>
      </c>
      <c r="L849" s="234" t="s">
        <v>296</v>
      </c>
      <c r="M849" s="234" t="s">
        <v>296</v>
      </c>
      <c r="N849" s="235" t="s">
        <v>296</v>
      </c>
      <c r="O849" s="236" t="s">
        <v>2</v>
      </c>
      <c r="P849" s="236" t="s">
        <v>2</v>
      </c>
      <c r="Q849" s="236" t="s">
        <v>15</v>
      </c>
      <c r="R849" s="236" t="s">
        <v>15</v>
      </c>
      <c r="S849" s="236" t="s">
        <v>16</v>
      </c>
      <c r="T849" s="236" t="s">
        <v>343</v>
      </c>
      <c r="U849" s="236" t="s">
        <v>262</v>
      </c>
      <c r="V849" s="236" t="s">
        <v>296</v>
      </c>
      <c r="W849" s="237" t="s">
        <v>296</v>
      </c>
      <c r="X849" s="237" t="s">
        <v>296</v>
      </c>
      <c r="Y849" s="238" t="s">
        <v>296</v>
      </c>
    </row>
    <row r="850" spans="1:25">
      <c r="A850" s="230">
        <v>16</v>
      </c>
      <c r="B850" s="231" t="str">
        <f>VLOOKUP(Tabel10[[#This Row],[Locatiecode]],Ruimtegroepen[[Code]:[Ruimte omschrijving]],2,FALSE)</f>
        <v>Leslokalen</v>
      </c>
      <c r="C850" s="232" t="s">
        <v>1001</v>
      </c>
      <c r="D850" s="231" t="s">
        <v>21</v>
      </c>
      <c r="E850" s="233" t="s">
        <v>101</v>
      </c>
      <c r="F850" s="232" t="s">
        <v>1002</v>
      </c>
      <c r="G850" s="281" t="s">
        <v>296</v>
      </c>
      <c r="H850" s="234" t="s">
        <v>296</v>
      </c>
      <c r="I850" s="234" t="s">
        <v>18</v>
      </c>
      <c r="J850" s="235" t="s">
        <v>15</v>
      </c>
      <c r="K850" s="235" t="s">
        <v>296</v>
      </c>
      <c r="L850" s="234" t="s">
        <v>296</v>
      </c>
      <c r="M850" s="234" t="s">
        <v>296</v>
      </c>
      <c r="N850" s="235" t="s">
        <v>296</v>
      </c>
      <c r="O850" s="236" t="s">
        <v>20</v>
      </c>
      <c r="P850" s="236" t="s">
        <v>20</v>
      </c>
      <c r="Q850" s="236" t="s">
        <v>15</v>
      </c>
      <c r="R850" s="236" t="s">
        <v>15</v>
      </c>
      <c r="S850" s="236" t="s">
        <v>16</v>
      </c>
      <c r="T850" s="236" t="s">
        <v>343</v>
      </c>
      <c r="U850" s="236" t="s">
        <v>262</v>
      </c>
      <c r="V850" s="236" t="s">
        <v>296</v>
      </c>
      <c r="W850" s="237" t="s">
        <v>296</v>
      </c>
      <c r="X850" s="237" t="s">
        <v>296</v>
      </c>
      <c r="Y850" s="238" t="s">
        <v>296</v>
      </c>
    </row>
    <row r="851" spans="1:25">
      <c r="A851" s="230">
        <v>16</v>
      </c>
      <c r="B851" s="231" t="str">
        <f>VLOOKUP(Tabel10[[#This Row],[Locatiecode]],Ruimtegroepen[[Code]:[Ruimte omschrijving]],2,FALSE)</f>
        <v>Leslokalen</v>
      </c>
      <c r="C851" s="232" t="s">
        <v>1001</v>
      </c>
      <c r="D851" s="231" t="s">
        <v>21</v>
      </c>
      <c r="E851" s="233" t="s">
        <v>100</v>
      </c>
      <c r="F851" s="232" t="s">
        <v>1003</v>
      </c>
      <c r="G851" s="235" t="s">
        <v>17</v>
      </c>
      <c r="H851" s="235" t="s">
        <v>17</v>
      </c>
      <c r="I851" s="234" t="s">
        <v>296</v>
      </c>
      <c r="J851" s="235" t="s">
        <v>296</v>
      </c>
      <c r="K851" s="235" t="s">
        <v>296</v>
      </c>
      <c r="L851" s="234" t="s">
        <v>296</v>
      </c>
      <c r="M851" s="234" t="s">
        <v>296</v>
      </c>
      <c r="N851" s="235" t="s">
        <v>296</v>
      </c>
      <c r="O851" s="236" t="s">
        <v>20</v>
      </c>
      <c r="P851" s="236" t="s">
        <v>20</v>
      </c>
      <c r="Q851" s="236" t="s">
        <v>15</v>
      </c>
      <c r="R851" s="236" t="s">
        <v>15</v>
      </c>
      <c r="S851" s="236" t="s">
        <v>16</v>
      </c>
      <c r="T851" s="236" t="s">
        <v>343</v>
      </c>
      <c r="U851" s="236" t="s">
        <v>262</v>
      </c>
      <c r="V851" s="236" t="s">
        <v>296</v>
      </c>
      <c r="W851" s="237" t="s">
        <v>296</v>
      </c>
      <c r="X851" s="237" t="s">
        <v>296</v>
      </c>
      <c r="Y851" s="238" t="s">
        <v>296</v>
      </c>
    </row>
    <row r="852" spans="1:25">
      <c r="A852" s="230">
        <v>16</v>
      </c>
      <c r="B852" s="231" t="str">
        <f>VLOOKUP(Tabel10[[#This Row],[Locatiecode]],Ruimtegroepen[[Code]:[Ruimte omschrijving]],2,FALSE)</f>
        <v>Leslokalen</v>
      </c>
      <c r="C852" s="232" t="s">
        <v>1001</v>
      </c>
      <c r="D852" s="231" t="s">
        <v>21</v>
      </c>
      <c r="E852" s="233" t="s">
        <v>102</v>
      </c>
      <c r="F852" s="232" t="s">
        <v>1004</v>
      </c>
      <c r="G852" s="281" t="s">
        <v>296</v>
      </c>
      <c r="H852" s="234" t="s">
        <v>296</v>
      </c>
      <c r="I852" s="234" t="s">
        <v>18</v>
      </c>
      <c r="J852" s="234" t="s">
        <v>15</v>
      </c>
      <c r="K852" s="235" t="s">
        <v>16</v>
      </c>
      <c r="L852" s="234" t="s">
        <v>296</v>
      </c>
      <c r="M852" s="234" t="s">
        <v>296</v>
      </c>
      <c r="N852" s="235" t="s">
        <v>296</v>
      </c>
      <c r="O852" s="236" t="s">
        <v>20</v>
      </c>
      <c r="P852" s="236" t="s">
        <v>20</v>
      </c>
      <c r="Q852" s="236" t="s">
        <v>15</v>
      </c>
      <c r="R852" s="236" t="s">
        <v>15</v>
      </c>
      <c r="S852" s="236" t="s">
        <v>16</v>
      </c>
      <c r="T852" s="236" t="s">
        <v>343</v>
      </c>
      <c r="U852" s="236" t="s">
        <v>262</v>
      </c>
      <c r="V852" s="236" t="s">
        <v>296</v>
      </c>
      <c r="W852" s="237" t="s">
        <v>296</v>
      </c>
      <c r="X852" s="237" t="s">
        <v>296</v>
      </c>
      <c r="Y852" s="238" t="s">
        <v>296</v>
      </c>
    </row>
    <row r="853" spans="1:25">
      <c r="A853" s="230">
        <v>16</v>
      </c>
      <c r="B853" s="231" t="str">
        <f>VLOOKUP(Tabel10[[#This Row],[Locatiecode]],Ruimtegroepen[[Code]:[Ruimte omschrijving]],2,FALSE)</f>
        <v>Leslokalen</v>
      </c>
      <c r="C853" s="232" t="s">
        <v>1001</v>
      </c>
      <c r="D853" s="231" t="s">
        <v>21</v>
      </c>
      <c r="E853" s="233" t="s">
        <v>103</v>
      </c>
      <c r="F853" s="232" t="s">
        <v>1005</v>
      </c>
      <c r="G853" s="281" t="s">
        <v>296</v>
      </c>
      <c r="H853" s="234" t="s">
        <v>296</v>
      </c>
      <c r="I853" s="234" t="s">
        <v>18</v>
      </c>
      <c r="J853" s="235" t="s">
        <v>15</v>
      </c>
      <c r="K853" s="235" t="s">
        <v>16</v>
      </c>
      <c r="L853" s="234" t="s">
        <v>296</v>
      </c>
      <c r="M853" s="234" t="s">
        <v>296</v>
      </c>
      <c r="N853" s="235" t="s">
        <v>296</v>
      </c>
      <c r="O853" s="236" t="s">
        <v>20</v>
      </c>
      <c r="P853" s="236" t="s">
        <v>20</v>
      </c>
      <c r="Q853" s="236" t="s">
        <v>15</v>
      </c>
      <c r="R853" s="236" t="s">
        <v>15</v>
      </c>
      <c r="S853" s="236" t="s">
        <v>16</v>
      </c>
      <c r="T853" s="236" t="s">
        <v>343</v>
      </c>
      <c r="U853" s="236" t="s">
        <v>262</v>
      </c>
      <c r="V853" s="236" t="s">
        <v>296</v>
      </c>
      <c r="W853" s="237" t="s">
        <v>296</v>
      </c>
      <c r="X853" s="237" t="s">
        <v>296</v>
      </c>
      <c r="Y853" s="238" t="s">
        <v>296</v>
      </c>
    </row>
    <row r="854" spans="1:25">
      <c r="A854" s="230">
        <v>16</v>
      </c>
      <c r="B854" s="231" t="str">
        <f>VLOOKUP(Tabel10[[#This Row],[Locatiecode]],Ruimtegroepen[[Code]:[Ruimte omschrijving]],2,FALSE)</f>
        <v>Leslokalen</v>
      </c>
      <c r="C854" s="232" t="s">
        <v>1001</v>
      </c>
      <c r="D854" s="231" t="s">
        <v>21</v>
      </c>
      <c r="E854" s="233" t="s">
        <v>100</v>
      </c>
      <c r="F854" s="232" t="s">
        <v>1003</v>
      </c>
      <c r="G854" s="235" t="s">
        <v>17</v>
      </c>
      <c r="H854" s="235" t="s">
        <v>17</v>
      </c>
      <c r="I854" s="234" t="s">
        <v>296</v>
      </c>
      <c r="J854" s="235" t="s">
        <v>296</v>
      </c>
      <c r="K854" s="235" t="s">
        <v>296</v>
      </c>
      <c r="L854" s="234" t="s">
        <v>296</v>
      </c>
      <c r="M854" s="234" t="s">
        <v>296</v>
      </c>
      <c r="N854" s="235" t="s">
        <v>296</v>
      </c>
      <c r="O854" s="236" t="s">
        <v>296</v>
      </c>
      <c r="P854" s="236" t="s">
        <v>296</v>
      </c>
      <c r="Q854" s="236" t="s">
        <v>296</v>
      </c>
      <c r="R854" s="236" t="s">
        <v>296</v>
      </c>
      <c r="S854" s="236" t="s">
        <v>296</v>
      </c>
      <c r="T854" s="236" t="s">
        <v>296</v>
      </c>
      <c r="U854" s="236" t="s">
        <v>296</v>
      </c>
      <c r="V854" s="236" t="s">
        <v>296</v>
      </c>
      <c r="W854" s="237" t="s">
        <v>296</v>
      </c>
      <c r="X854" s="237" t="s">
        <v>296</v>
      </c>
      <c r="Y854" s="238" t="s">
        <v>296</v>
      </c>
    </row>
    <row r="855" spans="1:25">
      <c r="A855" s="230">
        <v>16</v>
      </c>
      <c r="B855" s="231" t="str">
        <f>VLOOKUP(Tabel10[[#This Row],[Locatiecode]],Ruimtegroepen[[Code]:[Ruimte omschrijving]],2,FALSE)</f>
        <v>Leslokalen</v>
      </c>
      <c r="C855" s="232" t="s">
        <v>1001</v>
      </c>
      <c r="D855" s="231" t="s">
        <v>21</v>
      </c>
      <c r="E855" s="233" t="s">
        <v>1344</v>
      </c>
      <c r="F855" s="232" t="s">
        <v>1491</v>
      </c>
      <c r="G855" s="281" t="s">
        <v>296</v>
      </c>
      <c r="H855" s="234" t="s">
        <v>296</v>
      </c>
      <c r="I855" s="234" t="s">
        <v>18</v>
      </c>
      <c r="J855" s="235" t="s">
        <v>15</v>
      </c>
      <c r="K855" s="235" t="s">
        <v>16</v>
      </c>
      <c r="L855" s="234" t="s">
        <v>296</v>
      </c>
      <c r="M855" s="234" t="s">
        <v>296</v>
      </c>
      <c r="N855" s="235" t="s">
        <v>296</v>
      </c>
      <c r="O855" s="236" t="s">
        <v>20</v>
      </c>
      <c r="P855" s="236" t="s">
        <v>20</v>
      </c>
      <c r="Q855" s="236" t="s">
        <v>15</v>
      </c>
      <c r="R855" s="236" t="s">
        <v>15</v>
      </c>
      <c r="S855" s="236" t="s">
        <v>16</v>
      </c>
      <c r="T855" s="236" t="s">
        <v>343</v>
      </c>
      <c r="U855" s="236" t="s">
        <v>262</v>
      </c>
      <c r="V855" s="236" t="s">
        <v>296</v>
      </c>
      <c r="W855" s="237" t="s">
        <v>296</v>
      </c>
      <c r="X855" s="237" t="s">
        <v>296</v>
      </c>
      <c r="Y855" s="238" t="s">
        <v>296</v>
      </c>
    </row>
    <row r="856" spans="1:25">
      <c r="A856" s="230">
        <v>16</v>
      </c>
      <c r="B856" s="231" t="str">
        <f>VLOOKUP(Tabel10[[#This Row],[Locatiecode]],Ruimtegroepen[[Code]:[Ruimte omschrijving]],2,FALSE)</f>
        <v>Leslokalen</v>
      </c>
      <c r="C856" s="232" t="s">
        <v>1006</v>
      </c>
      <c r="D856" s="231" t="s">
        <v>12</v>
      </c>
      <c r="E856" s="233" t="s">
        <v>101</v>
      </c>
      <c r="F856" s="232" t="s">
        <v>1007</v>
      </c>
      <c r="G856" s="281" t="s">
        <v>296</v>
      </c>
      <c r="H856" s="234" t="s">
        <v>296</v>
      </c>
      <c r="I856" s="234" t="s">
        <v>17</v>
      </c>
      <c r="J856" s="235" t="s">
        <v>15</v>
      </c>
      <c r="K856" s="235" t="s">
        <v>296</v>
      </c>
      <c r="L856" s="234" t="s">
        <v>296</v>
      </c>
      <c r="M856" s="234" t="s">
        <v>296</v>
      </c>
      <c r="N856" s="235" t="s">
        <v>296</v>
      </c>
      <c r="O856" s="236" t="s">
        <v>18</v>
      </c>
      <c r="P856" s="236" t="s">
        <v>18</v>
      </c>
      <c r="Q856" s="236" t="s">
        <v>15</v>
      </c>
      <c r="R856" s="236" t="s">
        <v>15</v>
      </c>
      <c r="S856" s="236" t="s">
        <v>16</v>
      </c>
      <c r="T856" s="236" t="s">
        <v>343</v>
      </c>
      <c r="U856" s="236" t="s">
        <v>262</v>
      </c>
      <c r="V856" s="236" t="s">
        <v>296</v>
      </c>
      <c r="W856" s="237" t="s">
        <v>296</v>
      </c>
      <c r="X856" s="237" t="s">
        <v>296</v>
      </c>
      <c r="Y856" s="238" t="s">
        <v>296</v>
      </c>
    </row>
    <row r="857" spans="1:25">
      <c r="A857" s="230">
        <v>16</v>
      </c>
      <c r="B857" s="231" t="str">
        <f>VLOOKUP(Tabel10[[#This Row],[Locatiecode]],Ruimtegroepen[[Code]:[Ruimte omschrijving]],2,FALSE)</f>
        <v>Leslokalen</v>
      </c>
      <c r="C857" s="232" t="s">
        <v>1006</v>
      </c>
      <c r="D857" s="231" t="s">
        <v>12</v>
      </c>
      <c r="E857" s="233" t="s">
        <v>100</v>
      </c>
      <c r="F857" s="232" t="s">
        <v>1008</v>
      </c>
      <c r="G857" s="235" t="s">
        <v>17</v>
      </c>
      <c r="H857" s="235" t="s">
        <v>15</v>
      </c>
      <c r="I857" s="234" t="s">
        <v>296</v>
      </c>
      <c r="J857" s="235" t="s">
        <v>296</v>
      </c>
      <c r="K857" s="235" t="s">
        <v>296</v>
      </c>
      <c r="L857" s="234" t="s">
        <v>296</v>
      </c>
      <c r="M857" s="234" t="s">
        <v>296</v>
      </c>
      <c r="N857" s="235" t="s">
        <v>296</v>
      </c>
      <c r="O857" s="236" t="s">
        <v>18</v>
      </c>
      <c r="P857" s="236" t="s">
        <v>18</v>
      </c>
      <c r="Q857" s="236" t="s">
        <v>15</v>
      </c>
      <c r="R857" s="236" t="s">
        <v>15</v>
      </c>
      <c r="S857" s="236" t="s">
        <v>16</v>
      </c>
      <c r="T857" s="236" t="s">
        <v>343</v>
      </c>
      <c r="U857" s="236" t="s">
        <v>262</v>
      </c>
      <c r="V857" s="236" t="s">
        <v>296</v>
      </c>
      <c r="W857" s="237" t="s">
        <v>296</v>
      </c>
      <c r="X857" s="237" t="s">
        <v>296</v>
      </c>
      <c r="Y857" s="238" t="s">
        <v>296</v>
      </c>
    </row>
    <row r="858" spans="1:25">
      <c r="A858" s="230">
        <v>16</v>
      </c>
      <c r="B858" s="231" t="str">
        <f>VLOOKUP(Tabel10[[#This Row],[Locatiecode]],Ruimtegroepen[[Code]:[Ruimte omschrijving]],2,FALSE)</f>
        <v>Leslokalen</v>
      </c>
      <c r="C858" s="232" t="s">
        <v>1006</v>
      </c>
      <c r="D858" s="231" t="s">
        <v>12</v>
      </c>
      <c r="E858" s="233" t="s">
        <v>102</v>
      </c>
      <c r="F858" s="232" t="s">
        <v>1009</v>
      </c>
      <c r="G858" s="281" t="s">
        <v>296</v>
      </c>
      <c r="H858" s="234" t="s">
        <v>296</v>
      </c>
      <c r="I858" s="234" t="s">
        <v>17</v>
      </c>
      <c r="J858" s="234" t="s">
        <v>15</v>
      </c>
      <c r="K858" s="235" t="s">
        <v>16</v>
      </c>
      <c r="L858" s="234" t="s">
        <v>296</v>
      </c>
      <c r="M858" s="234" t="s">
        <v>296</v>
      </c>
      <c r="N858" s="235" t="s">
        <v>296</v>
      </c>
      <c r="O858" s="236" t="s">
        <v>18</v>
      </c>
      <c r="P858" s="236" t="s">
        <v>18</v>
      </c>
      <c r="Q858" s="236" t="s">
        <v>15</v>
      </c>
      <c r="R858" s="236" t="s">
        <v>15</v>
      </c>
      <c r="S858" s="236" t="s">
        <v>16</v>
      </c>
      <c r="T858" s="236" t="s">
        <v>343</v>
      </c>
      <c r="U858" s="236" t="s">
        <v>262</v>
      </c>
      <c r="V858" s="236" t="s">
        <v>296</v>
      </c>
      <c r="W858" s="237" t="s">
        <v>296</v>
      </c>
      <c r="X858" s="237" t="s">
        <v>296</v>
      </c>
      <c r="Y858" s="238" t="s">
        <v>296</v>
      </c>
    </row>
    <row r="859" spans="1:25">
      <c r="A859" s="230">
        <v>16</v>
      </c>
      <c r="B859" s="231" t="str">
        <f>VLOOKUP(Tabel10[[#This Row],[Locatiecode]],Ruimtegroepen[[Code]:[Ruimte omschrijving]],2,FALSE)</f>
        <v>Leslokalen</v>
      </c>
      <c r="C859" s="232" t="s">
        <v>1006</v>
      </c>
      <c r="D859" s="231" t="s">
        <v>12</v>
      </c>
      <c r="E859" s="233" t="s">
        <v>103</v>
      </c>
      <c r="F859" s="232" t="s">
        <v>1010</v>
      </c>
      <c r="G859" s="281" t="s">
        <v>296</v>
      </c>
      <c r="H859" s="234" t="s">
        <v>296</v>
      </c>
      <c r="I859" s="234" t="s">
        <v>17</v>
      </c>
      <c r="J859" s="235" t="s">
        <v>15</v>
      </c>
      <c r="K859" s="235" t="s">
        <v>16</v>
      </c>
      <c r="L859" s="234" t="s">
        <v>296</v>
      </c>
      <c r="M859" s="234" t="s">
        <v>296</v>
      </c>
      <c r="N859" s="235" t="s">
        <v>296</v>
      </c>
      <c r="O859" s="236" t="s">
        <v>18</v>
      </c>
      <c r="P859" s="236" t="s">
        <v>18</v>
      </c>
      <c r="Q859" s="236" t="s">
        <v>15</v>
      </c>
      <c r="R859" s="236" t="s">
        <v>15</v>
      </c>
      <c r="S859" s="236" t="s">
        <v>16</v>
      </c>
      <c r="T859" s="236" t="s">
        <v>343</v>
      </c>
      <c r="U859" s="236" t="s">
        <v>262</v>
      </c>
      <c r="V859" s="236" t="s">
        <v>296</v>
      </c>
      <c r="W859" s="237" t="s">
        <v>296</v>
      </c>
      <c r="X859" s="237" t="s">
        <v>296</v>
      </c>
      <c r="Y859" s="238" t="s">
        <v>296</v>
      </c>
    </row>
    <row r="860" spans="1:25">
      <c r="A860" s="230">
        <v>16</v>
      </c>
      <c r="B860" s="231" t="str">
        <f>VLOOKUP(Tabel10[[#This Row],[Locatiecode]],Ruimtegroepen[[Code]:[Ruimte omschrijving]],2,FALSE)</f>
        <v>Leslokalen</v>
      </c>
      <c r="C860" s="232" t="s">
        <v>1006</v>
      </c>
      <c r="D860" s="231" t="s">
        <v>12</v>
      </c>
      <c r="E860" s="233" t="s">
        <v>100</v>
      </c>
      <c r="F860" s="232" t="s">
        <v>1008</v>
      </c>
      <c r="G860" s="235" t="s">
        <v>17</v>
      </c>
      <c r="H860" s="235" t="s">
        <v>15</v>
      </c>
      <c r="I860" s="234" t="s">
        <v>296</v>
      </c>
      <c r="J860" s="235" t="s">
        <v>296</v>
      </c>
      <c r="K860" s="235" t="s">
        <v>296</v>
      </c>
      <c r="L860" s="234" t="s">
        <v>296</v>
      </c>
      <c r="M860" s="234" t="s">
        <v>296</v>
      </c>
      <c r="N860" s="235" t="s">
        <v>296</v>
      </c>
      <c r="O860" s="236" t="s">
        <v>296</v>
      </c>
      <c r="P860" s="236" t="s">
        <v>296</v>
      </c>
      <c r="Q860" s="236" t="s">
        <v>296</v>
      </c>
      <c r="R860" s="236" t="s">
        <v>296</v>
      </c>
      <c r="S860" s="236" t="s">
        <v>296</v>
      </c>
      <c r="T860" s="236" t="s">
        <v>296</v>
      </c>
      <c r="U860" s="236" t="s">
        <v>296</v>
      </c>
      <c r="V860" s="236" t="s">
        <v>296</v>
      </c>
      <c r="W860" s="237" t="s">
        <v>296</v>
      </c>
      <c r="X860" s="237" t="s">
        <v>296</v>
      </c>
      <c r="Y860" s="238" t="s">
        <v>296</v>
      </c>
    </row>
    <row r="861" spans="1:25">
      <c r="A861" s="230">
        <v>16</v>
      </c>
      <c r="B861" s="231" t="str">
        <f>VLOOKUP(Tabel10[[#This Row],[Locatiecode]],Ruimtegroepen[[Code]:[Ruimte omschrijving]],2,FALSE)</f>
        <v>Leslokalen</v>
      </c>
      <c r="C861" s="232" t="s">
        <v>1006</v>
      </c>
      <c r="D861" s="231" t="s">
        <v>12</v>
      </c>
      <c r="E861" s="233" t="s">
        <v>1344</v>
      </c>
      <c r="F861" s="232" t="s">
        <v>1473</v>
      </c>
      <c r="G861" s="281" t="s">
        <v>296</v>
      </c>
      <c r="H861" s="234" t="s">
        <v>296</v>
      </c>
      <c r="I861" s="234" t="s">
        <v>17</v>
      </c>
      <c r="J861" s="235" t="s">
        <v>15</v>
      </c>
      <c r="K861" s="235" t="s">
        <v>16</v>
      </c>
      <c r="L861" s="234" t="s">
        <v>296</v>
      </c>
      <c r="M861" s="234" t="s">
        <v>296</v>
      </c>
      <c r="N861" s="235" t="s">
        <v>296</v>
      </c>
      <c r="O861" s="236" t="s">
        <v>18</v>
      </c>
      <c r="P861" s="236" t="s">
        <v>18</v>
      </c>
      <c r="Q861" s="236" t="s">
        <v>15</v>
      </c>
      <c r="R861" s="236" t="s">
        <v>15</v>
      </c>
      <c r="S861" s="236" t="s">
        <v>16</v>
      </c>
      <c r="T861" s="236" t="s">
        <v>343</v>
      </c>
      <c r="U861" s="236" t="s">
        <v>262</v>
      </c>
      <c r="V861" s="236" t="s">
        <v>296</v>
      </c>
      <c r="W861" s="237" t="s">
        <v>296</v>
      </c>
      <c r="X861" s="237" t="s">
        <v>296</v>
      </c>
      <c r="Y861" s="238" t="s">
        <v>296</v>
      </c>
    </row>
    <row r="862" spans="1:25">
      <c r="A862" s="230">
        <v>16</v>
      </c>
      <c r="B862" s="231" t="str">
        <f>VLOOKUP(Tabel10[[#This Row],[Locatiecode]],Ruimtegroepen[[Code]:[Ruimte omschrijving]],2,FALSE)</f>
        <v>Leslokalen</v>
      </c>
      <c r="C862" s="232" t="s">
        <v>1011</v>
      </c>
      <c r="D862" s="231" t="s">
        <v>14</v>
      </c>
      <c r="E862" s="233" t="s">
        <v>101</v>
      </c>
      <c r="F862" s="232" t="s">
        <v>1012</v>
      </c>
      <c r="G862" s="281" t="s">
        <v>296</v>
      </c>
      <c r="H862" s="234" t="s">
        <v>296</v>
      </c>
      <c r="I862" s="234" t="s">
        <v>296</v>
      </c>
      <c r="J862" s="234" t="s">
        <v>17</v>
      </c>
      <c r="K862" s="235" t="s">
        <v>296</v>
      </c>
      <c r="L862" s="234" t="s">
        <v>296</v>
      </c>
      <c r="M862" s="234" t="s">
        <v>296</v>
      </c>
      <c r="N862" s="235" t="s">
        <v>296</v>
      </c>
      <c r="O862" s="236" t="s">
        <v>17</v>
      </c>
      <c r="P862" s="236" t="s">
        <v>17</v>
      </c>
      <c r="Q862" s="236" t="s">
        <v>15</v>
      </c>
      <c r="R862" s="236" t="s">
        <v>15</v>
      </c>
      <c r="S862" s="236" t="s">
        <v>16</v>
      </c>
      <c r="T862" s="236" t="s">
        <v>343</v>
      </c>
      <c r="U862" s="236" t="s">
        <v>262</v>
      </c>
      <c r="V862" s="236" t="s">
        <v>296</v>
      </c>
      <c r="W862" s="237" t="s">
        <v>296</v>
      </c>
      <c r="X862" s="237" t="s">
        <v>296</v>
      </c>
      <c r="Y862" s="238" t="s">
        <v>296</v>
      </c>
    </row>
    <row r="863" spans="1:25">
      <c r="A863" s="230">
        <v>16</v>
      </c>
      <c r="B863" s="231" t="str">
        <f>VLOOKUP(Tabel10[[#This Row],[Locatiecode]],Ruimtegroepen[[Code]:[Ruimte omschrijving]],2,FALSE)</f>
        <v>Leslokalen</v>
      </c>
      <c r="C863" s="232" t="s">
        <v>1011</v>
      </c>
      <c r="D863" s="231" t="s">
        <v>14</v>
      </c>
      <c r="E863" s="233" t="s">
        <v>100</v>
      </c>
      <c r="F863" s="232" t="s">
        <v>1013</v>
      </c>
      <c r="G863" s="235" t="s">
        <v>15</v>
      </c>
      <c r="H863" s="235" t="s">
        <v>15</v>
      </c>
      <c r="I863" s="234" t="s">
        <v>296</v>
      </c>
      <c r="J863" s="235" t="s">
        <v>296</v>
      </c>
      <c r="K863" s="235" t="s">
        <v>296</v>
      </c>
      <c r="L863" s="234" t="s">
        <v>296</v>
      </c>
      <c r="M863" s="234" t="s">
        <v>296</v>
      </c>
      <c r="N863" s="235" t="s">
        <v>296</v>
      </c>
      <c r="O863" s="236" t="s">
        <v>17</v>
      </c>
      <c r="P863" s="236" t="s">
        <v>17</v>
      </c>
      <c r="Q863" s="236" t="s">
        <v>15</v>
      </c>
      <c r="R863" s="236" t="s">
        <v>15</v>
      </c>
      <c r="S863" s="236" t="s">
        <v>16</v>
      </c>
      <c r="T863" s="236" t="s">
        <v>343</v>
      </c>
      <c r="U863" s="236" t="s">
        <v>262</v>
      </c>
      <c r="V863" s="236" t="s">
        <v>296</v>
      </c>
      <c r="W863" s="237" t="s">
        <v>296</v>
      </c>
      <c r="X863" s="237" t="s">
        <v>296</v>
      </c>
      <c r="Y863" s="238" t="s">
        <v>296</v>
      </c>
    </row>
    <row r="864" spans="1:25">
      <c r="A864" s="230">
        <v>16</v>
      </c>
      <c r="B864" s="231" t="str">
        <f>VLOOKUP(Tabel10[[#This Row],[Locatiecode]],Ruimtegroepen[[Code]:[Ruimte omschrijving]],2,FALSE)</f>
        <v>Leslokalen</v>
      </c>
      <c r="C864" s="232" t="s">
        <v>1011</v>
      </c>
      <c r="D864" s="231" t="s">
        <v>14</v>
      </c>
      <c r="E864" s="233" t="s">
        <v>102</v>
      </c>
      <c r="F864" s="232" t="s">
        <v>1014</v>
      </c>
      <c r="G864" s="281" t="s">
        <v>296</v>
      </c>
      <c r="H864" s="234" t="s">
        <v>296</v>
      </c>
      <c r="I864" s="234" t="s">
        <v>296</v>
      </c>
      <c r="J864" s="234" t="s">
        <v>17</v>
      </c>
      <c r="K864" s="235" t="s">
        <v>16</v>
      </c>
      <c r="L864" s="234" t="s">
        <v>296</v>
      </c>
      <c r="M864" s="234" t="s">
        <v>296</v>
      </c>
      <c r="N864" s="235" t="s">
        <v>296</v>
      </c>
      <c r="O864" s="236" t="s">
        <v>17</v>
      </c>
      <c r="P864" s="236" t="s">
        <v>17</v>
      </c>
      <c r="Q864" s="236" t="s">
        <v>15</v>
      </c>
      <c r="R864" s="236" t="s">
        <v>15</v>
      </c>
      <c r="S864" s="236" t="s">
        <v>16</v>
      </c>
      <c r="T864" s="236" t="s">
        <v>343</v>
      </c>
      <c r="U864" s="236" t="s">
        <v>262</v>
      </c>
      <c r="V864" s="236" t="s">
        <v>296</v>
      </c>
      <c r="W864" s="237" t="s">
        <v>296</v>
      </c>
      <c r="X864" s="237" t="s">
        <v>296</v>
      </c>
      <c r="Y864" s="238" t="s">
        <v>296</v>
      </c>
    </row>
    <row r="865" spans="1:25">
      <c r="A865" s="230">
        <v>16</v>
      </c>
      <c r="B865" s="231" t="str">
        <f>VLOOKUP(Tabel10[[#This Row],[Locatiecode]],Ruimtegroepen[[Code]:[Ruimte omschrijving]],2,FALSE)</f>
        <v>Leslokalen</v>
      </c>
      <c r="C865" s="232" t="s">
        <v>1011</v>
      </c>
      <c r="D865" s="231" t="s">
        <v>14</v>
      </c>
      <c r="E865" s="233" t="s">
        <v>103</v>
      </c>
      <c r="F865" s="232" t="s">
        <v>1015</v>
      </c>
      <c r="G865" s="281" t="s">
        <v>296</v>
      </c>
      <c r="H865" s="234" t="s">
        <v>296</v>
      </c>
      <c r="I865" s="234" t="s">
        <v>296</v>
      </c>
      <c r="J865" s="234" t="s">
        <v>17</v>
      </c>
      <c r="K865" s="235" t="s">
        <v>16</v>
      </c>
      <c r="L865" s="234" t="s">
        <v>296</v>
      </c>
      <c r="M865" s="234" t="s">
        <v>296</v>
      </c>
      <c r="N865" s="235" t="s">
        <v>296</v>
      </c>
      <c r="O865" s="236" t="s">
        <v>17</v>
      </c>
      <c r="P865" s="236" t="s">
        <v>17</v>
      </c>
      <c r="Q865" s="236" t="s">
        <v>15</v>
      </c>
      <c r="R865" s="236" t="s">
        <v>15</v>
      </c>
      <c r="S865" s="236" t="s">
        <v>16</v>
      </c>
      <c r="T865" s="236" t="s">
        <v>343</v>
      </c>
      <c r="U865" s="236" t="s">
        <v>262</v>
      </c>
      <c r="V865" s="236" t="s">
        <v>296</v>
      </c>
      <c r="W865" s="237" t="s">
        <v>296</v>
      </c>
      <c r="X865" s="237" t="s">
        <v>296</v>
      </c>
      <c r="Y865" s="238" t="s">
        <v>296</v>
      </c>
    </row>
    <row r="866" spans="1:25">
      <c r="A866" s="230">
        <v>16</v>
      </c>
      <c r="B866" s="231" t="str">
        <f>VLOOKUP(Tabel10[[#This Row],[Locatiecode]],Ruimtegroepen[[Code]:[Ruimte omschrijving]],2,FALSE)</f>
        <v>Leslokalen</v>
      </c>
      <c r="C866" s="232" t="s">
        <v>1011</v>
      </c>
      <c r="D866" s="231" t="s">
        <v>14</v>
      </c>
      <c r="E866" s="233" t="s">
        <v>100</v>
      </c>
      <c r="F866" s="232" t="s">
        <v>1013</v>
      </c>
      <c r="G866" s="235" t="s">
        <v>15</v>
      </c>
      <c r="H866" s="235" t="s">
        <v>15</v>
      </c>
      <c r="I866" s="234" t="s">
        <v>296</v>
      </c>
      <c r="J866" s="235" t="s">
        <v>296</v>
      </c>
      <c r="K866" s="235" t="s">
        <v>296</v>
      </c>
      <c r="L866" s="234" t="s">
        <v>296</v>
      </c>
      <c r="M866" s="234" t="s">
        <v>296</v>
      </c>
      <c r="N866" s="235" t="s">
        <v>296</v>
      </c>
      <c r="O866" s="236" t="s">
        <v>296</v>
      </c>
      <c r="P866" s="236" t="s">
        <v>296</v>
      </c>
      <c r="Q866" s="236" t="s">
        <v>296</v>
      </c>
      <c r="R866" s="236" t="s">
        <v>296</v>
      </c>
      <c r="S866" s="236" t="s">
        <v>296</v>
      </c>
      <c r="T866" s="236" t="s">
        <v>296</v>
      </c>
      <c r="U866" s="236" t="s">
        <v>296</v>
      </c>
      <c r="V866" s="236" t="s">
        <v>296</v>
      </c>
      <c r="W866" s="237" t="s">
        <v>296</v>
      </c>
      <c r="X866" s="237" t="s">
        <v>296</v>
      </c>
      <c r="Y866" s="238" t="s">
        <v>296</v>
      </c>
    </row>
    <row r="867" spans="1:25">
      <c r="A867" s="230">
        <v>16</v>
      </c>
      <c r="B867" s="231" t="str">
        <f>VLOOKUP(Tabel10[[#This Row],[Locatiecode]],Ruimtegroepen[[Code]:[Ruimte omschrijving]],2,FALSE)</f>
        <v>Leslokalen</v>
      </c>
      <c r="C867" s="232" t="s">
        <v>1011</v>
      </c>
      <c r="D867" s="231" t="s">
        <v>14</v>
      </c>
      <c r="E867" s="233" t="s">
        <v>1344</v>
      </c>
      <c r="F867" s="232" t="s">
        <v>1440</v>
      </c>
      <c r="G867" s="281" t="s">
        <v>296</v>
      </c>
      <c r="H867" s="234" t="s">
        <v>296</v>
      </c>
      <c r="I867" s="234" t="s">
        <v>296</v>
      </c>
      <c r="J867" s="234" t="s">
        <v>17</v>
      </c>
      <c r="K867" s="235" t="s">
        <v>16</v>
      </c>
      <c r="L867" s="234" t="s">
        <v>296</v>
      </c>
      <c r="M867" s="234" t="s">
        <v>296</v>
      </c>
      <c r="N867" s="235" t="s">
        <v>296</v>
      </c>
      <c r="O867" s="236" t="s">
        <v>17</v>
      </c>
      <c r="P867" s="236" t="s">
        <v>17</v>
      </c>
      <c r="Q867" s="236" t="s">
        <v>15</v>
      </c>
      <c r="R867" s="236" t="s">
        <v>15</v>
      </c>
      <c r="S867" s="236" t="s">
        <v>16</v>
      </c>
      <c r="T867" s="236" t="s">
        <v>343</v>
      </c>
      <c r="U867" s="236" t="s">
        <v>262</v>
      </c>
      <c r="V867" s="236" t="s">
        <v>296</v>
      </c>
      <c r="W867" s="237" t="s">
        <v>296</v>
      </c>
      <c r="X867" s="237" t="s">
        <v>296</v>
      </c>
      <c r="Y867" s="238" t="s">
        <v>296</v>
      </c>
    </row>
    <row r="868" spans="1:25">
      <c r="A868" s="230">
        <v>16</v>
      </c>
      <c r="B868" s="231" t="str">
        <f>VLOOKUP(Tabel10[[#This Row],[Locatiecode]],Ruimtegroepen[[Code]:[Ruimte omschrijving]],2,FALSE)</f>
        <v>Leslokalen</v>
      </c>
      <c r="C868" s="232" t="s">
        <v>1016</v>
      </c>
      <c r="D868" s="231" t="s">
        <v>13</v>
      </c>
      <c r="E868" s="233" t="s">
        <v>101</v>
      </c>
      <c r="F868" s="232" t="s">
        <v>1017</v>
      </c>
      <c r="G868" s="281" t="s">
        <v>296</v>
      </c>
      <c r="H868" s="234" t="s">
        <v>296</v>
      </c>
      <c r="I868" s="234" t="s">
        <v>296</v>
      </c>
      <c r="J868" s="235" t="s">
        <v>15</v>
      </c>
      <c r="K868" s="235" t="s">
        <v>296</v>
      </c>
      <c r="L868" s="234" t="s">
        <v>296</v>
      </c>
      <c r="M868" s="234" t="s">
        <v>296</v>
      </c>
      <c r="N868" s="235" t="s">
        <v>296</v>
      </c>
      <c r="O868" s="236" t="s">
        <v>15</v>
      </c>
      <c r="P868" s="236" t="s">
        <v>15</v>
      </c>
      <c r="Q868" s="236" t="s">
        <v>15</v>
      </c>
      <c r="R868" s="236" t="s">
        <v>15</v>
      </c>
      <c r="S868" s="236" t="s">
        <v>16</v>
      </c>
      <c r="T868" s="236" t="s">
        <v>343</v>
      </c>
      <c r="U868" s="236" t="s">
        <v>262</v>
      </c>
      <c r="V868" s="236" t="s">
        <v>296</v>
      </c>
      <c r="W868" s="237" t="s">
        <v>296</v>
      </c>
      <c r="X868" s="237" t="s">
        <v>296</v>
      </c>
      <c r="Y868" s="238" t="s">
        <v>296</v>
      </c>
    </row>
    <row r="869" spans="1:25">
      <c r="A869" s="230">
        <v>16</v>
      </c>
      <c r="B869" s="231" t="str">
        <f>VLOOKUP(Tabel10[[#This Row],[Locatiecode]],Ruimtegroepen[[Code]:[Ruimte omschrijving]],2,FALSE)</f>
        <v>Leslokalen</v>
      </c>
      <c r="C869" s="232" t="s">
        <v>1016</v>
      </c>
      <c r="D869" s="231" t="s">
        <v>13</v>
      </c>
      <c r="E869" s="233" t="s">
        <v>100</v>
      </c>
      <c r="F869" s="232" t="s">
        <v>1018</v>
      </c>
      <c r="G869" s="281" t="s">
        <v>296</v>
      </c>
      <c r="H869" s="235" t="s">
        <v>15</v>
      </c>
      <c r="I869" s="234" t="s">
        <v>296</v>
      </c>
      <c r="J869" s="235" t="s">
        <v>296</v>
      </c>
      <c r="K869" s="235" t="s">
        <v>296</v>
      </c>
      <c r="L869" s="234" t="s">
        <v>296</v>
      </c>
      <c r="M869" s="234" t="s">
        <v>296</v>
      </c>
      <c r="N869" s="235" t="s">
        <v>296</v>
      </c>
      <c r="O869" s="236" t="s">
        <v>15</v>
      </c>
      <c r="P869" s="236" t="s">
        <v>15</v>
      </c>
      <c r="Q869" s="236" t="s">
        <v>15</v>
      </c>
      <c r="R869" s="236" t="s">
        <v>15</v>
      </c>
      <c r="S869" s="236" t="s">
        <v>16</v>
      </c>
      <c r="T869" s="236" t="s">
        <v>343</v>
      </c>
      <c r="U869" s="236" t="s">
        <v>262</v>
      </c>
      <c r="V869" s="236" t="s">
        <v>296</v>
      </c>
      <c r="W869" s="237" t="s">
        <v>296</v>
      </c>
      <c r="X869" s="237" t="s">
        <v>296</v>
      </c>
      <c r="Y869" s="238" t="s">
        <v>296</v>
      </c>
    </row>
    <row r="870" spans="1:25">
      <c r="A870" s="230">
        <v>16</v>
      </c>
      <c r="B870" s="231" t="str">
        <f>VLOOKUP(Tabel10[[#This Row],[Locatiecode]],Ruimtegroepen[[Code]:[Ruimte omschrijving]],2,FALSE)</f>
        <v>Leslokalen</v>
      </c>
      <c r="C870" s="232" t="s">
        <v>1016</v>
      </c>
      <c r="D870" s="231" t="s">
        <v>13</v>
      </c>
      <c r="E870" s="233" t="s">
        <v>102</v>
      </c>
      <c r="F870" s="232" t="s">
        <v>1019</v>
      </c>
      <c r="G870" s="281" t="s">
        <v>296</v>
      </c>
      <c r="H870" s="234" t="s">
        <v>296</v>
      </c>
      <c r="I870" s="234" t="s">
        <v>296</v>
      </c>
      <c r="J870" s="234" t="s">
        <v>15</v>
      </c>
      <c r="K870" s="235" t="s">
        <v>16</v>
      </c>
      <c r="L870" s="234" t="s">
        <v>296</v>
      </c>
      <c r="M870" s="234" t="s">
        <v>296</v>
      </c>
      <c r="N870" s="235" t="s">
        <v>296</v>
      </c>
      <c r="O870" s="236" t="s">
        <v>15</v>
      </c>
      <c r="P870" s="236" t="s">
        <v>15</v>
      </c>
      <c r="Q870" s="236" t="s">
        <v>15</v>
      </c>
      <c r="R870" s="236" t="s">
        <v>15</v>
      </c>
      <c r="S870" s="236" t="s">
        <v>16</v>
      </c>
      <c r="T870" s="236" t="s">
        <v>343</v>
      </c>
      <c r="U870" s="236" t="s">
        <v>262</v>
      </c>
      <c r="V870" s="236" t="s">
        <v>296</v>
      </c>
      <c r="W870" s="237" t="s">
        <v>296</v>
      </c>
      <c r="X870" s="237" t="s">
        <v>296</v>
      </c>
      <c r="Y870" s="238" t="s">
        <v>296</v>
      </c>
    </row>
    <row r="871" spans="1:25">
      <c r="A871" s="230">
        <v>16</v>
      </c>
      <c r="B871" s="231" t="str">
        <f>VLOOKUP(Tabel10[[#This Row],[Locatiecode]],Ruimtegroepen[[Code]:[Ruimte omschrijving]],2,FALSE)</f>
        <v>Leslokalen</v>
      </c>
      <c r="C871" s="232" t="s">
        <v>1016</v>
      </c>
      <c r="D871" s="231" t="s">
        <v>13</v>
      </c>
      <c r="E871" s="233" t="s">
        <v>103</v>
      </c>
      <c r="F871" s="232" t="s">
        <v>1020</v>
      </c>
      <c r="G871" s="281" t="s">
        <v>296</v>
      </c>
      <c r="H871" s="234" t="s">
        <v>296</v>
      </c>
      <c r="I871" s="234" t="s">
        <v>296</v>
      </c>
      <c r="J871" s="235" t="s">
        <v>15</v>
      </c>
      <c r="K871" s="235" t="s">
        <v>16</v>
      </c>
      <c r="L871" s="234" t="s">
        <v>296</v>
      </c>
      <c r="M871" s="234" t="s">
        <v>296</v>
      </c>
      <c r="N871" s="235" t="s">
        <v>296</v>
      </c>
      <c r="O871" s="236" t="s">
        <v>15</v>
      </c>
      <c r="P871" s="236" t="s">
        <v>15</v>
      </c>
      <c r="Q871" s="236" t="s">
        <v>15</v>
      </c>
      <c r="R871" s="236" t="s">
        <v>15</v>
      </c>
      <c r="S871" s="236" t="s">
        <v>16</v>
      </c>
      <c r="T871" s="236" t="s">
        <v>343</v>
      </c>
      <c r="U871" s="236" t="s">
        <v>262</v>
      </c>
      <c r="V871" s="236" t="s">
        <v>296</v>
      </c>
      <c r="W871" s="237" t="s">
        <v>296</v>
      </c>
      <c r="X871" s="237" t="s">
        <v>296</v>
      </c>
      <c r="Y871" s="238" t="s">
        <v>296</v>
      </c>
    </row>
    <row r="872" spans="1:25">
      <c r="A872" s="230">
        <v>16</v>
      </c>
      <c r="B872" s="231" t="str">
        <f>VLOOKUP(Tabel10[[#This Row],[Locatiecode]],Ruimtegroepen[[Code]:[Ruimte omschrijving]],2,FALSE)</f>
        <v>Leslokalen</v>
      </c>
      <c r="C872" s="232" t="s">
        <v>1016</v>
      </c>
      <c r="D872" s="231" t="s">
        <v>13</v>
      </c>
      <c r="E872" s="233" t="s">
        <v>100</v>
      </c>
      <c r="F872" s="232" t="s">
        <v>1018</v>
      </c>
      <c r="G872" s="281" t="s">
        <v>296</v>
      </c>
      <c r="H872" s="235" t="s">
        <v>15</v>
      </c>
      <c r="I872" s="234" t="s">
        <v>296</v>
      </c>
      <c r="J872" s="235" t="s">
        <v>296</v>
      </c>
      <c r="K872" s="235" t="s">
        <v>296</v>
      </c>
      <c r="L872" s="234" t="s">
        <v>296</v>
      </c>
      <c r="M872" s="234" t="s">
        <v>296</v>
      </c>
      <c r="N872" s="235" t="s">
        <v>296</v>
      </c>
      <c r="O872" s="236" t="s">
        <v>296</v>
      </c>
      <c r="P872" s="236" t="s">
        <v>296</v>
      </c>
      <c r="Q872" s="236" t="s">
        <v>296</v>
      </c>
      <c r="R872" s="236" t="s">
        <v>296</v>
      </c>
      <c r="S872" s="236" t="s">
        <v>296</v>
      </c>
      <c r="T872" s="236" t="s">
        <v>296</v>
      </c>
      <c r="U872" s="236" t="s">
        <v>296</v>
      </c>
      <c r="V872" s="236" t="s">
        <v>296</v>
      </c>
      <c r="W872" s="237" t="s">
        <v>296</v>
      </c>
      <c r="X872" s="237" t="s">
        <v>296</v>
      </c>
      <c r="Y872" s="238" t="s">
        <v>296</v>
      </c>
    </row>
    <row r="873" spans="1:25">
      <c r="A873" s="230">
        <v>16</v>
      </c>
      <c r="B873" s="231" t="str">
        <f>VLOOKUP(Tabel10[[#This Row],[Locatiecode]],Ruimtegroepen[[Code]:[Ruimte omschrijving]],2,FALSE)</f>
        <v>Leslokalen</v>
      </c>
      <c r="C873" s="232" t="s">
        <v>1016</v>
      </c>
      <c r="D873" s="231" t="s">
        <v>13</v>
      </c>
      <c r="E873" s="233" t="s">
        <v>1344</v>
      </c>
      <c r="F873" s="232" t="s">
        <v>1407</v>
      </c>
      <c r="G873" s="281" t="s">
        <v>296</v>
      </c>
      <c r="H873" s="234" t="s">
        <v>296</v>
      </c>
      <c r="I873" s="234" t="s">
        <v>296</v>
      </c>
      <c r="J873" s="235" t="s">
        <v>15</v>
      </c>
      <c r="K873" s="235" t="s">
        <v>16</v>
      </c>
      <c r="L873" s="234" t="s">
        <v>296</v>
      </c>
      <c r="M873" s="234" t="s">
        <v>296</v>
      </c>
      <c r="N873" s="235" t="s">
        <v>296</v>
      </c>
      <c r="O873" s="236" t="s">
        <v>15</v>
      </c>
      <c r="P873" s="236" t="s">
        <v>15</v>
      </c>
      <c r="Q873" s="236" t="s">
        <v>15</v>
      </c>
      <c r="R873" s="236" t="s">
        <v>15</v>
      </c>
      <c r="S873" s="236" t="s">
        <v>16</v>
      </c>
      <c r="T873" s="236" t="s">
        <v>343</v>
      </c>
      <c r="U873" s="236" t="s">
        <v>262</v>
      </c>
      <c r="V873" s="236" t="s">
        <v>296</v>
      </c>
      <c r="W873" s="237" t="s">
        <v>296</v>
      </c>
      <c r="X873" s="237" t="s">
        <v>296</v>
      </c>
      <c r="Y873" s="238" t="s">
        <v>296</v>
      </c>
    </row>
    <row r="874" spans="1:25">
      <c r="A874" s="230">
        <v>16</v>
      </c>
      <c r="B874" s="231" t="str">
        <f>VLOOKUP(Tabel10[[#This Row],[Locatiecode]],Ruimtegroepen[[Code]:[Ruimte omschrijving]],2,FALSE)</f>
        <v>Leslokalen</v>
      </c>
      <c r="C874" s="232" t="s">
        <v>1021</v>
      </c>
      <c r="D874" s="231" t="s">
        <v>0</v>
      </c>
      <c r="E874" s="233" t="s">
        <v>101</v>
      </c>
      <c r="F874" s="232" t="s">
        <v>1022</v>
      </c>
      <c r="G874" s="281" t="s">
        <v>296</v>
      </c>
      <c r="H874" s="234" t="s">
        <v>296</v>
      </c>
      <c r="I874" s="235" t="s">
        <v>16</v>
      </c>
      <c r="J874" s="235" t="s">
        <v>296</v>
      </c>
      <c r="K874" s="235" t="s">
        <v>296</v>
      </c>
      <c r="L874" s="234" t="s">
        <v>296</v>
      </c>
      <c r="M874" s="234" t="s">
        <v>296</v>
      </c>
      <c r="N874" s="235" t="s">
        <v>296</v>
      </c>
      <c r="O874" s="236" t="s">
        <v>16</v>
      </c>
      <c r="P874" s="236" t="s">
        <v>16</v>
      </c>
      <c r="Q874" s="236" t="s">
        <v>16</v>
      </c>
      <c r="R874" s="236" t="s">
        <v>16</v>
      </c>
      <c r="S874" s="236" t="s">
        <v>16</v>
      </c>
      <c r="T874" s="236" t="s">
        <v>343</v>
      </c>
      <c r="U874" s="236" t="s">
        <v>262</v>
      </c>
      <c r="V874" s="236" t="s">
        <v>296</v>
      </c>
      <c r="W874" s="237" t="s">
        <v>296</v>
      </c>
      <c r="X874" s="237" t="s">
        <v>296</v>
      </c>
      <c r="Y874" s="238" t="s">
        <v>296</v>
      </c>
    </row>
    <row r="875" spans="1:25">
      <c r="A875" s="230">
        <v>16</v>
      </c>
      <c r="B875" s="231" t="str">
        <f>VLOOKUP(Tabel10[[#This Row],[Locatiecode]],Ruimtegroepen[[Code]:[Ruimte omschrijving]],2,FALSE)</f>
        <v>Leslokalen</v>
      </c>
      <c r="C875" s="232" t="s">
        <v>1021</v>
      </c>
      <c r="D875" s="231" t="s">
        <v>0</v>
      </c>
      <c r="E875" s="233" t="s">
        <v>100</v>
      </c>
      <c r="F875" s="232" t="s">
        <v>1023</v>
      </c>
      <c r="G875" s="281" t="s">
        <v>296</v>
      </c>
      <c r="H875" s="235" t="s">
        <v>16</v>
      </c>
      <c r="I875" s="234" t="s">
        <v>296</v>
      </c>
      <c r="J875" s="235" t="s">
        <v>296</v>
      </c>
      <c r="K875" s="235" t="s">
        <v>296</v>
      </c>
      <c r="L875" s="234" t="s">
        <v>296</v>
      </c>
      <c r="M875" s="234" t="s">
        <v>296</v>
      </c>
      <c r="N875" s="235" t="s">
        <v>296</v>
      </c>
      <c r="O875" s="236" t="s">
        <v>16</v>
      </c>
      <c r="P875" s="236" t="s">
        <v>16</v>
      </c>
      <c r="Q875" s="236" t="s">
        <v>16</v>
      </c>
      <c r="R875" s="236" t="s">
        <v>16</v>
      </c>
      <c r="S875" s="236" t="s">
        <v>16</v>
      </c>
      <c r="T875" s="236" t="s">
        <v>343</v>
      </c>
      <c r="U875" s="236" t="s">
        <v>262</v>
      </c>
      <c r="V875" s="236" t="s">
        <v>296</v>
      </c>
      <c r="W875" s="237" t="s">
        <v>296</v>
      </c>
      <c r="X875" s="237" t="s">
        <v>296</v>
      </c>
      <c r="Y875" s="238" t="s">
        <v>296</v>
      </c>
    </row>
    <row r="876" spans="1:25">
      <c r="A876" s="230">
        <v>16</v>
      </c>
      <c r="B876" s="231" t="str">
        <f>VLOOKUP(Tabel10[[#This Row],[Locatiecode]],Ruimtegroepen[[Code]:[Ruimte omschrijving]],2,FALSE)</f>
        <v>Leslokalen</v>
      </c>
      <c r="C876" s="232" t="s">
        <v>1021</v>
      </c>
      <c r="D876" s="231" t="s">
        <v>0</v>
      </c>
      <c r="E876" s="233" t="s">
        <v>102</v>
      </c>
      <c r="F876" s="232" t="s">
        <v>1024</v>
      </c>
      <c r="G876" s="281" t="s">
        <v>296</v>
      </c>
      <c r="H876" s="234" t="s">
        <v>296</v>
      </c>
      <c r="I876" s="234" t="s">
        <v>296</v>
      </c>
      <c r="J876" s="235" t="s">
        <v>375</v>
      </c>
      <c r="K876" s="235" t="s">
        <v>16</v>
      </c>
      <c r="L876" s="234" t="s">
        <v>296</v>
      </c>
      <c r="M876" s="234" t="s">
        <v>296</v>
      </c>
      <c r="N876" s="235" t="s">
        <v>296</v>
      </c>
      <c r="O876" s="236" t="s">
        <v>16</v>
      </c>
      <c r="P876" s="236" t="s">
        <v>16</v>
      </c>
      <c r="Q876" s="236" t="s">
        <v>16</v>
      </c>
      <c r="R876" s="236" t="s">
        <v>16</v>
      </c>
      <c r="S876" s="236" t="s">
        <v>16</v>
      </c>
      <c r="T876" s="236" t="s">
        <v>343</v>
      </c>
      <c r="U876" s="236" t="s">
        <v>262</v>
      </c>
      <c r="V876" s="236" t="s">
        <v>296</v>
      </c>
      <c r="W876" s="237" t="s">
        <v>296</v>
      </c>
      <c r="X876" s="237" t="s">
        <v>296</v>
      </c>
      <c r="Y876" s="238" t="s">
        <v>296</v>
      </c>
    </row>
    <row r="877" spans="1:25">
      <c r="A877" s="230">
        <v>16</v>
      </c>
      <c r="B877" s="231" t="str">
        <f>VLOOKUP(Tabel10[[#This Row],[Locatiecode]],Ruimtegroepen[[Code]:[Ruimte omschrijving]],2,FALSE)</f>
        <v>Leslokalen</v>
      </c>
      <c r="C877" s="232" t="s">
        <v>1021</v>
      </c>
      <c r="D877" s="231" t="s">
        <v>0</v>
      </c>
      <c r="E877" s="233" t="s">
        <v>103</v>
      </c>
      <c r="F877" s="232" t="s">
        <v>1025</v>
      </c>
      <c r="G877" s="281" t="s">
        <v>296</v>
      </c>
      <c r="H877" s="234" t="s">
        <v>296</v>
      </c>
      <c r="I877" s="235" t="s">
        <v>16</v>
      </c>
      <c r="J877" s="235" t="s">
        <v>296</v>
      </c>
      <c r="K877" s="235" t="s">
        <v>16</v>
      </c>
      <c r="L877" s="234" t="s">
        <v>296</v>
      </c>
      <c r="M877" s="234" t="s">
        <v>296</v>
      </c>
      <c r="N877" s="235" t="s">
        <v>296</v>
      </c>
      <c r="O877" s="236" t="s">
        <v>16</v>
      </c>
      <c r="P877" s="236" t="s">
        <v>16</v>
      </c>
      <c r="Q877" s="236" t="s">
        <v>16</v>
      </c>
      <c r="R877" s="236" t="s">
        <v>16</v>
      </c>
      <c r="S877" s="236" t="s">
        <v>16</v>
      </c>
      <c r="T877" s="236" t="s">
        <v>343</v>
      </c>
      <c r="U877" s="236" t="s">
        <v>262</v>
      </c>
      <c r="V877" s="236" t="s">
        <v>296</v>
      </c>
      <c r="W877" s="237" t="s">
        <v>296</v>
      </c>
      <c r="X877" s="237" t="s">
        <v>296</v>
      </c>
      <c r="Y877" s="238" t="s">
        <v>296</v>
      </c>
    </row>
    <row r="878" spans="1:25">
      <c r="A878" s="230">
        <v>16</v>
      </c>
      <c r="B878" s="231" t="str">
        <f>VLOOKUP(Tabel10[[#This Row],[Locatiecode]],Ruimtegroepen[[Code]:[Ruimte omschrijving]],2,FALSE)</f>
        <v>Leslokalen</v>
      </c>
      <c r="C878" s="232" t="s">
        <v>1021</v>
      </c>
      <c r="D878" s="231" t="s">
        <v>0</v>
      </c>
      <c r="E878" s="233" t="s">
        <v>100</v>
      </c>
      <c r="F878" s="232" t="s">
        <v>1023</v>
      </c>
      <c r="G878" s="281" t="s">
        <v>296</v>
      </c>
      <c r="H878" s="235" t="s">
        <v>16</v>
      </c>
      <c r="I878" s="234" t="s">
        <v>296</v>
      </c>
      <c r="J878" s="235" t="s">
        <v>296</v>
      </c>
      <c r="K878" s="235" t="s">
        <v>296</v>
      </c>
      <c r="L878" s="234" t="s">
        <v>296</v>
      </c>
      <c r="M878" s="234" t="s">
        <v>296</v>
      </c>
      <c r="N878" s="235" t="s">
        <v>296</v>
      </c>
      <c r="O878" s="236" t="s">
        <v>296</v>
      </c>
      <c r="P878" s="236" t="s">
        <v>296</v>
      </c>
      <c r="Q878" s="236" t="s">
        <v>296</v>
      </c>
      <c r="R878" s="236" t="s">
        <v>296</v>
      </c>
      <c r="S878" s="236" t="s">
        <v>296</v>
      </c>
      <c r="T878" s="236" t="s">
        <v>296</v>
      </c>
      <c r="U878" s="236" t="s">
        <v>296</v>
      </c>
      <c r="V878" s="236" t="s">
        <v>296</v>
      </c>
      <c r="W878" s="237" t="s">
        <v>296</v>
      </c>
      <c r="X878" s="237" t="s">
        <v>296</v>
      </c>
      <c r="Y878" s="238" t="s">
        <v>296</v>
      </c>
    </row>
    <row r="879" spans="1:25">
      <c r="A879" s="230">
        <v>16</v>
      </c>
      <c r="B879" s="231" t="str">
        <f>VLOOKUP(Tabel10[[#This Row],[Locatiecode]],Ruimtegroepen[[Code]:[Ruimte omschrijving]],2,FALSE)</f>
        <v>Leslokalen</v>
      </c>
      <c r="C879" s="232" t="s">
        <v>1021</v>
      </c>
      <c r="D879" s="231" t="s">
        <v>0</v>
      </c>
      <c r="E879" s="233" t="s">
        <v>1344</v>
      </c>
      <c r="F879" s="232" t="s">
        <v>1391</v>
      </c>
      <c r="G879" s="281" t="s">
        <v>296</v>
      </c>
      <c r="H879" s="234" t="s">
        <v>296</v>
      </c>
      <c r="I879" s="235" t="s">
        <v>16</v>
      </c>
      <c r="J879" s="235" t="s">
        <v>296</v>
      </c>
      <c r="K879" s="235" t="s">
        <v>16</v>
      </c>
      <c r="L879" s="234" t="s">
        <v>296</v>
      </c>
      <c r="M879" s="234" t="s">
        <v>296</v>
      </c>
      <c r="N879" s="235" t="s">
        <v>296</v>
      </c>
      <c r="O879" s="236" t="s">
        <v>16</v>
      </c>
      <c r="P879" s="236" t="s">
        <v>16</v>
      </c>
      <c r="Q879" s="236" t="s">
        <v>16</v>
      </c>
      <c r="R879" s="236" t="s">
        <v>16</v>
      </c>
      <c r="S879" s="236" t="s">
        <v>16</v>
      </c>
      <c r="T879" s="236" t="s">
        <v>343</v>
      </c>
      <c r="U879" s="236" t="s">
        <v>262</v>
      </c>
      <c r="V879" s="236" t="s">
        <v>296</v>
      </c>
      <c r="W879" s="237" t="s">
        <v>296</v>
      </c>
      <c r="X879" s="237" t="s">
        <v>296</v>
      </c>
      <c r="Y879" s="238" t="s">
        <v>296</v>
      </c>
    </row>
    <row r="880" spans="1:25">
      <c r="A880" s="230">
        <v>16</v>
      </c>
      <c r="B880" s="231" t="str">
        <f>VLOOKUP(Tabel10[[#This Row],[Locatiecode]],Ruimtegroepen[[Code]:[Ruimte omschrijving]],2,FALSE)</f>
        <v>Leslokalen</v>
      </c>
      <c r="C880" s="232" t="s">
        <v>1026</v>
      </c>
      <c r="D880" s="231" t="s">
        <v>27</v>
      </c>
      <c r="E880" s="233" t="s">
        <v>101</v>
      </c>
      <c r="F880" s="232" t="s">
        <v>1027</v>
      </c>
      <c r="G880" s="281" t="s">
        <v>296</v>
      </c>
      <c r="H880" s="234" t="s">
        <v>296</v>
      </c>
      <c r="I880" s="234" t="s">
        <v>15</v>
      </c>
      <c r="J880" s="234" t="s">
        <v>296</v>
      </c>
      <c r="K880" s="235" t="s">
        <v>296</v>
      </c>
      <c r="L880" s="234" t="s">
        <v>296</v>
      </c>
      <c r="M880" s="234" t="s">
        <v>296</v>
      </c>
      <c r="N880" s="235" t="s">
        <v>296</v>
      </c>
      <c r="O880" s="236" t="s">
        <v>15</v>
      </c>
      <c r="P880" s="236" t="s">
        <v>15</v>
      </c>
      <c r="Q880" s="236" t="s">
        <v>15</v>
      </c>
      <c r="R880" s="236" t="s">
        <v>296</v>
      </c>
      <c r="S880" s="236" t="s">
        <v>296</v>
      </c>
      <c r="T880" s="236" t="s">
        <v>296</v>
      </c>
      <c r="U880" s="236" t="s">
        <v>296</v>
      </c>
      <c r="V880" s="236" t="s">
        <v>296</v>
      </c>
      <c r="W880" s="237" t="s">
        <v>296</v>
      </c>
      <c r="X880" s="237" t="s">
        <v>296</v>
      </c>
      <c r="Y880" s="238" t="s">
        <v>296</v>
      </c>
    </row>
    <row r="881" spans="1:25">
      <c r="A881" s="230">
        <v>16</v>
      </c>
      <c r="B881" s="231" t="str">
        <f>VLOOKUP(Tabel10[[#This Row],[Locatiecode]],Ruimtegroepen[[Code]:[Ruimte omschrijving]],2,FALSE)</f>
        <v>Leslokalen</v>
      </c>
      <c r="C881" s="232" t="s">
        <v>1026</v>
      </c>
      <c r="D881" s="231" t="s">
        <v>27</v>
      </c>
      <c r="E881" s="233" t="s">
        <v>100</v>
      </c>
      <c r="F881" s="232" t="s">
        <v>1028</v>
      </c>
      <c r="G881" s="281" t="s">
        <v>296</v>
      </c>
      <c r="H881" s="235" t="s">
        <v>15</v>
      </c>
      <c r="I881" s="234" t="s">
        <v>296</v>
      </c>
      <c r="J881" s="235" t="s">
        <v>296</v>
      </c>
      <c r="K881" s="235" t="s">
        <v>296</v>
      </c>
      <c r="L881" s="234" t="s">
        <v>296</v>
      </c>
      <c r="M881" s="234" t="s">
        <v>296</v>
      </c>
      <c r="N881" s="235" t="s">
        <v>296</v>
      </c>
      <c r="O881" s="236" t="s">
        <v>15</v>
      </c>
      <c r="P881" s="236" t="s">
        <v>15</v>
      </c>
      <c r="Q881" s="236" t="s">
        <v>15</v>
      </c>
      <c r="R881" s="236" t="s">
        <v>296</v>
      </c>
      <c r="S881" s="236" t="s">
        <v>296</v>
      </c>
      <c r="T881" s="236" t="s">
        <v>296</v>
      </c>
      <c r="U881" s="236" t="s">
        <v>296</v>
      </c>
      <c r="V881" s="236" t="s">
        <v>296</v>
      </c>
      <c r="W881" s="237" t="s">
        <v>296</v>
      </c>
      <c r="X881" s="237" t="s">
        <v>296</v>
      </c>
      <c r="Y881" s="238" t="s">
        <v>296</v>
      </c>
    </row>
    <row r="882" spans="1:25">
      <c r="A882" s="230">
        <v>16</v>
      </c>
      <c r="B882" s="231" t="str">
        <f>VLOOKUP(Tabel10[[#This Row],[Locatiecode]],Ruimtegroepen[[Code]:[Ruimte omschrijving]],2,FALSE)</f>
        <v>Leslokalen</v>
      </c>
      <c r="C882" s="232" t="s">
        <v>1026</v>
      </c>
      <c r="D882" s="231" t="s">
        <v>27</v>
      </c>
      <c r="E882" s="233" t="s">
        <v>102</v>
      </c>
      <c r="F882" s="232" t="s">
        <v>1029</v>
      </c>
      <c r="G882" s="281" t="s">
        <v>296</v>
      </c>
      <c r="H882" s="234" t="s">
        <v>296</v>
      </c>
      <c r="I882" s="235" t="s">
        <v>15</v>
      </c>
      <c r="J882" s="235" t="s">
        <v>296</v>
      </c>
      <c r="K882" s="235" t="s">
        <v>296</v>
      </c>
      <c r="L882" s="234" t="s">
        <v>296</v>
      </c>
      <c r="M882" s="234" t="s">
        <v>296</v>
      </c>
      <c r="N882" s="235" t="s">
        <v>296</v>
      </c>
      <c r="O882" s="236" t="s">
        <v>15</v>
      </c>
      <c r="P882" s="236" t="s">
        <v>15</v>
      </c>
      <c r="Q882" s="236" t="s">
        <v>15</v>
      </c>
      <c r="R882" s="236" t="s">
        <v>296</v>
      </c>
      <c r="S882" s="236" t="s">
        <v>296</v>
      </c>
      <c r="T882" s="236" t="s">
        <v>296</v>
      </c>
      <c r="U882" s="236" t="s">
        <v>296</v>
      </c>
      <c r="V882" s="236" t="s">
        <v>296</v>
      </c>
      <c r="W882" s="237" t="s">
        <v>296</v>
      </c>
      <c r="X882" s="237" t="s">
        <v>296</v>
      </c>
      <c r="Y882" s="238" t="s">
        <v>296</v>
      </c>
    </row>
    <row r="883" spans="1:25">
      <c r="A883" s="230">
        <v>16</v>
      </c>
      <c r="B883" s="231" t="str">
        <f>VLOOKUP(Tabel10[[#This Row],[Locatiecode]],Ruimtegroepen[[Code]:[Ruimte omschrijving]],2,FALSE)</f>
        <v>Leslokalen</v>
      </c>
      <c r="C883" s="232" t="s">
        <v>1026</v>
      </c>
      <c r="D883" s="231" t="s">
        <v>27</v>
      </c>
      <c r="E883" s="233" t="s">
        <v>103</v>
      </c>
      <c r="F883" s="232" t="s">
        <v>1030</v>
      </c>
      <c r="G883" s="281" t="s">
        <v>296</v>
      </c>
      <c r="H883" s="234" t="s">
        <v>296</v>
      </c>
      <c r="I883" s="235" t="s">
        <v>15</v>
      </c>
      <c r="J883" s="235" t="s">
        <v>296</v>
      </c>
      <c r="K883" s="235" t="s">
        <v>296</v>
      </c>
      <c r="L883" s="234" t="s">
        <v>296</v>
      </c>
      <c r="M883" s="234" t="s">
        <v>296</v>
      </c>
      <c r="N883" s="235" t="s">
        <v>296</v>
      </c>
      <c r="O883" s="236" t="s">
        <v>15</v>
      </c>
      <c r="P883" s="236" t="s">
        <v>15</v>
      </c>
      <c r="Q883" s="236" t="s">
        <v>15</v>
      </c>
      <c r="R883" s="236" t="s">
        <v>296</v>
      </c>
      <c r="S883" s="236" t="s">
        <v>296</v>
      </c>
      <c r="T883" s="236" t="s">
        <v>296</v>
      </c>
      <c r="U883" s="236" t="s">
        <v>296</v>
      </c>
      <c r="V883" s="236" t="s">
        <v>296</v>
      </c>
      <c r="W883" s="237" t="s">
        <v>296</v>
      </c>
      <c r="X883" s="237" t="s">
        <v>296</v>
      </c>
      <c r="Y883" s="238" t="s">
        <v>296</v>
      </c>
    </row>
    <row r="884" spans="1:25">
      <c r="A884" s="230">
        <v>16</v>
      </c>
      <c r="B884" s="231" t="str">
        <f>VLOOKUP(Tabel10[[#This Row],[Locatiecode]],Ruimtegroepen[[Code]:[Ruimte omschrijving]],2,FALSE)</f>
        <v>Leslokalen</v>
      </c>
      <c r="C884" s="232" t="s">
        <v>1026</v>
      </c>
      <c r="D884" s="231" t="s">
        <v>27</v>
      </c>
      <c r="E884" s="233" t="s">
        <v>100</v>
      </c>
      <c r="F884" s="232" t="s">
        <v>1028</v>
      </c>
      <c r="G884" s="281" t="s">
        <v>296</v>
      </c>
      <c r="H884" s="235" t="s">
        <v>15</v>
      </c>
      <c r="I884" s="234" t="s">
        <v>296</v>
      </c>
      <c r="J884" s="235" t="s">
        <v>296</v>
      </c>
      <c r="K884" s="235" t="s">
        <v>296</v>
      </c>
      <c r="L884" s="234" t="s">
        <v>296</v>
      </c>
      <c r="M884" s="234" t="s">
        <v>296</v>
      </c>
      <c r="N884" s="235" t="s">
        <v>296</v>
      </c>
      <c r="O884" s="236" t="s">
        <v>15</v>
      </c>
      <c r="P884" s="236" t="s">
        <v>15</v>
      </c>
      <c r="Q884" s="236" t="s">
        <v>15</v>
      </c>
      <c r="R884" s="236" t="s">
        <v>296</v>
      </c>
      <c r="S884" s="236" t="s">
        <v>296</v>
      </c>
      <c r="T884" s="236" t="s">
        <v>296</v>
      </c>
      <c r="U884" s="236" t="s">
        <v>296</v>
      </c>
      <c r="V884" s="236" t="s">
        <v>296</v>
      </c>
      <c r="W884" s="237" t="s">
        <v>296</v>
      </c>
      <c r="X884" s="237" t="s">
        <v>296</v>
      </c>
      <c r="Y884" s="238" t="s">
        <v>296</v>
      </c>
    </row>
    <row r="885" spans="1:25">
      <c r="A885" s="230">
        <v>16</v>
      </c>
      <c r="B885" s="231" t="str">
        <f>VLOOKUP(Tabel10[[#This Row],[Locatiecode]],Ruimtegroepen[[Code]:[Ruimte omschrijving]],2,FALSE)</f>
        <v>Leslokalen</v>
      </c>
      <c r="C885" s="232" t="s">
        <v>1026</v>
      </c>
      <c r="D885" s="231" t="s">
        <v>27</v>
      </c>
      <c r="E885" s="233" t="s">
        <v>1344</v>
      </c>
      <c r="F885" s="232" t="s">
        <v>1424</v>
      </c>
      <c r="G885" s="281" t="s">
        <v>296</v>
      </c>
      <c r="H885" s="234" t="s">
        <v>296</v>
      </c>
      <c r="I885" s="235" t="s">
        <v>15</v>
      </c>
      <c r="J885" s="235" t="s">
        <v>296</v>
      </c>
      <c r="K885" s="235" t="s">
        <v>296</v>
      </c>
      <c r="L885" s="234" t="s">
        <v>296</v>
      </c>
      <c r="M885" s="234" t="s">
        <v>296</v>
      </c>
      <c r="N885" s="235" t="s">
        <v>296</v>
      </c>
      <c r="O885" s="236" t="s">
        <v>15</v>
      </c>
      <c r="P885" s="236" t="s">
        <v>15</v>
      </c>
      <c r="Q885" s="236" t="s">
        <v>15</v>
      </c>
      <c r="R885" s="236" t="s">
        <v>296</v>
      </c>
      <c r="S885" s="236" t="s">
        <v>296</v>
      </c>
      <c r="T885" s="236" t="s">
        <v>296</v>
      </c>
      <c r="U885" s="236" t="s">
        <v>296</v>
      </c>
      <c r="V885" s="236" t="s">
        <v>296</v>
      </c>
      <c r="W885" s="237" t="s">
        <v>296</v>
      </c>
      <c r="X885" s="237" t="s">
        <v>296</v>
      </c>
      <c r="Y885" s="238" t="s">
        <v>296</v>
      </c>
    </row>
    <row r="886" spans="1:25">
      <c r="A886" s="230">
        <v>16</v>
      </c>
      <c r="B886" s="231" t="str">
        <f>VLOOKUP(Tabel10[[#This Row],[Locatiecode]],Ruimtegroepen[[Code]:[Ruimte omschrijving]],2,FALSE)</f>
        <v>Leslokalen</v>
      </c>
      <c r="C886" s="232" t="s">
        <v>1031</v>
      </c>
      <c r="D886" s="231" t="s">
        <v>28</v>
      </c>
      <c r="E886" s="233" t="s">
        <v>101</v>
      </c>
      <c r="F886" s="232" t="s">
        <v>1032</v>
      </c>
      <c r="G886" s="281" t="s">
        <v>296</v>
      </c>
      <c r="H886" s="234" t="s">
        <v>296</v>
      </c>
      <c r="I886" s="235" t="s">
        <v>17</v>
      </c>
      <c r="J886" s="234" t="s">
        <v>296</v>
      </c>
      <c r="K886" s="235" t="s">
        <v>296</v>
      </c>
      <c r="L886" s="234" t="s">
        <v>296</v>
      </c>
      <c r="M886" s="234" t="s">
        <v>296</v>
      </c>
      <c r="N886" s="235" t="s">
        <v>296</v>
      </c>
      <c r="O886" s="236" t="s">
        <v>17</v>
      </c>
      <c r="P886" s="236" t="s">
        <v>17</v>
      </c>
      <c r="Q886" s="236" t="s">
        <v>15</v>
      </c>
      <c r="R886" s="236" t="s">
        <v>296</v>
      </c>
      <c r="S886" s="236" t="s">
        <v>296</v>
      </c>
      <c r="T886" s="236" t="s">
        <v>296</v>
      </c>
      <c r="U886" s="236" t="s">
        <v>296</v>
      </c>
      <c r="V886" s="236" t="s">
        <v>296</v>
      </c>
      <c r="W886" s="237" t="s">
        <v>296</v>
      </c>
      <c r="X886" s="237" t="s">
        <v>296</v>
      </c>
      <c r="Y886" s="238" t="s">
        <v>296</v>
      </c>
    </row>
    <row r="887" spans="1:25">
      <c r="A887" s="230">
        <v>16</v>
      </c>
      <c r="B887" s="231" t="str">
        <f>VLOOKUP(Tabel10[[#This Row],[Locatiecode]],Ruimtegroepen[[Code]:[Ruimte omschrijving]],2,FALSE)</f>
        <v>Leslokalen</v>
      </c>
      <c r="C887" s="232" t="s">
        <v>1031</v>
      </c>
      <c r="D887" s="231" t="s">
        <v>28</v>
      </c>
      <c r="E887" s="233" t="s">
        <v>100</v>
      </c>
      <c r="F887" s="232" t="s">
        <v>1033</v>
      </c>
      <c r="G887" s="281" t="s">
        <v>296</v>
      </c>
      <c r="H887" s="235" t="s">
        <v>17</v>
      </c>
      <c r="I887" s="234" t="s">
        <v>296</v>
      </c>
      <c r="J887" s="235" t="s">
        <v>296</v>
      </c>
      <c r="K887" s="235" t="s">
        <v>296</v>
      </c>
      <c r="L887" s="234" t="s">
        <v>296</v>
      </c>
      <c r="M887" s="234" t="s">
        <v>296</v>
      </c>
      <c r="N887" s="235" t="s">
        <v>296</v>
      </c>
      <c r="O887" s="236" t="s">
        <v>17</v>
      </c>
      <c r="P887" s="236" t="s">
        <v>17</v>
      </c>
      <c r="Q887" s="236" t="s">
        <v>15</v>
      </c>
      <c r="R887" s="236" t="s">
        <v>296</v>
      </c>
      <c r="S887" s="236" t="s">
        <v>296</v>
      </c>
      <c r="T887" s="236" t="s">
        <v>296</v>
      </c>
      <c r="U887" s="236" t="s">
        <v>296</v>
      </c>
      <c r="V887" s="236" t="s">
        <v>296</v>
      </c>
      <c r="W887" s="237" t="s">
        <v>296</v>
      </c>
      <c r="X887" s="237" t="s">
        <v>296</v>
      </c>
      <c r="Y887" s="238" t="s">
        <v>296</v>
      </c>
    </row>
    <row r="888" spans="1:25">
      <c r="A888" s="230">
        <v>16</v>
      </c>
      <c r="B888" s="231" t="str">
        <f>VLOOKUP(Tabel10[[#This Row],[Locatiecode]],Ruimtegroepen[[Code]:[Ruimte omschrijving]],2,FALSE)</f>
        <v>Leslokalen</v>
      </c>
      <c r="C888" s="232" t="s">
        <v>1031</v>
      </c>
      <c r="D888" s="231" t="s">
        <v>28</v>
      </c>
      <c r="E888" s="233" t="s">
        <v>102</v>
      </c>
      <c r="F888" s="232" t="s">
        <v>1034</v>
      </c>
      <c r="G888" s="281" t="s">
        <v>296</v>
      </c>
      <c r="H888" s="234" t="s">
        <v>296</v>
      </c>
      <c r="I888" s="235" t="s">
        <v>17</v>
      </c>
      <c r="J888" s="235" t="s">
        <v>296</v>
      </c>
      <c r="K888" s="235" t="s">
        <v>296</v>
      </c>
      <c r="L888" s="234" t="s">
        <v>296</v>
      </c>
      <c r="M888" s="234" t="s">
        <v>296</v>
      </c>
      <c r="N888" s="235" t="s">
        <v>296</v>
      </c>
      <c r="O888" s="236" t="s">
        <v>17</v>
      </c>
      <c r="P888" s="236" t="s">
        <v>17</v>
      </c>
      <c r="Q888" s="236" t="s">
        <v>15</v>
      </c>
      <c r="R888" s="236" t="s">
        <v>296</v>
      </c>
      <c r="S888" s="236" t="s">
        <v>296</v>
      </c>
      <c r="T888" s="236" t="s">
        <v>296</v>
      </c>
      <c r="U888" s="236" t="s">
        <v>296</v>
      </c>
      <c r="V888" s="236" t="s">
        <v>296</v>
      </c>
      <c r="W888" s="237" t="s">
        <v>296</v>
      </c>
      <c r="X888" s="237" t="s">
        <v>296</v>
      </c>
      <c r="Y888" s="238" t="s">
        <v>296</v>
      </c>
    </row>
    <row r="889" spans="1:25">
      <c r="A889" s="230">
        <v>16</v>
      </c>
      <c r="B889" s="231" t="str">
        <f>VLOOKUP(Tabel10[[#This Row],[Locatiecode]],Ruimtegroepen[[Code]:[Ruimte omschrijving]],2,FALSE)</f>
        <v>Leslokalen</v>
      </c>
      <c r="C889" s="232" t="s">
        <v>1031</v>
      </c>
      <c r="D889" s="231" t="s">
        <v>28</v>
      </c>
      <c r="E889" s="233" t="s">
        <v>103</v>
      </c>
      <c r="F889" s="232" t="s">
        <v>1035</v>
      </c>
      <c r="G889" s="281" t="s">
        <v>296</v>
      </c>
      <c r="H889" s="234" t="s">
        <v>296</v>
      </c>
      <c r="I889" s="235" t="s">
        <v>17</v>
      </c>
      <c r="J889" s="234" t="s">
        <v>296</v>
      </c>
      <c r="K889" s="235" t="s">
        <v>296</v>
      </c>
      <c r="L889" s="234" t="s">
        <v>296</v>
      </c>
      <c r="M889" s="234" t="s">
        <v>296</v>
      </c>
      <c r="N889" s="235" t="s">
        <v>296</v>
      </c>
      <c r="O889" s="236" t="s">
        <v>17</v>
      </c>
      <c r="P889" s="236" t="s">
        <v>17</v>
      </c>
      <c r="Q889" s="236" t="s">
        <v>15</v>
      </c>
      <c r="R889" s="236" t="s">
        <v>296</v>
      </c>
      <c r="S889" s="236" t="s">
        <v>296</v>
      </c>
      <c r="T889" s="236" t="s">
        <v>296</v>
      </c>
      <c r="U889" s="236" t="s">
        <v>296</v>
      </c>
      <c r="V889" s="236" t="s">
        <v>296</v>
      </c>
      <c r="W889" s="237" t="s">
        <v>296</v>
      </c>
      <c r="X889" s="237" t="s">
        <v>296</v>
      </c>
      <c r="Y889" s="238" t="s">
        <v>296</v>
      </c>
    </row>
    <row r="890" spans="1:25">
      <c r="A890" s="230">
        <v>16</v>
      </c>
      <c r="B890" s="231" t="str">
        <f>VLOOKUP(Tabel10[[#This Row],[Locatiecode]],Ruimtegroepen[[Code]:[Ruimte omschrijving]],2,FALSE)</f>
        <v>Leslokalen</v>
      </c>
      <c r="C890" s="232" t="s">
        <v>1031</v>
      </c>
      <c r="D890" s="231" t="s">
        <v>28</v>
      </c>
      <c r="E890" s="233" t="s">
        <v>100</v>
      </c>
      <c r="F890" s="232" t="s">
        <v>1033</v>
      </c>
      <c r="G890" s="281" t="s">
        <v>296</v>
      </c>
      <c r="H890" s="235" t="s">
        <v>17</v>
      </c>
      <c r="I890" s="234" t="s">
        <v>296</v>
      </c>
      <c r="J890" s="235" t="s">
        <v>296</v>
      </c>
      <c r="K890" s="235" t="s">
        <v>296</v>
      </c>
      <c r="L890" s="234" t="s">
        <v>296</v>
      </c>
      <c r="M890" s="234" t="s">
        <v>296</v>
      </c>
      <c r="N890" s="235" t="s">
        <v>296</v>
      </c>
      <c r="O890" s="236" t="s">
        <v>17</v>
      </c>
      <c r="P890" s="236" t="s">
        <v>17</v>
      </c>
      <c r="Q890" s="236" t="s">
        <v>15</v>
      </c>
      <c r="R890" s="236" t="s">
        <v>296</v>
      </c>
      <c r="S890" s="236" t="s">
        <v>296</v>
      </c>
      <c r="T890" s="236" t="s">
        <v>296</v>
      </c>
      <c r="U890" s="236" t="s">
        <v>296</v>
      </c>
      <c r="V890" s="236" t="s">
        <v>296</v>
      </c>
      <c r="W890" s="237" t="s">
        <v>296</v>
      </c>
      <c r="X890" s="237" t="s">
        <v>296</v>
      </c>
      <c r="Y890" s="238" t="s">
        <v>296</v>
      </c>
    </row>
    <row r="891" spans="1:25">
      <c r="A891" s="230">
        <v>16</v>
      </c>
      <c r="B891" s="231" t="str">
        <f>VLOOKUP(Tabel10[[#This Row],[Locatiecode]],Ruimtegroepen[[Code]:[Ruimte omschrijving]],2,FALSE)</f>
        <v>Leslokalen</v>
      </c>
      <c r="C891" s="232" t="s">
        <v>1031</v>
      </c>
      <c r="D891" s="231" t="s">
        <v>28</v>
      </c>
      <c r="E891" s="233" t="s">
        <v>1344</v>
      </c>
      <c r="F891" s="232" t="s">
        <v>1457</v>
      </c>
      <c r="G891" s="281" t="s">
        <v>296</v>
      </c>
      <c r="H891" s="234" t="s">
        <v>296</v>
      </c>
      <c r="I891" s="235" t="s">
        <v>17</v>
      </c>
      <c r="J891" s="235" t="s">
        <v>296</v>
      </c>
      <c r="K891" s="235" t="s">
        <v>296</v>
      </c>
      <c r="L891" s="234" t="s">
        <v>296</v>
      </c>
      <c r="M891" s="234" t="s">
        <v>296</v>
      </c>
      <c r="N891" s="235" t="s">
        <v>296</v>
      </c>
      <c r="O891" s="236" t="s">
        <v>17</v>
      </c>
      <c r="P891" s="236" t="s">
        <v>17</v>
      </c>
      <c r="Q891" s="236" t="s">
        <v>15</v>
      </c>
      <c r="R891" s="236" t="s">
        <v>296</v>
      </c>
      <c r="S891" s="236" t="s">
        <v>296</v>
      </c>
      <c r="T891" s="236" t="s">
        <v>296</v>
      </c>
      <c r="U891" s="236" t="s">
        <v>296</v>
      </c>
      <c r="V891" s="236" t="s">
        <v>296</v>
      </c>
      <c r="W891" s="237" t="s">
        <v>296</v>
      </c>
      <c r="X891" s="237" t="s">
        <v>296</v>
      </c>
      <c r="Y891" s="238" t="s">
        <v>296</v>
      </c>
    </row>
    <row r="892" spans="1:25">
      <c r="A892" s="230">
        <v>17</v>
      </c>
      <c r="B892" s="231" t="str">
        <f>VLOOKUP(Tabel10[[#This Row],[Locatiecode]],Ruimtegroepen[[Code]:[Ruimte omschrijving]],2,FALSE)</f>
        <v>Toestelberging</v>
      </c>
      <c r="C892" s="232" t="s">
        <v>1036</v>
      </c>
      <c r="D892" s="231" t="s">
        <v>29</v>
      </c>
      <c r="E892" s="233" t="s">
        <v>101</v>
      </c>
      <c r="F892" s="232" t="s">
        <v>1037</v>
      </c>
      <c r="G892" s="281" t="s">
        <v>296</v>
      </c>
      <c r="H892" s="234" t="s">
        <v>296</v>
      </c>
      <c r="I892" s="234" t="s">
        <v>20</v>
      </c>
      <c r="J892" s="235" t="s">
        <v>15</v>
      </c>
      <c r="K892" s="235" t="s">
        <v>296</v>
      </c>
      <c r="L892" s="234" t="s">
        <v>296</v>
      </c>
      <c r="M892" s="234" t="s">
        <v>296</v>
      </c>
      <c r="N892" s="235" t="s">
        <v>2</v>
      </c>
      <c r="O892" s="236" t="s">
        <v>2</v>
      </c>
      <c r="P892" s="236" t="s">
        <v>2</v>
      </c>
      <c r="Q892" s="236" t="s">
        <v>15</v>
      </c>
      <c r="R892" s="236" t="s">
        <v>15</v>
      </c>
      <c r="S892" s="236" t="s">
        <v>16</v>
      </c>
      <c r="T892" s="236" t="s">
        <v>343</v>
      </c>
      <c r="U892" s="236" t="s">
        <v>262</v>
      </c>
      <c r="V892" s="236" t="s">
        <v>2</v>
      </c>
      <c r="W892" s="237" t="s">
        <v>296</v>
      </c>
      <c r="X892" s="237" t="s">
        <v>296</v>
      </c>
      <c r="Y892" s="238" t="s">
        <v>296</v>
      </c>
    </row>
    <row r="893" spans="1:25">
      <c r="A893" s="230">
        <v>17</v>
      </c>
      <c r="B893" s="231" t="str">
        <f>VLOOKUP(Tabel10[[#This Row],[Locatiecode]],Ruimtegroepen[[Code]:[Ruimte omschrijving]],2,FALSE)</f>
        <v>Toestelberging</v>
      </c>
      <c r="C893" s="232" t="s">
        <v>1036</v>
      </c>
      <c r="D893" s="231" t="s">
        <v>29</v>
      </c>
      <c r="E893" s="233" t="s">
        <v>100</v>
      </c>
      <c r="F893" s="232" t="s">
        <v>1038</v>
      </c>
      <c r="G893" s="235" t="s">
        <v>20</v>
      </c>
      <c r="H893" s="235" t="s">
        <v>15</v>
      </c>
      <c r="I893" s="234" t="s">
        <v>296</v>
      </c>
      <c r="J893" s="235" t="s">
        <v>296</v>
      </c>
      <c r="K893" s="235" t="s">
        <v>296</v>
      </c>
      <c r="L893" s="234" t="s">
        <v>296</v>
      </c>
      <c r="M893" s="234" t="s">
        <v>296</v>
      </c>
      <c r="N893" s="235" t="s">
        <v>2</v>
      </c>
      <c r="O893" s="236" t="s">
        <v>2</v>
      </c>
      <c r="P893" s="236" t="s">
        <v>2</v>
      </c>
      <c r="Q893" s="236" t="s">
        <v>15</v>
      </c>
      <c r="R893" s="236" t="s">
        <v>15</v>
      </c>
      <c r="S893" s="236" t="s">
        <v>16</v>
      </c>
      <c r="T893" s="236" t="s">
        <v>343</v>
      </c>
      <c r="U893" s="236" t="s">
        <v>262</v>
      </c>
      <c r="V893" s="236" t="s">
        <v>2</v>
      </c>
      <c r="W893" s="237" t="s">
        <v>296</v>
      </c>
      <c r="X893" s="237" t="s">
        <v>296</v>
      </c>
      <c r="Y893" s="238" t="s">
        <v>296</v>
      </c>
    </row>
    <row r="894" spans="1:25">
      <c r="A894" s="230">
        <v>17</v>
      </c>
      <c r="B894" s="231" t="str">
        <f>VLOOKUP(Tabel10[[#This Row],[Locatiecode]],Ruimtegroepen[[Code]:[Ruimte omschrijving]],2,FALSE)</f>
        <v>Toestelberging</v>
      </c>
      <c r="C894" s="232" t="s">
        <v>1036</v>
      </c>
      <c r="D894" s="231" t="s">
        <v>29</v>
      </c>
      <c r="E894" s="233" t="s">
        <v>102</v>
      </c>
      <c r="F894" s="232" t="s">
        <v>1039</v>
      </c>
      <c r="G894" s="281" t="s">
        <v>296</v>
      </c>
      <c r="H894" s="234" t="s">
        <v>296</v>
      </c>
      <c r="I894" s="234" t="s">
        <v>20</v>
      </c>
      <c r="J894" s="235" t="s">
        <v>15</v>
      </c>
      <c r="K894" s="234" t="s">
        <v>297</v>
      </c>
      <c r="L894" s="234" t="s">
        <v>296</v>
      </c>
      <c r="M894" s="234" t="s">
        <v>296</v>
      </c>
      <c r="N894" s="235" t="s">
        <v>2</v>
      </c>
      <c r="O894" s="236" t="s">
        <v>2</v>
      </c>
      <c r="P894" s="236" t="s">
        <v>2</v>
      </c>
      <c r="Q894" s="236" t="s">
        <v>15</v>
      </c>
      <c r="R894" s="236" t="s">
        <v>15</v>
      </c>
      <c r="S894" s="236" t="s">
        <v>16</v>
      </c>
      <c r="T894" s="236" t="s">
        <v>343</v>
      </c>
      <c r="U894" s="236" t="s">
        <v>262</v>
      </c>
      <c r="V894" s="236" t="s">
        <v>2</v>
      </c>
      <c r="W894" s="237" t="s">
        <v>296</v>
      </c>
      <c r="X894" s="237" t="s">
        <v>296</v>
      </c>
      <c r="Y894" s="238" t="s">
        <v>296</v>
      </c>
    </row>
    <row r="895" spans="1:25">
      <c r="A895" s="230">
        <v>17</v>
      </c>
      <c r="B895" s="231" t="str">
        <f>VLOOKUP(Tabel10[[#This Row],[Locatiecode]],Ruimtegroepen[[Code]:[Ruimte omschrijving]],2,FALSE)</f>
        <v>Toestelberging</v>
      </c>
      <c r="C895" s="232" t="s">
        <v>1036</v>
      </c>
      <c r="D895" s="231" t="s">
        <v>29</v>
      </c>
      <c r="E895" s="233" t="s">
        <v>103</v>
      </c>
      <c r="F895" s="232" t="s">
        <v>1040</v>
      </c>
      <c r="G895" s="281" t="s">
        <v>296</v>
      </c>
      <c r="H895" s="234" t="s">
        <v>296</v>
      </c>
      <c r="I895" s="234" t="s">
        <v>20</v>
      </c>
      <c r="J895" s="235" t="s">
        <v>15</v>
      </c>
      <c r="K895" s="234" t="s">
        <v>297</v>
      </c>
      <c r="L895" s="234" t="s">
        <v>296</v>
      </c>
      <c r="M895" s="234" t="s">
        <v>296</v>
      </c>
      <c r="N895" s="235" t="s">
        <v>2</v>
      </c>
      <c r="O895" s="236" t="s">
        <v>2</v>
      </c>
      <c r="P895" s="236" t="s">
        <v>2</v>
      </c>
      <c r="Q895" s="236" t="s">
        <v>15</v>
      </c>
      <c r="R895" s="236" t="s">
        <v>15</v>
      </c>
      <c r="S895" s="236" t="s">
        <v>16</v>
      </c>
      <c r="T895" s="236" t="s">
        <v>343</v>
      </c>
      <c r="U895" s="236" t="s">
        <v>262</v>
      </c>
      <c r="V895" s="236" t="s">
        <v>2</v>
      </c>
      <c r="W895" s="237" t="s">
        <v>296</v>
      </c>
      <c r="X895" s="237" t="s">
        <v>296</v>
      </c>
      <c r="Y895" s="238" t="s">
        <v>296</v>
      </c>
    </row>
    <row r="896" spans="1:25">
      <c r="A896" s="230">
        <v>17</v>
      </c>
      <c r="B896" s="231" t="str">
        <f>VLOOKUP(Tabel10[[#This Row],[Locatiecode]],Ruimtegroepen[[Code]:[Ruimte omschrijving]],2,FALSE)</f>
        <v>Toestelberging</v>
      </c>
      <c r="C896" s="232" t="s">
        <v>1036</v>
      </c>
      <c r="D896" s="231" t="s">
        <v>29</v>
      </c>
      <c r="E896" s="233" t="s">
        <v>100</v>
      </c>
      <c r="F896" s="232" t="s">
        <v>1038</v>
      </c>
      <c r="G896" s="281" t="s">
        <v>296</v>
      </c>
      <c r="H896" s="235" t="s">
        <v>2</v>
      </c>
      <c r="I896" s="234" t="s">
        <v>296</v>
      </c>
      <c r="J896" s="235" t="s">
        <v>296</v>
      </c>
      <c r="K896" s="235" t="s">
        <v>296</v>
      </c>
      <c r="L896" s="234" t="s">
        <v>296</v>
      </c>
      <c r="M896" s="234" t="s">
        <v>296</v>
      </c>
      <c r="N896" s="235" t="s">
        <v>2</v>
      </c>
      <c r="O896" s="236" t="s">
        <v>2</v>
      </c>
      <c r="P896" s="236" t="s">
        <v>2</v>
      </c>
      <c r="Q896" s="236" t="s">
        <v>15</v>
      </c>
      <c r="R896" s="236" t="s">
        <v>15</v>
      </c>
      <c r="S896" s="236" t="s">
        <v>16</v>
      </c>
      <c r="T896" s="236" t="s">
        <v>343</v>
      </c>
      <c r="U896" s="236" t="s">
        <v>262</v>
      </c>
      <c r="V896" s="236" t="s">
        <v>2</v>
      </c>
      <c r="W896" s="237" t="s">
        <v>296</v>
      </c>
      <c r="X896" s="237" t="s">
        <v>296</v>
      </c>
      <c r="Y896" s="238" t="s">
        <v>296</v>
      </c>
    </row>
    <row r="897" spans="1:25">
      <c r="A897" s="230">
        <v>17</v>
      </c>
      <c r="B897" s="231" t="str">
        <f>VLOOKUP(Tabel10[[#This Row],[Locatiecode]],Ruimtegroepen[[Code]:[Ruimte omschrijving]],2,FALSE)</f>
        <v>Toestelberging</v>
      </c>
      <c r="C897" s="232" t="s">
        <v>1036</v>
      </c>
      <c r="D897" s="231" t="s">
        <v>29</v>
      </c>
      <c r="E897" s="233" t="s">
        <v>1344</v>
      </c>
      <c r="F897" s="232" t="s">
        <v>1525</v>
      </c>
      <c r="G897" s="281" t="s">
        <v>296</v>
      </c>
      <c r="H897" s="234" t="s">
        <v>296</v>
      </c>
      <c r="I897" s="234" t="s">
        <v>20</v>
      </c>
      <c r="J897" s="235" t="s">
        <v>15</v>
      </c>
      <c r="K897" s="234" t="s">
        <v>297</v>
      </c>
      <c r="L897" s="234" t="s">
        <v>296</v>
      </c>
      <c r="M897" s="234" t="s">
        <v>296</v>
      </c>
      <c r="N897" s="235" t="s">
        <v>2</v>
      </c>
      <c r="O897" s="236" t="s">
        <v>2</v>
      </c>
      <c r="P897" s="236" t="s">
        <v>2</v>
      </c>
      <c r="Q897" s="236" t="s">
        <v>15</v>
      </c>
      <c r="R897" s="236" t="s">
        <v>15</v>
      </c>
      <c r="S897" s="236" t="s">
        <v>16</v>
      </c>
      <c r="T897" s="236" t="s">
        <v>343</v>
      </c>
      <c r="U897" s="236" t="s">
        <v>262</v>
      </c>
      <c r="V897" s="236" t="s">
        <v>2</v>
      </c>
      <c r="W897" s="237" t="s">
        <v>296</v>
      </c>
      <c r="X897" s="237" t="s">
        <v>296</v>
      </c>
      <c r="Y897" s="238" t="s">
        <v>296</v>
      </c>
    </row>
    <row r="898" spans="1:25">
      <c r="A898" s="230">
        <v>17</v>
      </c>
      <c r="B898" s="231" t="str">
        <f>VLOOKUP(Tabel10[[#This Row],[Locatiecode]],Ruimtegroepen[[Code]:[Ruimte omschrijving]],2,FALSE)</f>
        <v>Toestelberging</v>
      </c>
      <c r="C898" s="232" t="s">
        <v>1041</v>
      </c>
      <c r="D898" s="231" t="s">
        <v>1</v>
      </c>
      <c r="E898" s="233" t="s">
        <v>101</v>
      </c>
      <c r="F898" s="232" t="s">
        <v>1042</v>
      </c>
      <c r="G898" s="281" t="s">
        <v>296</v>
      </c>
      <c r="H898" s="234" t="s">
        <v>296</v>
      </c>
      <c r="I898" s="234" t="s">
        <v>20</v>
      </c>
      <c r="J898" s="235" t="s">
        <v>15</v>
      </c>
      <c r="K898" s="235" t="s">
        <v>296</v>
      </c>
      <c r="L898" s="234" t="s">
        <v>296</v>
      </c>
      <c r="M898" s="234" t="s">
        <v>296</v>
      </c>
      <c r="N898" s="235" t="s">
        <v>296</v>
      </c>
      <c r="O898" s="236" t="s">
        <v>2</v>
      </c>
      <c r="P898" s="236" t="s">
        <v>2</v>
      </c>
      <c r="Q898" s="236" t="s">
        <v>15</v>
      </c>
      <c r="R898" s="236" t="s">
        <v>15</v>
      </c>
      <c r="S898" s="236" t="s">
        <v>16</v>
      </c>
      <c r="T898" s="236" t="s">
        <v>343</v>
      </c>
      <c r="U898" s="236" t="s">
        <v>262</v>
      </c>
      <c r="V898" s="236" t="s">
        <v>296</v>
      </c>
      <c r="W898" s="237" t="s">
        <v>296</v>
      </c>
      <c r="X898" s="237" t="s">
        <v>296</v>
      </c>
      <c r="Y898" s="238" t="s">
        <v>296</v>
      </c>
    </row>
    <row r="899" spans="1:25">
      <c r="A899" s="230">
        <v>17</v>
      </c>
      <c r="B899" s="231" t="str">
        <f>VLOOKUP(Tabel10[[#This Row],[Locatiecode]],Ruimtegroepen[[Code]:[Ruimte omschrijving]],2,FALSE)</f>
        <v>Toestelberging</v>
      </c>
      <c r="C899" s="232" t="s">
        <v>1041</v>
      </c>
      <c r="D899" s="231" t="s">
        <v>1</v>
      </c>
      <c r="E899" s="233" t="s">
        <v>100</v>
      </c>
      <c r="F899" s="232" t="s">
        <v>1043</v>
      </c>
      <c r="G899" s="235" t="s">
        <v>20</v>
      </c>
      <c r="H899" s="235" t="s">
        <v>15</v>
      </c>
      <c r="I899" s="234" t="s">
        <v>296</v>
      </c>
      <c r="J899" s="235" t="s">
        <v>296</v>
      </c>
      <c r="K899" s="235" t="s">
        <v>296</v>
      </c>
      <c r="L899" s="234" t="s">
        <v>296</v>
      </c>
      <c r="M899" s="234" t="s">
        <v>296</v>
      </c>
      <c r="N899" s="235" t="s">
        <v>296</v>
      </c>
      <c r="O899" s="236" t="s">
        <v>2</v>
      </c>
      <c r="P899" s="236" t="s">
        <v>2</v>
      </c>
      <c r="Q899" s="236" t="s">
        <v>15</v>
      </c>
      <c r="R899" s="236" t="s">
        <v>15</v>
      </c>
      <c r="S899" s="236" t="s">
        <v>16</v>
      </c>
      <c r="T899" s="236" t="s">
        <v>343</v>
      </c>
      <c r="U899" s="236" t="s">
        <v>262</v>
      </c>
      <c r="V899" s="236" t="s">
        <v>296</v>
      </c>
      <c r="W899" s="237" t="s">
        <v>296</v>
      </c>
      <c r="X899" s="237" t="s">
        <v>296</v>
      </c>
      <c r="Y899" s="238" t="s">
        <v>296</v>
      </c>
    </row>
    <row r="900" spans="1:25">
      <c r="A900" s="230">
        <v>17</v>
      </c>
      <c r="B900" s="231" t="str">
        <f>VLOOKUP(Tabel10[[#This Row],[Locatiecode]],Ruimtegroepen[[Code]:[Ruimte omschrijving]],2,FALSE)</f>
        <v>Toestelberging</v>
      </c>
      <c r="C900" s="232" t="s">
        <v>1041</v>
      </c>
      <c r="D900" s="231" t="s">
        <v>1</v>
      </c>
      <c r="E900" s="233" t="s">
        <v>102</v>
      </c>
      <c r="F900" s="232" t="s">
        <v>1044</v>
      </c>
      <c r="G900" s="281" t="s">
        <v>296</v>
      </c>
      <c r="H900" s="234" t="s">
        <v>296</v>
      </c>
      <c r="I900" s="234" t="s">
        <v>20</v>
      </c>
      <c r="J900" s="235" t="s">
        <v>15</v>
      </c>
      <c r="K900" s="234" t="s">
        <v>297</v>
      </c>
      <c r="L900" s="234" t="s">
        <v>296</v>
      </c>
      <c r="M900" s="234" t="s">
        <v>296</v>
      </c>
      <c r="N900" s="235" t="s">
        <v>296</v>
      </c>
      <c r="O900" s="236" t="s">
        <v>2</v>
      </c>
      <c r="P900" s="236" t="s">
        <v>2</v>
      </c>
      <c r="Q900" s="236" t="s">
        <v>15</v>
      </c>
      <c r="R900" s="236" t="s">
        <v>15</v>
      </c>
      <c r="S900" s="236" t="s">
        <v>16</v>
      </c>
      <c r="T900" s="236" t="s">
        <v>343</v>
      </c>
      <c r="U900" s="236" t="s">
        <v>262</v>
      </c>
      <c r="V900" s="236" t="s">
        <v>296</v>
      </c>
      <c r="W900" s="237" t="s">
        <v>296</v>
      </c>
      <c r="X900" s="237" t="s">
        <v>296</v>
      </c>
      <c r="Y900" s="238" t="s">
        <v>296</v>
      </c>
    </row>
    <row r="901" spans="1:25">
      <c r="A901" s="230">
        <v>17</v>
      </c>
      <c r="B901" s="231" t="str">
        <f>VLOOKUP(Tabel10[[#This Row],[Locatiecode]],Ruimtegroepen[[Code]:[Ruimte omschrijving]],2,FALSE)</f>
        <v>Toestelberging</v>
      </c>
      <c r="C901" s="232" t="s">
        <v>1041</v>
      </c>
      <c r="D901" s="231" t="s">
        <v>1</v>
      </c>
      <c r="E901" s="233" t="s">
        <v>103</v>
      </c>
      <c r="F901" s="232" t="s">
        <v>1045</v>
      </c>
      <c r="G901" s="281" t="s">
        <v>296</v>
      </c>
      <c r="H901" s="234" t="s">
        <v>296</v>
      </c>
      <c r="I901" s="234" t="s">
        <v>20</v>
      </c>
      <c r="J901" s="235" t="s">
        <v>15</v>
      </c>
      <c r="K901" s="234" t="s">
        <v>297</v>
      </c>
      <c r="L901" s="234" t="s">
        <v>296</v>
      </c>
      <c r="M901" s="234" t="s">
        <v>296</v>
      </c>
      <c r="N901" s="235" t="s">
        <v>296</v>
      </c>
      <c r="O901" s="236" t="s">
        <v>2</v>
      </c>
      <c r="P901" s="236" t="s">
        <v>2</v>
      </c>
      <c r="Q901" s="236" t="s">
        <v>15</v>
      </c>
      <c r="R901" s="236" t="s">
        <v>15</v>
      </c>
      <c r="S901" s="236" t="s">
        <v>16</v>
      </c>
      <c r="T901" s="236" t="s">
        <v>343</v>
      </c>
      <c r="U901" s="236" t="s">
        <v>262</v>
      </c>
      <c r="V901" s="236" t="s">
        <v>296</v>
      </c>
      <c r="W901" s="237" t="s">
        <v>296</v>
      </c>
      <c r="X901" s="237" t="s">
        <v>296</v>
      </c>
      <c r="Y901" s="238" t="s">
        <v>296</v>
      </c>
    </row>
    <row r="902" spans="1:25">
      <c r="A902" s="230">
        <v>17</v>
      </c>
      <c r="B902" s="231" t="str">
        <f>VLOOKUP(Tabel10[[#This Row],[Locatiecode]],Ruimtegroepen[[Code]:[Ruimte omschrijving]],2,FALSE)</f>
        <v>Toestelberging</v>
      </c>
      <c r="C902" s="232" t="s">
        <v>1041</v>
      </c>
      <c r="D902" s="231" t="s">
        <v>1</v>
      </c>
      <c r="E902" s="233" t="s">
        <v>100</v>
      </c>
      <c r="F902" s="232" t="s">
        <v>1043</v>
      </c>
      <c r="G902" s="281" t="s">
        <v>296</v>
      </c>
      <c r="H902" s="235" t="s">
        <v>2</v>
      </c>
      <c r="I902" s="234" t="s">
        <v>296</v>
      </c>
      <c r="J902" s="235" t="s">
        <v>296</v>
      </c>
      <c r="K902" s="235" t="s">
        <v>296</v>
      </c>
      <c r="L902" s="234" t="s">
        <v>296</v>
      </c>
      <c r="M902" s="234" t="s">
        <v>296</v>
      </c>
      <c r="N902" s="235" t="s">
        <v>296</v>
      </c>
      <c r="O902" s="236" t="s">
        <v>2</v>
      </c>
      <c r="P902" s="236" t="s">
        <v>2</v>
      </c>
      <c r="Q902" s="236" t="s">
        <v>15</v>
      </c>
      <c r="R902" s="236" t="s">
        <v>15</v>
      </c>
      <c r="S902" s="236" t="s">
        <v>16</v>
      </c>
      <c r="T902" s="236" t="s">
        <v>343</v>
      </c>
      <c r="U902" s="236" t="s">
        <v>262</v>
      </c>
      <c r="V902" s="236" t="s">
        <v>296</v>
      </c>
      <c r="W902" s="237" t="s">
        <v>296</v>
      </c>
      <c r="X902" s="237" t="s">
        <v>296</v>
      </c>
      <c r="Y902" s="238" t="s">
        <v>296</v>
      </c>
    </row>
    <row r="903" spans="1:25">
      <c r="A903" s="230">
        <v>17</v>
      </c>
      <c r="B903" s="231" t="str">
        <f>VLOOKUP(Tabel10[[#This Row],[Locatiecode]],Ruimtegroepen[[Code]:[Ruimte omschrijving]],2,FALSE)</f>
        <v>Toestelberging</v>
      </c>
      <c r="C903" s="232" t="s">
        <v>1041</v>
      </c>
      <c r="D903" s="231" t="s">
        <v>1</v>
      </c>
      <c r="E903" s="233" t="s">
        <v>1344</v>
      </c>
      <c r="F903" s="232" t="s">
        <v>1509</v>
      </c>
      <c r="G903" s="281" t="s">
        <v>296</v>
      </c>
      <c r="H903" s="234" t="s">
        <v>296</v>
      </c>
      <c r="I903" s="234" t="s">
        <v>20</v>
      </c>
      <c r="J903" s="235" t="s">
        <v>15</v>
      </c>
      <c r="K903" s="234" t="s">
        <v>297</v>
      </c>
      <c r="L903" s="234" t="s">
        <v>296</v>
      </c>
      <c r="M903" s="234" t="s">
        <v>296</v>
      </c>
      <c r="N903" s="235" t="s">
        <v>296</v>
      </c>
      <c r="O903" s="236" t="s">
        <v>2</v>
      </c>
      <c r="P903" s="236" t="s">
        <v>2</v>
      </c>
      <c r="Q903" s="236" t="s">
        <v>15</v>
      </c>
      <c r="R903" s="236" t="s">
        <v>15</v>
      </c>
      <c r="S903" s="236" t="s">
        <v>16</v>
      </c>
      <c r="T903" s="236" t="s">
        <v>343</v>
      </c>
      <c r="U903" s="236" t="s">
        <v>262</v>
      </c>
      <c r="V903" s="236" t="s">
        <v>296</v>
      </c>
      <c r="W903" s="237" t="s">
        <v>296</v>
      </c>
      <c r="X903" s="237" t="s">
        <v>296</v>
      </c>
      <c r="Y903" s="238" t="s">
        <v>296</v>
      </c>
    </row>
    <row r="904" spans="1:25">
      <c r="A904" s="230">
        <v>17</v>
      </c>
      <c r="B904" s="231" t="str">
        <f>VLOOKUP(Tabel10[[#This Row],[Locatiecode]],Ruimtegroepen[[Code]:[Ruimte omschrijving]],2,FALSE)</f>
        <v>Toestelberging</v>
      </c>
      <c r="C904" s="232" t="s">
        <v>1046</v>
      </c>
      <c r="D904" s="231" t="s">
        <v>21</v>
      </c>
      <c r="E904" s="233" t="s">
        <v>101</v>
      </c>
      <c r="F904" s="232" t="s">
        <v>1047</v>
      </c>
      <c r="G904" s="281" t="s">
        <v>296</v>
      </c>
      <c r="H904" s="234" t="s">
        <v>296</v>
      </c>
      <c r="I904" s="234" t="s">
        <v>18</v>
      </c>
      <c r="J904" s="235" t="s">
        <v>15</v>
      </c>
      <c r="K904" s="235" t="s">
        <v>296</v>
      </c>
      <c r="L904" s="234" t="s">
        <v>296</v>
      </c>
      <c r="M904" s="234" t="s">
        <v>296</v>
      </c>
      <c r="N904" s="235" t="s">
        <v>296</v>
      </c>
      <c r="O904" s="236" t="s">
        <v>20</v>
      </c>
      <c r="P904" s="236" t="s">
        <v>20</v>
      </c>
      <c r="Q904" s="236" t="s">
        <v>15</v>
      </c>
      <c r="R904" s="236" t="s">
        <v>15</v>
      </c>
      <c r="S904" s="236" t="s">
        <v>16</v>
      </c>
      <c r="T904" s="236" t="s">
        <v>343</v>
      </c>
      <c r="U904" s="236" t="s">
        <v>262</v>
      </c>
      <c r="V904" s="236" t="s">
        <v>296</v>
      </c>
      <c r="W904" s="237" t="s">
        <v>296</v>
      </c>
      <c r="X904" s="237" t="s">
        <v>296</v>
      </c>
      <c r="Y904" s="238" t="s">
        <v>296</v>
      </c>
    </row>
    <row r="905" spans="1:25">
      <c r="A905" s="230">
        <v>17</v>
      </c>
      <c r="B905" s="231" t="str">
        <f>VLOOKUP(Tabel10[[#This Row],[Locatiecode]],Ruimtegroepen[[Code]:[Ruimte omschrijving]],2,FALSE)</f>
        <v>Toestelberging</v>
      </c>
      <c r="C905" s="232" t="s">
        <v>1046</v>
      </c>
      <c r="D905" s="231" t="s">
        <v>21</v>
      </c>
      <c r="E905" s="233" t="s">
        <v>100</v>
      </c>
      <c r="F905" s="232" t="s">
        <v>1048</v>
      </c>
      <c r="G905" s="235" t="s">
        <v>18</v>
      </c>
      <c r="H905" s="235" t="s">
        <v>15</v>
      </c>
      <c r="I905" s="234" t="s">
        <v>296</v>
      </c>
      <c r="J905" s="235" t="s">
        <v>296</v>
      </c>
      <c r="K905" s="235" t="s">
        <v>296</v>
      </c>
      <c r="L905" s="234" t="s">
        <v>296</v>
      </c>
      <c r="M905" s="234" t="s">
        <v>296</v>
      </c>
      <c r="N905" s="235" t="s">
        <v>296</v>
      </c>
      <c r="O905" s="236" t="s">
        <v>20</v>
      </c>
      <c r="P905" s="236" t="s">
        <v>20</v>
      </c>
      <c r="Q905" s="236" t="s">
        <v>15</v>
      </c>
      <c r="R905" s="236" t="s">
        <v>15</v>
      </c>
      <c r="S905" s="236" t="s">
        <v>16</v>
      </c>
      <c r="T905" s="236" t="s">
        <v>343</v>
      </c>
      <c r="U905" s="236" t="s">
        <v>262</v>
      </c>
      <c r="V905" s="236" t="s">
        <v>296</v>
      </c>
      <c r="W905" s="237" t="s">
        <v>296</v>
      </c>
      <c r="X905" s="237" t="s">
        <v>296</v>
      </c>
      <c r="Y905" s="238" t="s">
        <v>296</v>
      </c>
    </row>
    <row r="906" spans="1:25">
      <c r="A906" s="230">
        <v>17</v>
      </c>
      <c r="B906" s="231" t="str">
        <f>VLOOKUP(Tabel10[[#This Row],[Locatiecode]],Ruimtegroepen[[Code]:[Ruimte omschrijving]],2,FALSE)</f>
        <v>Toestelberging</v>
      </c>
      <c r="C906" s="232" t="s">
        <v>1046</v>
      </c>
      <c r="D906" s="231" t="s">
        <v>21</v>
      </c>
      <c r="E906" s="233" t="s">
        <v>102</v>
      </c>
      <c r="F906" s="232" t="s">
        <v>1049</v>
      </c>
      <c r="G906" s="281" t="s">
        <v>296</v>
      </c>
      <c r="H906" s="234" t="s">
        <v>296</v>
      </c>
      <c r="I906" s="234" t="s">
        <v>18</v>
      </c>
      <c r="J906" s="235" t="s">
        <v>15</v>
      </c>
      <c r="K906" s="234" t="s">
        <v>297</v>
      </c>
      <c r="L906" s="234" t="s">
        <v>296</v>
      </c>
      <c r="M906" s="234" t="s">
        <v>296</v>
      </c>
      <c r="N906" s="235" t="s">
        <v>296</v>
      </c>
      <c r="O906" s="236" t="s">
        <v>20</v>
      </c>
      <c r="P906" s="236" t="s">
        <v>20</v>
      </c>
      <c r="Q906" s="236" t="s">
        <v>15</v>
      </c>
      <c r="R906" s="236" t="s">
        <v>15</v>
      </c>
      <c r="S906" s="236" t="s">
        <v>16</v>
      </c>
      <c r="T906" s="236" t="s">
        <v>343</v>
      </c>
      <c r="U906" s="236" t="s">
        <v>262</v>
      </c>
      <c r="V906" s="236" t="s">
        <v>296</v>
      </c>
      <c r="W906" s="237" t="s">
        <v>296</v>
      </c>
      <c r="X906" s="237" t="s">
        <v>296</v>
      </c>
      <c r="Y906" s="238" t="s">
        <v>296</v>
      </c>
    </row>
    <row r="907" spans="1:25">
      <c r="A907" s="230">
        <v>17</v>
      </c>
      <c r="B907" s="231" t="str">
        <f>VLOOKUP(Tabel10[[#This Row],[Locatiecode]],Ruimtegroepen[[Code]:[Ruimte omschrijving]],2,FALSE)</f>
        <v>Toestelberging</v>
      </c>
      <c r="C907" s="232" t="s">
        <v>1046</v>
      </c>
      <c r="D907" s="231" t="s">
        <v>21</v>
      </c>
      <c r="E907" s="233" t="s">
        <v>103</v>
      </c>
      <c r="F907" s="232" t="s">
        <v>1050</v>
      </c>
      <c r="G907" s="281" t="s">
        <v>296</v>
      </c>
      <c r="H907" s="234" t="s">
        <v>296</v>
      </c>
      <c r="I907" s="234" t="s">
        <v>18</v>
      </c>
      <c r="J907" s="235" t="s">
        <v>15</v>
      </c>
      <c r="K907" s="234" t="s">
        <v>297</v>
      </c>
      <c r="L907" s="234" t="s">
        <v>296</v>
      </c>
      <c r="M907" s="234" t="s">
        <v>296</v>
      </c>
      <c r="N907" s="235" t="s">
        <v>296</v>
      </c>
      <c r="O907" s="236" t="s">
        <v>20</v>
      </c>
      <c r="P907" s="236" t="s">
        <v>20</v>
      </c>
      <c r="Q907" s="236" t="s">
        <v>15</v>
      </c>
      <c r="R907" s="236" t="s">
        <v>15</v>
      </c>
      <c r="S907" s="236" t="s">
        <v>16</v>
      </c>
      <c r="T907" s="236" t="s">
        <v>343</v>
      </c>
      <c r="U907" s="236" t="s">
        <v>262</v>
      </c>
      <c r="V907" s="236" t="s">
        <v>296</v>
      </c>
      <c r="W907" s="237" t="s">
        <v>296</v>
      </c>
      <c r="X907" s="237" t="s">
        <v>296</v>
      </c>
      <c r="Y907" s="238" t="s">
        <v>296</v>
      </c>
    </row>
    <row r="908" spans="1:25">
      <c r="A908" s="230">
        <v>17</v>
      </c>
      <c r="B908" s="231" t="str">
        <f>VLOOKUP(Tabel10[[#This Row],[Locatiecode]],Ruimtegroepen[[Code]:[Ruimte omschrijving]],2,FALSE)</f>
        <v>Toestelberging</v>
      </c>
      <c r="C908" s="232" t="s">
        <v>1046</v>
      </c>
      <c r="D908" s="231" t="s">
        <v>21</v>
      </c>
      <c r="E908" s="233" t="s">
        <v>100</v>
      </c>
      <c r="F908" s="232" t="s">
        <v>1048</v>
      </c>
      <c r="G908" s="281" t="s">
        <v>296</v>
      </c>
      <c r="H908" s="235" t="s">
        <v>20</v>
      </c>
      <c r="I908" s="234" t="s">
        <v>296</v>
      </c>
      <c r="J908" s="235" t="s">
        <v>296</v>
      </c>
      <c r="K908" s="235" t="s">
        <v>296</v>
      </c>
      <c r="L908" s="234" t="s">
        <v>296</v>
      </c>
      <c r="M908" s="234" t="s">
        <v>296</v>
      </c>
      <c r="N908" s="235" t="s">
        <v>296</v>
      </c>
      <c r="O908" s="236" t="s">
        <v>20</v>
      </c>
      <c r="P908" s="236" t="s">
        <v>20</v>
      </c>
      <c r="Q908" s="236" t="s">
        <v>15</v>
      </c>
      <c r="R908" s="236" t="s">
        <v>15</v>
      </c>
      <c r="S908" s="236" t="s">
        <v>16</v>
      </c>
      <c r="T908" s="236" t="s">
        <v>343</v>
      </c>
      <c r="U908" s="236" t="s">
        <v>262</v>
      </c>
      <c r="V908" s="236" t="s">
        <v>296</v>
      </c>
      <c r="W908" s="237" t="s">
        <v>296</v>
      </c>
      <c r="X908" s="237" t="s">
        <v>296</v>
      </c>
      <c r="Y908" s="238" t="s">
        <v>296</v>
      </c>
    </row>
    <row r="909" spans="1:25">
      <c r="A909" s="230">
        <v>17</v>
      </c>
      <c r="B909" s="231" t="str">
        <f>VLOOKUP(Tabel10[[#This Row],[Locatiecode]],Ruimtegroepen[[Code]:[Ruimte omschrijving]],2,FALSE)</f>
        <v>Toestelberging</v>
      </c>
      <c r="C909" s="232" t="s">
        <v>1046</v>
      </c>
      <c r="D909" s="231" t="s">
        <v>21</v>
      </c>
      <c r="E909" s="233" t="s">
        <v>1344</v>
      </c>
      <c r="F909" s="232" t="s">
        <v>1492</v>
      </c>
      <c r="G909" s="281" t="s">
        <v>296</v>
      </c>
      <c r="H909" s="234" t="s">
        <v>296</v>
      </c>
      <c r="I909" s="234" t="s">
        <v>18</v>
      </c>
      <c r="J909" s="235" t="s">
        <v>15</v>
      </c>
      <c r="K909" s="234" t="s">
        <v>297</v>
      </c>
      <c r="L909" s="234" t="s">
        <v>296</v>
      </c>
      <c r="M909" s="234" t="s">
        <v>296</v>
      </c>
      <c r="N909" s="235" t="s">
        <v>296</v>
      </c>
      <c r="O909" s="236" t="s">
        <v>20</v>
      </c>
      <c r="P909" s="236" t="s">
        <v>20</v>
      </c>
      <c r="Q909" s="236" t="s">
        <v>15</v>
      </c>
      <c r="R909" s="236" t="s">
        <v>15</v>
      </c>
      <c r="S909" s="236" t="s">
        <v>16</v>
      </c>
      <c r="T909" s="236" t="s">
        <v>343</v>
      </c>
      <c r="U909" s="236" t="s">
        <v>262</v>
      </c>
      <c r="V909" s="236" t="s">
        <v>296</v>
      </c>
      <c r="W909" s="237" t="s">
        <v>296</v>
      </c>
      <c r="X909" s="237" t="s">
        <v>296</v>
      </c>
      <c r="Y909" s="238" t="s">
        <v>296</v>
      </c>
    </row>
    <row r="910" spans="1:25">
      <c r="A910" s="230">
        <v>17</v>
      </c>
      <c r="B910" s="231" t="str">
        <f>VLOOKUP(Tabel10[[#This Row],[Locatiecode]],Ruimtegroepen[[Code]:[Ruimte omschrijving]],2,FALSE)</f>
        <v>Toestelberging</v>
      </c>
      <c r="C910" s="232" t="s">
        <v>1051</v>
      </c>
      <c r="D910" s="231" t="s">
        <v>12</v>
      </c>
      <c r="E910" s="233" t="s">
        <v>101</v>
      </c>
      <c r="F910" s="232" t="s">
        <v>1052</v>
      </c>
      <c r="G910" s="281" t="s">
        <v>296</v>
      </c>
      <c r="H910" s="234" t="s">
        <v>296</v>
      </c>
      <c r="I910" s="234" t="s">
        <v>17</v>
      </c>
      <c r="J910" s="235" t="s">
        <v>15</v>
      </c>
      <c r="K910" s="235" t="s">
        <v>296</v>
      </c>
      <c r="L910" s="234" t="s">
        <v>296</v>
      </c>
      <c r="M910" s="234" t="s">
        <v>296</v>
      </c>
      <c r="N910" s="235" t="s">
        <v>296</v>
      </c>
      <c r="O910" s="236" t="s">
        <v>18</v>
      </c>
      <c r="P910" s="236" t="s">
        <v>18</v>
      </c>
      <c r="Q910" s="236" t="s">
        <v>15</v>
      </c>
      <c r="R910" s="236" t="s">
        <v>15</v>
      </c>
      <c r="S910" s="236" t="s">
        <v>16</v>
      </c>
      <c r="T910" s="236" t="s">
        <v>343</v>
      </c>
      <c r="U910" s="236" t="s">
        <v>262</v>
      </c>
      <c r="V910" s="236" t="s">
        <v>296</v>
      </c>
      <c r="W910" s="237" t="s">
        <v>296</v>
      </c>
      <c r="X910" s="237" t="s">
        <v>296</v>
      </c>
      <c r="Y910" s="238" t="s">
        <v>296</v>
      </c>
    </row>
    <row r="911" spans="1:25">
      <c r="A911" s="230">
        <v>17</v>
      </c>
      <c r="B911" s="231" t="str">
        <f>VLOOKUP(Tabel10[[#This Row],[Locatiecode]],Ruimtegroepen[[Code]:[Ruimte omschrijving]],2,FALSE)</f>
        <v>Toestelberging</v>
      </c>
      <c r="C911" s="232" t="s">
        <v>1051</v>
      </c>
      <c r="D911" s="231" t="s">
        <v>12</v>
      </c>
      <c r="E911" s="233" t="s">
        <v>100</v>
      </c>
      <c r="F911" s="232" t="s">
        <v>1053</v>
      </c>
      <c r="G911" s="235" t="s">
        <v>17</v>
      </c>
      <c r="H911" s="235" t="s">
        <v>15</v>
      </c>
      <c r="I911" s="234" t="s">
        <v>296</v>
      </c>
      <c r="J911" s="235" t="s">
        <v>296</v>
      </c>
      <c r="K911" s="235" t="s">
        <v>296</v>
      </c>
      <c r="L911" s="234" t="s">
        <v>296</v>
      </c>
      <c r="M911" s="234" t="s">
        <v>296</v>
      </c>
      <c r="N911" s="235" t="s">
        <v>296</v>
      </c>
      <c r="O911" s="236" t="s">
        <v>18</v>
      </c>
      <c r="P911" s="236" t="s">
        <v>18</v>
      </c>
      <c r="Q911" s="236" t="s">
        <v>15</v>
      </c>
      <c r="R911" s="236" t="s">
        <v>15</v>
      </c>
      <c r="S911" s="236" t="s">
        <v>16</v>
      </c>
      <c r="T911" s="236" t="s">
        <v>343</v>
      </c>
      <c r="U911" s="236" t="s">
        <v>262</v>
      </c>
      <c r="V911" s="236" t="s">
        <v>296</v>
      </c>
      <c r="W911" s="237" t="s">
        <v>296</v>
      </c>
      <c r="X911" s="237" t="s">
        <v>296</v>
      </c>
      <c r="Y911" s="238" t="s">
        <v>296</v>
      </c>
    </row>
    <row r="912" spans="1:25">
      <c r="A912" s="230">
        <v>17</v>
      </c>
      <c r="B912" s="231" t="str">
        <f>VLOOKUP(Tabel10[[#This Row],[Locatiecode]],Ruimtegroepen[[Code]:[Ruimte omschrijving]],2,FALSE)</f>
        <v>Toestelberging</v>
      </c>
      <c r="C912" s="232" t="s">
        <v>1051</v>
      </c>
      <c r="D912" s="231" t="s">
        <v>12</v>
      </c>
      <c r="E912" s="233" t="s">
        <v>102</v>
      </c>
      <c r="F912" s="232" t="s">
        <v>1054</v>
      </c>
      <c r="G912" s="281" t="s">
        <v>296</v>
      </c>
      <c r="H912" s="234" t="s">
        <v>296</v>
      </c>
      <c r="I912" s="234" t="s">
        <v>17</v>
      </c>
      <c r="J912" s="235" t="s">
        <v>15</v>
      </c>
      <c r="K912" s="234" t="s">
        <v>297</v>
      </c>
      <c r="L912" s="234" t="s">
        <v>296</v>
      </c>
      <c r="M912" s="234" t="s">
        <v>296</v>
      </c>
      <c r="N912" s="235" t="s">
        <v>296</v>
      </c>
      <c r="O912" s="236" t="s">
        <v>18</v>
      </c>
      <c r="P912" s="236" t="s">
        <v>18</v>
      </c>
      <c r="Q912" s="236" t="s">
        <v>15</v>
      </c>
      <c r="R912" s="236" t="s">
        <v>15</v>
      </c>
      <c r="S912" s="236" t="s">
        <v>16</v>
      </c>
      <c r="T912" s="236" t="s">
        <v>343</v>
      </c>
      <c r="U912" s="236" t="s">
        <v>262</v>
      </c>
      <c r="V912" s="236" t="s">
        <v>296</v>
      </c>
      <c r="W912" s="237" t="s">
        <v>296</v>
      </c>
      <c r="X912" s="237" t="s">
        <v>296</v>
      </c>
      <c r="Y912" s="238" t="s">
        <v>296</v>
      </c>
    </row>
    <row r="913" spans="1:25">
      <c r="A913" s="230">
        <v>17</v>
      </c>
      <c r="B913" s="231" t="str">
        <f>VLOOKUP(Tabel10[[#This Row],[Locatiecode]],Ruimtegroepen[[Code]:[Ruimte omschrijving]],2,FALSE)</f>
        <v>Toestelberging</v>
      </c>
      <c r="C913" s="232" t="s">
        <v>1051</v>
      </c>
      <c r="D913" s="231" t="s">
        <v>12</v>
      </c>
      <c r="E913" s="233" t="s">
        <v>103</v>
      </c>
      <c r="F913" s="232" t="s">
        <v>1055</v>
      </c>
      <c r="G913" s="281" t="s">
        <v>296</v>
      </c>
      <c r="H913" s="234" t="s">
        <v>296</v>
      </c>
      <c r="I913" s="234" t="s">
        <v>17</v>
      </c>
      <c r="J913" s="235" t="s">
        <v>15</v>
      </c>
      <c r="K913" s="234" t="s">
        <v>297</v>
      </c>
      <c r="L913" s="234" t="s">
        <v>296</v>
      </c>
      <c r="M913" s="234" t="s">
        <v>296</v>
      </c>
      <c r="N913" s="235" t="s">
        <v>296</v>
      </c>
      <c r="O913" s="236" t="s">
        <v>18</v>
      </c>
      <c r="P913" s="236" t="s">
        <v>18</v>
      </c>
      <c r="Q913" s="236" t="s">
        <v>15</v>
      </c>
      <c r="R913" s="236" t="s">
        <v>15</v>
      </c>
      <c r="S913" s="236" t="s">
        <v>16</v>
      </c>
      <c r="T913" s="236" t="s">
        <v>343</v>
      </c>
      <c r="U913" s="236" t="s">
        <v>262</v>
      </c>
      <c r="V913" s="236" t="s">
        <v>296</v>
      </c>
      <c r="W913" s="237" t="s">
        <v>296</v>
      </c>
      <c r="X913" s="237" t="s">
        <v>296</v>
      </c>
      <c r="Y913" s="238" t="s">
        <v>296</v>
      </c>
    </row>
    <row r="914" spans="1:25">
      <c r="A914" s="230">
        <v>17</v>
      </c>
      <c r="B914" s="231" t="str">
        <f>VLOOKUP(Tabel10[[#This Row],[Locatiecode]],Ruimtegroepen[[Code]:[Ruimte omschrijving]],2,FALSE)</f>
        <v>Toestelberging</v>
      </c>
      <c r="C914" s="232" t="s">
        <v>1051</v>
      </c>
      <c r="D914" s="231" t="s">
        <v>12</v>
      </c>
      <c r="E914" s="233" t="s">
        <v>100</v>
      </c>
      <c r="F914" s="232" t="s">
        <v>1053</v>
      </c>
      <c r="G914" s="281" t="s">
        <v>296</v>
      </c>
      <c r="H914" s="235" t="s">
        <v>18</v>
      </c>
      <c r="I914" s="234" t="s">
        <v>296</v>
      </c>
      <c r="J914" s="235" t="s">
        <v>296</v>
      </c>
      <c r="K914" s="235" t="s">
        <v>296</v>
      </c>
      <c r="L914" s="234" t="s">
        <v>296</v>
      </c>
      <c r="M914" s="234" t="s">
        <v>296</v>
      </c>
      <c r="N914" s="235" t="s">
        <v>296</v>
      </c>
      <c r="O914" s="236" t="s">
        <v>18</v>
      </c>
      <c r="P914" s="236" t="s">
        <v>18</v>
      </c>
      <c r="Q914" s="236" t="s">
        <v>15</v>
      </c>
      <c r="R914" s="236" t="s">
        <v>15</v>
      </c>
      <c r="S914" s="236" t="s">
        <v>16</v>
      </c>
      <c r="T914" s="236" t="s">
        <v>343</v>
      </c>
      <c r="U914" s="236" t="s">
        <v>262</v>
      </c>
      <c r="V914" s="236" t="s">
        <v>296</v>
      </c>
      <c r="W914" s="237" t="s">
        <v>296</v>
      </c>
      <c r="X914" s="237" t="s">
        <v>296</v>
      </c>
      <c r="Y914" s="238" t="s">
        <v>296</v>
      </c>
    </row>
    <row r="915" spans="1:25">
      <c r="A915" s="230">
        <v>17</v>
      </c>
      <c r="B915" s="231" t="str">
        <f>VLOOKUP(Tabel10[[#This Row],[Locatiecode]],Ruimtegroepen[[Code]:[Ruimte omschrijving]],2,FALSE)</f>
        <v>Toestelberging</v>
      </c>
      <c r="C915" s="232" t="s">
        <v>1051</v>
      </c>
      <c r="D915" s="231" t="s">
        <v>12</v>
      </c>
      <c r="E915" s="233" t="s">
        <v>1344</v>
      </c>
      <c r="F915" s="232" t="s">
        <v>1474</v>
      </c>
      <c r="G915" s="281" t="s">
        <v>296</v>
      </c>
      <c r="H915" s="234" t="s">
        <v>296</v>
      </c>
      <c r="I915" s="234" t="s">
        <v>17</v>
      </c>
      <c r="J915" s="235" t="s">
        <v>15</v>
      </c>
      <c r="K915" s="234" t="s">
        <v>297</v>
      </c>
      <c r="L915" s="234" t="s">
        <v>296</v>
      </c>
      <c r="M915" s="234" t="s">
        <v>296</v>
      </c>
      <c r="N915" s="235" t="s">
        <v>296</v>
      </c>
      <c r="O915" s="236" t="s">
        <v>18</v>
      </c>
      <c r="P915" s="236" t="s">
        <v>18</v>
      </c>
      <c r="Q915" s="236" t="s">
        <v>15</v>
      </c>
      <c r="R915" s="236" t="s">
        <v>15</v>
      </c>
      <c r="S915" s="236" t="s">
        <v>16</v>
      </c>
      <c r="T915" s="236" t="s">
        <v>343</v>
      </c>
      <c r="U915" s="236" t="s">
        <v>262</v>
      </c>
      <c r="V915" s="236" t="s">
        <v>296</v>
      </c>
      <c r="W915" s="237" t="s">
        <v>296</v>
      </c>
      <c r="X915" s="237" t="s">
        <v>296</v>
      </c>
      <c r="Y915" s="238" t="s">
        <v>296</v>
      </c>
    </row>
    <row r="916" spans="1:25">
      <c r="A916" s="230">
        <v>17</v>
      </c>
      <c r="B916" s="231" t="str">
        <f>VLOOKUP(Tabel10[[#This Row],[Locatiecode]],Ruimtegroepen[[Code]:[Ruimte omschrijving]],2,FALSE)</f>
        <v>Toestelberging</v>
      </c>
      <c r="C916" s="232" t="s">
        <v>1056</v>
      </c>
      <c r="D916" s="231" t="s">
        <v>14</v>
      </c>
      <c r="E916" s="233" t="s">
        <v>101</v>
      </c>
      <c r="F916" s="232" t="s">
        <v>1057</v>
      </c>
      <c r="G916" s="281" t="s">
        <v>296</v>
      </c>
      <c r="H916" s="234" t="s">
        <v>296</v>
      </c>
      <c r="I916" s="234" t="s">
        <v>15</v>
      </c>
      <c r="J916" s="235" t="s">
        <v>15</v>
      </c>
      <c r="K916" s="235" t="s">
        <v>296</v>
      </c>
      <c r="L916" s="234" t="s">
        <v>296</v>
      </c>
      <c r="M916" s="234" t="s">
        <v>296</v>
      </c>
      <c r="N916" s="235" t="s">
        <v>296</v>
      </c>
      <c r="O916" s="236" t="s">
        <v>17</v>
      </c>
      <c r="P916" s="236" t="s">
        <v>17</v>
      </c>
      <c r="Q916" s="236" t="s">
        <v>15</v>
      </c>
      <c r="R916" s="236" t="s">
        <v>15</v>
      </c>
      <c r="S916" s="236" t="s">
        <v>16</v>
      </c>
      <c r="T916" s="236" t="s">
        <v>343</v>
      </c>
      <c r="U916" s="236" t="s">
        <v>262</v>
      </c>
      <c r="V916" s="236" t="s">
        <v>296</v>
      </c>
      <c r="W916" s="237" t="s">
        <v>296</v>
      </c>
      <c r="X916" s="237" t="s">
        <v>296</v>
      </c>
      <c r="Y916" s="238" t="s">
        <v>296</v>
      </c>
    </row>
    <row r="917" spans="1:25">
      <c r="A917" s="230">
        <v>17</v>
      </c>
      <c r="B917" s="231" t="str">
        <f>VLOOKUP(Tabel10[[#This Row],[Locatiecode]],Ruimtegroepen[[Code]:[Ruimte omschrijving]],2,FALSE)</f>
        <v>Toestelberging</v>
      </c>
      <c r="C917" s="232" t="s">
        <v>1056</v>
      </c>
      <c r="D917" s="231" t="s">
        <v>14</v>
      </c>
      <c r="E917" s="233" t="s">
        <v>100</v>
      </c>
      <c r="F917" s="232" t="s">
        <v>1058</v>
      </c>
      <c r="G917" s="235" t="s">
        <v>15</v>
      </c>
      <c r="H917" s="235" t="s">
        <v>15</v>
      </c>
      <c r="I917" s="234" t="s">
        <v>296</v>
      </c>
      <c r="J917" s="235" t="s">
        <v>296</v>
      </c>
      <c r="K917" s="235" t="s">
        <v>296</v>
      </c>
      <c r="L917" s="234" t="s">
        <v>296</v>
      </c>
      <c r="M917" s="234" t="s">
        <v>296</v>
      </c>
      <c r="N917" s="235" t="s">
        <v>296</v>
      </c>
      <c r="O917" s="236" t="s">
        <v>17</v>
      </c>
      <c r="P917" s="236" t="s">
        <v>17</v>
      </c>
      <c r="Q917" s="236" t="s">
        <v>15</v>
      </c>
      <c r="R917" s="236" t="s">
        <v>15</v>
      </c>
      <c r="S917" s="236" t="s">
        <v>16</v>
      </c>
      <c r="T917" s="236" t="s">
        <v>343</v>
      </c>
      <c r="U917" s="236" t="s">
        <v>262</v>
      </c>
      <c r="V917" s="236" t="s">
        <v>296</v>
      </c>
      <c r="W917" s="237" t="s">
        <v>296</v>
      </c>
      <c r="X917" s="237" t="s">
        <v>296</v>
      </c>
      <c r="Y917" s="238" t="s">
        <v>296</v>
      </c>
    </row>
    <row r="918" spans="1:25">
      <c r="A918" s="230">
        <v>17</v>
      </c>
      <c r="B918" s="231" t="str">
        <f>VLOOKUP(Tabel10[[#This Row],[Locatiecode]],Ruimtegroepen[[Code]:[Ruimte omschrijving]],2,FALSE)</f>
        <v>Toestelberging</v>
      </c>
      <c r="C918" s="232" t="s">
        <v>1056</v>
      </c>
      <c r="D918" s="231" t="s">
        <v>14</v>
      </c>
      <c r="E918" s="233" t="s">
        <v>102</v>
      </c>
      <c r="F918" s="232" t="s">
        <v>1059</v>
      </c>
      <c r="G918" s="281" t="s">
        <v>296</v>
      </c>
      <c r="H918" s="234" t="s">
        <v>296</v>
      </c>
      <c r="I918" s="234" t="s">
        <v>15</v>
      </c>
      <c r="J918" s="235" t="s">
        <v>15</v>
      </c>
      <c r="K918" s="234" t="s">
        <v>297</v>
      </c>
      <c r="L918" s="234" t="s">
        <v>296</v>
      </c>
      <c r="M918" s="234" t="s">
        <v>296</v>
      </c>
      <c r="N918" s="235" t="s">
        <v>296</v>
      </c>
      <c r="O918" s="236" t="s">
        <v>17</v>
      </c>
      <c r="P918" s="236" t="s">
        <v>17</v>
      </c>
      <c r="Q918" s="236" t="s">
        <v>15</v>
      </c>
      <c r="R918" s="236" t="s">
        <v>15</v>
      </c>
      <c r="S918" s="236" t="s">
        <v>16</v>
      </c>
      <c r="T918" s="236" t="s">
        <v>343</v>
      </c>
      <c r="U918" s="236" t="s">
        <v>262</v>
      </c>
      <c r="V918" s="236" t="s">
        <v>296</v>
      </c>
      <c r="W918" s="237" t="s">
        <v>296</v>
      </c>
      <c r="X918" s="237" t="s">
        <v>296</v>
      </c>
      <c r="Y918" s="238" t="s">
        <v>296</v>
      </c>
    </row>
    <row r="919" spans="1:25">
      <c r="A919" s="230">
        <v>17</v>
      </c>
      <c r="B919" s="231" t="str">
        <f>VLOOKUP(Tabel10[[#This Row],[Locatiecode]],Ruimtegroepen[[Code]:[Ruimte omschrijving]],2,FALSE)</f>
        <v>Toestelberging</v>
      </c>
      <c r="C919" s="232" t="s">
        <v>1056</v>
      </c>
      <c r="D919" s="231" t="s">
        <v>14</v>
      </c>
      <c r="E919" s="233" t="s">
        <v>103</v>
      </c>
      <c r="F919" s="232" t="s">
        <v>1060</v>
      </c>
      <c r="G919" s="281" t="s">
        <v>296</v>
      </c>
      <c r="H919" s="234" t="s">
        <v>296</v>
      </c>
      <c r="I919" s="234" t="s">
        <v>15</v>
      </c>
      <c r="J919" s="235" t="s">
        <v>15</v>
      </c>
      <c r="K919" s="234" t="s">
        <v>297</v>
      </c>
      <c r="L919" s="234" t="s">
        <v>296</v>
      </c>
      <c r="M919" s="234" t="s">
        <v>296</v>
      </c>
      <c r="N919" s="235" t="s">
        <v>296</v>
      </c>
      <c r="O919" s="236" t="s">
        <v>17</v>
      </c>
      <c r="P919" s="236" t="s">
        <v>17</v>
      </c>
      <c r="Q919" s="236" t="s">
        <v>15</v>
      </c>
      <c r="R919" s="236" t="s">
        <v>15</v>
      </c>
      <c r="S919" s="236" t="s">
        <v>16</v>
      </c>
      <c r="T919" s="236" t="s">
        <v>343</v>
      </c>
      <c r="U919" s="236" t="s">
        <v>262</v>
      </c>
      <c r="V919" s="236" t="s">
        <v>296</v>
      </c>
      <c r="W919" s="237" t="s">
        <v>296</v>
      </c>
      <c r="X919" s="237" t="s">
        <v>296</v>
      </c>
      <c r="Y919" s="238" t="s">
        <v>296</v>
      </c>
    </row>
    <row r="920" spans="1:25">
      <c r="A920" s="230">
        <v>17</v>
      </c>
      <c r="B920" s="231" t="str">
        <f>VLOOKUP(Tabel10[[#This Row],[Locatiecode]],Ruimtegroepen[[Code]:[Ruimte omschrijving]],2,FALSE)</f>
        <v>Toestelberging</v>
      </c>
      <c r="C920" s="232" t="s">
        <v>1056</v>
      </c>
      <c r="D920" s="231" t="s">
        <v>14</v>
      </c>
      <c r="E920" s="233" t="s">
        <v>100</v>
      </c>
      <c r="F920" s="232" t="s">
        <v>1058</v>
      </c>
      <c r="G920" s="281" t="s">
        <v>296</v>
      </c>
      <c r="H920" s="235" t="s">
        <v>17</v>
      </c>
      <c r="I920" s="234" t="s">
        <v>296</v>
      </c>
      <c r="J920" s="235" t="s">
        <v>296</v>
      </c>
      <c r="K920" s="235" t="s">
        <v>296</v>
      </c>
      <c r="L920" s="234" t="s">
        <v>296</v>
      </c>
      <c r="M920" s="234" t="s">
        <v>296</v>
      </c>
      <c r="N920" s="235" t="s">
        <v>296</v>
      </c>
      <c r="O920" s="236" t="s">
        <v>17</v>
      </c>
      <c r="P920" s="236" t="s">
        <v>17</v>
      </c>
      <c r="Q920" s="236" t="s">
        <v>15</v>
      </c>
      <c r="R920" s="236" t="s">
        <v>15</v>
      </c>
      <c r="S920" s="236" t="s">
        <v>16</v>
      </c>
      <c r="T920" s="236" t="s">
        <v>343</v>
      </c>
      <c r="U920" s="236" t="s">
        <v>262</v>
      </c>
      <c r="V920" s="236" t="s">
        <v>296</v>
      </c>
      <c r="W920" s="237" t="s">
        <v>296</v>
      </c>
      <c r="X920" s="237" t="s">
        <v>296</v>
      </c>
      <c r="Y920" s="238" t="s">
        <v>296</v>
      </c>
    </row>
    <row r="921" spans="1:25">
      <c r="A921" s="230">
        <v>17</v>
      </c>
      <c r="B921" s="231" t="str">
        <f>VLOOKUP(Tabel10[[#This Row],[Locatiecode]],Ruimtegroepen[[Code]:[Ruimte omschrijving]],2,FALSE)</f>
        <v>Toestelberging</v>
      </c>
      <c r="C921" s="232" t="s">
        <v>1056</v>
      </c>
      <c r="D921" s="231" t="s">
        <v>14</v>
      </c>
      <c r="E921" s="233" t="s">
        <v>1344</v>
      </c>
      <c r="F921" s="232" t="s">
        <v>1441</v>
      </c>
      <c r="G921" s="281" t="s">
        <v>296</v>
      </c>
      <c r="H921" s="234" t="s">
        <v>296</v>
      </c>
      <c r="I921" s="234" t="s">
        <v>15</v>
      </c>
      <c r="J921" s="235" t="s">
        <v>15</v>
      </c>
      <c r="K921" s="234" t="s">
        <v>297</v>
      </c>
      <c r="L921" s="234" t="s">
        <v>296</v>
      </c>
      <c r="M921" s="234" t="s">
        <v>296</v>
      </c>
      <c r="N921" s="235" t="s">
        <v>296</v>
      </c>
      <c r="O921" s="236" t="s">
        <v>17</v>
      </c>
      <c r="P921" s="236" t="s">
        <v>17</v>
      </c>
      <c r="Q921" s="236" t="s">
        <v>15</v>
      </c>
      <c r="R921" s="236" t="s">
        <v>15</v>
      </c>
      <c r="S921" s="236" t="s">
        <v>16</v>
      </c>
      <c r="T921" s="236" t="s">
        <v>343</v>
      </c>
      <c r="U921" s="236" t="s">
        <v>262</v>
      </c>
      <c r="V921" s="236" t="s">
        <v>296</v>
      </c>
      <c r="W921" s="237" t="s">
        <v>296</v>
      </c>
      <c r="X921" s="237" t="s">
        <v>296</v>
      </c>
      <c r="Y921" s="238" t="s">
        <v>296</v>
      </c>
    </row>
    <row r="922" spans="1:25">
      <c r="A922" s="230">
        <v>17</v>
      </c>
      <c r="B922" s="231" t="str">
        <f>VLOOKUP(Tabel10[[#This Row],[Locatiecode]],Ruimtegroepen[[Code]:[Ruimte omschrijving]],2,FALSE)</f>
        <v>Toestelberging</v>
      </c>
      <c r="C922" s="232" t="s">
        <v>1061</v>
      </c>
      <c r="D922" s="231" t="s">
        <v>13</v>
      </c>
      <c r="E922" s="233" t="s">
        <v>101</v>
      </c>
      <c r="F922" s="232" t="s">
        <v>1062</v>
      </c>
      <c r="G922" s="281" t="s">
        <v>296</v>
      </c>
      <c r="H922" s="234" t="s">
        <v>296</v>
      </c>
      <c r="I922" s="234" t="s">
        <v>296</v>
      </c>
      <c r="J922" s="235" t="s">
        <v>15</v>
      </c>
      <c r="K922" s="235" t="s">
        <v>296</v>
      </c>
      <c r="L922" s="234" t="s">
        <v>296</v>
      </c>
      <c r="M922" s="234" t="s">
        <v>296</v>
      </c>
      <c r="N922" s="235" t="s">
        <v>296</v>
      </c>
      <c r="O922" s="236" t="s">
        <v>15</v>
      </c>
      <c r="P922" s="236" t="s">
        <v>15</v>
      </c>
      <c r="Q922" s="236" t="s">
        <v>15</v>
      </c>
      <c r="R922" s="236" t="s">
        <v>15</v>
      </c>
      <c r="S922" s="236" t="s">
        <v>16</v>
      </c>
      <c r="T922" s="236" t="s">
        <v>343</v>
      </c>
      <c r="U922" s="236" t="s">
        <v>262</v>
      </c>
      <c r="V922" s="236" t="s">
        <v>296</v>
      </c>
      <c r="W922" s="237" t="s">
        <v>296</v>
      </c>
      <c r="X922" s="237" t="s">
        <v>296</v>
      </c>
      <c r="Y922" s="238" t="s">
        <v>296</v>
      </c>
    </row>
    <row r="923" spans="1:25">
      <c r="A923" s="230">
        <v>17</v>
      </c>
      <c r="B923" s="231" t="str">
        <f>VLOOKUP(Tabel10[[#This Row],[Locatiecode]],Ruimtegroepen[[Code]:[Ruimte omschrijving]],2,FALSE)</f>
        <v>Toestelberging</v>
      </c>
      <c r="C923" s="232" t="s">
        <v>1061</v>
      </c>
      <c r="D923" s="231" t="s">
        <v>13</v>
      </c>
      <c r="E923" s="233" t="s">
        <v>100</v>
      </c>
      <c r="F923" s="232" t="s">
        <v>1063</v>
      </c>
      <c r="G923" s="281" t="s">
        <v>296</v>
      </c>
      <c r="H923" s="235" t="s">
        <v>15</v>
      </c>
      <c r="I923" s="234" t="s">
        <v>296</v>
      </c>
      <c r="J923" s="235" t="s">
        <v>296</v>
      </c>
      <c r="K923" s="235" t="s">
        <v>296</v>
      </c>
      <c r="L923" s="234" t="s">
        <v>296</v>
      </c>
      <c r="M923" s="234" t="s">
        <v>296</v>
      </c>
      <c r="N923" s="235" t="s">
        <v>296</v>
      </c>
      <c r="O923" s="236" t="s">
        <v>15</v>
      </c>
      <c r="P923" s="236" t="s">
        <v>15</v>
      </c>
      <c r="Q923" s="236" t="s">
        <v>15</v>
      </c>
      <c r="R923" s="236" t="s">
        <v>15</v>
      </c>
      <c r="S923" s="236" t="s">
        <v>16</v>
      </c>
      <c r="T923" s="236" t="s">
        <v>343</v>
      </c>
      <c r="U923" s="236" t="s">
        <v>262</v>
      </c>
      <c r="V923" s="236" t="s">
        <v>296</v>
      </c>
      <c r="W923" s="237" t="s">
        <v>296</v>
      </c>
      <c r="X923" s="237" t="s">
        <v>296</v>
      </c>
      <c r="Y923" s="238" t="s">
        <v>296</v>
      </c>
    </row>
    <row r="924" spans="1:25">
      <c r="A924" s="230">
        <v>17</v>
      </c>
      <c r="B924" s="231" t="str">
        <f>VLOOKUP(Tabel10[[#This Row],[Locatiecode]],Ruimtegroepen[[Code]:[Ruimte omschrijving]],2,FALSE)</f>
        <v>Toestelberging</v>
      </c>
      <c r="C924" s="232" t="s">
        <v>1061</v>
      </c>
      <c r="D924" s="231" t="s">
        <v>13</v>
      </c>
      <c r="E924" s="233" t="s">
        <v>102</v>
      </c>
      <c r="F924" s="232" t="s">
        <v>1064</v>
      </c>
      <c r="G924" s="281" t="s">
        <v>296</v>
      </c>
      <c r="H924" s="234" t="s">
        <v>296</v>
      </c>
      <c r="I924" s="234" t="s">
        <v>296</v>
      </c>
      <c r="J924" s="235" t="s">
        <v>15</v>
      </c>
      <c r="K924" s="234" t="s">
        <v>297</v>
      </c>
      <c r="L924" s="234" t="s">
        <v>296</v>
      </c>
      <c r="M924" s="234" t="s">
        <v>296</v>
      </c>
      <c r="N924" s="235" t="s">
        <v>296</v>
      </c>
      <c r="O924" s="236" t="s">
        <v>15</v>
      </c>
      <c r="P924" s="236" t="s">
        <v>15</v>
      </c>
      <c r="Q924" s="236" t="s">
        <v>15</v>
      </c>
      <c r="R924" s="236" t="s">
        <v>15</v>
      </c>
      <c r="S924" s="236" t="s">
        <v>16</v>
      </c>
      <c r="T924" s="236" t="s">
        <v>343</v>
      </c>
      <c r="U924" s="236" t="s">
        <v>262</v>
      </c>
      <c r="V924" s="236" t="s">
        <v>296</v>
      </c>
      <c r="W924" s="237" t="s">
        <v>296</v>
      </c>
      <c r="X924" s="237" t="s">
        <v>296</v>
      </c>
      <c r="Y924" s="238" t="s">
        <v>296</v>
      </c>
    </row>
    <row r="925" spans="1:25">
      <c r="A925" s="230">
        <v>17</v>
      </c>
      <c r="B925" s="231" t="str">
        <f>VLOOKUP(Tabel10[[#This Row],[Locatiecode]],Ruimtegroepen[[Code]:[Ruimte omschrijving]],2,FALSE)</f>
        <v>Toestelberging</v>
      </c>
      <c r="C925" s="232" t="s">
        <v>1061</v>
      </c>
      <c r="D925" s="231" t="s">
        <v>13</v>
      </c>
      <c r="E925" s="233" t="s">
        <v>103</v>
      </c>
      <c r="F925" s="232" t="s">
        <v>1065</v>
      </c>
      <c r="G925" s="281" t="s">
        <v>296</v>
      </c>
      <c r="H925" s="234" t="s">
        <v>296</v>
      </c>
      <c r="I925" s="234" t="s">
        <v>296</v>
      </c>
      <c r="J925" s="235" t="s">
        <v>15</v>
      </c>
      <c r="K925" s="234" t="s">
        <v>297</v>
      </c>
      <c r="L925" s="234" t="s">
        <v>296</v>
      </c>
      <c r="M925" s="234" t="s">
        <v>296</v>
      </c>
      <c r="N925" s="235" t="s">
        <v>296</v>
      </c>
      <c r="O925" s="236" t="s">
        <v>15</v>
      </c>
      <c r="P925" s="236" t="s">
        <v>15</v>
      </c>
      <c r="Q925" s="236" t="s">
        <v>15</v>
      </c>
      <c r="R925" s="236" t="s">
        <v>15</v>
      </c>
      <c r="S925" s="236" t="s">
        <v>16</v>
      </c>
      <c r="T925" s="236" t="s">
        <v>343</v>
      </c>
      <c r="U925" s="236" t="s">
        <v>262</v>
      </c>
      <c r="V925" s="236" t="s">
        <v>296</v>
      </c>
      <c r="W925" s="237" t="s">
        <v>296</v>
      </c>
      <c r="X925" s="237" t="s">
        <v>296</v>
      </c>
      <c r="Y925" s="238" t="s">
        <v>296</v>
      </c>
    </row>
    <row r="926" spans="1:25">
      <c r="A926" s="230">
        <v>17</v>
      </c>
      <c r="B926" s="231" t="str">
        <f>VLOOKUP(Tabel10[[#This Row],[Locatiecode]],Ruimtegroepen[[Code]:[Ruimte omschrijving]],2,FALSE)</f>
        <v>Toestelberging</v>
      </c>
      <c r="C926" s="232" t="s">
        <v>1061</v>
      </c>
      <c r="D926" s="231" t="s">
        <v>13</v>
      </c>
      <c r="E926" s="233" t="s">
        <v>100</v>
      </c>
      <c r="F926" s="232" t="s">
        <v>1063</v>
      </c>
      <c r="G926" s="281" t="s">
        <v>296</v>
      </c>
      <c r="H926" s="235" t="s">
        <v>15</v>
      </c>
      <c r="I926" s="234" t="s">
        <v>296</v>
      </c>
      <c r="J926" s="235" t="s">
        <v>296</v>
      </c>
      <c r="K926" s="235" t="s">
        <v>296</v>
      </c>
      <c r="L926" s="234" t="s">
        <v>296</v>
      </c>
      <c r="M926" s="234" t="s">
        <v>296</v>
      </c>
      <c r="N926" s="235" t="s">
        <v>296</v>
      </c>
      <c r="O926" s="236" t="s">
        <v>15</v>
      </c>
      <c r="P926" s="236" t="s">
        <v>15</v>
      </c>
      <c r="Q926" s="236" t="s">
        <v>15</v>
      </c>
      <c r="R926" s="236" t="s">
        <v>15</v>
      </c>
      <c r="S926" s="236" t="s">
        <v>16</v>
      </c>
      <c r="T926" s="236" t="s">
        <v>343</v>
      </c>
      <c r="U926" s="236" t="s">
        <v>262</v>
      </c>
      <c r="V926" s="236" t="s">
        <v>296</v>
      </c>
      <c r="W926" s="237" t="s">
        <v>296</v>
      </c>
      <c r="X926" s="237" t="s">
        <v>296</v>
      </c>
      <c r="Y926" s="238" t="s">
        <v>296</v>
      </c>
    </row>
    <row r="927" spans="1:25">
      <c r="A927" s="230">
        <v>17</v>
      </c>
      <c r="B927" s="231" t="str">
        <f>VLOOKUP(Tabel10[[#This Row],[Locatiecode]],Ruimtegroepen[[Code]:[Ruimte omschrijving]],2,FALSE)</f>
        <v>Toestelberging</v>
      </c>
      <c r="C927" s="232" t="s">
        <v>1061</v>
      </c>
      <c r="D927" s="231" t="s">
        <v>13</v>
      </c>
      <c r="E927" s="233" t="s">
        <v>1344</v>
      </c>
      <c r="F927" s="232" t="s">
        <v>1408</v>
      </c>
      <c r="G927" s="281" t="s">
        <v>296</v>
      </c>
      <c r="H927" s="234" t="s">
        <v>296</v>
      </c>
      <c r="I927" s="234" t="s">
        <v>296</v>
      </c>
      <c r="J927" s="235" t="s">
        <v>15</v>
      </c>
      <c r="K927" s="234" t="s">
        <v>297</v>
      </c>
      <c r="L927" s="234" t="s">
        <v>296</v>
      </c>
      <c r="M927" s="234" t="s">
        <v>296</v>
      </c>
      <c r="N927" s="235" t="s">
        <v>296</v>
      </c>
      <c r="O927" s="236" t="s">
        <v>15</v>
      </c>
      <c r="P927" s="236" t="s">
        <v>15</v>
      </c>
      <c r="Q927" s="236" t="s">
        <v>15</v>
      </c>
      <c r="R927" s="236" t="s">
        <v>15</v>
      </c>
      <c r="S927" s="236" t="s">
        <v>16</v>
      </c>
      <c r="T927" s="236" t="s">
        <v>343</v>
      </c>
      <c r="U927" s="236" t="s">
        <v>262</v>
      </c>
      <c r="V927" s="236" t="s">
        <v>296</v>
      </c>
      <c r="W927" s="237" t="s">
        <v>296</v>
      </c>
      <c r="X927" s="237" t="s">
        <v>296</v>
      </c>
      <c r="Y927" s="238" t="s">
        <v>296</v>
      </c>
    </row>
    <row r="928" spans="1:25">
      <c r="A928" s="230">
        <v>17</v>
      </c>
      <c r="B928" s="231" t="str">
        <f>VLOOKUP(Tabel10[[#This Row],[Locatiecode]],Ruimtegroepen[[Code]:[Ruimte omschrijving]],2,FALSE)</f>
        <v>Toestelberging</v>
      </c>
      <c r="C928" s="232" t="s">
        <v>1066</v>
      </c>
      <c r="D928" s="231" t="s">
        <v>0</v>
      </c>
      <c r="E928" s="233" t="s">
        <v>101</v>
      </c>
      <c r="F928" s="232" t="s">
        <v>1067</v>
      </c>
      <c r="G928" s="281" t="s">
        <v>296</v>
      </c>
      <c r="H928" s="234" t="s">
        <v>296</v>
      </c>
      <c r="I928" s="235" t="s">
        <v>16</v>
      </c>
      <c r="J928" s="235" t="s">
        <v>296</v>
      </c>
      <c r="K928" s="235" t="s">
        <v>296</v>
      </c>
      <c r="L928" s="234" t="s">
        <v>296</v>
      </c>
      <c r="M928" s="234" t="s">
        <v>296</v>
      </c>
      <c r="N928" s="235" t="s">
        <v>296</v>
      </c>
      <c r="O928" s="236" t="s">
        <v>16</v>
      </c>
      <c r="P928" s="236" t="s">
        <v>16</v>
      </c>
      <c r="Q928" s="236" t="s">
        <v>16</v>
      </c>
      <c r="R928" s="236" t="s">
        <v>16</v>
      </c>
      <c r="S928" s="236" t="s">
        <v>16</v>
      </c>
      <c r="T928" s="236" t="s">
        <v>343</v>
      </c>
      <c r="U928" s="236" t="s">
        <v>262</v>
      </c>
      <c r="V928" s="236" t="s">
        <v>296</v>
      </c>
      <c r="W928" s="237" t="s">
        <v>296</v>
      </c>
      <c r="X928" s="237" t="s">
        <v>296</v>
      </c>
      <c r="Y928" s="238" t="s">
        <v>296</v>
      </c>
    </row>
    <row r="929" spans="1:25">
      <c r="A929" s="230">
        <v>17</v>
      </c>
      <c r="B929" s="231" t="str">
        <f>VLOOKUP(Tabel10[[#This Row],[Locatiecode]],Ruimtegroepen[[Code]:[Ruimte omschrijving]],2,FALSE)</f>
        <v>Toestelberging</v>
      </c>
      <c r="C929" s="232" t="s">
        <v>1066</v>
      </c>
      <c r="D929" s="231" t="s">
        <v>0</v>
      </c>
      <c r="E929" s="233" t="s">
        <v>100</v>
      </c>
      <c r="F929" s="232" t="s">
        <v>1068</v>
      </c>
      <c r="G929" s="281" t="s">
        <v>296</v>
      </c>
      <c r="H929" s="235" t="s">
        <v>16</v>
      </c>
      <c r="I929" s="234" t="s">
        <v>296</v>
      </c>
      <c r="J929" s="235" t="s">
        <v>296</v>
      </c>
      <c r="K929" s="235" t="s">
        <v>296</v>
      </c>
      <c r="L929" s="234" t="s">
        <v>296</v>
      </c>
      <c r="M929" s="234" t="s">
        <v>296</v>
      </c>
      <c r="N929" s="235" t="s">
        <v>296</v>
      </c>
      <c r="O929" s="236" t="s">
        <v>16</v>
      </c>
      <c r="P929" s="236" t="s">
        <v>16</v>
      </c>
      <c r="Q929" s="236" t="s">
        <v>16</v>
      </c>
      <c r="R929" s="236" t="s">
        <v>16</v>
      </c>
      <c r="S929" s="236" t="s">
        <v>16</v>
      </c>
      <c r="T929" s="236" t="s">
        <v>343</v>
      </c>
      <c r="U929" s="236" t="s">
        <v>262</v>
      </c>
      <c r="V929" s="236" t="s">
        <v>296</v>
      </c>
      <c r="W929" s="237" t="s">
        <v>296</v>
      </c>
      <c r="X929" s="237" t="s">
        <v>296</v>
      </c>
      <c r="Y929" s="238" t="s">
        <v>296</v>
      </c>
    </row>
    <row r="930" spans="1:25">
      <c r="A930" s="230">
        <v>17</v>
      </c>
      <c r="B930" s="231" t="str">
        <f>VLOOKUP(Tabel10[[#This Row],[Locatiecode]],Ruimtegroepen[[Code]:[Ruimte omschrijving]],2,FALSE)</f>
        <v>Toestelberging</v>
      </c>
      <c r="C930" s="232" t="s">
        <v>1066</v>
      </c>
      <c r="D930" s="231" t="s">
        <v>0</v>
      </c>
      <c r="E930" s="233" t="s">
        <v>102</v>
      </c>
      <c r="F930" s="232" t="s">
        <v>1069</v>
      </c>
      <c r="G930" s="281" t="s">
        <v>296</v>
      </c>
      <c r="H930" s="234" t="s">
        <v>296</v>
      </c>
      <c r="I930" s="234" t="s">
        <v>16</v>
      </c>
      <c r="J930" s="234" t="s">
        <v>296</v>
      </c>
      <c r="K930" s="234" t="s">
        <v>297</v>
      </c>
      <c r="L930" s="234" t="s">
        <v>296</v>
      </c>
      <c r="M930" s="234" t="s">
        <v>296</v>
      </c>
      <c r="N930" s="235" t="s">
        <v>296</v>
      </c>
      <c r="O930" s="236" t="s">
        <v>16</v>
      </c>
      <c r="P930" s="236" t="s">
        <v>16</v>
      </c>
      <c r="Q930" s="236" t="s">
        <v>16</v>
      </c>
      <c r="R930" s="236" t="s">
        <v>16</v>
      </c>
      <c r="S930" s="236" t="s">
        <v>16</v>
      </c>
      <c r="T930" s="236" t="s">
        <v>343</v>
      </c>
      <c r="U930" s="236" t="s">
        <v>262</v>
      </c>
      <c r="V930" s="236" t="s">
        <v>296</v>
      </c>
      <c r="W930" s="237" t="s">
        <v>296</v>
      </c>
      <c r="X930" s="237" t="s">
        <v>296</v>
      </c>
      <c r="Y930" s="238" t="s">
        <v>296</v>
      </c>
    </row>
    <row r="931" spans="1:25">
      <c r="A931" s="230">
        <v>17</v>
      </c>
      <c r="B931" s="231" t="str">
        <f>VLOOKUP(Tabel10[[#This Row],[Locatiecode]],Ruimtegroepen[[Code]:[Ruimte omschrijving]],2,FALSE)</f>
        <v>Toestelberging</v>
      </c>
      <c r="C931" s="232" t="s">
        <v>1066</v>
      </c>
      <c r="D931" s="231" t="s">
        <v>0</v>
      </c>
      <c r="E931" s="233" t="s">
        <v>103</v>
      </c>
      <c r="F931" s="232" t="s">
        <v>1070</v>
      </c>
      <c r="G931" s="281" t="s">
        <v>296</v>
      </c>
      <c r="H931" s="234" t="s">
        <v>296</v>
      </c>
      <c r="I931" s="235" t="s">
        <v>16</v>
      </c>
      <c r="J931" s="235" t="s">
        <v>296</v>
      </c>
      <c r="K931" s="234" t="s">
        <v>297</v>
      </c>
      <c r="L931" s="234" t="s">
        <v>296</v>
      </c>
      <c r="M931" s="234" t="s">
        <v>296</v>
      </c>
      <c r="N931" s="235" t="s">
        <v>296</v>
      </c>
      <c r="O931" s="236" t="s">
        <v>16</v>
      </c>
      <c r="P931" s="236" t="s">
        <v>16</v>
      </c>
      <c r="Q931" s="236" t="s">
        <v>16</v>
      </c>
      <c r="R931" s="236" t="s">
        <v>16</v>
      </c>
      <c r="S931" s="236" t="s">
        <v>16</v>
      </c>
      <c r="T931" s="236" t="s">
        <v>343</v>
      </c>
      <c r="U931" s="236" t="s">
        <v>262</v>
      </c>
      <c r="V931" s="236" t="s">
        <v>296</v>
      </c>
      <c r="W931" s="237" t="s">
        <v>296</v>
      </c>
      <c r="X931" s="237" t="s">
        <v>296</v>
      </c>
      <c r="Y931" s="238" t="s">
        <v>296</v>
      </c>
    </row>
    <row r="932" spans="1:25">
      <c r="A932" s="230">
        <v>17</v>
      </c>
      <c r="B932" s="231" t="str">
        <f>VLOOKUP(Tabel10[[#This Row],[Locatiecode]],Ruimtegroepen[[Code]:[Ruimte omschrijving]],2,FALSE)</f>
        <v>Toestelberging</v>
      </c>
      <c r="C932" s="232" t="s">
        <v>1066</v>
      </c>
      <c r="D932" s="231" t="s">
        <v>0</v>
      </c>
      <c r="E932" s="233" t="s">
        <v>100</v>
      </c>
      <c r="F932" s="232" t="s">
        <v>1068</v>
      </c>
      <c r="G932" s="281" t="s">
        <v>296</v>
      </c>
      <c r="H932" s="235" t="s">
        <v>16</v>
      </c>
      <c r="I932" s="234" t="s">
        <v>296</v>
      </c>
      <c r="J932" s="235" t="s">
        <v>296</v>
      </c>
      <c r="K932" s="235" t="s">
        <v>296</v>
      </c>
      <c r="L932" s="234" t="s">
        <v>296</v>
      </c>
      <c r="M932" s="234" t="s">
        <v>296</v>
      </c>
      <c r="N932" s="235" t="s">
        <v>296</v>
      </c>
      <c r="O932" s="236" t="s">
        <v>16</v>
      </c>
      <c r="P932" s="236" t="s">
        <v>16</v>
      </c>
      <c r="Q932" s="236" t="s">
        <v>16</v>
      </c>
      <c r="R932" s="236" t="s">
        <v>16</v>
      </c>
      <c r="S932" s="236" t="s">
        <v>16</v>
      </c>
      <c r="T932" s="236" t="s">
        <v>343</v>
      </c>
      <c r="U932" s="236" t="s">
        <v>262</v>
      </c>
      <c r="V932" s="236" t="s">
        <v>296</v>
      </c>
      <c r="W932" s="237" t="s">
        <v>296</v>
      </c>
      <c r="X932" s="237" t="s">
        <v>296</v>
      </c>
      <c r="Y932" s="238" t="s">
        <v>296</v>
      </c>
    </row>
    <row r="933" spans="1:25">
      <c r="A933" s="230">
        <v>17</v>
      </c>
      <c r="B933" s="231" t="str">
        <f>VLOOKUP(Tabel10[[#This Row],[Locatiecode]],Ruimtegroepen[[Code]:[Ruimte omschrijving]],2,FALSE)</f>
        <v>Toestelberging</v>
      </c>
      <c r="C933" s="232" t="s">
        <v>1066</v>
      </c>
      <c r="D933" s="231" t="s">
        <v>0</v>
      </c>
      <c r="E933" s="233" t="s">
        <v>1344</v>
      </c>
      <c r="F933" s="232" t="s">
        <v>1392</v>
      </c>
      <c r="G933" s="281" t="s">
        <v>296</v>
      </c>
      <c r="H933" s="234" t="s">
        <v>296</v>
      </c>
      <c r="I933" s="235" t="s">
        <v>16</v>
      </c>
      <c r="J933" s="235" t="s">
        <v>296</v>
      </c>
      <c r="K933" s="234" t="s">
        <v>297</v>
      </c>
      <c r="L933" s="234" t="s">
        <v>296</v>
      </c>
      <c r="M933" s="234" t="s">
        <v>296</v>
      </c>
      <c r="N933" s="235" t="s">
        <v>296</v>
      </c>
      <c r="O933" s="236" t="s">
        <v>16</v>
      </c>
      <c r="P933" s="236" t="s">
        <v>16</v>
      </c>
      <c r="Q933" s="236" t="s">
        <v>16</v>
      </c>
      <c r="R933" s="236" t="s">
        <v>16</v>
      </c>
      <c r="S933" s="236" t="s">
        <v>16</v>
      </c>
      <c r="T933" s="236" t="s">
        <v>343</v>
      </c>
      <c r="U933" s="236" t="s">
        <v>262</v>
      </c>
      <c r="V933" s="236" t="s">
        <v>296</v>
      </c>
      <c r="W933" s="237" t="s">
        <v>296</v>
      </c>
      <c r="X933" s="237" t="s">
        <v>296</v>
      </c>
      <c r="Y933" s="238" t="s">
        <v>296</v>
      </c>
    </row>
    <row r="934" spans="1:25">
      <c r="A934" s="230">
        <v>17</v>
      </c>
      <c r="B934" s="231" t="str">
        <f>VLOOKUP(Tabel10[[#This Row],[Locatiecode]],Ruimtegroepen[[Code]:[Ruimte omschrijving]],2,FALSE)</f>
        <v>Toestelberging</v>
      </c>
      <c r="C934" s="232" t="s">
        <v>1071</v>
      </c>
      <c r="D934" s="231" t="s">
        <v>27</v>
      </c>
      <c r="E934" s="233" t="s">
        <v>101</v>
      </c>
      <c r="F934" s="232" t="s">
        <v>1072</v>
      </c>
      <c r="G934" s="281" t="s">
        <v>296</v>
      </c>
      <c r="H934" s="234" t="s">
        <v>296</v>
      </c>
      <c r="I934" s="235" t="s">
        <v>15</v>
      </c>
      <c r="J934" s="234" t="s">
        <v>296</v>
      </c>
      <c r="K934" s="235" t="s">
        <v>296</v>
      </c>
      <c r="L934" s="234" t="s">
        <v>296</v>
      </c>
      <c r="M934" s="234" t="s">
        <v>296</v>
      </c>
      <c r="N934" s="235" t="s">
        <v>296</v>
      </c>
      <c r="O934" s="236" t="s">
        <v>15</v>
      </c>
      <c r="P934" s="236" t="s">
        <v>15</v>
      </c>
      <c r="Q934" s="236" t="s">
        <v>15</v>
      </c>
      <c r="R934" s="236" t="s">
        <v>296</v>
      </c>
      <c r="S934" s="236" t="s">
        <v>296</v>
      </c>
      <c r="T934" s="236" t="s">
        <v>296</v>
      </c>
      <c r="U934" s="236" t="s">
        <v>296</v>
      </c>
      <c r="V934" s="236" t="s">
        <v>296</v>
      </c>
      <c r="W934" s="237" t="s">
        <v>296</v>
      </c>
      <c r="X934" s="237" t="s">
        <v>296</v>
      </c>
      <c r="Y934" s="238" t="s">
        <v>296</v>
      </c>
    </row>
    <row r="935" spans="1:25">
      <c r="A935" s="230">
        <v>17</v>
      </c>
      <c r="B935" s="231" t="str">
        <f>VLOOKUP(Tabel10[[#This Row],[Locatiecode]],Ruimtegroepen[[Code]:[Ruimte omschrijving]],2,FALSE)</f>
        <v>Toestelberging</v>
      </c>
      <c r="C935" s="232" t="s">
        <v>1071</v>
      </c>
      <c r="D935" s="231" t="s">
        <v>27</v>
      </c>
      <c r="E935" s="233" t="s">
        <v>100</v>
      </c>
      <c r="F935" s="232" t="s">
        <v>1073</v>
      </c>
      <c r="G935" s="281" t="s">
        <v>296</v>
      </c>
      <c r="H935" s="235" t="s">
        <v>15</v>
      </c>
      <c r="I935" s="234" t="s">
        <v>296</v>
      </c>
      <c r="J935" s="235" t="s">
        <v>296</v>
      </c>
      <c r="K935" s="235" t="s">
        <v>296</v>
      </c>
      <c r="L935" s="234" t="s">
        <v>296</v>
      </c>
      <c r="M935" s="234" t="s">
        <v>296</v>
      </c>
      <c r="N935" s="235" t="s">
        <v>296</v>
      </c>
      <c r="O935" s="236" t="s">
        <v>15</v>
      </c>
      <c r="P935" s="236" t="s">
        <v>15</v>
      </c>
      <c r="Q935" s="236" t="s">
        <v>15</v>
      </c>
      <c r="R935" s="236" t="s">
        <v>296</v>
      </c>
      <c r="S935" s="236" t="s">
        <v>296</v>
      </c>
      <c r="T935" s="236" t="s">
        <v>296</v>
      </c>
      <c r="U935" s="236" t="s">
        <v>296</v>
      </c>
      <c r="V935" s="236" t="s">
        <v>296</v>
      </c>
      <c r="W935" s="237" t="s">
        <v>296</v>
      </c>
      <c r="X935" s="237" t="s">
        <v>296</v>
      </c>
      <c r="Y935" s="238" t="s">
        <v>296</v>
      </c>
    </row>
    <row r="936" spans="1:25">
      <c r="A936" s="230">
        <v>17</v>
      </c>
      <c r="B936" s="231" t="str">
        <f>VLOOKUP(Tabel10[[#This Row],[Locatiecode]],Ruimtegroepen[[Code]:[Ruimte omschrijving]],2,FALSE)</f>
        <v>Toestelberging</v>
      </c>
      <c r="C936" s="232" t="s">
        <v>1071</v>
      </c>
      <c r="D936" s="231" t="s">
        <v>27</v>
      </c>
      <c r="E936" s="233" t="s">
        <v>102</v>
      </c>
      <c r="F936" s="232" t="s">
        <v>1074</v>
      </c>
      <c r="G936" s="281" t="s">
        <v>296</v>
      </c>
      <c r="H936" s="234" t="s">
        <v>296</v>
      </c>
      <c r="I936" s="235" t="s">
        <v>15</v>
      </c>
      <c r="J936" s="235" t="s">
        <v>296</v>
      </c>
      <c r="K936" s="235" t="s">
        <v>296</v>
      </c>
      <c r="L936" s="234" t="s">
        <v>296</v>
      </c>
      <c r="M936" s="234" t="s">
        <v>296</v>
      </c>
      <c r="N936" s="235" t="s">
        <v>296</v>
      </c>
      <c r="O936" s="236" t="s">
        <v>15</v>
      </c>
      <c r="P936" s="236" t="s">
        <v>15</v>
      </c>
      <c r="Q936" s="236" t="s">
        <v>15</v>
      </c>
      <c r="R936" s="236" t="s">
        <v>296</v>
      </c>
      <c r="S936" s="236" t="s">
        <v>296</v>
      </c>
      <c r="T936" s="236" t="s">
        <v>296</v>
      </c>
      <c r="U936" s="236" t="s">
        <v>296</v>
      </c>
      <c r="V936" s="236" t="s">
        <v>296</v>
      </c>
      <c r="W936" s="237" t="s">
        <v>296</v>
      </c>
      <c r="X936" s="237" t="s">
        <v>296</v>
      </c>
      <c r="Y936" s="238" t="s">
        <v>296</v>
      </c>
    </row>
    <row r="937" spans="1:25">
      <c r="A937" s="230">
        <v>17</v>
      </c>
      <c r="B937" s="231" t="str">
        <f>VLOOKUP(Tabel10[[#This Row],[Locatiecode]],Ruimtegroepen[[Code]:[Ruimte omschrijving]],2,FALSE)</f>
        <v>Toestelberging</v>
      </c>
      <c r="C937" s="232" t="s">
        <v>1071</v>
      </c>
      <c r="D937" s="231" t="s">
        <v>27</v>
      </c>
      <c r="E937" s="233" t="s">
        <v>103</v>
      </c>
      <c r="F937" s="232" t="s">
        <v>1075</v>
      </c>
      <c r="G937" s="281" t="s">
        <v>296</v>
      </c>
      <c r="H937" s="234" t="s">
        <v>296</v>
      </c>
      <c r="I937" s="235" t="s">
        <v>15</v>
      </c>
      <c r="J937" s="235" t="s">
        <v>296</v>
      </c>
      <c r="K937" s="235" t="s">
        <v>296</v>
      </c>
      <c r="L937" s="234" t="s">
        <v>296</v>
      </c>
      <c r="M937" s="234" t="s">
        <v>296</v>
      </c>
      <c r="N937" s="235" t="s">
        <v>296</v>
      </c>
      <c r="O937" s="236" t="s">
        <v>15</v>
      </c>
      <c r="P937" s="236" t="s">
        <v>15</v>
      </c>
      <c r="Q937" s="236" t="s">
        <v>15</v>
      </c>
      <c r="R937" s="236" t="s">
        <v>296</v>
      </c>
      <c r="S937" s="236" t="s">
        <v>296</v>
      </c>
      <c r="T937" s="236" t="s">
        <v>296</v>
      </c>
      <c r="U937" s="236" t="s">
        <v>296</v>
      </c>
      <c r="V937" s="236" t="s">
        <v>296</v>
      </c>
      <c r="W937" s="237" t="s">
        <v>296</v>
      </c>
      <c r="X937" s="237" t="s">
        <v>296</v>
      </c>
      <c r="Y937" s="238" t="s">
        <v>296</v>
      </c>
    </row>
    <row r="938" spans="1:25">
      <c r="A938" s="230">
        <v>17</v>
      </c>
      <c r="B938" s="231" t="str">
        <f>VLOOKUP(Tabel10[[#This Row],[Locatiecode]],Ruimtegroepen[[Code]:[Ruimte omschrijving]],2,FALSE)</f>
        <v>Toestelberging</v>
      </c>
      <c r="C938" s="232" t="s">
        <v>1071</v>
      </c>
      <c r="D938" s="231" t="s">
        <v>27</v>
      </c>
      <c r="E938" s="233" t="s">
        <v>100</v>
      </c>
      <c r="F938" s="232" t="s">
        <v>1073</v>
      </c>
      <c r="G938" s="281" t="s">
        <v>296</v>
      </c>
      <c r="H938" s="235" t="s">
        <v>15</v>
      </c>
      <c r="I938" s="234" t="s">
        <v>296</v>
      </c>
      <c r="J938" s="235" t="s">
        <v>296</v>
      </c>
      <c r="K938" s="235" t="s">
        <v>296</v>
      </c>
      <c r="L938" s="234" t="s">
        <v>296</v>
      </c>
      <c r="M938" s="234" t="s">
        <v>296</v>
      </c>
      <c r="N938" s="235" t="s">
        <v>296</v>
      </c>
      <c r="O938" s="236" t="s">
        <v>15</v>
      </c>
      <c r="P938" s="236" t="s">
        <v>15</v>
      </c>
      <c r="Q938" s="236" t="s">
        <v>15</v>
      </c>
      <c r="R938" s="236" t="s">
        <v>296</v>
      </c>
      <c r="S938" s="236" t="s">
        <v>296</v>
      </c>
      <c r="T938" s="236" t="s">
        <v>296</v>
      </c>
      <c r="U938" s="236" t="s">
        <v>296</v>
      </c>
      <c r="V938" s="236" t="s">
        <v>296</v>
      </c>
      <c r="W938" s="237" t="s">
        <v>296</v>
      </c>
      <c r="X938" s="237" t="s">
        <v>296</v>
      </c>
      <c r="Y938" s="238" t="s">
        <v>296</v>
      </c>
    </row>
    <row r="939" spans="1:25">
      <c r="A939" s="230">
        <v>17</v>
      </c>
      <c r="B939" s="231" t="str">
        <f>VLOOKUP(Tabel10[[#This Row],[Locatiecode]],Ruimtegroepen[[Code]:[Ruimte omschrijving]],2,FALSE)</f>
        <v>Toestelberging</v>
      </c>
      <c r="C939" s="232" t="s">
        <v>1071</v>
      </c>
      <c r="D939" s="231" t="s">
        <v>27</v>
      </c>
      <c r="E939" s="233" t="s">
        <v>1344</v>
      </c>
      <c r="F939" s="232" t="s">
        <v>1425</v>
      </c>
      <c r="G939" s="281" t="s">
        <v>296</v>
      </c>
      <c r="H939" s="234" t="s">
        <v>296</v>
      </c>
      <c r="I939" s="235" t="s">
        <v>15</v>
      </c>
      <c r="J939" s="235" t="s">
        <v>296</v>
      </c>
      <c r="K939" s="235" t="s">
        <v>296</v>
      </c>
      <c r="L939" s="234" t="s">
        <v>296</v>
      </c>
      <c r="M939" s="234" t="s">
        <v>296</v>
      </c>
      <c r="N939" s="235" t="s">
        <v>296</v>
      </c>
      <c r="O939" s="236" t="s">
        <v>15</v>
      </c>
      <c r="P939" s="236" t="s">
        <v>15</v>
      </c>
      <c r="Q939" s="236" t="s">
        <v>15</v>
      </c>
      <c r="R939" s="236" t="s">
        <v>296</v>
      </c>
      <c r="S939" s="236" t="s">
        <v>296</v>
      </c>
      <c r="T939" s="236" t="s">
        <v>296</v>
      </c>
      <c r="U939" s="236" t="s">
        <v>296</v>
      </c>
      <c r="V939" s="236" t="s">
        <v>296</v>
      </c>
      <c r="W939" s="237" t="s">
        <v>296</v>
      </c>
      <c r="X939" s="237" t="s">
        <v>296</v>
      </c>
      <c r="Y939" s="238" t="s">
        <v>296</v>
      </c>
    </row>
    <row r="940" spans="1:25">
      <c r="A940" s="230">
        <v>17</v>
      </c>
      <c r="B940" s="231" t="str">
        <f>VLOOKUP(Tabel10[[#This Row],[Locatiecode]],Ruimtegroepen[[Code]:[Ruimte omschrijving]],2,FALSE)</f>
        <v>Toestelberging</v>
      </c>
      <c r="C940" s="232" t="s">
        <v>1076</v>
      </c>
      <c r="D940" s="231" t="s">
        <v>28</v>
      </c>
      <c r="E940" s="233" t="s">
        <v>101</v>
      </c>
      <c r="F940" s="232" t="s">
        <v>1077</v>
      </c>
      <c r="G940" s="281" t="s">
        <v>296</v>
      </c>
      <c r="H940" s="234" t="s">
        <v>296</v>
      </c>
      <c r="I940" s="235" t="s">
        <v>17</v>
      </c>
      <c r="J940" s="234" t="s">
        <v>296</v>
      </c>
      <c r="K940" s="235" t="s">
        <v>296</v>
      </c>
      <c r="L940" s="234" t="s">
        <v>296</v>
      </c>
      <c r="M940" s="234" t="s">
        <v>296</v>
      </c>
      <c r="N940" s="235" t="s">
        <v>296</v>
      </c>
      <c r="O940" s="236" t="s">
        <v>17</v>
      </c>
      <c r="P940" s="236" t="s">
        <v>17</v>
      </c>
      <c r="Q940" s="236" t="s">
        <v>15</v>
      </c>
      <c r="R940" s="236" t="s">
        <v>296</v>
      </c>
      <c r="S940" s="236" t="s">
        <v>296</v>
      </c>
      <c r="T940" s="236" t="s">
        <v>296</v>
      </c>
      <c r="U940" s="236" t="s">
        <v>296</v>
      </c>
      <c r="V940" s="236" t="s">
        <v>296</v>
      </c>
      <c r="W940" s="237" t="s">
        <v>296</v>
      </c>
      <c r="X940" s="237" t="s">
        <v>296</v>
      </c>
      <c r="Y940" s="238" t="s">
        <v>296</v>
      </c>
    </row>
    <row r="941" spans="1:25">
      <c r="A941" s="230">
        <v>17</v>
      </c>
      <c r="B941" s="231" t="str">
        <f>VLOOKUP(Tabel10[[#This Row],[Locatiecode]],Ruimtegroepen[[Code]:[Ruimte omschrijving]],2,FALSE)</f>
        <v>Toestelberging</v>
      </c>
      <c r="C941" s="232" t="s">
        <v>1076</v>
      </c>
      <c r="D941" s="231" t="s">
        <v>28</v>
      </c>
      <c r="E941" s="233" t="s">
        <v>100</v>
      </c>
      <c r="F941" s="232" t="s">
        <v>1078</v>
      </c>
      <c r="G941" s="281" t="s">
        <v>296</v>
      </c>
      <c r="H941" s="235" t="s">
        <v>17</v>
      </c>
      <c r="I941" s="234" t="s">
        <v>296</v>
      </c>
      <c r="J941" s="235" t="s">
        <v>296</v>
      </c>
      <c r="K941" s="235" t="s">
        <v>296</v>
      </c>
      <c r="L941" s="234" t="s">
        <v>296</v>
      </c>
      <c r="M941" s="234" t="s">
        <v>296</v>
      </c>
      <c r="N941" s="235" t="s">
        <v>296</v>
      </c>
      <c r="O941" s="236" t="s">
        <v>17</v>
      </c>
      <c r="P941" s="236" t="s">
        <v>17</v>
      </c>
      <c r="Q941" s="236" t="s">
        <v>15</v>
      </c>
      <c r="R941" s="236" t="s">
        <v>296</v>
      </c>
      <c r="S941" s="236" t="s">
        <v>296</v>
      </c>
      <c r="T941" s="236" t="s">
        <v>296</v>
      </c>
      <c r="U941" s="236" t="s">
        <v>296</v>
      </c>
      <c r="V941" s="236" t="s">
        <v>296</v>
      </c>
      <c r="W941" s="237" t="s">
        <v>296</v>
      </c>
      <c r="X941" s="237" t="s">
        <v>296</v>
      </c>
      <c r="Y941" s="238" t="s">
        <v>296</v>
      </c>
    </row>
    <row r="942" spans="1:25">
      <c r="A942" s="230">
        <v>17</v>
      </c>
      <c r="B942" s="231" t="str">
        <f>VLOOKUP(Tabel10[[#This Row],[Locatiecode]],Ruimtegroepen[[Code]:[Ruimte omschrijving]],2,FALSE)</f>
        <v>Toestelberging</v>
      </c>
      <c r="C942" s="232" t="s">
        <v>1076</v>
      </c>
      <c r="D942" s="231" t="s">
        <v>28</v>
      </c>
      <c r="E942" s="233" t="s">
        <v>102</v>
      </c>
      <c r="F942" s="232" t="s">
        <v>1079</v>
      </c>
      <c r="G942" s="281" t="s">
        <v>296</v>
      </c>
      <c r="H942" s="234" t="s">
        <v>296</v>
      </c>
      <c r="I942" s="235" t="s">
        <v>17</v>
      </c>
      <c r="J942" s="235" t="s">
        <v>296</v>
      </c>
      <c r="K942" s="235" t="s">
        <v>296</v>
      </c>
      <c r="L942" s="234" t="s">
        <v>296</v>
      </c>
      <c r="M942" s="234" t="s">
        <v>296</v>
      </c>
      <c r="N942" s="235" t="s">
        <v>296</v>
      </c>
      <c r="O942" s="236" t="s">
        <v>17</v>
      </c>
      <c r="P942" s="236" t="s">
        <v>17</v>
      </c>
      <c r="Q942" s="236" t="s">
        <v>15</v>
      </c>
      <c r="R942" s="236" t="s">
        <v>296</v>
      </c>
      <c r="S942" s="236" t="s">
        <v>296</v>
      </c>
      <c r="T942" s="236" t="s">
        <v>296</v>
      </c>
      <c r="U942" s="236" t="s">
        <v>296</v>
      </c>
      <c r="V942" s="236" t="s">
        <v>296</v>
      </c>
      <c r="W942" s="237" t="s">
        <v>296</v>
      </c>
      <c r="X942" s="237" t="s">
        <v>296</v>
      </c>
      <c r="Y942" s="238" t="s">
        <v>296</v>
      </c>
    </row>
    <row r="943" spans="1:25">
      <c r="A943" s="230">
        <v>17</v>
      </c>
      <c r="B943" s="231" t="str">
        <f>VLOOKUP(Tabel10[[#This Row],[Locatiecode]],Ruimtegroepen[[Code]:[Ruimte omschrijving]],2,FALSE)</f>
        <v>Toestelberging</v>
      </c>
      <c r="C943" s="232" t="s">
        <v>1076</v>
      </c>
      <c r="D943" s="231" t="s">
        <v>28</v>
      </c>
      <c r="E943" s="233" t="s">
        <v>103</v>
      </c>
      <c r="F943" s="232" t="s">
        <v>1080</v>
      </c>
      <c r="G943" s="281" t="s">
        <v>296</v>
      </c>
      <c r="H943" s="234" t="s">
        <v>296</v>
      </c>
      <c r="I943" s="235" t="s">
        <v>17</v>
      </c>
      <c r="J943" s="235" t="s">
        <v>296</v>
      </c>
      <c r="K943" s="235" t="s">
        <v>296</v>
      </c>
      <c r="L943" s="234" t="s">
        <v>296</v>
      </c>
      <c r="M943" s="234" t="s">
        <v>296</v>
      </c>
      <c r="N943" s="235" t="s">
        <v>296</v>
      </c>
      <c r="O943" s="236" t="s">
        <v>17</v>
      </c>
      <c r="P943" s="236" t="s">
        <v>17</v>
      </c>
      <c r="Q943" s="236" t="s">
        <v>15</v>
      </c>
      <c r="R943" s="236" t="s">
        <v>296</v>
      </c>
      <c r="S943" s="236" t="s">
        <v>296</v>
      </c>
      <c r="T943" s="236" t="s">
        <v>296</v>
      </c>
      <c r="U943" s="236" t="s">
        <v>296</v>
      </c>
      <c r="V943" s="236" t="s">
        <v>296</v>
      </c>
      <c r="W943" s="237" t="s">
        <v>296</v>
      </c>
      <c r="X943" s="237" t="s">
        <v>296</v>
      </c>
      <c r="Y943" s="238" t="s">
        <v>296</v>
      </c>
    </row>
    <row r="944" spans="1:25">
      <c r="A944" s="230">
        <v>17</v>
      </c>
      <c r="B944" s="231" t="str">
        <f>VLOOKUP(Tabel10[[#This Row],[Locatiecode]],Ruimtegroepen[[Code]:[Ruimte omschrijving]],2,FALSE)</f>
        <v>Toestelberging</v>
      </c>
      <c r="C944" s="232" t="s">
        <v>1076</v>
      </c>
      <c r="D944" s="231" t="s">
        <v>28</v>
      </c>
      <c r="E944" s="233" t="s">
        <v>100</v>
      </c>
      <c r="F944" s="232" t="s">
        <v>1078</v>
      </c>
      <c r="G944" s="281" t="s">
        <v>296</v>
      </c>
      <c r="H944" s="235" t="s">
        <v>17</v>
      </c>
      <c r="I944" s="234" t="s">
        <v>296</v>
      </c>
      <c r="J944" s="235" t="s">
        <v>296</v>
      </c>
      <c r="K944" s="235" t="s">
        <v>296</v>
      </c>
      <c r="L944" s="234" t="s">
        <v>296</v>
      </c>
      <c r="M944" s="234" t="s">
        <v>296</v>
      </c>
      <c r="N944" s="235" t="s">
        <v>296</v>
      </c>
      <c r="O944" s="236" t="s">
        <v>17</v>
      </c>
      <c r="P944" s="236" t="s">
        <v>17</v>
      </c>
      <c r="Q944" s="236" t="s">
        <v>15</v>
      </c>
      <c r="R944" s="236" t="s">
        <v>296</v>
      </c>
      <c r="S944" s="236" t="s">
        <v>296</v>
      </c>
      <c r="T944" s="236" t="s">
        <v>296</v>
      </c>
      <c r="U944" s="236" t="s">
        <v>296</v>
      </c>
      <c r="V944" s="236" t="s">
        <v>296</v>
      </c>
      <c r="W944" s="237" t="s">
        <v>296</v>
      </c>
      <c r="X944" s="237" t="s">
        <v>296</v>
      </c>
      <c r="Y944" s="238" t="s">
        <v>296</v>
      </c>
    </row>
    <row r="945" spans="1:25">
      <c r="A945" s="230">
        <v>17</v>
      </c>
      <c r="B945" s="231" t="str">
        <f>VLOOKUP(Tabel10[[#This Row],[Locatiecode]],Ruimtegroepen[[Code]:[Ruimte omschrijving]],2,FALSE)</f>
        <v>Toestelberging</v>
      </c>
      <c r="C945" s="232" t="s">
        <v>1076</v>
      </c>
      <c r="D945" s="231" t="s">
        <v>28</v>
      </c>
      <c r="E945" s="233" t="s">
        <v>1344</v>
      </c>
      <c r="F945" s="232" t="s">
        <v>1458</v>
      </c>
      <c r="G945" s="281" t="s">
        <v>296</v>
      </c>
      <c r="H945" s="234" t="s">
        <v>296</v>
      </c>
      <c r="I945" s="235" t="s">
        <v>17</v>
      </c>
      <c r="J945" s="235" t="s">
        <v>296</v>
      </c>
      <c r="K945" s="235" t="s">
        <v>296</v>
      </c>
      <c r="L945" s="234" t="s">
        <v>296</v>
      </c>
      <c r="M945" s="234" t="s">
        <v>296</v>
      </c>
      <c r="N945" s="235" t="s">
        <v>296</v>
      </c>
      <c r="O945" s="236" t="s">
        <v>17</v>
      </c>
      <c r="P945" s="236" t="s">
        <v>17</v>
      </c>
      <c r="Q945" s="236" t="s">
        <v>15</v>
      </c>
      <c r="R945" s="236" t="s">
        <v>296</v>
      </c>
      <c r="S945" s="236" t="s">
        <v>296</v>
      </c>
      <c r="T945" s="236" t="s">
        <v>296</v>
      </c>
      <c r="U945" s="236" t="s">
        <v>296</v>
      </c>
      <c r="V945" s="236" t="s">
        <v>296</v>
      </c>
      <c r="W945" s="237" t="s">
        <v>296</v>
      </c>
      <c r="X945" s="237" t="s">
        <v>296</v>
      </c>
      <c r="Y945" s="238" t="s">
        <v>296</v>
      </c>
    </row>
    <row r="946" spans="1:25">
      <c r="A946" s="230">
        <v>18</v>
      </c>
      <c r="B946" s="231" t="str">
        <f>VLOOKUP(Tabel10[[#This Row],[Locatiecode]],Ruimtegroepen[[Code]:[Ruimte omschrijving]],2,FALSE)</f>
        <v>Gymzaal</v>
      </c>
      <c r="C946" s="232" t="s">
        <v>1081</v>
      </c>
      <c r="D946" s="231" t="s">
        <v>29</v>
      </c>
      <c r="E946" s="233" t="s">
        <v>101</v>
      </c>
      <c r="F946" s="232" t="s">
        <v>1082</v>
      </c>
      <c r="G946" s="281" t="s">
        <v>296</v>
      </c>
      <c r="H946" s="234" t="s">
        <v>296</v>
      </c>
      <c r="I946" s="234" t="s">
        <v>20</v>
      </c>
      <c r="J946" s="235" t="s">
        <v>15</v>
      </c>
      <c r="K946" s="235" t="s">
        <v>296</v>
      </c>
      <c r="L946" s="234" t="s">
        <v>296</v>
      </c>
      <c r="M946" s="234" t="s">
        <v>296</v>
      </c>
      <c r="N946" s="235" t="s">
        <v>2</v>
      </c>
      <c r="O946" s="236" t="s">
        <v>2</v>
      </c>
      <c r="P946" s="236" t="s">
        <v>2</v>
      </c>
      <c r="Q946" s="236" t="s">
        <v>2</v>
      </c>
      <c r="R946" s="236" t="s">
        <v>2</v>
      </c>
      <c r="S946" s="236" t="s">
        <v>2</v>
      </c>
      <c r="T946" s="236" t="s">
        <v>2</v>
      </c>
      <c r="U946" s="236" t="s">
        <v>2</v>
      </c>
      <c r="V946" s="236" t="s">
        <v>2</v>
      </c>
      <c r="W946" s="237" t="s">
        <v>296</v>
      </c>
      <c r="X946" s="237" t="s">
        <v>296</v>
      </c>
      <c r="Y946" s="238" t="s">
        <v>296</v>
      </c>
    </row>
    <row r="947" spans="1:25">
      <c r="A947" s="230">
        <v>18</v>
      </c>
      <c r="B947" s="231" t="str">
        <f>VLOOKUP(Tabel10[[#This Row],[Locatiecode]],Ruimtegroepen[[Code]:[Ruimte omschrijving]],2,FALSE)</f>
        <v>Gymzaal</v>
      </c>
      <c r="C947" s="232" t="s">
        <v>1081</v>
      </c>
      <c r="D947" s="231" t="s">
        <v>29</v>
      </c>
      <c r="E947" s="233" t="s">
        <v>100</v>
      </c>
      <c r="F947" s="232" t="s">
        <v>1083</v>
      </c>
      <c r="G947" s="235" t="s">
        <v>20</v>
      </c>
      <c r="H947" s="235" t="s">
        <v>15</v>
      </c>
      <c r="I947" s="234" t="s">
        <v>296</v>
      </c>
      <c r="J947" s="235" t="s">
        <v>296</v>
      </c>
      <c r="K947" s="235" t="s">
        <v>296</v>
      </c>
      <c r="L947" s="234" t="s">
        <v>296</v>
      </c>
      <c r="M947" s="234" t="s">
        <v>296</v>
      </c>
      <c r="N947" s="235" t="s">
        <v>2</v>
      </c>
      <c r="O947" s="236" t="s">
        <v>2</v>
      </c>
      <c r="P947" s="236" t="s">
        <v>2</v>
      </c>
      <c r="Q947" s="236" t="s">
        <v>2</v>
      </c>
      <c r="R947" s="236" t="s">
        <v>2</v>
      </c>
      <c r="S947" s="236" t="s">
        <v>2</v>
      </c>
      <c r="T947" s="236" t="s">
        <v>2</v>
      </c>
      <c r="U947" s="236" t="s">
        <v>2</v>
      </c>
      <c r="V947" s="236" t="s">
        <v>2</v>
      </c>
      <c r="W947" s="237" t="s">
        <v>296</v>
      </c>
      <c r="X947" s="237" t="s">
        <v>296</v>
      </c>
      <c r="Y947" s="238" t="s">
        <v>296</v>
      </c>
    </row>
    <row r="948" spans="1:25">
      <c r="A948" s="230">
        <v>18</v>
      </c>
      <c r="B948" s="231" t="str">
        <f>VLOOKUP(Tabel10[[#This Row],[Locatiecode]],Ruimtegroepen[[Code]:[Ruimte omschrijving]],2,FALSE)</f>
        <v>Gymzaal</v>
      </c>
      <c r="C948" s="232" t="s">
        <v>1081</v>
      </c>
      <c r="D948" s="231" t="s">
        <v>29</v>
      </c>
      <c r="E948" s="233" t="s">
        <v>102</v>
      </c>
      <c r="F948" s="232" t="s">
        <v>1084</v>
      </c>
      <c r="G948" s="281" t="s">
        <v>296</v>
      </c>
      <c r="H948" s="234" t="s">
        <v>296</v>
      </c>
      <c r="I948" s="234" t="s">
        <v>20</v>
      </c>
      <c r="J948" s="235" t="s">
        <v>15</v>
      </c>
      <c r="K948" s="234" t="s">
        <v>297</v>
      </c>
      <c r="L948" s="234" t="s">
        <v>296</v>
      </c>
      <c r="M948" s="234" t="s">
        <v>296</v>
      </c>
      <c r="N948" s="235" t="s">
        <v>2</v>
      </c>
      <c r="O948" s="236" t="s">
        <v>2</v>
      </c>
      <c r="P948" s="236" t="s">
        <v>2</v>
      </c>
      <c r="Q948" s="236" t="s">
        <v>2</v>
      </c>
      <c r="R948" s="236" t="s">
        <v>2</v>
      </c>
      <c r="S948" s="236" t="s">
        <v>2</v>
      </c>
      <c r="T948" s="236" t="s">
        <v>2</v>
      </c>
      <c r="U948" s="236" t="s">
        <v>2</v>
      </c>
      <c r="V948" s="236" t="s">
        <v>2</v>
      </c>
      <c r="W948" s="237" t="s">
        <v>296</v>
      </c>
      <c r="X948" s="237" t="s">
        <v>296</v>
      </c>
      <c r="Y948" s="238" t="s">
        <v>296</v>
      </c>
    </row>
    <row r="949" spans="1:25">
      <c r="A949" s="230">
        <v>18</v>
      </c>
      <c r="B949" s="231" t="str">
        <f>VLOOKUP(Tabel10[[#This Row],[Locatiecode]],Ruimtegroepen[[Code]:[Ruimte omschrijving]],2,FALSE)</f>
        <v>Gymzaal</v>
      </c>
      <c r="C949" s="232" t="s">
        <v>1081</v>
      </c>
      <c r="D949" s="231" t="s">
        <v>29</v>
      </c>
      <c r="E949" s="233" t="s">
        <v>103</v>
      </c>
      <c r="F949" s="232" t="s">
        <v>1085</v>
      </c>
      <c r="G949" s="281" t="s">
        <v>296</v>
      </c>
      <c r="H949" s="234" t="s">
        <v>296</v>
      </c>
      <c r="I949" s="234" t="s">
        <v>20</v>
      </c>
      <c r="J949" s="235" t="s">
        <v>15</v>
      </c>
      <c r="K949" s="234" t="s">
        <v>297</v>
      </c>
      <c r="L949" s="234" t="s">
        <v>296</v>
      </c>
      <c r="M949" s="234" t="s">
        <v>296</v>
      </c>
      <c r="N949" s="235" t="s">
        <v>2</v>
      </c>
      <c r="O949" s="236" t="s">
        <v>2</v>
      </c>
      <c r="P949" s="236" t="s">
        <v>2</v>
      </c>
      <c r="Q949" s="236" t="s">
        <v>2</v>
      </c>
      <c r="R949" s="236" t="s">
        <v>2</v>
      </c>
      <c r="S949" s="236" t="s">
        <v>2</v>
      </c>
      <c r="T949" s="236" t="s">
        <v>2</v>
      </c>
      <c r="U949" s="236" t="s">
        <v>2</v>
      </c>
      <c r="V949" s="236" t="s">
        <v>2</v>
      </c>
      <c r="W949" s="237" t="s">
        <v>296</v>
      </c>
      <c r="X949" s="237" t="s">
        <v>296</v>
      </c>
      <c r="Y949" s="238" t="s">
        <v>296</v>
      </c>
    </row>
    <row r="950" spans="1:25">
      <c r="A950" s="230">
        <v>18</v>
      </c>
      <c r="B950" s="231" t="str">
        <f>VLOOKUP(Tabel10[[#This Row],[Locatiecode]],Ruimtegroepen[[Code]:[Ruimte omschrijving]],2,FALSE)</f>
        <v>Gymzaal</v>
      </c>
      <c r="C950" s="232" t="s">
        <v>1081</v>
      </c>
      <c r="D950" s="231" t="s">
        <v>29</v>
      </c>
      <c r="E950" s="233" t="s">
        <v>100</v>
      </c>
      <c r="F950" s="232" t="s">
        <v>1083</v>
      </c>
      <c r="G950" s="281" t="s">
        <v>296</v>
      </c>
      <c r="H950" s="235" t="s">
        <v>2</v>
      </c>
      <c r="I950" s="234" t="s">
        <v>296</v>
      </c>
      <c r="J950" s="235" t="s">
        <v>296</v>
      </c>
      <c r="K950" s="235" t="s">
        <v>296</v>
      </c>
      <c r="L950" s="234" t="s">
        <v>296</v>
      </c>
      <c r="M950" s="234" t="s">
        <v>296</v>
      </c>
      <c r="N950" s="235" t="s">
        <v>2</v>
      </c>
      <c r="O950" s="236" t="s">
        <v>2</v>
      </c>
      <c r="P950" s="236" t="s">
        <v>2</v>
      </c>
      <c r="Q950" s="236" t="s">
        <v>2</v>
      </c>
      <c r="R950" s="236" t="s">
        <v>2</v>
      </c>
      <c r="S950" s="236" t="s">
        <v>2</v>
      </c>
      <c r="T950" s="236" t="s">
        <v>2</v>
      </c>
      <c r="U950" s="236" t="s">
        <v>2</v>
      </c>
      <c r="V950" s="236" t="s">
        <v>2</v>
      </c>
      <c r="W950" s="237" t="s">
        <v>296</v>
      </c>
      <c r="X950" s="237" t="s">
        <v>296</v>
      </c>
      <c r="Y950" s="238" t="s">
        <v>296</v>
      </c>
    </row>
    <row r="951" spans="1:25">
      <c r="A951" s="230">
        <v>18</v>
      </c>
      <c r="B951" s="231" t="str">
        <f>VLOOKUP(Tabel10[[#This Row],[Locatiecode]],Ruimtegroepen[[Code]:[Ruimte omschrijving]],2,FALSE)</f>
        <v>Gymzaal</v>
      </c>
      <c r="C951" s="232" t="s">
        <v>1081</v>
      </c>
      <c r="D951" s="231" t="s">
        <v>29</v>
      </c>
      <c r="E951" s="233" t="s">
        <v>1344</v>
      </c>
      <c r="F951" s="232" t="s">
        <v>1526</v>
      </c>
      <c r="G951" s="281" t="s">
        <v>296</v>
      </c>
      <c r="H951" s="234" t="s">
        <v>296</v>
      </c>
      <c r="I951" s="234" t="s">
        <v>20</v>
      </c>
      <c r="J951" s="235" t="s">
        <v>15</v>
      </c>
      <c r="K951" s="234" t="s">
        <v>297</v>
      </c>
      <c r="L951" s="234" t="s">
        <v>296</v>
      </c>
      <c r="M951" s="234" t="s">
        <v>296</v>
      </c>
      <c r="N951" s="235" t="s">
        <v>2</v>
      </c>
      <c r="O951" s="236" t="s">
        <v>2</v>
      </c>
      <c r="P951" s="236" t="s">
        <v>2</v>
      </c>
      <c r="Q951" s="236" t="s">
        <v>2</v>
      </c>
      <c r="R951" s="236" t="s">
        <v>2</v>
      </c>
      <c r="S951" s="236" t="s">
        <v>2</v>
      </c>
      <c r="T951" s="236" t="s">
        <v>2</v>
      </c>
      <c r="U951" s="236" t="s">
        <v>2</v>
      </c>
      <c r="V951" s="236" t="s">
        <v>2</v>
      </c>
      <c r="W951" s="237" t="s">
        <v>296</v>
      </c>
      <c r="X951" s="237" t="s">
        <v>296</v>
      </c>
      <c r="Y951" s="238" t="s">
        <v>296</v>
      </c>
    </row>
    <row r="952" spans="1:25">
      <c r="A952" s="230">
        <v>18</v>
      </c>
      <c r="B952" s="231" t="str">
        <f>VLOOKUP(Tabel10[[#This Row],[Locatiecode]],Ruimtegroepen[[Code]:[Ruimte omschrijving]],2,FALSE)</f>
        <v>Gymzaal</v>
      </c>
      <c r="C952" s="232" t="s">
        <v>1086</v>
      </c>
      <c r="D952" s="231" t="s">
        <v>1</v>
      </c>
      <c r="E952" s="233" t="s">
        <v>101</v>
      </c>
      <c r="F952" s="232" t="s">
        <v>1087</v>
      </c>
      <c r="G952" s="281" t="s">
        <v>296</v>
      </c>
      <c r="H952" s="234" t="s">
        <v>296</v>
      </c>
      <c r="I952" s="234" t="s">
        <v>20</v>
      </c>
      <c r="J952" s="235" t="s">
        <v>15</v>
      </c>
      <c r="K952" s="235" t="s">
        <v>296</v>
      </c>
      <c r="L952" s="234" t="s">
        <v>296</v>
      </c>
      <c r="M952" s="234" t="s">
        <v>296</v>
      </c>
      <c r="N952" s="235" t="s">
        <v>296</v>
      </c>
      <c r="O952" s="236" t="s">
        <v>2</v>
      </c>
      <c r="P952" s="236" t="s">
        <v>2</v>
      </c>
      <c r="Q952" s="236" t="s">
        <v>2</v>
      </c>
      <c r="R952" s="236" t="s">
        <v>2</v>
      </c>
      <c r="S952" s="236" t="s">
        <v>2</v>
      </c>
      <c r="T952" s="236" t="s">
        <v>2</v>
      </c>
      <c r="U952" s="236" t="s">
        <v>2</v>
      </c>
      <c r="V952" s="236" t="s">
        <v>296</v>
      </c>
      <c r="W952" s="237" t="s">
        <v>296</v>
      </c>
      <c r="X952" s="237" t="s">
        <v>296</v>
      </c>
      <c r="Y952" s="238" t="s">
        <v>296</v>
      </c>
    </row>
    <row r="953" spans="1:25">
      <c r="A953" s="230">
        <v>18</v>
      </c>
      <c r="B953" s="231" t="str">
        <f>VLOOKUP(Tabel10[[#This Row],[Locatiecode]],Ruimtegroepen[[Code]:[Ruimte omschrijving]],2,FALSE)</f>
        <v>Gymzaal</v>
      </c>
      <c r="C953" s="232" t="s">
        <v>1086</v>
      </c>
      <c r="D953" s="231" t="s">
        <v>1</v>
      </c>
      <c r="E953" s="233" t="s">
        <v>100</v>
      </c>
      <c r="F953" s="232" t="s">
        <v>1088</v>
      </c>
      <c r="G953" s="235" t="s">
        <v>20</v>
      </c>
      <c r="H953" s="235" t="s">
        <v>15</v>
      </c>
      <c r="I953" s="234" t="s">
        <v>296</v>
      </c>
      <c r="J953" s="235" t="s">
        <v>296</v>
      </c>
      <c r="K953" s="235" t="s">
        <v>296</v>
      </c>
      <c r="L953" s="234" t="s">
        <v>296</v>
      </c>
      <c r="M953" s="234" t="s">
        <v>296</v>
      </c>
      <c r="N953" s="235" t="s">
        <v>296</v>
      </c>
      <c r="O953" s="236" t="s">
        <v>2</v>
      </c>
      <c r="P953" s="236" t="s">
        <v>2</v>
      </c>
      <c r="Q953" s="236" t="s">
        <v>2</v>
      </c>
      <c r="R953" s="236" t="s">
        <v>2</v>
      </c>
      <c r="S953" s="236" t="s">
        <v>2</v>
      </c>
      <c r="T953" s="236" t="s">
        <v>2</v>
      </c>
      <c r="U953" s="236" t="s">
        <v>2</v>
      </c>
      <c r="V953" s="236" t="s">
        <v>296</v>
      </c>
      <c r="W953" s="237" t="s">
        <v>296</v>
      </c>
      <c r="X953" s="237" t="s">
        <v>296</v>
      </c>
      <c r="Y953" s="238" t="s">
        <v>296</v>
      </c>
    </row>
    <row r="954" spans="1:25">
      <c r="A954" s="230">
        <v>18</v>
      </c>
      <c r="B954" s="231" t="str">
        <f>VLOOKUP(Tabel10[[#This Row],[Locatiecode]],Ruimtegroepen[[Code]:[Ruimte omschrijving]],2,FALSE)</f>
        <v>Gymzaal</v>
      </c>
      <c r="C954" s="232" t="s">
        <v>1086</v>
      </c>
      <c r="D954" s="231" t="s">
        <v>1</v>
      </c>
      <c r="E954" s="233" t="s">
        <v>102</v>
      </c>
      <c r="F954" s="232" t="s">
        <v>1089</v>
      </c>
      <c r="G954" s="281" t="s">
        <v>296</v>
      </c>
      <c r="H954" s="234" t="s">
        <v>296</v>
      </c>
      <c r="I954" s="234" t="s">
        <v>20</v>
      </c>
      <c r="J954" s="235" t="s">
        <v>15</v>
      </c>
      <c r="K954" s="234" t="s">
        <v>297</v>
      </c>
      <c r="L954" s="234" t="s">
        <v>296</v>
      </c>
      <c r="M954" s="234" t="s">
        <v>296</v>
      </c>
      <c r="N954" s="235" t="s">
        <v>296</v>
      </c>
      <c r="O954" s="236" t="s">
        <v>2</v>
      </c>
      <c r="P954" s="236" t="s">
        <v>2</v>
      </c>
      <c r="Q954" s="236" t="s">
        <v>2</v>
      </c>
      <c r="R954" s="236" t="s">
        <v>2</v>
      </c>
      <c r="S954" s="236" t="s">
        <v>2</v>
      </c>
      <c r="T954" s="236" t="s">
        <v>2</v>
      </c>
      <c r="U954" s="236" t="s">
        <v>2</v>
      </c>
      <c r="V954" s="236" t="s">
        <v>296</v>
      </c>
      <c r="W954" s="237" t="s">
        <v>296</v>
      </c>
      <c r="X954" s="237" t="s">
        <v>296</v>
      </c>
      <c r="Y954" s="238" t="s">
        <v>296</v>
      </c>
    </row>
    <row r="955" spans="1:25">
      <c r="A955" s="230">
        <v>18</v>
      </c>
      <c r="B955" s="231" t="str">
        <f>VLOOKUP(Tabel10[[#This Row],[Locatiecode]],Ruimtegroepen[[Code]:[Ruimte omschrijving]],2,FALSE)</f>
        <v>Gymzaal</v>
      </c>
      <c r="C955" s="232" t="s">
        <v>1086</v>
      </c>
      <c r="D955" s="231" t="s">
        <v>1</v>
      </c>
      <c r="E955" s="233" t="s">
        <v>103</v>
      </c>
      <c r="F955" s="232" t="s">
        <v>1090</v>
      </c>
      <c r="G955" s="281" t="s">
        <v>296</v>
      </c>
      <c r="H955" s="234" t="s">
        <v>296</v>
      </c>
      <c r="I955" s="234" t="s">
        <v>20</v>
      </c>
      <c r="J955" s="235" t="s">
        <v>15</v>
      </c>
      <c r="K955" s="234" t="s">
        <v>297</v>
      </c>
      <c r="L955" s="234" t="s">
        <v>296</v>
      </c>
      <c r="M955" s="234" t="s">
        <v>296</v>
      </c>
      <c r="N955" s="235" t="s">
        <v>296</v>
      </c>
      <c r="O955" s="236" t="s">
        <v>2</v>
      </c>
      <c r="P955" s="236" t="s">
        <v>2</v>
      </c>
      <c r="Q955" s="236" t="s">
        <v>2</v>
      </c>
      <c r="R955" s="236" t="s">
        <v>2</v>
      </c>
      <c r="S955" s="236" t="s">
        <v>2</v>
      </c>
      <c r="T955" s="236" t="s">
        <v>2</v>
      </c>
      <c r="U955" s="236" t="s">
        <v>2</v>
      </c>
      <c r="V955" s="236" t="s">
        <v>296</v>
      </c>
      <c r="W955" s="237" t="s">
        <v>296</v>
      </c>
      <c r="X955" s="237" t="s">
        <v>296</v>
      </c>
      <c r="Y955" s="238" t="s">
        <v>296</v>
      </c>
    </row>
    <row r="956" spans="1:25">
      <c r="A956" s="230">
        <v>18</v>
      </c>
      <c r="B956" s="231" t="str">
        <f>VLOOKUP(Tabel10[[#This Row],[Locatiecode]],Ruimtegroepen[[Code]:[Ruimte omschrijving]],2,FALSE)</f>
        <v>Gymzaal</v>
      </c>
      <c r="C956" s="232" t="s">
        <v>1086</v>
      </c>
      <c r="D956" s="231" t="s">
        <v>1</v>
      </c>
      <c r="E956" s="233" t="s">
        <v>100</v>
      </c>
      <c r="F956" s="232" t="s">
        <v>1088</v>
      </c>
      <c r="G956" s="281" t="s">
        <v>296</v>
      </c>
      <c r="H956" s="235" t="s">
        <v>2</v>
      </c>
      <c r="I956" s="234" t="s">
        <v>296</v>
      </c>
      <c r="J956" s="235" t="s">
        <v>296</v>
      </c>
      <c r="K956" s="235" t="s">
        <v>296</v>
      </c>
      <c r="L956" s="234" t="s">
        <v>296</v>
      </c>
      <c r="M956" s="234" t="s">
        <v>296</v>
      </c>
      <c r="N956" s="235" t="s">
        <v>296</v>
      </c>
      <c r="O956" s="236" t="s">
        <v>2</v>
      </c>
      <c r="P956" s="236" t="s">
        <v>2</v>
      </c>
      <c r="Q956" s="236" t="s">
        <v>2</v>
      </c>
      <c r="R956" s="236" t="s">
        <v>2</v>
      </c>
      <c r="S956" s="236" t="s">
        <v>2</v>
      </c>
      <c r="T956" s="236" t="s">
        <v>2</v>
      </c>
      <c r="U956" s="236" t="s">
        <v>2</v>
      </c>
      <c r="V956" s="236" t="s">
        <v>296</v>
      </c>
      <c r="W956" s="237" t="s">
        <v>296</v>
      </c>
      <c r="X956" s="237" t="s">
        <v>296</v>
      </c>
      <c r="Y956" s="238" t="s">
        <v>296</v>
      </c>
    </row>
    <row r="957" spans="1:25">
      <c r="A957" s="230">
        <v>18</v>
      </c>
      <c r="B957" s="231" t="str">
        <f>VLOOKUP(Tabel10[[#This Row],[Locatiecode]],Ruimtegroepen[[Code]:[Ruimte omschrijving]],2,FALSE)</f>
        <v>Gymzaal</v>
      </c>
      <c r="C957" s="232" t="s">
        <v>1086</v>
      </c>
      <c r="D957" s="231" t="s">
        <v>1</v>
      </c>
      <c r="E957" s="233" t="s">
        <v>1344</v>
      </c>
      <c r="F957" s="232" t="s">
        <v>1510</v>
      </c>
      <c r="G957" s="281" t="s">
        <v>296</v>
      </c>
      <c r="H957" s="234" t="s">
        <v>296</v>
      </c>
      <c r="I957" s="234" t="s">
        <v>20</v>
      </c>
      <c r="J957" s="235" t="s">
        <v>15</v>
      </c>
      <c r="K957" s="234" t="s">
        <v>297</v>
      </c>
      <c r="L957" s="234" t="s">
        <v>296</v>
      </c>
      <c r="M957" s="234" t="s">
        <v>296</v>
      </c>
      <c r="N957" s="235" t="s">
        <v>296</v>
      </c>
      <c r="O957" s="236" t="s">
        <v>2</v>
      </c>
      <c r="P957" s="236" t="s">
        <v>2</v>
      </c>
      <c r="Q957" s="236" t="s">
        <v>2</v>
      </c>
      <c r="R957" s="236" t="s">
        <v>2</v>
      </c>
      <c r="S957" s="236" t="s">
        <v>2</v>
      </c>
      <c r="T957" s="236" t="s">
        <v>2</v>
      </c>
      <c r="U957" s="236" t="s">
        <v>2</v>
      </c>
      <c r="V957" s="236" t="s">
        <v>296</v>
      </c>
      <c r="W957" s="237" t="s">
        <v>296</v>
      </c>
      <c r="X957" s="237" t="s">
        <v>296</v>
      </c>
      <c r="Y957" s="238" t="s">
        <v>296</v>
      </c>
    </row>
    <row r="958" spans="1:25">
      <c r="A958" s="230">
        <v>18</v>
      </c>
      <c r="B958" s="231" t="str">
        <f>VLOOKUP(Tabel10[[#This Row],[Locatiecode]],Ruimtegroepen[[Code]:[Ruimte omschrijving]],2,FALSE)</f>
        <v>Gymzaal</v>
      </c>
      <c r="C958" s="232" t="s">
        <v>1091</v>
      </c>
      <c r="D958" s="231" t="s">
        <v>21</v>
      </c>
      <c r="E958" s="233" t="s">
        <v>101</v>
      </c>
      <c r="F958" s="232" t="s">
        <v>1092</v>
      </c>
      <c r="G958" s="281" t="s">
        <v>296</v>
      </c>
      <c r="H958" s="234" t="s">
        <v>296</v>
      </c>
      <c r="I958" s="234" t="s">
        <v>18</v>
      </c>
      <c r="J958" s="235" t="s">
        <v>15</v>
      </c>
      <c r="K958" s="235" t="s">
        <v>296</v>
      </c>
      <c r="L958" s="234" t="s">
        <v>296</v>
      </c>
      <c r="M958" s="234" t="s">
        <v>296</v>
      </c>
      <c r="N958" s="235" t="s">
        <v>296</v>
      </c>
      <c r="O958" s="236" t="s">
        <v>20</v>
      </c>
      <c r="P958" s="236" t="s">
        <v>20</v>
      </c>
      <c r="Q958" s="236" t="s">
        <v>20</v>
      </c>
      <c r="R958" s="236" t="s">
        <v>15</v>
      </c>
      <c r="S958" s="236" t="s">
        <v>16</v>
      </c>
      <c r="T958" s="236" t="s">
        <v>343</v>
      </c>
      <c r="U958" s="236" t="s">
        <v>262</v>
      </c>
      <c r="V958" s="236" t="s">
        <v>296</v>
      </c>
      <c r="W958" s="237" t="s">
        <v>296</v>
      </c>
      <c r="X958" s="237" t="s">
        <v>296</v>
      </c>
      <c r="Y958" s="238" t="s">
        <v>296</v>
      </c>
    </row>
    <row r="959" spans="1:25">
      <c r="A959" s="230">
        <v>18</v>
      </c>
      <c r="B959" s="231" t="str">
        <f>VLOOKUP(Tabel10[[#This Row],[Locatiecode]],Ruimtegroepen[[Code]:[Ruimte omschrijving]],2,FALSE)</f>
        <v>Gymzaal</v>
      </c>
      <c r="C959" s="232" t="s">
        <v>1091</v>
      </c>
      <c r="D959" s="231" t="s">
        <v>21</v>
      </c>
      <c r="E959" s="233" t="s">
        <v>100</v>
      </c>
      <c r="F959" s="232" t="s">
        <v>1093</v>
      </c>
      <c r="G959" s="235" t="s">
        <v>18</v>
      </c>
      <c r="H959" s="235" t="s">
        <v>15</v>
      </c>
      <c r="I959" s="234" t="s">
        <v>296</v>
      </c>
      <c r="J959" s="235" t="s">
        <v>296</v>
      </c>
      <c r="K959" s="235" t="s">
        <v>296</v>
      </c>
      <c r="L959" s="234" t="s">
        <v>296</v>
      </c>
      <c r="M959" s="234" t="s">
        <v>296</v>
      </c>
      <c r="N959" s="235" t="s">
        <v>296</v>
      </c>
      <c r="O959" s="236" t="s">
        <v>20</v>
      </c>
      <c r="P959" s="236" t="s">
        <v>20</v>
      </c>
      <c r="Q959" s="236" t="s">
        <v>20</v>
      </c>
      <c r="R959" s="236" t="s">
        <v>15</v>
      </c>
      <c r="S959" s="236" t="s">
        <v>16</v>
      </c>
      <c r="T959" s="236" t="s">
        <v>343</v>
      </c>
      <c r="U959" s="236" t="s">
        <v>262</v>
      </c>
      <c r="V959" s="236" t="s">
        <v>296</v>
      </c>
      <c r="W959" s="237" t="s">
        <v>296</v>
      </c>
      <c r="X959" s="237" t="s">
        <v>296</v>
      </c>
      <c r="Y959" s="238" t="s">
        <v>296</v>
      </c>
    </row>
    <row r="960" spans="1:25">
      <c r="A960" s="230">
        <v>18</v>
      </c>
      <c r="B960" s="231" t="str">
        <f>VLOOKUP(Tabel10[[#This Row],[Locatiecode]],Ruimtegroepen[[Code]:[Ruimte omschrijving]],2,FALSE)</f>
        <v>Gymzaal</v>
      </c>
      <c r="C960" s="232" t="s">
        <v>1091</v>
      </c>
      <c r="D960" s="231" t="s">
        <v>21</v>
      </c>
      <c r="E960" s="233" t="s">
        <v>102</v>
      </c>
      <c r="F960" s="232" t="s">
        <v>1094</v>
      </c>
      <c r="G960" s="281" t="s">
        <v>296</v>
      </c>
      <c r="H960" s="234" t="s">
        <v>296</v>
      </c>
      <c r="I960" s="234" t="s">
        <v>18</v>
      </c>
      <c r="J960" s="235" t="s">
        <v>15</v>
      </c>
      <c r="K960" s="234" t="s">
        <v>297</v>
      </c>
      <c r="L960" s="234" t="s">
        <v>296</v>
      </c>
      <c r="M960" s="234" t="s">
        <v>296</v>
      </c>
      <c r="N960" s="235" t="s">
        <v>296</v>
      </c>
      <c r="O960" s="236" t="s">
        <v>20</v>
      </c>
      <c r="P960" s="236" t="s">
        <v>20</v>
      </c>
      <c r="Q960" s="236" t="s">
        <v>20</v>
      </c>
      <c r="R960" s="236" t="s">
        <v>15</v>
      </c>
      <c r="S960" s="236" t="s">
        <v>16</v>
      </c>
      <c r="T960" s="236" t="s">
        <v>343</v>
      </c>
      <c r="U960" s="236" t="s">
        <v>262</v>
      </c>
      <c r="V960" s="236" t="s">
        <v>296</v>
      </c>
      <c r="W960" s="237" t="s">
        <v>296</v>
      </c>
      <c r="X960" s="237" t="s">
        <v>296</v>
      </c>
      <c r="Y960" s="238" t="s">
        <v>296</v>
      </c>
    </row>
    <row r="961" spans="1:25">
      <c r="A961" s="230">
        <v>18</v>
      </c>
      <c r="B961" s="231" t="str">
        <f>VLOOKUP(Tabel10[[#This Row],[Locatiecode]],Ruimtegroepen[[Code]:[Ruimte omschrijving]],2,FALSE)</f>
        <v>Gymzaal</v>
      </c>
      <c r="C961" s="232" t="s">
        <v>1091</v>
      </c>
      <c r="D961" s="231" t="s">
        <v>21</v>
      </c>
      <c r="E961" s="233" t="s">
        <v>103</v>
      </c>
      <c r="F961" s="232" t="s">
        <v>1095</v>
      </c>
      <c r="G961" s="281" t="s">
        <v>296</v>
      </c>
      <c r="H961" s="234" t="s">
        <v>296</v>
      </c>
      <c r="I961" s="234" t="s">
        <v>18</v>
      </c>
      <c r="J961" s="235" t="s">
        <v>15</v>
      </c>
      <c r="K961" s="234" t="s">
        <v>297</v>
      </c>
      <c r="L961" s="234" t="s">
        <v>296</v>
      </c>
      <c r="M961" s="234" t="s">
        <v>296</v>
      </c>
      <c r="N961" s="235" t="s">
        <v>296</v>
      </c>
      <c r="O961" s="236" t="s">
        <v>20</v>
      </c>
      <c r="P961" s="236" t="s">
        <v>20</v>
      </c>
      <c r="Q961" s="236" t="s">
        <v>20</v>
      </c>
      <c r="R961" s="236" t="s">
        <v>15</v>
      </c>
      <c r="S961" s="236" t="s">
        <v>16</v>
      </c>
      <c r="T961" s="236" t="s">
        <v>343</v>
      </c>
      <c r="U961" s="236" t="s">
        <v>262</v>
      </c>
      <c r="V961" s="236" t="s">
        <v>296</v>
      </c>
      <c r="W961" s="237" t="s">
        <v>296</v>
      </c>
      <c r="X961" s="237" t="s">
        <v>296</v>
      </c>
      <c r="Y961" s="238" t="s">
        <v>296</v>
      </c>
    </row>
    <row r="962" spans="1:25">
      <c r="A962" s="230">
        <v>18</v>
      </c>
      <c r="B962" s="231" t="str">
        <f>VLOOKUP(Tabel10[[#This Row],[Locatiecode]],Ruimtegroepen[[Code]:[Ruimte omschrijving]],2,FALSE)</f>
        <v>Gymzaal</v>
      </c>
      <c r="C962" s="232" t="s">
        <v>1091</v>
      </c>
      <c r="D962" s="231" t="s">
        <v>21</v>
      </c>
      <c r="E962" s="233" t="s">
        <v>100</v>
      </c>
      <c r="F962" s="232" t="s">
        <v>1093</v>
      </c>
      <c r="G962" s="281" t="s">
        <v>296</v>
      </c>
      <c r="H962" s="235" t="s">
        <v>20</v>
      </c>
      <c r="I962" s="234" t="s">
        <v>296</v>
      </c>
      <c r="J962" s="235" t="s">
        <v>296</v>
      </c>
      <c r="K962" s="235" t="s">
        <v>296</v>
      </c>
      <c r="L962" s="234" t="s">
        <v>296</v>
      </c>
      <c r="M962" s="234" t="s">
        <v>296</v>
      </c>
      <c r="N962" s="235" t="s">
        <v>296</v>
      </c>
      <c r="O962" s="236" t="s">
        <v>20</v>
      </c>
      <c r="P962" s="236" t="s">
        <v>20</v>
      </c>
      <c r="Q962" s="236" t="s">
        <v>20</v>
      </c>
      <c r="R962" s="236" t="s">
        <v>15</v>
      </c>
      <c r="S962" s="236" t="s">
        <v>16</v>
      </c>
      <c r="T962" s="236" t="s">
        <v>343</v>
      </c>
      <c r="U962" s="236" t="s">
        <v>262</v>
      </c>
      <c r="V962" s="236" t="s">
        <v>296</v>
      </c>
      <c r="W962" s="237" t="s">
        <v>296</v>
      </c>
      <c r="X962" s="237" t="s">
        <v>296</v>
      </c>
      <c r="Y962" s="238" t="s">
        <v>296</v>
      </c>
    </row>
    <row r="963" spans="1:25">
      <c r="A963" s="230">
        <v>18</v>
      </c>
      <c r="B963" s="231" t="str">
        <f>VLOOKUP(Tabel10[[#This Row],[Locatiecode]],Ruimtegroepen[[Code]:[Ruimte omschrijving]],2,FALSE)</f>
        <v>Gymzaal</v>
      </c>
      <c r="C963" s="232" t="s">
        <v>1091</v>
      </c>
      <c r="D963" s="231" t="s">
        <v>21</v>
      </c>
      <c r="E963" s="233" t="s">
        <v>1344</v>
      </c>
      <c r="F963" s="232" t="s">
        <v>1493</v>
      </c>
      <c r="G963" s="281" t="s">
        <v>296</v>
      </c>
      <c r="H963" s="234" t="s">
        <v>296</v>
      </c>
      <c r="I963" s="234" t="s">
        <v>18</v>
      </c>
      <c r="J963" s="235" t="s">
        <v>15</v>
      </c>
      <c r="K963" s="234" t="s">
        <v>297</v>
      </c>
      <c r="L963" s="234" t="s">
        <v>296</v>
      </c>
      <c r="M963" s="234" t="s">
        <v>296</v>
      </c>
      <c r="N963" s="235" t="s">
        <v>296</v>
      </c>
      <c r="O963" s="236" t="s">
        <v>20</v>
      </c>
      <c r="P963" s="236" t="s">
        <v>20</v>
      </c>
      <c r="Q963" s="236" t="s">
        <v>20</v>
      </c>
      <c r="R963" s="236" t="s">
        <v>15</v>
      </c>
      <c r="S963" s="236" t="s">
        <v>16</v>
      </c>
      <c r="T963" s="236" t="s">
        <v>343</v>
      </c>
      <c r="U963" s="236" t="s">
        <v>262</v>
      </c>
      <c r="V963" s="236" t="s">
        <v>296</v>
      </c>
      <c r="W963" s="237" t="s">
        <v>296</v>
      </c>
      <c r="X963" s="237" t="s">
        <v>296</v>
      </c>
      <c r="Y963" s="238" t="s">
        <v>296</v>
      </c>
    </row>
    <row r="964" spans="1:25">
      <c r="A964" s="230">
        <v>18</v>
      </c>
      <c r="B964" s="231" t="str">
        <f>VLOOKUP(Tabel10[[#This Row],[Locatiecode]],Ruimtegroepen[[Code]:[Ruimte omschrijving]],2,FALSE)</f>
        <v>Gymzaal</v>
      </c>
      <c r="C964" s="232" t="s">
        <v>1096</v>
      </c>
      <c r="D964" s="231" t="s">
        <v>12</v>
      </c>
      <c r="E964" s="233" t="s">
        <v>101</v>
      </c>
      <c r="F964" s="232" t="s">
        <v>1097</v>
      </c>
      <c r="G964" s="281" t="s">
        <v>296</v>
      </c>
      <c r="H964" s="234" t="s">
        <v>296</v>
      </c>
      <c r="I964" s="234" t="s">
        <v>17</v>
      </c>
      <c r="J964" s="235" t="s">
        <v>15</v>
      </c>
      <c r="K964" s="235" t="s">
        <v>296</v>
      </c>
      <c r="L964" s="234" t="s">
        <v>296</v>
      </c>
      <c r="M964" s="234" t="s">
        <v>296</v>
      </c>
      <c r="N964" s="235" t="s">
        <v>296</v>
      </c>
      <c r="O964" s="236" t="s">
        <v>18</v>
      </c>
      <c r="P964" s="236" t="s">
        <v>18</v>
      </c>
      <c r="Q964" s="236" t="s">
        <v>18</v>
      </c>
      <c r="R964" s="236" t="s">
        <v>15</v>
      </c>
      <c r="S964" s="236" t="s">
        <v>16</v>
      </c>
      <c r="T964" s="236" t="s">
        <v>343</v>
      </c>
      <c r="U964" s="236" t="s">
        <v>262</v>
      </c>
      <c r="V964" s="236" t="s">
        <v>296</v>
      </c>
      <c r="W964" s="237" t="s">
        <v>296</v>
      </c>
      <c r="X964" s="237" t="s">
        <v>296</v>
      </c>
      <c r="Y964" s="238" t="s">
        <v>296</v>
      </c>
    </row>
    <row r="965" spans="1:25">
      <c r="A965" s="230">
        <v>18</v>
      </c>
      <c r="B965" s="231" t="str">
        <f>VLOOKUP(Tabel10[[#This Row],[Locatiecode]],Ruimtegroepen[[Code]:[Ruimte omschrijving]],2,FALSE)</f>
        <v>Gymzaal</v>
      </c>
      <c r="C965" s="245" t="s">
        <v>1096</v>
      </c>
      <c r="D965" s="231" t="s">
        <v>12</v>
      </c>
      <c r="E965" s="233" t="s">
        <v>100</v>
      </c>
      <c r="F965" s="232" t="s">
        <v>1098</v>
      </c>
      <c r="G965" s="240" t="s">
        <v>17</v>
      </c>
      <c r="H965" s="240" t="s">
        <v>15</v>
      </c>
      <c r="I965" s="234" t="s">
        <v>296</v>
      </c>
      <c r="J965" s="240" t="s">
        <v>296</v>
      </c>
      <c r="K965" s="240" t="s">
        <v>296</v>
      </c>
      <c r="L965" s="234" t="s">
        <v>296</v>
      </c>
      <c r="M965" s="234" t="s">
        <v>296</v>
      </c>
      <c r="N965" s="240" t="s">
        <v>296</v>
      </c>
      <c r="O965" s="241" t="s">
        <v>18</v>
      </c>
      <c r="P965" s="241" t="s">
        <v>18</v>
      </c>
      <c r="Q965" s="241" t="s">
        <v>18</v>
      </c>
      <c r="R965" s="241" t="s">
        <v>15</v>
      </c>
      <c r="S965" s="241" t="s">
        <v>16</v>
      </c>
      <c r="T965" s="241" t="s">
        <v>343</v>
      </c>
      <c r="U965" s="241" t="s">
        <v>262</v>
      </c>
      <c r="V965" s="241" t="s">
        <v>296</v>
      </c>
      <c r="W965" s="242" t="s">
        <v>296</v>
      </c>
      <c r="X965" s="242" t="s">
        <v>296</v>
      </c>
      <c r="Y965" s="243" t="s">
        <v>296</v>
      </c>
    </row>
    <row r="966" spans="1:25">
      <c r="A966" s="230">
        <v>18</v>
      </c>
      <c r="B966" s="231" t="str">
        <f>VLOOKUP(Tabel10[[#This Row],[Locatiecode]],Ruimtegroepen[[Code]:[Ruimte omschrijving]],2,FALSE)</f>
        <v>Gymzaal</v>
      </c>
      <c r="C966" s="232" t="s">
        <v>1096</v>
      </c>
      <c r="D966" s="231" t="s">
        <v>12</v>
      </c>
      <c r="E966" s="233" t="s">
        <v>102</v>
      </c>
      <c r="F966" s="232" t="s">
        <v>1099</v>
      </c>
      <c r="G966" s="281" t="s">
        <v>296</v>
      </c>
      <c r="H966" s="234" t="s">
        <v>296</v>
      </c>
      <c r="I966" s="234" t="s">
        <v>17</v>
      </c>
      <c r="J966" s="235" t="s">
        <v>15</v>
      </c>
      <c r="K966" s="234" t="s">
        <v>297</v>
      </c>
      <c r="L966" s="234" t="s">
        <v>296</v>
      </c>
      <c r="M966" s="234" t="s">
        <v>296</v>
      </c>
      <c r="N966" s="235" t="s">
        <v>296</v>
      </c>
      <c r="O966" s="236" t="s">
        <v>18</v>
      </c>
      <c r="P966" s="236" t="s">
        <v>18</v>
      </c>
      <c r="Q966" s="236" t="s">
        <v>18</v>
      </c>
      <c r="R966" s="236" t="s">
        <v>15</v>
      </c>
      <c r="S966" s="236" t="s">
        <v>16</v>
      </c>
      <c r="T966" s="236" t="s">
        <v>343</v>
      </c>
      <c r="U966" s="236" t="s">
        <v>262</v>
      </c>
      <c r="V966" s="236" t="s">
        <v>296</v>
      </c>
      <c r="W966" s="237" t="s">
        <v>296</v>
      </c>
      <c r="X966" s="237" t="s">
        <v>296</v>
      </c>
      <c r="Y966" s="238" t="s">
        <v>296</v>
      </c>
    </row>
    <row r="967" spans="1:25">
      <c r="A967" s="230">
        <v>18</v>
      </c>
      <c r="B967" s="231" t="str">
        <f>VLOOKUP(Tabel10[[#This Row],[Locatiecode]],Ruimtegroepen[[Code]:[Ruimte omschrijving]],2,FALSE)</f>
        <v>Gymzaal</v>
      </c>
      <c r="C967" s="232" t="s">
        <v>1096</v>
      </c>
      <c r="D967" s="231" t="s">
        <v>12</v>
      </c>
      <c r="E967" s="233" t="s">
        <v>103</v>
      </c>
      <c r="F967" s="232" t="s">
        <v>1100</v>
      </c>
      <c r="G967" s="281" t="s">
        <v>296</v>
      </c>
      <c r="H967" s="234" t="s">
        <v>296</v>
      </c>
      <c r="I967" s="234" t="s">
        <v>17</v>
      </c>
      <c r="J967" s="235" t="s">
        <v>15</v>
      </c>
      <c r="K967" s="234" t="s">
        <v>297</v>
      </c>
      <c r="L967" s="234" t="s">
        <v>296</v>
      </c>
      <c r="M967" s="234" t="s">
        <v>296</v>
      </c>
      <c r="N967" s="235" t="s">
        <v>296</v>
      </c>
      <c r="O967" s="236" t="s">
        <v>18</v>
      </c>
      <c r="P967" s="236" t="s">
        <v>18</v>
      </c>
      <c r="Q967" s="236" t="s">
        <v>18</v>
      </c>
      <c r="R967" s="236" t="s">
        <v>15</v>
      </c>
      <c r="S967" s="236" t="s">
        <v>16</v>
      </c>
      <c r="T967" s="236" t="s">
        <v>343</v>
      </c>
      <c r="U967" s="236" t="s">
        <v>262</v>
      </c>
      <c r="V967" s="236" t="s">
        <v>296</v>
      </c>
      <c r="W967" s="237" t="s">
        <v>296</v>
      </c>
      <c r="X967" s="237" t="s">
        <v>296</v>
      </c>
      <c r="Y967" s="238" t="s">
        <v>296</v>
      </c>
    </row>
    <row r="968" spans="1:25">
      <c r="A968" s="230">
        <v>18</v>
      </c>
      <c r="B968" s="231" t="str">
        <f>VLOOKUP(Tabel10[[#This Row],[Locatiecode]],Ruimtegroepen[[Code]:[Ruimte omschrijving]],2,FALSE)</f>
        <v>Gymzaal</v>
      </c>
      <c r="C968" s="232" t="s">
        <v>1096</v>
      </c>
      <c r="D968" s="231" t="s">
        <v>12</v>
      </c>
      <c r="E968" s="233" t="s">
        <v>100</v>
      </c>
      <c r="F968" s="232" t="s">
        <v>1098</v>
      </c>
      <c r="G968" s="281" t="s">
        <v>296</v>
      </c>
      <c r="H968" s="235" t="s">
        <v>18</v>
      </c>
      <c r="I968" s="234" t="s">
        <v>296</v>
      </c>
      <c r="J968" s="235" t="s">
        <v>296</v>
      </c>
      <c r="K968" s="235" t="s">
        <v>296</v>
      </c>
      <c r="L968" s="234" t="s">
        <v>296</v>
      </c>
      <c r="M968" s="234" t="s">
        <v>296</v>
      </c>
      <c r="N968" s="235" t="s">
        <v>296</v>
      </c>
      <c r="O968" s="236" t="s">
        <v>18</v>
      </c>
      <c r="P968" s="236" t="s">
        <v>18</v>
      </c>
      <c r="Q968" s="236" t="s">
        <v>18</v>
      </c>
      <c r="R968" s="236" t="s">
        <v>15</v>
      </c>
      <c r="S968" s="236" t="s">
        <v>16</v>
      </c>
      <c r="T968" s="236" t="s">
        <v>343</v>
      </c>
      <c r="U968" s="236" t="s">
        <v>262</v>
      </c>
      <c r="V968" s="236" t="s">
        <v>296</v>
      </c>
      <c r="W968" s="237" t="s">
        <v>296</v>
      </c>
      <c r="X968" s="237" t="s">
        <v>296</v>
      </c>
      <c r="Y968" s="238" t="s">
        <v>296</v>
      </c>
    </row>
    <row r="969" spans="1:25">
      <c r="A969" s="230">
        <v>18</v>
      </c>
      <c r="B969" s="231" t="str">
        <f>VLOOKUP(Tabel10[[#This Row],[Locatiecode]],Ruimtegroepen[[Code]:[Ruimte omschrijving]],2,FALSE)</f>
        <v>Gymzaal</v>
      </c>
      <c r="C969" s="232" t="s">
        <v>1096</v>
      </c>
      <c r="D969" s="231" t="s">
        <v>12</v>
      </c>
      <c r="E969" s="233" t="s">
        <v>1344</v>
      </c>
      <c r="F969" s="232" t="s">
        <v>1475</v>
      </c>
      <c r="G969" s="281" t="s">
        <v>296</v>
      </c>
      <c r="H969" s="234" t="s">
        <v>296</v>
      </c>
      <c r="I969" s="234" t="s">
        <v>17</v>
      </c>
      <c r="J969" s="235" t="s">
        <v>15</v>
      </c>
      <c r="K969" s="234" t="s">
        <v>297</v>
      </c>
      <c r="L969" s="234" t="s">
        <v>296</v>
      </c>
      <c r="M969" s="234" t="s">
        <v>296</v>
      </c>
      <c r="N969" s="235" t="s">
        <v>296</v>
      </c>
      <c r="O969" s="236" t="s">
        <v>18</v>
      </c>
      <c r="P969" s="236" t="s">
        <v>18</v>
      </c>
      <c r="Q969" s="236" t="s">
        <v>18</v>
      </c>
      <c r="R969" s="236" t="s">
        <v>15</v>
      </c>
      <c r="S969" s="236" t="s">
        <v>16</v>
      </c>
      <c r="T969" s="236" t="s">
        <v>343</v>
      </c>
      <c r="U969" s="236" t="s">
        <v>262</v>
      </c>
      <c r="V969" s="236" t="s">
        <v>296</v>
      </c>
      <c r="W969" s="237" t="s">
        <v>296</v>
      </c>
      <c r="X969" s="237" t="s">
        <v>296</v>
      </c>
      <c r="Y969" s="238" t="s">
        <v>296</v>
      </c>
    </row>
    <row r="970" spans="1:25">
      <c r="A970" s="230">
        <v>18</v>
      </c>
      <c r="B970" s="231" t="str">
        <f>VLOOKUP(Tabel10[[#This Row],[Locatiecode]],Ruimtegroepen[[Code]:[Ruimte omschrijving]],2,FALSE)</f>
        <v>Gymzaal</v>
      </c>
      <c r="C970" s="232" t="s">
        <v>1101</v>
      </c>
      <c r="D970" s="231" t="s">
        <v>14</v>
      </c>
      <c r="E970" s="233" t="s">
        <v>101</v>
      </c>
      <c r="F970" s="232" t="s">
        <v>1102</v>
      </c>
      <c r="G970" s="281" t="s">
        <v>296</v>
      </c>
      <c r="H970" s="234" t="s">
        <v>296</v>
      </c>
      <c r="I970" s="235" t="s">
        <v>17</v>
      </c>
      <c r="J970" s="235" t="s">
        <v>15</v>
      </c>
      <c r="K970" s="235" t="s">
        <v>296</v>
      </c>
      <c r="L970" s="234" t="s">
        <v>296</v>
      </c>
      <c r="M970" s="234" t="s">
        <v>296</v>
      </c>
      <c r="N970" s="235" t="s">
        <v>296</v>
      </c>
      <c r="O970" s="236" t="s">
        <v>17</v>
      </c>
      <c r="P970" s="236" t="s">
        <v>17</v>
      </c>
      <c r="Q970" s="236" t="s">
        <v>17</v>
      </c>
      <c r="R970" s="236" t="s">
        <v>15</v>
      </c>
      <c r="S970" s="236" t="s">
        <v>16</v>
      </c>
      <c r="T970" s="236" t="s">
        <v>343</v>
      </c>
      <c r="U970" s="236" t="s">
        <v>262</v>
      </c>
      <c r="V970" s="236" t="s">
        <v>296</v>
      </c>
      <c r="W970" s="237" t="s">
        <v>296</v>
      </c>
      <c r="X970" s="237" t="s">
        <v>296</v>
      </c>
      <c r="Y970" s="238" t="s">
        <v>296</v>
      </c>
    </row>
    <row r="971" spans="1:25">
      <c r="A971" s="230">
        <v>18</v>
      </c>
      <c r="B971" s="231" t="str">
        <f>VLOOKUP(Tabel10[[#This Row],[Locatiecode]],Ruimtegroepen[[Code]:[Ruimte omschrijving]],2,FALSE)</f>
        <v>Gymzaal</v>
      </c>
      <c r="C971" s="232" t="s">
        <v>1101</v>
      </c>
      <c r="D971" s="231" t="s">
        <v>14</v>
      </c>
      <c r="E971" s="233" t="s">
        <v>100</v>
      </c>
      <c r="F971" s="232" t="s">
        <v>1103</v>
      </c>
      <c r="G971" s="235" t="s">
        <v>15</v>
      </c>
      <c r="H971" s="235" t="s">
        <v>15</v>
      </c>
      <c r="I971" s="234" t="s">
        <v>296</v>
      </c>
      <c r="J971" s="235" t="s">
        <v>296</v>
      </c>
      <c r="K971" s="235" t="s">
        <v>296</v>
      </c>
      <c r="L971" s="234" t="s">
        <v>296</v>
      </c>
      <c r="M971" s="234" t="s">
        <v>296</v>
      </c>
      <c r="N971" s="235" t="s">
        <v>296</v>
      </c>
      <c r="O971" s="236" t="s">
        <v>17</v>
      </c>
      <c r="P971" s="236" t="s">
        <v>17</v>
      </c>
      <c r="Q971" s="236" t="s">
        <v>17</v>
      </c>
      <c r="R971" s="236" t="s">
        <v>15</v>
      </c>
      <c r="S971" s="236" t="s">
        <v>16</v>
      </c>
      <c r="T971" s="236" t="s">
        <v>343</v>
      </c>
      <c r="U971" s="236" t="s">
        <v>262</v>
      </c>
      <c r="V971" s="236" t="s">
        <v>296</v>
      </c>
      <c r="W971" s="237" t="s">
        <v>296</v>
      </c>
      <c r="X971" s="237" t="s">
        <v>296</v>
      </c>
      <c r="Y971" s="238" t="s">
        <v>296</v>
      </c>
    </row>
    <row r="972" spans="1:25">
      <c r="A972" s="230">
        <v>18</v>
      </c>
      <c r="B972" s="231" t="str">
        <f>VLOOKUP(Tabel10[[#This Row],[Locatiecode]],Ruimtegroepen[[Code]:[Ruimte omschrijving]],2,FALSE)</f>
        <v>Gymzaal</v>
      </c>
      <c r="C972" s="232" t="s">
        <v>1101</v>
      </c>
      <c r="D972" s="231" t="s">
        <v>14</v>
      </c>
      <c r="E972" s="233" t="s">
        <v>102</v>
      </c>
      <c r="F972" s="232" t="s">
        <v>1104</v>
      </c>
      <c r="G972" s="281" t="s">
        <v>296</v>
      </c>
      <c r="H972" s="234" t="s">
        <v>296</v>
      </c>
      <c r="I972" s="234" t="s">
        <v>15</v>
      </c>
      <c r="J972" s="235" t="s">
        <v>15</v>
      </c>
      <c r="K972" s="234" t="s">
        <v>297</v>
      </c>
      <c r="L972" s="234" t="s">
        <v>296</v>
      </c>
      <c r="M972" s="234" t="s">
        <v>296</v>
      </c>
      <c r="N972" s="235" t="s">
        <v>296</v>
      </c>
      <c r="O972" s="236" t="s">
        <v>17</v>
      </c>
      <c r="P972" s="236" t="s">
        <v>17</v>
      </c>
      <c r="Q972" s="236" t="s">
        <v>17</v>
      </c>
      <c r="R972" s="236" t="s">
        <v>15</v>
      </c>
      <c r="S972" s="236" t="s">
        <v>16</v>
      </c>
      <c r="T972" s="236" t="s">
        <v>343</v>
      </c>
      <c r="U972" s="236" t="s">
        <v>262</v>
      </c>
      <c r="V972" s="236" t="s">
        <v>296</v>
      </c>
      <c r="W972" s="237" t="s">
        <v>296</v>
      </c>
      <c r="X972" s="237" t="s">
        <v>296</v>
      </c>
      <c r="Y972" s="238" t="s">
        <v>296</v>
      </c>
    </row>
    <row r="973" spans="1:25">
      <c r="A973" s="230">
        <v>18</v>
      </c>
      <c r="B973" s="231" t="str">
        <f>VLOOKUP(Tabel10[[#This Row],[Locatiecode]],Ruimtegroepen[[Code]:[Ruimte omschrijving]],2,FALSE)</f>
        <v>Gymzaal</v>
      </c>
      <c r="C973" s="232" t="s">
        <v>1101</v>
      </c>
      <c r="D973" s="231" t="s">
        <v>14</v>
      </c>
      <c r="E973" s="233" t="s">
        <v>103</v>
      </c>
      <c r="F973" s="232" t="s">
        <v>1105</v>
      </c>
      <c r="G973" s="281" t="s">
        <v>296</v>
      </c>
      <c r="H973" s="234" t="s">
        <v>296</v>
      </c>
      <c r="I973" s="235" t="s">
        <v>17</v>
      </c>
      <c r="J973" s="235" t="s">
        <v>15</v>
      </c>
      <c r="K973" s="234" t="s">
        <v>297</v>
      </c>
      <c r="L973" s="234" t="s">
        <v>296</v>
      </c>
      <c r="M973" s="234" t="s">
        <v>296</v>
      </c>
      <c r="N973" s="235" t="s">
        <v>296</v>
      </c>
      <c r="O973" s="236" t="s">
        <v>17</v>
      </c>
      <c r="P973" s="236" t="s">
        <v>17</v>
      </c>
      <c r="Q973" s="236" t="s">
        <v>17</v>
      </c>
      <c r="R973" s="236" t="s">
        <v>15</v>
      </c>
      <c r="S973" s="236" t="s">
        <v>16</v>
      </c>
      <c r="T973" s="236" t="s">
        <v>343</v>
      </c>
      <c r="U973" s="236" t="s">
        <v>262</v>
      </c>
      <c r="V973" s="236" t="s">
        <v>296</v>
      </c>
      <c r="W973" s="237" t="s">
        <v>296</v>
      </c>
      <c r="X973" s="237" t="s">
        <v>296</v>
      </c>
      <c r="Y973" s="238" t="s">
        <v>296</v>
      </c>
    </row>
    <row r="974" spans="1:25">
      <c r="A974" s="230">
        <v>18</v>
      </c>
      <c r="B974" s="231" t="str">
        <f>VLOOKUP(Tabel10[[#This Row],[Locatiecode]],Ruimtegroepen[[Code]:[Ruimte omschrijving]],2,FALSE)</f>
        <v>Gymzaal</v>
      </c>
      <c r="C974" s="232" t="s">
        <v>1101</v>
      </c>
      <c r="D974" s="231" t="s">
        <v>14</v>
      </c>
      <c r="E974" s="233" t="s">
        <v>100</v>
      </c>
      <c r="F974" s="232" t="s">
        <v>1103</v>
      </c>
      <c r="G974" s="281" t="s">
        <v>296</v>
      </c>
      <c r="H974" s="235" t="s">
        <v>17</v>
      </c>
      <c r="I974" s="234" t="s">
        <v>296</v>
      </c>
      <c r="J974" s="235" t="s">
        <v>296</v>
      </c>
      <c r="K974" s="235" t="s">
        <v>296</v>
      </c>
      <c r="L974" s="234" t="s">
        <v>296</v>
      </c>
      <c r="M974" s="234" t="s">
        <v>296</v>
      </c>
      <c r="N974" s="235" t="s">
        <v>296</v>
      </c>
      <c r="O974" s="236" t="s">
        <v>17</v>
      </c>
      <c r="P974" s="236" t="s">
        <v>17</v>
      </c>
      <c r="Q974" s="236" t="s">
        <v>17</v>
      </c>
      <c r="R974" s="236" t="s">
        <v>15</v>
      </c>
      <c r="S974" s="236" t="s">
        <v>16</v>
      </c>
      <c r="T974" s="236" t="s">
        <v>343</v>
      </c>
      <c r="U974" s="236" t="s">
        <v>262</v>
      </c>
      <c r="V974" s="236" t="s">
        <v>296</v>
      </c>
      <c r="W974" s="237" t="s">
        <v>296</v>
      </c>
      <c r="X974" s="237" t="s">
        <v>296</v>
      </c>
      <c r="Y974" s="238" t="s">
        <v>296</v>
      </c>
    </row>
    <row r="975" spans="1:25">
      <c r="A975" s="230">
        <v>18</v>
      </c>
      <c r="B975" s="231" t="str">
        <f>VLOOKUP(Tabel10[[#This Row],[Locatiecode]],Ruimtegroepen[[Code]:[Ruimte omschrijving]],2,FALSE)</f>
        <v>Gymzaal</v>
      </c>
      <c r="C975" s="232" t="s">
        <v>1101</v>
      </c>
      <c r="D975" s="231" t="s">
        <v>14</v>
      </c>
      <c r="E975" s="233" t="s">
        <v>1344</v>
      </c>
      <c r="F975" s="232" t="s">
        <v>1442</v>
      </c>
      <c r="G975" s="281" t="s">
        <v>296</v>
      </c>
      <c r="H975" s="234" t="s">
        <v>296</v>
      </c>
      <c r="I975" s="235" t="s">
        <v>17</v>
      </c>
      <c r="J975" s="235" t="s">
        <v>15</v>
      </c>
      <c r="K975" s="234" t="s">
        <v>297</v>
      </c>
      <c r="L975" s="234" t="s">
        <v>296</v>
      </c>
      <c r="M975" s="234" t="s">
        <v>296</v>
      </c>
      <c r="N975" s="235" t="s">
        <v>296</v>
      </c>
      <c r="O975" s="236" t="s">
        <v>17</v>
      </c>
      <c r="P975" s="236" t="s">
        <v>17</v>
      </c>
      <c r="Q975" s="236" t="s">
        <v>17</v>
      </c>
      <c r="R975" s="236" t="s">
        <v>15</v>
      </c>
      <c r="S975" s="236" t="s">
        <v>16</v>
      </c>
      <c r="T975" s="236" t="s">
        <v>343</v>
      </c>
      <c r="U975" s="236" t="s">
        <v>262</v>
      </c>
      <c r="V975" s="236" t="s">
        <v>296</v>
      </c>
      <c r="W975" s="237" t="s">
        <v>296</v>
      </c>
      <c r="X975" s="237" t="s">
        <v>296</v>
      </c>
      <c r="Y975" s="238" t="s">
        <v>296</v>
      </c>
    </row>
    <row r="976" spans="1:25">
      <c r="A976" s="230">
        <v>18</v>
      </c>
      <c r="B976" s="231" t="str">
        <f>VLOOKUP(Tabel10[[#This Row],[Locatiecode]],Ruimtegroepen[[Code]:[Ruimte omschrijving]],2,FALSE)</f>
        <v>Gymzaal</v>
      </c>
      <c r="C976" s="232" t="s">
        <v>1106</v>
      </c>
      <c r="D976" s="231" t="s">
        <v>13</v>
      </c>
      <c r="E976" s="233" t="s">
        <v>101</v>
      </c>
      <c r="F976" s="232" t="s">
        <v>1107</v>
      </c>
      <c r="G976" s="281" t="s">
        <v>296</v>
      </c>
      <c r="H976" s="234" t="s">
        <v>296</v>
      </c>
      <c r="I976" s="235" t="s">
        <v>15</v>
      </c>
      <c r="J976" s="235" t="s">
        <v>15</v>
      </c>
      <c r="K976" s="235" t="s">
        <v>296</v>
      </c>
      <c r="L976" s="234" t="s">
        <v>296</v>
      </c>
      <c r="M976" s="234" t="s">
        <v>296</v>
      </c>
      <c r="N976" s="235" t="s">
        <v>296</v>
      </c>
      <c r="O976" s="236" t="s">
        <v>15</v>
      </c>
      <c r="P976" s="236" t="s">
        <v>15</v>
      </c>
      <c r="Q976" s="236" t="s">
        <v>15</v>
      </c>
      <c r="R976" s="236" t="s">
        <v>15</v>
      </c>
      <c r="S976" s="236" t="s">
        <v>16</v>
      </c>
      <c r="T976" s="236" t="s">
        <v>343</v>
      </c>
      <c r="U976" s="236" t="s">
        <v>262</v>
      </c>
      <c r="V976" s="236" t="s">
        <v>296</v>
      </c>
      <c r="W976" s="237" t="s">
        <v>296</v>
      </c>
      <c r="X976" s="237" t="s">
        <v>296</v>
      </c>
      <c r="Y976" s="238" t="s">
        <v>296</v>
      </c>
    </row>
    <row r="977" spans="1:25">
      <c r="A977" s="230">
        <v>18</v>
      </c>
      <c r="B977" s="231" t="str">
        <f>VLOOKUP(Tabel10[[#This Row],[Locatiecode]],Ruimtegroepen[[Code]:[Ruimte omschrijving]],2,FALSE)</f>
        <v>Gymzaal</v>
      </c>
      <c r="C977" s="232" t="s">
        <v>1106</v>
      </c>
      <c r="D977" s="231" t="s">
        <v>13</v>
      </c>
      <c r="E977" s="233" t="s">
        <v>100</v>
      </c>
      <c r="F977" s="232" t="s">
        <v>1108</v>
      </c>
      <c r="G977" s="281" t="s">
        <v>296</v>
      </c>
      <c r="H977" s="235" t="s">
        <v>15</v>
      </c>
      <c r="I977" s="234" t="s">
        <v>296</v>
      </c>
      <c r="J977" s="235" t="s">
        <v>296</v>
      </c>
      <c r="K977" s="235" t="s">
        <v>296</v>
      </c>
      <c r="L977" s="234" t="s">
        <v>296</v>
      </c>
      <c r="M977" s="234" t="s">
        <v>296</v>
      </c>
      <c r="N977" s="235" t="s">
        <v>296</v>
      </c>
      <c r="O977" s="236" t="s">
        <v>15</v>
      </c>
      <c r="P977" s="236" t="s">
        <v>15</v>
      </c>
      <c r="Q977" s="236" t="s">
        <v>15</v>
      </c>
      <c r="R977" s="236" t="s">
        <v>15</v>
      </c>
      <c r="S977" s="236" t="s">
        <v>16</v>
      </c>
      <c r="T977" s="236" t="s">
        <v>343</v>
      </c>
      <c r="U977" s="236" t="s">
        <v>262</v>
      </c>
      <c r="V977" s="236" t="s">
        <v>296</v>
      </c>
      <c r="W977" s="237" t="s">
        <v>296</v>
      </c>
      <c r="X977" s="237" t="s">
        <v>296</v>
      </c>
      <c r="Y977" s="238" t="s">
        <v>296</v>
      </c>
    </row>
    <row r="978" spans="1:25">
      <c r="A978" s="230">
        <v>18</v>
      </c>
      <c r="B978" s="231" t="str">
        <f>VLOOKUP(Tabel10[[#This Row],[Locatiecode]],Ruimtegroepen[[Code]:[Ruimte omschrijving]],2,FALSE)</f>
        <v>Gymzaal</v>
      </c>
      <c r="C978" s="232" t="s">
        <v>1106</v>
      </c>
      <c r="D978" s="231" t="s">
        <v>13</v>
      </c>
      <c r="E978" s="233" t="s">
        <v>102</v>
      </c>
      <c r="F978" s="232" t="s">
        <v>1109</v>
      </c>
      <c r="G978" s="281" t="s">
        <v>296</v>
      </c>
      <c r="H978" s="234" t="s">
        <v>296</v>
      </c>
      <c r="I978" s="234" t="s">
        <v>296</v>
      </c>
      <c r="J978" s="235" t="s">
        <v>15</v>
      </c>
      <c r="K978" s="234" t="s">
        <v>297</v>
      </c>
      <c r="L978" s="234" t="s">
        <v>296</v>
      </c>
      <c r="M978" s="234" t="s">
        <v>296</v>
      </c>
      <c r="N978" s="235" t="s">
        <v>296</v>
      </c>
      <c r="O978" s="236" t="s">
        <v>15</v>
      </c>
      <c r="P978" s="236" t="s">
        <v>15</v>
      </c>
      <c r="Q978" s="236" t="s">
        <v>15</v>
      </c>
      <c r="R978" s="236" t="s">
        <v>15</v>
      </c>
      <c r="S978" s="236" t="s">
        <v>16</v>
      </c>
      <c r="T978" s="236" t="s">
        <v>343</v>
      </c>
      <c r="U978" s="236" t="s">
        <v>262</v>
      </c>
      <c r="V978" s="236" t="s">
        <v>296</v>
      </c>
      <c r="W978" s="237" t="s">
        <v>296</v>
      </c>
      <c r="X978" s="237" t="s">
        <v>296</v>
      </c>
      <c r="Y978" s="238" t="s">
        <v>296</v>
      </c>
    </row>
    <row r="979" spans="1:25">
      <c r="A979" s="230">
        <v>18</v>
      </c>
      <c r="B979" s="231" t="str">
        <f>VLOOKUP(Tabel10[[#This Row],[Locatiecode]],Ruimtegroepen[[Code]:[Ruimte omschrijving]],2,FALSE)</f>
        <v>Gymzaal</v>
      </c>
      <c r="C979" s="232" t="s">
        <v>1106</v>
      </c>
      <c r="D979" s="231" t="s">
        <v>13</v>
      </c>
      <c r="E979" s="233" t="s">
        <v>103</v>
      </c>
      <c r="F979" s="232" t="s">
        <v>1110</v>
      </c>
      <c r="G979" s="281" t="s">
        <v>296</v>
      </c>
      <c r="H979" s="234" t="s">
        <v>296</v>
      </c>
      <c r="I979" s="235" t="s">
        <v>15</v>
      </c>
      <c r="J979" s="235" t="s">
        <v>15</v>
      </c>
      <c r="K979" s="234" t="s">
        <v>297</v>
      </c>
      <c r="L979" s="234" t="s">
        <v>296</v>
      </c>
      <c r="M979" s="234" t="s">
        <v>296</v>
      </c>
      <c r="N979" s="235" t="s">
        <v>296</v>
      </c>
      <c r="O979" s="236" t="s">
        <v>15</v>
      </c>
      <c r="P979" s="236" t="s">
        <v>15</v>
      </c>
      <c r="Q979" s="236" t="s">
        <v>15</v>
      </c>
      <c r="R979" s="236" t="s">
        <v>15</v>
      </c>
      <c r="S979" s="236" t="s">
        <v>16</v>
      </c>
      <c r="T979" s="236" t="s">
        <v>343</v>
      </c>
      <c r="U979" s="236" t="s">
        <v>262</v>
      </c>
      <c r="V979" s="236" t="s">
        <v>296</v>
      </c>
      <c r="W979" s="237" t="s">
        <v>296</v>
      </c>
      <c r="X979" s="237" t="s">
        <v>296</v>
      </c>
      <c r="Y979" s="238" t="s">
        <v>296</v>
      </c>
    </row>
    <row r="980" spans="1:25">
      <c r="A980" s="230">
        <v>18</v>
      </c>
      <c r="B980" s="231" t="str">
        <f>VLOOKUP(Tabel10[[#This Row],[Locatiecode]],Ruimtegroepen[[Code]:[Ruimte omschrijving]],2,FALSE)</f>
        <v>Gymzaal</v>
      </c>
      <c r="C980" s="232" t="s">
        <v>1106</v>
      </c>
      <c r="D980" s="231" t="s">
        <v>13</v>
      </c>
      <c r="E980" s="233" t="s">
        <v>100</v>
      </c>
      <c r="F980" s="232" t="s">
        <v>1108</v>
      </c>
      <c r="G980" s="281" t="s">
        <v>296</v>
      </c>
      <c r="H980" s="235" t="s">
        <v>15</v>
      </c>
      <c r="I980" s="234" t="s">
        <v>296</v>
      </c>
      <c r="J980" s="235" t="s">
        <v>296</v>
      </c>
      <c r="K980" s="235" t="s">
        <v>296</v>
      </c>
      <c r="L980" s="234" t="s">
        <v>296</v>
      </c>
      <c r="M980" s="234" t="s">
        <v>296</v>
      </c>
      <c r="N980" s="235" t="s">
        <v>296</v>
      </c>
      <c r="O980" s="236" t="s">
        <v>15</v>
      </c>
      <c r="P980" s="236" t="s">
        <v>15</v>
      </c>
      <c r="Q980" s="236" t="s">
        <v>15</v>
      </c>
      <c r="R980" s="236" t="s">
        <v>15</v>
      </c>
      <c r="S980" s="236" t="s">
        <v>16</v>
      </c>
      <c r="T980" s="236" t="s">
        <v>343</v>
      </c>
      <c r="U980" s="236" t="s">
        <v>262</v>
      </c>
      <c r="V980" s="236" t="s">
        <v>296</v>
      </c>
      <c r="W980" s="237" t="s">
        <v>296</v>
      </c>
      <c r="X980" s="237" t="s">
        <v>296</v>
      </c>
      <c r="Y980" s="238" t="s">
        <v>296</v>
      </c>
    </row>
    <row r="981" spans="1:25">
      <c r="A981" s="230">
        <v>18</v>
      </c>
      <c r="B981" s="231" t="str">
        <f>VLOOKUP(Tabel10[[#This Row],[Locatiecode]],Ruimtegroepen[[Code]:[Ruimte omschrijving]],2,FALSE)</f>
        <v>Gymzaal</v>
      </c>
      <c r="C981" s="232" t="s">
        <v>1106</v>
      </c>
      <c r="D981" s="231" t="s">
        <v>13</v>
      </c>
      <c r="E981" s="233" t="s">
        <v>1344</v>
      </c>
      <c r="F981" s="232" t="s">
        <v>1409</v>
      </c>
      <c r="G981" s="281" t="s">
        <v>296</v>
      </c>
      <c r="H981" s="234" t="s">
        <v>296</v>
      </c>
      <c r="I981" s="235" t="s">
        <v>15</v>
      </c>
      <c r="J981" s="235" t="s">
        <v>15</v>
      </c>
      <c r="K981" s="234" t="s">
        <v>297</v>
      </c>
      <c r="L981" s="234" t="s">
        <v>296</v>
      </c>
      <c r="M981" s="234" t="s">
        <v>296</v>
      </c>
      <c r="N981" s="235" t="s">
        <v>296</v>
      </c>
      <c r="O981" s="236" t="s">
        <v>15</v>
      </c>
      <c r="P981" s="236" t="s">
        <v>15</v>
      </c>
      <c r="Q981" s="236" t="s">
        <v>15</v>
      </c>
      <c r="R981" s="236" t="s">
        <v>15</v>
      </c>
      <c r="S981" s="236" t="s">
        <v>16</v>
      </c>
      <c r="T981" s="236" t="s">
        <v>343</v>
      </c>
      <c r="U981" s="236" t="s">
        <v>262</v>
      </c>
      <c r="V981" s="236" t="s">
        <v>296</v>
      </c>
      <c r="W981" s="237" t="s">
        <v>296</v>
      </c>
      <c r="X981" s="237" t="s">
        <v>296</v>
      </c>
      <c r="Y981" s="238" t="s">
        <v>296</v>
      </c>
    </row>
    <row r="982" spans="1:25">
      <c r="A982" s="230">
        <v>18</v>
      </c>
      <c r="B982" s="231" t="str">
        <f>VLOOKUP(Tabel10[[#This Row],[Locatiecode]],Ruimtegroepen[[Code]:[Ruimte omschrijving]],2,FALSE)</f>
        <v>Gymzaal</v>
      </c>
      <c r="C982" s="232" t="s">
        <v>1111</v>
      </c>
      <c r="D982" s="231" t="s">
        <v>0</v>
      </c>
      <c r="E982" s="233" t="s">
        <v>101</v>
      </c>
      <c r="F982" s="232" t="s">
        <v>1112</v>
      </c>
      <c r="G982" s="281" t="s">
        <v>296</v>
      </c>
      <c r="H982" s="234" t="s">
        <v>296</v>
      </c>
      <c r="I982" s="235" t="s">
        <v>16</v>
      </c>
      <c r="J982" s="235" t="s">
        <v>296</v>
      </c>
      <c r="K982" s="235" t="s">
        <v>296</v>
      </c>
      <c r="L982" s="234" t="s">
        <v>296</v>
      </c>
      <c r="M982" s="234" t="s">
        <v>296</v>
      </c>
      <c r="N982" s="235" t="s">
        <v>296</v>
      </c>
      <c r="O982" s="236" t="s">
        <v>16</v>
      </c>
      <c r="P982" s="236" t="s">
        <v>16</v>
      </c>
      <c r="Q982" s="236" t="s">
        <v>16</v>
      </c>
      <c r="R982" s="236" t="s">
        <v>16</v>
      </c>
      <c r="S982" s="236" t="s">
        <v>16</v>
      </c>
      <c r="T982" s="236" t="s">
        <v>343</v>
      </c>
      <c r="U982" s="236" t="s">
        <v>262</v>
      </c>
      <c r="V982" s="236" t="s">
        <v>296</v>
      </c>
      <c r="W982" s="237" t="s">
        <v>296</v>
      </c>
      <c r="X982" s="237" t="s">
        <v>296</v>
      </c>
      <c r="Y982" s="238" t="s">
        <v>296</v>
      </c>
    </row>
    <row r="983" spans="1:25">
      <c r="A983" s="230">
        <v>18</v>
      </c>
      <c r="B983" s="231" t="str">
        <f>VLOOKUP(Tabel10[[#This Row],[Locatiecode]],Ruimtegroepen[[Code]:[Ruimte omschrijving]],2,FALSE)</f>
        <v>Gymzaal</v>
      </c>
      <c r="C983" s="232" t="s">
        <v>1111</v>
      </c>
      <c r="D983" s="231" t="s">
        <v>0</v>
      </c>
      <c r="E983" s="233" t="s">
        <v>100</v>
      </c>
      <c r="F983" s="232" t="s">
        <v>1113</v>
      </c>
      <c r="G983" s="281" t="s">
        <v>296</v>
      </c>
      <c r="H983" s="235" t="s">
        <v>16</v>
      </c>
      <c r="I983" s="234" t="s">
        <v>296</v>
      </c>
      <c r="J983" s="235" t="s">
        <v>296</v>
      </c>
      <c r="K983" s="235" t="s">
        <v>296</v>
      </c>
      <c r="L983" s="234" t="s">
        <v>296</v>
      </c>
      <c r="M983" s="234" t="s">
        <v>296</v>
      </c>
      <c r="N983" s="235" t="s">
        <v>296</v>
      </c>
      <c r="O983" s="236" t="s">
        <v>16</v>
      </c>
      <c r="P983" s="236" t="s">
        <v>16</v>
      </c>
      <c r="Q983" s="236" t="s">
        <v>16</v>
      </c>
      <c r="R983" s="236" t="s">
        <v>16</v>
      </c>
      <c r="S983" s="236" t="s">
        <v>16</v>
      </c>
      <c r="T983" s="236" t="s">
        <v>343</v>
      </c>
      <c r="U983" s="236" t="s">
        <v>262</v>
      </c>
      <c r="V983" s="236" t="s">
        <v>296</v>
      </c>
      <c r="W983" s="237" t="s">
        <v>296</v>
      </c>
      <c r="X983" s="237" t="s">
        <v>296</v>
      </c>
      <c r="Y983" s="238" t="s">
        <v>296</v>
      </c>
    </row>
    <row r="984" spans="1:25">
      <c r="A984" s="230">
        <v>18</v>
      </c>
      <c r="B984" s="231" t="str">
        <f>VLOOKUP(Tabel10[[#This Row],[Locatiecode]],Ruimtegroepen[[Code]:[Ruimte omschrijving]],2,FALSE)</f>
        <v>Gymzaal</v>
      </c>
      <c r="C984" s="232" t="s">
        <v>1111</v>
      </c>
      <c r="D984" s="231" t="s">
        <v>0</v>
      </c>
      <c r="E984" s="233" t="s">
        <v>102</v>
      </c>
      <c r="F984" s="232" t="s">
        <v>1114</v>
      </c>
      <c r="G984" s="281" t="s">
        <v>296</v>
      </c>
      <c r="H984" s="234" t="s">
        <v>296</v>
      </c>
      <c r="I984" s="234" t="s">
        <v>16</v>
      </c>
      <c r="J984" s="234" t="s">
        <v>296</v>
      </c>
      <c r="K984" s="234" t="s">
        <v>297</v>
      </c>
      <c r="L984" s="234" t="s">
        <v>296</v>
      </c>
      <c r="M984" s="234" t="s">
        <v>296</v>
      </c>
      <c r="N984" s="235" t="s">
        <v>296</v>
      </c>
      <c r="O984" s="236" t="s">
        <v>16</v>
      </c>
      <c r="P984" s="236" t="s">
        <v>16</v>
      </c>
      <c r="Q984" s="236" t="s">
        <v>16</v>
      </c>
      <c r="R984" s="236" t="s">
        <v>16</v>
      </c>
      <c r="S984" s="236" t="s">
        <v>16</v>
      </c>
      <c r="T984" s="236" t="s">
        <v>343</v>
      </c>
      <c r="U984" s="236" t="s">
        <v>262</v>
      </c>
      <c r="V984" s="236" t="s">
        <v>296</v>
      </c>
      <c r="W984" s="237" t="s">
        <v>296</v>
      </c>
      <c r="X984" s="237" t="s">
        <v>296</v>
      </c>
      <c r="Y984" s="238" t="s">
        <v>296</v>
      </c>
    </row>
    <row r="985" spans="1:25">
      <c r="A985" s="230">
        <v>18</v>
      </c>
      <c r="B985" s="231" t="str">
        <f>VLOOKUP(Tabel10[[#This Row],[Locatiecode]],Ruimtegroepen[[Code]:[Ruimte omschrijving]],2,FALSE)</f>
        <v>Gymzaal</v>
      </c>
      <c r="C985" s="232" t="s">
        <v>1111</v>
      </c>
      <c r="D985" s="231" t="s">
        <v>0</v>
      </c>
      <c r="E985" s="233" t="s">
        <v>103</v>
      </c>
      <c r="F985" s="232" t="s">
        <v>1115</v>
      </c>
      <c r="G985" s="281" t="s">
        <v>296</v>
      </c>
      <c r="H985" s="234" t="s">
        <v>296</v>
      </c>
      <c r="I985" s="235" t="s">
        <v>16</v>
      </c>
      <c r="J985" s="235" t="s">
        <v>296</v>
      </c>
      <c r="K985" s="234" t="s">
        <v>297</v>
      </c>
      <c r="L985" s="234" t="s">
        <v>296</v>
      </c>
      <c r="M985" s="234" t="s">
        <v>296</v>
      </c>
      <c r="N985" s="235" t="s">
        <v>296</v>
      </c>
      <c r="O985" s="236" t="s">
        <v>16</v>
      </c>
      <c r="P985" s="236" t="s">
        <v>16</v>
      </c>
      <c r="Q985" s="236" t="s">
        <v>16</v>
      </c>
      <c r="R985" s="236" t="s">
        <v>16</v>
      </c>
      <c r="S985" s="236" t="s">
        <v>16</v>
      </c>
      <c r="T985" s="236" t="s">
        <v>343</v>
      </c>
      <c r="U985" s="236" t="s">
        <v>262</v>
      </c>
      <c r="V985" s="236" t="s">
        <v>296</v>
      </c>
      <c r="W985" s="237" t="s">
        <v>296</v>
      </c>
      <c r="X985" s="237" t="s">
        <v>296</v>
      </c>
      <c r="Y985" s="238" t="s">
        <v>296</v>
      </c>
    </row>
    <row r="986" spans="1:25">
      <c r="A986" s="230">
        <v>18</v>
      </c>
      <c r="B986" s="231" t="str">
        <f>VLOOKUP(Tabel10[[#This Row],[Locatiecode]],Ruimtegroepen[[Code]:[Ruimte omschrijving]],2,FALSE)</f>
        <v>Gymzaal</v>
      </c>
      <c r="C986" s="232" t="s">
        <v>1111</v>
      </c>
      <c r="D986" s="231" t="s">
        <v>0</v>
      </c>
      <c r="E986" s="233" t="s">
        <v>100</v>
      </c>
      <c r="F986" s="232" t="s">
        <v>1113</v>
      </c>
      <c r="G986" s="281" t="s">
        <v>296</v>
      </c>
      <c r="H986" s="235" t="s">
        <v>16</v>
      </c>
      <c r="I986" s="234" t="s">
        <v>296</v>
      </c>
      <c r="J986" s="235" t="s">
        <v>296</v>
      </c>
      <c r="K986" s="235" t="s">
        <v>296</v>
      </c>
      <c r="L986" s="234" t="s">
        <v>296</v>
      </c>
      <c r="M986" s="234" t="s">
        <v>296</v>
      </c>
      <c r="N986" s="235" t="s">
        <v>296</v>
      </c>
      <c r="O986" s="236" t="s">
        <v>16</v>
      </c>
      <c r="P986" s="236" t="s">
        <v>16</v>
      </c>
      <c r="Q986" s="236" t="s">
        <v>16</v>
      </c>
      <c r="R986" s="236" t="s">
        <v>16</v>
      </c>
      <c r="S986" s="236" t="s">
        <v>16</v>
      </c>
      <c r="T986" s="236" t="s">
        <v>343</v>
      </c>
      <c r="U986" s="236" t="s">
        <v>262</v>
      </c>
      <c r="V986" s="236" t="s">
        <v>296</v>
      </c>
      <c r="W986" s="237" t="s">
        <v>296</v>
      </c>
      <c r="X986" s="237" t="s">
        <v>296</v>
      </c>
      <c r="Y986" s="238" t="s">
        <v>296</v>
      </c>
    </row>
    <row r="987" spans="1:25">
      <c r="A987" s="230">
        <v>18</v>
      </c>
      <c r="B987" s="231" t="str">
        <f>VLOOKUP(Tabel10[[#This Row],[Locatiecode]],Ruimtegroepen[[Code]:[Ruimte omschrijving]],2,FALSE)</f>
        <v>Gymzaal</v>
      </c>
      <c r="C987" s="232" t="s">
        <v>1111</v>
      </c>
      <c r="D987" s="231" t="s">
        <v>0</v>
      </c>
      <c r="E987" s="233" t="s">
        <v>1344</v>
      </c>
      <c r="F987" s="232" t="s">
        <v>1393</v>
      </c>
      <c r="G987" s="281" t="s">
        <v>296</v>
      </c>
      <c r="H987" s="234" t="s">
        <v>296</v>
      </c>
      <c r="I987" s="235" t="s">
        <v>16</v>
      </c>
      <c r="J987" s="235" t="s">
        <v>296</v>
      </c>
      <c r="K987" s="234" t="s">
        <v>297</v>
      </c>
      <c r="L987" s="234" t="s">
        <v>296</v>
      </c>
      <c r="M987" s="234" t="s">
        <v>296</v>
      </c>
      <c r="N987" s="235" t="s">
        <v>296</v>
      </c>
      <c r="O987" s="236" t="s">
        <v>16</v>
      </c>
      <c r="P987" s="236" t="s">
        <v>16</v>
      </c>
      <c r="Q987" s="236" t="s">
        <v>16</v>
      </c>
      <c r="R987" s="236" t="s">
        <v>16</v>
      </c>
      <c r="S987" s="236" t="s">
        <v>16</v>
      </c>
      <c r="T987" s="236" t="s">
        <v>343</v>
      </c>
      <c r="U987" s="236" t="s">
        <v>262</v>
      </c>
      <c r="V987" s="236" t="s">
        <v>296</v>
      </c>
      <c r="W987" s="237" t="s">
        <v>296</v>
      </c>
      <c r="X987" s="237" t="s">
        <v>296</v>
      </c>
      <c r="Y987" s="238" t="s">
        <v>296</v>
      </c>
    </row>
    <row r="988" spans="1:25">
      <c r="A988" s="230">
        <v>18</v>
      </c>
      <c r="B988" s="231" t="str">
        <f>VLOOKUP(Tabel10[[#This Row],[Locatiecode]],Ruimtegroepen[[Code]:[Ruimte omschrijving]],2,FALSE)</f>
        <v>Gymzaal</v>
      </c>
      <c r="C988" s="232" t="s">
        <v>1116</v>
      </c>
      <c r="D988" s="231" t="s">
        <v>27</v>
      </c>
      <c r="E988" s="233" t="s">
        <v>101</v>
      </c>
      <c r="F988" s="232" t="s">
        <v>1117</v>
      </c>
      <c r="G988" s="281" t="s">
        <v>296</v>
      </c>
      <c r="H988" s="234" t="s">
        <v>296</v>
      </c>
      <c r="I988" s="235" t="s">
        <v>15</v>
      </c>
      <c r="J988" s="234" t="s">
        <v>296</v>
      </c>
      <c r="K988" s="235" t="s">
        <v>296</v>
      </c>
      <c r="L988" s="234" t="s">
        <v>296</v>
      </c>
      <c r="M988" s="234" t="s">
        <v>296</v>
      </c>
      <c r="N988" s="235" t="s">
        <v>296</v>
      </c>
      <c r="O988" s="236" t="s">
        <v>15</v>
      </c>
      <c r="P988" s="236" t="s">
        <v>15</v>
      </c>
      <c r="Q988" s="236" t="s">
        <v>15</v>
      </c>
      <c r="R988" s="236" t="s">
        <v>15</v>
      </c>
      <c r="S988" s="236" t="s">
        <v>15</v>
      </c>
      <c r="T988" s="236" t="s">
        <v>15</v>
      </c>
      <c r="U988" s="236" t="s">
        <v>15</v>
      </c>
      <c r="V988" s="236" t="s">
        <v>296</v>
      </c>
      <c r="W988" s="237" t="s">
        <v>296</v>
      </c>
      <c r="X988" s="237" t="s">
        <v>296</v>
      </c>
      <c r="Y988" s="238" t="s">
        <v>296</v>
      </c>
    </row>
    <row r="989" spans="1:25">
      <c r="A989" s="230">
        <v>18</v>
      </c>
      <c r="B989" s="231" t="str">
        <f>VLOOKUP(Tabel10[[#This Row],[Locatiecode]],Ruimtegroepen[[Code]:[Ruimte omschrijving]],2,FALSE)</f>
        <v>Gymzaal</v>
      </c>
      <c r="C989" s="232" t="s">
        <v>1116</v>
      </c>
      <c r="D989" s="231" t="s">
        <v>27</v>
      </c>
      <c r="E989" s="233" t="s">
        <v>100</v>
      </c>
      <c r="F989" s="232" t="s">
        <v>1118</v>
      </c>
      <c r="G989" s="281" t="s">
        <v>296</v>
      </c>
      <c r="H989" s="235" t="s">
        <v>15</v>
      </c>
      <c r="I989" s="234" t="s">
        <v>296</v>
      </c>
      <c r="J989" s="235" t="s">
        <v>296</v>
      </c>
      <c r="K989" s="235" t="s">
        <v>296</v>
      </c>
      <c r="L989" s="234" t="s">
        <v>296</v>
      </c>
      <c r="M989" s="234" t="s">
        <v>296</v>
      </c>
      <c r="N989" s="235" t="s">
        <v>296</v>
      </c>
      <c r="O989" s="236" t="s">
        <v>15</v>
      </c>
      <c r="P989" s="236" t="s">
        <v>15</v>
      </c>
      <c r="Q989" s="236" t="s">
        <v>15</v>
      </c>
      <c r="R989" s="236" t="s">
        <v>15</v>
      </c>
      <c r="S989" s="236" t="s">
        <v>15</v>
      </c>
      <c r="T989" s="236" t="s">
        <v>15</v>
      </c>
      <c r="U989" s="236" t="s">
        <v>15</v>
      </c>
      <c r="V989" s="236" t="s">
        <v>296</v>
      </c>
      <c r="W989" s="237" t="s">
        <v>296</v>
      </c>
      <c r="X989" s="237" t="s">
        <v>296</v>
      </c>
      <c r="Y989" s="238" t="s">
        <v>296</v>
      </c>
    </row>
    <row r="990" spans="1:25">
      <c r="A990" s="230">
        <v>18</v>
      </c>
      <c r="B990" s="231" t="str">
        <f>VLOOKUP(Tabel10[[#This Row],[Locatiecode]],Ruimtegroepen[[Code]:[Ruimte omschrijving]],2,FALSE)</f>
        <v>Gymzaal</v>
      </c>
      <c r="C990" s="232" t="s">
        <v>1116</v>
      </c>
      <c r="D990" s="231" t="s">
        <v>27</v>
      </c>
      <c r="E990" s="233" t="s">
        <v>102</v>
      </c>
      <c r="F990" s="232" t="s">
        <v>1119</v>
      </c>
      <c r="G990" s="281" t="s">
        <v>296</v>
      </c>
      <c r="H990" s="234" t="s">
        <v>296</v>
      </c>
      <c r="I990" s="235" t="s">
        <v>15</v>
      </c>
      <c r="J990" s="234" t="s">
        <v>296</v>
      </c>
      <c r="K990" s="235" t="s">
        <v>296</v>
      </c>
      <c r="L990" s="234" t="s">
        <v>296</v>
      </c>
      <c r="M990" s="234" t="s">
        <v>296</v>
      </c>
      <c r="N990" s="235" t="s">
        <v>296</v>
      </c>
      <c r="O990" s="236" t="s">
        <v>15</v>
      </c>
      <c r="P990" s="236" t="s">
        <v>15</v>
      </c>
      <c r="Q990" s="236" t="s">
        <v>15</v>
      </c>
      <c r="R990" s="236" t="s">
        <v>15</v>
      </c>
      <c r="S990" s="236" t="s">
        <v>15</v>
      </c>
      <c r="T990" s="236" t="s">
        <v>15</v>
      </c>
      <c r="U990" s="236" t="s">
        <v>15</v>
      </c>
      <c r="V990" s="236" t="s">
        <v>296</v>
      </c>
      <c r="W990" s="237" t="s">
        <v>296</v>
      </c>
      <c r="X990" s="237" t="s">
        <v>296</v>
      </c>
      <c r="Y990" s="238" t="s">
        <v>296</v>
      </c>
    </row>
    <row r="991" spans="1:25">
      <c r="A991" s="230">
        <v>18</v>
      </c>
      <c r="B991" s="231" t="str">
        <f>VLOOKUP(Tabel10[[#This Row],[Locatiecode]],Ruimtegroepen[[Code]:[Ruimte omschrijving]],2,FALSE)</f>
        <v>Gymzaal</v>
      </c>
      <c r="C991" s="232" t="s">
        <v>1116</v>
      </c>
      <c r="D991" s="231" t="s">
        <v>27</v>
      </c>
      <c r="E991" s="233" t="s">
        <v>103</v>
      </c>
      <c r="F991" s="232" t="s">
        <v>1120</v>
      </c>
      <c r="G991" s="281" t="s">
        <v>296</v>
      </c>
      <c r="H991" s="234" t="s">
        <v>296</v>
      </c>
      <c r="I991" s="235" t="s">
        <v>15</v>
      </c>
      <c r="J991" s="234" t="s">
        <v>296</v>
      </c>
      <c r="K991" s="235" t="s">
        <v>296</v>
      </c>
      <c r="L991" s="234" t="s">
        <v>296</v>
      </c>
      <c r="M991" s="234" t="s">
        <v>296</v>
      </c>
      <c r="N991" s="235" t="s">
        <v>296</v>
      </c>
      <c r="O991" s="236" t="s">
        <v>15</v>
      </c>
      <c r="P991" s="236" t="s">
        <v>15</v>
      </c>
      <c r="Q991" s="236" t="s">
        <v>15</v>
      </c>
      <c r="R991" s="236" t="s">
        <v>15</v>
      </c>
      <c r="S991" s="236" t="s">
        <v>15</v>
      </c>
      <c r="T991" s="236" t="s">
        <v>15</v>
      </c>
      <c r="U991" s="236" t="s">
        <v>15</v>
      </c>
      <c r="V991" s="236" t="s">
        <v>296</v>
      </c>
      <c r="W991" s="237" t="s">
        <v>296</v>
      </c>
      <c r="X991" s="237" t="s">
        <v>296</v>
      </c>
      <c r="Y991" s="238" t="s">
        <v>296</v>
      </c>
    </row>
    <row r="992" spans="1:25">
      <c r="A992" s="230">
        <v>18</v>
      </c>
      <c r="B992" s="231" t="str">
        <f>VLOOKUP(Tabel10[[#This Row],[Locatiecode]],Ruimtegroepen[[Code]:[Ruimte omschrijving]],2,FALSE)</f>
        <v>Gymzaal</v>
      </c>
      <c r="C992" s="232" t="s">
        <v>1116</v>
      </c>
      <c r="D992" s="231" t="s">
        <v>27</v>
      </c>
      <c r="E992" s="233" t="s">
        <v>100</v>
      </c>
      <c r="F992" s="232" t="s">
        <v>1118</v>
      </c>
      <c r="G992" s="281" t="s">
        <v>296</v>
      </c>
      <c r="H992" s="235" t="s">
        <v>15</v>
      </c>
      <c r="I992" s="234" t="s">
        <v>296</v>
      </c>
      <c r="J992" s="235" t="s">
        <v>296</v>
      </c>
      <c r="K992" s="235" t="s">
        <v>296</v>
      </c>
      <c r="L992" s="234" t="s">
        <v>296</v>
      </c>
      <c r="M992" s="234" t="s">
        <v>296</v>
      </c>
      <c r="N992" s="235" t="s">
        <v>296</v>
      </c>
      <c r="O992" s="236" t="s">
        <v>15</v>
      </c>
      <c r="P992" s="236" t="s">
        <v>15</v>
      </c>
      <c r="Q992" s="236" t="s">
        <v>15</v>
      </c>
      <c r="R992" s="236" t="s">
        <v>15</v>
      </c>
      <c r="S992" s="236" t="s">
        <v>15</v>
      </c>
      <c r="T992" s="236" t="s">
        <v>15</v>
      </c>
      <c r="U992" s="236" t="s">
        <v>15</v>
      </c>
      <c r="V992" s="236" t="s">
        <v>296</v>
      </c>
      <c r="W992" s="237" t="s">
        <v>296</v>
      </c>
      <c r="X992" s="237" t="s">
        <v>296</v>
      </c>
      <c r="Y992" s="238" t="s">
        <v>296</v>
      </c>
    </row>
    <row r="993" spans="1:25">
      <c r="A993" s="230">
        <v>18</v>
      </c>
      <c r="B993" s="231" t="str">
        <f>VLOOKUP(Tabel10[[#This Row],[Locatiecode]],Ruimtegroepen[[Code]:[Ruimte omschrijving]],2,FALSE)</f>
        <v>Gymzaal</v>
      </c>
      <c r="C993" s="232" t="s">
        <v>1116</v>
      </c>
      <c r="D993" s="231" t="s">
        <v>27</v>
      </c>
      <c r="E993" s="233" t="s">
        <v>1344</v>
      </c>
      <c r="F993" s="232" t="s">
        <v>1426</v>
      </c>
      <c r="G993" s="281" t="s">
        <v>296</v>
      </c>
      <c r="H993" s="234" t="s">
        <v>296</v>
      </c>
      <c r="I993" s="235" t="s">
        <v>15</v>
      </c>
      <c r="J993" s="234" t="s">
        <v>296</v>
      </c>
      <c r="K993" s="235" t="s">
        <v>296</v>
      </c>
      <c r="L993" s="234" t="s">
        <v>296</v>
      </c>
      <c r="M993" s="234" t="s">
        <v>296</v>
      </c>
      <c r="N993" s="235" t="s">
        <v>296</v>
      </c>
      <c r="O993" s="236" t="s">
        <v>15</v>
      </c>
      <c r="P993" s="236" t="s">
        <v>15</v>
      </c>
      <c r="Q993" s="236" t="s">
        <v>15</v>
      </c>
      <c r="R993" s="236" t="s">
        <v>15</v>
      </c>
      <c r="S993" s="236" t="s">
        <v>15</v>
      </c>
      <c r="T993" s="236" t="s">
        <v>15</v>
      </c>
      <c r="U993" s="236" t="s">
        <v>15</v>
      </c>
      <c r="V993" s="236" t="s">
        <v>296</v>
      </c>
      <c r="W993" s="237" t="s">
        <v>296</v>
      </c>
      <c r="X993" s="237" t="s">
        <v>296</v>
      </c>
      <c r="Y993" s="238" t="s">
        <v>296</v>
      </c>
    </row>
    <row r="994" spans="1:25">
      <c r="A994" s="230">
        <v>18</v>
      </c>
      <c r="B994" s="231" t="str">
        <f>VLOOKUP(Tabel10[[#This Row],[Locatiecode]],Ruimtegroepen[[Code]:[Ruimte omschrijving]],2,FALSE)</f>
        <v>Gymzaal</v>
      </c>
      <c r="C994" s="232" t="s">
        <v>1121</v>
      </c>
      <c r="D994" s="231" t="s">
        <v>28</v>
      </c>
      <c r="E994" s="233" t="s">
        <v>101</v>
      </c>
      <c r="F994" s="232" t="s">
        <v>1122</v>
      </c>
      <c r="G994" s="281" t="s">
        <v>296</v>
      </c>
      <c r="H994" s="234" t="s">
        <v>296</v>
      </c>
      <c r="I994" s="235" t="s">
        <v>17</v>
      </c>
      <c r="J994" s="234" t="s">
        <v>296</v>
      </c>
      <c r="K994" s="235" t="s">
        <v>296</v>
      </c>
      <c r="L994" s="234" t="s">
        <v>296</v>
      </c>
      <c r="M994" s="234" t="s">
        <v>296</v>
      </c>
      <c r="N994" s="235" t="s">
        <v>296</v>
      </c>
      <c r="O994" s="236" t="s">
        <v>17</v>
      </c>
      <c r="P994" s="236" t="s">
        <v>17</v>
      </c>
      <c r="Q994" s="236" t="s">
        <v>17</v>
      </c>
      <c r="R994" s="236" t="s">
        <v>17</v>
      </c>
      <c r="S994" s="236" t="s">
        <v>17</v>
      </c>
      <c r="T994" s="236" t="s">
        <v>17</v>
      </c>
      <c r="U994" s="236" t="s">
        <v>17</v>
      </c>
      <c r="V994" s="236" t="s">
        <v>296</v>
      </c>
      <c r="W994" s="237" t="s">
        <v>296</v>
      </c>
      <c r="X994" s="237" t="s">
        <v>296</v>
      </c>
      <c r="Y994" s="238" t="s">
        <v>296</v>
      </c>
    </row>
    <row r="995" spans="1:25">
      <c r="A995" s="230">
        <v>18</v>
      </c>
      <c r="B995" s="231" t="str">
        <f>VLOOKUP(Tabel10[[#This Row],[Locatiecode]],Ruimtegroepen[[Code]:[Ruimte omschrijving]],2,FALSE)</f>
        <v>Gymzaal</v>
      </c>
      <c r="C995" s="232" t="s">
        <v>1121</v>
      </c>
      <c r="D995" s="231" t="s">
        <v>28</v>
      </c>
      <c r="E995" s="233" t="s">
        <v>100</v>
      </c>
      <c r="F995" s="232" t="s">
        <v>1123</v>
      </c>
      <c r="G995" s="281" t="s">
        <v>296</v>
      </c>
      <c r="H995" s="235" t="s">
        <v>17</v>
      </c>
      <c r="I995" s="234" t="s">
        <v>296</v>
      </c>
      <c r="J995" s="235" t="s">
        <v>296</v>
      </c>
      <c r="K995" s="235" t="s">
        <v>296</v>
      </c>
      <c r="L995" s="234" t="s">
        <v>296</v>
      </c>
      <c r="M995" s="234" t="s">
        <v>296</v>
      </c>
      <c r="N995" s="235" t="s">
        <v>296</v>
      </c>
      <c r="O995" s="236" t="s">
        <v>17</v>
      </c>
      <c r="P995" s="236" t="s">
        <v>17</v>
      </c>
      <c r="Q995" s="236" t="s">
        <v>17</v>
      </c>
      <c r="R995" s="236" t="s">
        <v>17</v>
      </c>
      <c r="S995" s="236" t="s">
        <v>17</v>
      </c>
      <c r="T995" s="236" t="s">
        <v>17</v>
      </c>
      <c r="U995" s="236" t="s">
        <v>17</v>
      </c>
      <c r="V995" s="236" t="s">
        <v>296</v>
      </c>
      <c r="W995" s="237" t="s">
        <v>296</v>
      </c>
      <c r="X995" s="237" t="s">
        <v>296</v>
      </c>
      <c r="Y995" s="238" t="s">
        <v>296</v>
      </c>
    </row>
    <row r="996" spans="1:25">
      <c r="A996" s="230">
        <v>18</v>
      </c>
      <c r="B996" s="231" t="str">
        <f>VLOOKUP(Tabel10[[#This Row],[Locatiecode]],Ruimtegroepen[[Code]:[Ruimte omschrijving]],2,FALSE)</f>
        <v>Gymzaal</v>
      </c>
      <c r="C996" s="232" t="s">
        <v>1121</v>
      </c>
      <c r="D996" s="231" t="s">
        <v>28</v>
      </c>
      <c r="E996" s="233" t="s">
        <v>102</v>
      </c>
      <c r="F996" s="232" t="s">
        <v>1124</v>
      </c>
      <c r="G996" s="281" t="s">
        <v>296</v>
      </c>
      <c r="H996" s="234" t="s">
        <v>296</v>
      </c>
      <c r="I996" s="235" t="s">
        <v>17</v>
      </c>
      <c r="J996" s="234" t="s">
        <v>296</v>
      </c>
      <c r="K996" s="235" t="s">
        <v>296</v>
      </c>
      <c r="L996" s="234" t="s">
        <v>296</v>
      </c>
      <c r="M996" s="234" t="s">
        <v>296</v>
      </c>
      <c r="N996" s="235" t="s">
        <v>296</v>
      </c>
      <c r="O996" s="236" t="s">
        <v>17</v>
      </c>
      <c r="P996" s="236" t="s">
        <v>17</v>
      </c>
      <c r="Q996" s="236" t="s">
        <v>17</v>
      </c>
      <c r="R996" s="236" t="s">
        <v>17</v>
      </c>
      <c r="S996" s="236" t="s">
        <v>17</v>
      </c>
      <c r="T996" s="236" t="s">
        <v>17</v>
      </c>
      <c r="U996" s="236" t="s">
        <v>17</v>
      </c>
      <c r="V996" s="236" t="s">
        <v>296</v>
      </c>
      <c r="W996" s="237" t="s">
        <v>296</v>
      </c>
      <c r="X996" s="237" t="s">
        <v>296</v>
      </c>
      <c r="Y996" s="238" t="s">
        <v>296</v>
      </c>
    </row>
    <row r="997" spans="1:25">
      <c r="A997" s="230">
        <v>18</v>
      </c>
      <c r="B997" s="231" t="str">
        <f>VLOOKUP(Tabel10[[#This Row],[Locatiecode]],Ruimtegroepen[[Code]:[Ruimte omschrijving]],2,FALSE)</f>
        <v>Gymzaal</v>
      </c>
      <c r="C997" s="232" t="s">
        <v>1121</v>
      </c>
      <c r="D997" s="231" t="s">
        <v>28</v>
      </c>
      <c r="E997" s="233" t="s">
        <v>103</v>
      </c>
      <c r="F997" s="232" t="s">
        <v>1125</v>
      </c>
      <c r="G997" s="281" t="s">
        <v>296</v>
      </c>
      <c r="H997" s="234" t="s">
        <v>296</v>
      </c>
      <c r="I997" s="235" t="s">
        <v>17</v>
      </c>
      <c r="J997" s="234" t="s">
        <v>296</v>
      </c>
      <c r="K997" s="235" t="s">
        <v>296</v>
      </c>
      <c r="L997" s="234" t="s">
        <v>296</v>
      </c>
      <c r="M997" s="234" t="s">
        <v>296</v>
      </c>
      <c r="N997" s="235" t="s">
        <v>296</v>
      </c>
      <c r="O997" s="236" t="s">
        <v>17</v>
      </c>
      <c r="P997" s="236" t="s">
        <v>17</v>
      </c>
      <c r="Q997" s="236" t="s">
        <v>17</v>
      </c>
      <c r="R997" s="236" t="s">
        <v>17</v>
      </c>
      <c r="S997" s="236" t="s">
        <v>17</v>
      </c>
      <c r="T997" s="236" t="s">
        <v>17</v>
      </c>
      <c r="U997" s="236" t="s">
        <v>17</v>
      </c>
      <c r="V997" s="236" t="s">
        <v>296</v>
      </c>
      <c r="W997" s="237" t="s">
        <v>296</v>
      </c>
      <c r="X997" s="237" t="s">
        <v>296</v>
      </c>
      <c r="Y997" s="238" t="s">
        <v>296</v>
      </c>
    </row>
    <row r="998" spans="1:25">
      <c r="A998" s="230">
        <v>18</v>
      </c>
      <c r="B998" s="231" t="str">
        <f>VLOOKUP(Tabel10[[#This Row],[Locatiecode]],Ruimtegroepen[[Code]:[Ruimte omschrijving]],2,FALSE)</f>
        <v>Gymzaal</v>
      </c>
      <c r="C998" s="232" t="s">
        <v>1121</v>
      </c>
      <c r="D998" s="231" t="s">
        <v>28</v>
      </c>
      <c r="E998" s="233" t="s">
        <v>100</v>
      </c>
      <c r="F998" s="232" t="s">
        <v>1123</v>
      </c>
      <c r="G998" s="281" t="s">
        <v>296</v>
      </c>
      <c r="H998" s="235" t="s">
        <v>17</v>
      </c>
      <c r="I998" s="234" t="s">
        <v>296</v>
      </c>
      <c r="J998" s="235" t="s">
        <v>296</v>
      </c>
      <c r="K998" s="235" t="s">
        <v>296</v>
      </c>
      <c r="L998" s="234" t="s">
        <v>296</v>
      </c>
      <c r="M998" s="234" t="s">
        <v>296</v>
      </c>
      <c r="N998" s="235" t="s">
        <v>296</v>
      </c>
      <c r="O998" s="236" t="s">
        <v>17</v>
      </c>
      <c r="P998" s="236" t="s">
        <v>17</v>
      </c>
      <c r="Q998" s="236" t="s">
        <v>17</v>
      </c>
      <c r="R998" s="236" t="s">
        <v>17</v>
      </c>
      <c r="S998" s="236" t="s">
        <v>17</v>
      </c>
      <c r="T998" s="236" t="s">
        <v>17</v>
      </c>
      <c r="U998" s="236" t="s">
        <v>17</v>
      </c>
      <c r="V998" s="236" t="s">
        <v>296</v>
      </c>
      <c r="W998" s="237" t="s">
        <v>296</v>
      </c>
      <c r="X998" s="237" t="s">
        <v>296</v>
      </c>
      <c r="Y998" s="238" t="s">
        <v>296</v>
      </c>
    </row>
    <row r="999" spans="1:25">
      <c r="A999" s="230">
        <v>18</v>
      </c>
      <c r="B999" s="231" t="str">
        <f>VLOOKUP(Tabel10[[#This Row],[Locatiecode]],Ruimtegroepen[[Code]:[Ruimte omschrijving]],2,FALSE)</f>
        <v>Gymzaal</v>
      </c>
      <c r="C999" s="232" t="s">
        <v>1121</v>
      </c>
      <c r="D999" s="231" t="s">
        <v>28</v>
      </c>
      <c r="E999" s="233" t="s">
        <v>1344</v>
      </c>
      <c r="F999" s="232" t="s">
        <v>1459</v>
      </c>
      <c r="G999" s="281" t="s">
        <v>296</v>
      </c>
      <c r="H999" s="234" t="s">
        <v>296</v>
      </c>
      <c r="I999" s="235" t="s">
        <v>17</v>
      </c>
      <c r="J999" s="234" t="s">
        <v>296</v>
      </c>
      <c r="K999" s="235" t="s">
        <v>296</v>
      </c>
      <c r="L999" s="234" t="s">
        <v>296</v>
      </c>
      <c r="M999" s="234" t="s">
        <v>296</v>
      </c>
      <c r="N999" s="235" t="s">
        <v>296</v>
      </c>
      <c r="O999" s="236" t="s">
        <v>17</v>
      </c>
      <c r="P999" s="236" t="s">
        <v>17</v>
      </c>
      <c r="Q999" s="236" t="s">
        <v>17</v>
      </c>
      <c r="R999" s="236" t="s">
        <v>17</v>
      </c>
      <c r="S999" s="236" t="s">
        <v>17</v>
      </c>
      <c r="T999" s="236" t="s">
        <v>17</v>
      </c>
      <c r="U999" s="236" t="s">
        <v>17</v>
      </c>
      <c r="V999" s="236" t="s">
        <v>296</v>
      </c>
      <c r="W999" s="237" t="s">
        <v>296</v>
      </c>
      <c r="X999" s="237" t="s">
        <v>296</v>
      </c>
      <c r="Y999" s="238" t="s">
        <v>296</v>
      </c>
    </row>
    <row r="1000" spans="1:25">
      <c r="A1000" s="230">
        <v>19</v>
      </c>
      <c r="B1000" s="231" t="str">
        <f>VLOOKUP(Tabel10[[#This Row],[Locatiecode]],Ruimtegroepen[[Code]:[Ruimte omschrijving]],2,FALSE)</f>
        <v>kleedruimten</v>
      </c>
      <c r="C1000" s="232" t="s">
        <v>1126</v>
      </c>
      <c r="D1000" s="231" t="s">
        <v>29</v>
      </c>
      <c r="E1000" s="233" t="s">
        <v>101</v>
      </c>
      <c r="F1000" s="232" t="s">
        <v>1127</v>
      </c>
      <c r="G1000" s="281" t="s">
        <v>296</v>
      </c>
      <c r="H1000" s="234" t="s">
        <v>296</v>
      </c>
      <c r="I1000" s="235" t="s">
        <v>2</v>
      </c>
      <c r="J1000" s="235" t="s">
        <v>296</v>
      </c>
      <c r="K1000" s="235" t="s">
        <v>2</v>
      </c>
      <c r="L1000" s="234" t="s">
        <v>296</v>
      </c>
      <c r="M1000" s="234" t="s">
        <v>296</v>
      </c>
      <c r="N1000" s="235" t="s">
        <v>2</v>
      </c>
      <c r="O1000" s="236" t="s">
        <v>2</v>
      </c>
      <c r="P1000" s="236" t="s">
        <v>2</v>
      </c>
      <c r="Q1000" s="236" t="s">
        <v>15</v>
      </c>
      <c r="R1000" s="236" t="s">
        <v>15</v>
      </c>
      <c r="S1000" s="236" t="s">
        <v>16</v>
      </c>
      <c r="T1000" s="236" t="s">
        <v>343</v>
      </c>
      <c r="U1000" s="236" t="s">
        <v>262</v>
      </c>
      <c r="V1000" s="236" t="s">
        <v>2</v>
      </c>
      <c r="W1000" s="237" t="s">
        <v>296</v>
      </c>
      <c r="X1000" s="237" t="s">
        <v>296</v>
      </c>
      <c r="Y1000" s="238" t="s">
        <v>296</v>
      </c>
    </row>
    <row r="1001" spans="1:25">
      <c r="A1001" s="230">
        <v>19</v>
      </c>
      <c r="B1001" s="231" t="str">
        <f>VLOOKUP(Tabel10[[#This Row],[Locatiecode]],Ruimtegroepen[[Code]:[Ruimte omschrijving]],2,FALSE)</f>
        <v>kleedruimten</v>
      </c>
      <c r="C1001" s="232" t="s">
        <v>1126</v>
      </c>
      <c r="D1001" s="231" t="s">
        <v>29</v>
      </c>
      <c r="E1001" s="233" t="s">
        <v>100</v>
      </c>
      <c r="F1001" s="232" t="s">
        <v>1128</v>
      </c>
      <c r="G1001" s="281" t="s">
        <v>296</v>
      </c>
      <c r="H1001" s="235" t="s">
        <v>2</v>
      </c>
      <c r="I1001" s="234" t="s">
        <v>296</v>
      </c>
      <c r="J1001" s="235" t="s">
        <v>296</v>
      </c>
      <c r="K1001" s="235" t="s">
        <v>296</v>
      </c>
      <c r="L1001" s="234" t="s">
        <v>296</v>
      </c>
      <c r="M1001" s="234" t="s">
        <v>296</v>
      </c>
      <c r="N1001" s="235" t="s">
        <v>2</v>
      </c>
      <c r="O1001" s="236" t="s">
        <v>2</v>
      </c>
      <c r="P1001" s="236" t="s">
        <v>2</v>
      </c>
      <c r="Q1001" s="236" t="s">
        <v>15</v>
      </c>
      <c r="R1001" s="236" t="s">
        <v>15</v>
      </c>
      <c r="S1001" s="236" t="s">
        <v>16</v>
      </c>
      <c r="T1001" s="236" t="s">
        <v>343</v>
      </c>
      <c r="U1001" s="236" t="s">
        <v>262</v>
      </c>
      <c r="V1001" s="236" t="s">
        <v>2</v>
      </c>
      <c r="W1001" s="237" t="s">
        <v>296</v>
      </c>
      <c r="X1001" s="237" t="s">
        <v>296</v>
      </c>
      <c r="Y1001" s="238" t="s">
        <v>296</v>
      </c>
    </row>
    <row r="1002" spans="1:25">
      <c r="A1002" s="230">
        <v>19</v>
      </c>
      <c r="B1002" s="231" t="str">
        <f>VLOOKUP(Tabel10[[#This Row],[Locatiecode]],Ruimtegroepen[[Code]:[Ruimte omschrijving]],2,FALSE)</f>
        <v>kleedruimten</v>
      </c>
      <c r="C1002" s="232" t="s">
        <v>1126</v>
      </c>
      <c r="D1002" s="231" t="s">
        <v>29</v>
      </c>
      <c r="E1002" s="233" t="s">
        <v>102</v>
      </c>
      <c r="F1002" s="232" t="s">
        <v>1129</v>
      </c>
      <c r="G1002" s="281" t="s">
        <v>296</v>
      </c>
      <c r="H1002" s="234" t="s">
        <v>296</v>
      </c>
      <c r="I1002" s="235" t="s">
        <v>2</v>
      </c>
      <c r="J1002" s="235" t="s">
        <v>296</v>
      </c>
      <c r="K1002" s="235" t="s">
        <v>2</v>
      </c>
      <c r="L1002" s="234" t="s">
        <v>296</v>
      </c>
      <c r="M1002" s="234" t="s">
        <v>296</v>
      </c>
      <c r="N1002" s="235" t="s">
        <v>2</v>
      </c>
      <c r="O1002" s="236" t="s">
        <v>2</v>
      </c>
      <c r="P1002" s="236" t="s">
        <v>2</v>
      </c>
      <c r="Q1002" s="236" t="s">
        <v>15</v>
      </c>
      <c r="R1002" s="236" t="s">
        <v>15</v>
      </c>
      <c r="S1002" s="236" t="s">
        <v>16</v>
      </c>
      <c r="T1002" s="236" t="s">
        <v>343</v>
      </c>
      <c r="U1002" s="236" t="s">
        <v>262</v>
      </c>
      <c r="V1002" s="236" t="s">
        <v>2</v>
      </c>
      <c r="W1002" s="237" t="s">
        <v>296</v>
      </c>
      <c r="X1002" s="237" t="s">
        <v>296</v>
      </c>
      <c r="Y1002" s="238" t="s">
        <v>296</v>
      </c>
    </row>
    <row r="1003" spans="1:25">
      <c r="A1003" s="230">
        <v>19</v>
      </c>
      <c r="B1003" s="231" t="str">
        <f>VLOOKUP(Tabel10[[#This Row],[Locatiecode]],Ruimtegroepen[[Code]:[Ruimte omschrijving]],2,FALSE)</f>
        <v>kleedruimten</v>
      </c>
      <c r="C1003" s="232" t="s">
        <v>1126</v>
      </c>
      <c r="D1003" s="231" t="s">
        <v>29</v>
      </c>
      <c r="E1003" s="233" t="s">
        <v>103</v>
      </c>
      <c r="F1003" s="232" t="s">
        <v>1130</v>
      </c>
      <c r="G1003" s="281" t="s">
        <v>296</v>
      </c>
      <c r="H1003" s="234" t="s">
        <v>296</v>
      </c>
      <c r="I1003" s="235" t="s">
        <v>2</v>
      </c>
      <c r="J1003" s="235" t="s">
        <v>296</v>
      </c>
      <c r="K1003" s="235" t="s">
        <v>2</v>
      </c>
      <c r="L1003" s="234" t="s">
        <v>296</v>
      </c>
      <c r="M1003" s="234" t="s">
        <v>296</v>
      </c>
      <c r="N1003" s="235" t="s">
        <v>2</v>
      </c>
      <c r="O1003" s="236" t="s">
        <v>2</v>
      </c>
      <c r="P1003" s="236" t="s">
        <v>2</v>
      </c>
      <c r="Q1003" s="236" t="s">
        <v>15</v>
      </c>
      <c r="R1003" s="236" t="s">
        <v>15</v>
      </c>
      <c r="S1003" s="236" t="s">
        <v>16</v>
      </c>
      <c r="T1003" s="236" t="s">
        <v>343</v>
      </c>
      <c r="U1003" s="236" t="s">
        <v>262</v>
      </c>
      <c r="V1003" s="236" t="s">
        <v>2</v>
      </c>
      <c r="W1003" s="237" t="s">
        <v>296</v>
      </c>
      <c r="X1003" s="237" t="s">
        <v>296</v>
      </c>
      <c r="Y1003" s="238" t="s">
        <v>296</v>
      </c>
    </row>
    <row r="1004" spans="1:25">
      <c r="A1004" s="230">
        <v>19</v>
      </c>
      <c r="B1004" s="231" t="str">
        <f>VLOOKUP(Tabel10[[#This Row],[Locatiecode]],Ruimtegroepen[[Code]:[Ruimte omschrijving]],2,FALSE)</f>
        <v>kleedruimten</v>
      </c>
      <c r="C1004" s="232" t="s">
        <v>1126</v>
      </c>
      <c r="D1004" s="231" t="s">
        <v>29</v>
      </c>
      <c r="E1004" s="233" t="s">
        <v>100</v>
      </c>
      <c r="F1004" s="232" t="s">
        <v>1128</v>
      </c>
      <c r="G1004" s="281" t="s">
        <v>296</v>
      </c>
      <c r="H1004" s="235" t="s">
        <v>2</v>
      </c>
      <c r="I1004" s="234" t="s">
        <v>296</v>
      </c>
      <c r="J1004" s="235" t="s">
        <v>296</v>
      </c>
      <c r="K1004" s="235" t="s">
        <v>296</v>
      </c>
      <c r="L1004" s="234" t="s">
        <v>296</v>
      </c>
      <c r="M1004" s="234" t="s">
        <v>296</v>
      </c>
      <c r="N1004" s="235" t="s">
        <v>2</v>
      </c>
      <c r="O1004" s="236" t="s">
        <v>2</v>
      </c>
      <c r="P1004" s="236" t="s">
        <v>2</v>
      </c>
      <c r="Q1004" s="236" t="s">
        <v>15</v>
      </c>
      <c r="R1004" s="236" t="s">
        <v>15</v>
      </c>
      <c r="S1004" s="236" t="s">
        <v>16</v>
      </c>
      <c r="T1004" s="236" t="s">
        <v>343</v>
      </c>
      <c r="U1004" s="236" t="s">
        <v>262</v>
      </c>
      <c r="V1004" s="236" t="s">
        <v>2</v>
      </c>
      <c r="W1004" s="237" t="s">
        <v>296</v>
      </c>
      <c r="X1004" s="237" t="s">
        <v>296</v>
      </c>
      <c r="Y1004" s="238" t="s">
        <v>296</v>
      </c>
    </row>
    <row r="1005" spans="1:25">
      <c r="A1005" s="230">
        <v>19</v>
      </c>
      <c r="B1005" s="231" t="str">
        <f>VLOOKUP(Tabel10[[#This Row],[Locatiecode]],Ruimtegroepen[[Code]:[Ruimte omschrijving]],2,FALSE)</f>
        <v>kleedruimten</v>
      </c>
      <c r="C1005" s="232" t="s">
        <v>1126</v>
      </c>
      <c r="D1005" s="231" t="s">
        <v>29</v>
      </c>
      <c r="E1005" s="233" t="s">
        <v>1344</v>
      </c>
      <c r="F1005" s="232" t="s">
        <v>1527</v>
      </c>
      <c r="G1005" s="281" t="s">
        <v>296</v>
      </c>
      <c r="H1005" s="234" t="s">
        <v>296</v>
      </c>
      <c r="I1005" s="235" t="s">
        <v>2</v>
      </c>
      <c r="J1005" s="235" t="s">
        <v>296</v>
      </c>
      <c r="K1005" s="235" t="s">
        <v>2</v>
      </c>
      <c r="L1005" s="234" t="s">
        <v>296</v>
      </c>
      <c r="M1005" s="234" t="s">
        <v>296</v>
      </c>
      <c r="N1005" s="235" t="s">
        <v>2</v>
      </c>
      <c r="O1005" s="236" t="s">
        <v>2</v>
      </c>
      <c r="P1005" s="236" t="s">
        <v>2</v>
      </c>
      <c r="Q1005" s="236" t="s">
        <v>15</v>
      </c>
      <c r="R1005" s="236" t="s">
        <v>15</v>
      </c>
      <c r="S1005" s="236" t="s">
        <v>16</v>
      </c>
      <c r="T1005" s="236" t="s">
        <v>343</v>
      </c>
      <c r="U1005" s="236" t="s">
        <v>262</v>
      </c>
      <c r="V1005" s="236" t="s">
        <v>2</v>
      </c>
      <c r="W1005" s="237" t="s">
        <v>296</v>
      </c>
      <c r="X1005" s="237" t="s">
        <v>296</v>
      </c>
      <c r="Y1005" s="238" t="s">
        <v>296</v>
      </c>
    </row>
    <row r="1006" spans="1:25">
      <c r="A1006" s="230">
        <v>19</v>
      </c>
      <c r="B1006" s="231" t="str">
        <f>VLOOKUP(Tabel10[[#This Row],[Locatiecode]],Ruimtegroepen[[Code]:[Ruimte omschrijving]],2,FALSE)</f>
        <v>kleedruimten</v>
      </c>
      <c r="C1006" s="232" t="s">
        <v>1131</v>
      </c>
      <c r="D1006" s="231" t="s">
        <v>1</v>
      </c>
      <c r="E1006" s="233" t="s">
        <v>101</v>
      </c>
      <c r="F1006" s="232" t="s">
        <v>1132</v>
      </c>
      <c r="G1006" s="281" t="s">
        <v>296</v>
      </c>
      <c r="H1006" s="234" t="s">
        <v>296</v>
      </c>
      <c r="I1006" s="235" t="s">
        <v>2</v>
      </c>
      <c r="J1006" s="235" t="s">
        <v>296</v>
      </c>
      <c r="K1006" s="235" t="s">
        <v>2</v>
      </c>
      <c r="L1006" s="234" t="s">
        <v>296</v>
      </c>
      <c r="M1006" s="234" t="s">
        <v>296</v>
      </c>
      <c r="N1006" s="235" t="s">
        <v>296</v>
      </c>
      <c r="O1006" s="236" t="s">
        <v>2</v>
      </c>
      <c r="P1006" s="236" t="s">
        <v>2</v>
      </c>
      <c r="Q1006" s="236" t="s">
        <v>15</v>
      </c>
      <c r="R1006" s="236" t="s">
        <v>15</v>
      </c>
      <c r="S1006" s="236" t="s">
        <v>16</v>
      </c>
      <c r="T1006" s="236" t="s">
        <v>343</v>
      </c>
      <c r="U1006" s="236" t="s">
        <v>262</v>
      </c>
      <c r="V1006" s="236" t="s">
        <v>296</v>
      </c>
      <c r="W1006" s="237" t="s">
        <v>296</v>
      </c>
      <c r="X1006" s="237" t="s">
        <v>296</v>
      </c>
      <c r="Y1006" s="238" t="s">
        <v>296</v>
      </c>
    </row>
    <row r="1007" spans="1:25">
      <c r="A1007" s="230">
        <v>19</v>
      </c>
      <c r="B1007" s="231" t="str">
        <f>VLOOKUP(Tabel10[[#This Row],[Locatiecode]],Ruimtegroepen[[Code]:[Ruimte omschrijving]],2,FALSE)</f>
        <v>kleedruimten</v>
      </c>
      <c r="C1007" s="232" t="s">
        <v>1131</v>
      </c>
      <c r="D1007" s="231" t="s">
        <v>1</v>
      </c>
      <c r="E1007" s="233" t="s">
        <v>100</v>
      </c>
      <c r="F1007" s="232" t="s">
        <v>1133</v>
      </c>
      <c r="G1007" s="281" t="s">
        <v>296</v>
      </c>
      <c r="H1007" s="235" t="s">
        <v>2</v>
      </c>
      <c r="I1007" s="234" t="s">
        <v>296</v>
      </c>
      <c r="J1007" s="235" t="s">
        <v>296</v>
      </c>
      <c r="K1007" s="235" t="s">
        <v>296</v>
      </c>
      <c r="L1007" s="234" t="s">
        <v>296</v>
      </c>
      <c r="M1007" s="234" t="s">
        <v>296</v>
      </c>
      <c r="N1007" s="235" t="s">
        <v>296</v>
      </c>
      <c r="O1007" s="236" t="s">
        <v>2</v>
      </c>
      <c r="P1007" s="236" t="s">
        <v>2</v>
      </c>
      <c r="Q1007" s="236" t="s">
        <v>15</v>
      </c>
      <c r="R1007" s="236" t="s">
        <v>15</v>
      </c>
      <c r="S1007" s="236" t="s">
        <v>16</v>
      </c>
      <c r="T1007" s="236" t="s">
        <v>343</v>
      </c>
      <c r="U1007" s="236" t="s">
        <v>262</v>
      </c>
      <c r="V1007" s="236" t="s">
        <v>296</v>
      </c>
      <c r="W1007" s="237" t="s">
        <v>296</v>
      </c>
      <c r="X1007" s="237" t="s">
        <v>296</v>
      </c>
      <c r="Y1007" s="238" t="s">
        <v>296</v>
      </c>
    </row>
    <row r="1008" spans="1:25">
      <c r="A1008" s="230">
        <v>19</v>
      </c>
      <c r="B1008" s="231" t="str">
        <f>VLOOKUP(Tabel10[[#This Row],[Locatiecode]],Ruimtegroepen[[Code]:[Ruimte omschrijving]],2,FALSE)</f>
        <v>kleedruimten</v>
      </c>
      <c r="C1008" s="232" t="s">
        <v>1131</v>
      </c>
      <c r="D1008" s="231" t="s">
        <v>1</v>
      </c>
      <c r="E1008" s="233" t="s">
        <v>102</v>
      </c>
      <c r="F1008" s="232" t="s">
        <v>1134</v>
      </c>
      <c r="G1008" s="281" t="s">
        <v>296</v>
      </c>
      <c r="H1008" s="234" t="s">
        <v>296</v>
      </c>
      <c r="I1008" s="235" t="s">
        <v>2</v>
      </c>
      <c r="J1008" s="235" t="s">
        <v>296</v>
      </c>
      <c r="K1008" s="235" t="s">
        <v>2</v>
      </c>
      <c r="L1008" s="234" t="s">
        <v>296</v>
      </c>
      <c r="M1008" s="234" t="s">
        <v>296</v>
      </c>
      <c r="N1008" s="235" t="s">
        <v>296</v>
      </c>
      <c r="O1008" s="236" t="s">
        <v>2</v>
      </c>
      <c r="P1008" s="236" t="s">
        <v>2</v>
      </c>
      <c r="Q1008" s="236" t="s">
        <v>15</v>
      </c>
      <c r="R1008" s="236" t="s">
        <v>15</v>
      </c>
      <c r="S1008" s="236" t="s">
        <v>16</v>
      </c>
      <c r="T1008" s="236" t="s">
        <v>343</v>
      </c>
      <c r="U1008" s="236" t="s">
        <v>262</v>
      </c>
      <c r="V1008" s="236" t="s">
        <v>296</v>
      </c>
      <c r="W1008" s="237" t="s">
        <v>296</v>
      </c>
      <c r="X1008" s="237" t="s">
        <v>296</v>
      </c>
      <c r="Y1008" s="238" t="s">
        <v>296</v>
      </c>
    </row>
    <row r="1009" spans="1:25">
      <c r="A1009" s="230">
        <v>19</v>
      </c>
      <c r="B1009" s="231" t="str">
        <f>VLOOKUP(Tabel10[[#This Row],[Locatiecode]],Ruimtegroepen[[Code]:[Ruimte omschrijving]],2,FALSE)</f>
        <v>kleedruimten</v>
      </c>
      <c r="C1009" s="232" t="s">
        <v>1131</v>
      </c>
      <c r="D1009" s="231" t="s">
        <v>1</v>
      </c>
      <c r="E1009" s="233" t="s">
        <v>103</v>
      </c>
      <c r="F1009" s="232" t="s">
        <v>1135</v>
      </c>
      <c r="G1009" s="281" t="s">
        <v>296</v>
      </c>
      <c r="H1009" s="234" t="s">
        <v>296</v>
      </c>
      <c r="I1009" s="235" t="s">
        <v>2</v>
      </c>
      <c r="J1009" s="235" t="s">
        <v>296</v>
      </c>
      <c r="K1009" s="235" t="s">
        <v>2</v>
      </c>
      <c r="L1009" s="234" t="s">
        <v>296</v>
      </c>
      <c r="M1009" s="234" t="s">
        <v>296</v>
      </c>
      <c r="N1009" s="235" t="s">
        <v>296</v>
      </c>
      <c r="O1009" s="236" t="s">
        <v>2</v>
      </c>
      <c r="P1009" s="236" t="s">
        <v>2</v>
      </c>
      <c r="Q1009" s="236" t="s">
        <v>15</v>
      </c>
      <c r="R1009" s="236" t="s">
        <v>15</v>
      </c>
      <c r="S1009" s="236" t="s">
        <v>16</v>
      </c>
      <c r="T1009" s="236" t="s">
        <v>343</v>
      </c>
      <c r="U1009" s="236" t="s">
        <v>262</v>
      </c>
      <c r="V1009" s="236" t="s">
        <v>296</v>
      </c>
      <c r="W1009" s="237" t="s">
        <v>296</v>
      </c>
      <c r="X1009" s="237" t="s">
        <v>296</v>
      </c>
      <c r="Y1009" s="238" t="s">
        <v>296</v>
      </c>
    </row>
    <row r="1010" spans="1:25">
      <c r="A1010" s="230">
        <v>19</v>
      </c>
      <c r="B1010" s="231" t="str">
        <f>VLOOKUP(Tabel10[[#This Row],[Locatiecode]],Ruimtegroepen[[Code]:[Ruimte omschrijving]],2,FALSE)</f>
        <v>kleedruimten</v>
      </c>
      <c r="C1010" s="232" t="s">
        <v>1131</v>
      </c>
      <c r="D1010" s="231" t="s">
        <v>1</v>
      </c>
      <c r="E1010" s="233" t="s">
        <v>100</v>
      </c>
      <c r="F1010" s="232" t="s">
        <v>1133</v>
      </c>
      <c r="G1010" s="281" t="s">
        <v>296</v>
      </c>
      <c r="H1010" s="235" t="s">
        <v>2</v>
      </c>
      <c r="I1010" s="234" t="s">
        <v>296</v>
      </c>
      <c r="J1010" s="235" t="s">
        <v>296</v>
      </c>
      <c r="K1010" s="235" t="s">
        <v>296</v>
      </c>
      <c r="L1010" s="234" t="s">
        <v>296</v>
      </c>
      <c r="M1010" s="234" t="s">
        <v>296</v>
      </c>
      <c r="N1010" s="235" t="s">
        <v>296</v>
      </c>
      <c r="O1010" s="236" t="s">
        <v>2</v>
      </c>
      <c r="P1010" s="236" t="s">
        <v>2</v>
      </c>
      <c r="Q1010" s="236" t="s">
        <v>15</v>
      </c>
      <c r="R1010" s="236" t="s">
        <v>15</v>
      </c>
      <c r="S1010" s="236" t="s">
        <v>16</v>
      </c>
      <c r="T1010" s="236" t="s">
        <v>343</v>
      </c>
      <c r="U1010" s="236" t="s">
        <v>262</v>
      </c>
      <c r="V1010" s="236" t="s">
        <v>296</v>
      </c>
      <c r="W1010" s="237" t="s">
        <v>296</v>
      </c>
      <c r="X1010" s="237" t="s">
        <v>296</v>
      </c>
      <c r="Y1010" s="238" t="s">
        <v>296</v>
      </c>
    </row>
    <row r="1011" spans="1:25">
      <c r="A1011" s="230">
        <v>19</v>
      </c>
      <c r="B1011" s="231" t="str">
        <f>VLOOKUP(Tabel10[[#This Row],[Locatiecode]],Ruimtegroepen[[Code]:[Ruimte omschrijving]],2,FALSE)</f>
        <v>kleedruimten</v>
      </c>
      <c r="C1011" s="232" t="s">
        <v>1131</v>
      </c>
      <c r="D1011" s="231" t="s">
        <v>1</v>
      </c>
      <c r="E1011" s="233" t="s">
        <v>1344</v>
      </c>
      <c r="F1011" s="232" t="s">
        <v>1511</v>
      </c>
      <c r="G1011" s="281" t="s">
        <v>296</v>
      </c>
      <c r="H1011" s="234" t="s">
        <v>296</v>
      </c>
      <c r="I1011" s="235" t="s">
        <v>2</v>
      </c>
      <c r="J1011" s="235" t="s">
        <v>296</v>
      </c>
      <c r="K1011" s="235" t="s">
        <v>2</v>
      </c>
      <c r="L1011" s="234" t="s">
        <v>296</v>
      </c>
      <c r="M1011" s="234" t="s">
        <v>296</v>
      </c>
      <c r="N1011" s="235" t="s">
        <v>296</v>
      </c>
      <c r="O1011" s="236" t="s">
        <v>2</v>
      </c>
      <c r="P1011" s="236" t="s">
        <v>2</v>
      </c>
      <c r="Q1011" s="236" t="s">
        <v>15</v>
      </c>
      <c r="R1011" s="236" t="s">
        <v>15</v>
      </c>
      <c r="S1011" s="236" t="s">
        <v>16</v>
      </c>
      <c r="T1011" s="236" t="s">
        <v>343</v>
      </c>
      <c r="U1011" s="236" t="s">
        <v>262</v>
      </c>
      <c r="V1011" s="236" t="s">
        <v>296</v>
      </c>
      <c r="W1011" s="237" t="s">
        <v>296</v>
      </c>
      <c r="X1011" s="237" t="s">
        <v>296</v>
      </c>
      <c r="Y1011" s="238" t="s">
        <v>296</v>
      </c>
    </row>
    <row r="1012" spans="1:25">
      <c r="A1012" s="230">
        <v>19</v>
      </c>
      <c r="B1012" s="231" t="str">
        <f>VLOOKUP(Tabel10[[#This Row],[Locatiecode]],Ruimtegroepen[[Code]:[Ruimte omschrijving]],2,FALSE)</f>
        <v>kleedruimten</v>
      </c>
      <c r="C1012" s="232" t="s">
        <v>1136</v>
      </c>
      <c r="D1012" s="231" t="s">
        <v>21</v>
      </c>
      <c r="E1012" s="233" t="s">
        <v>101</v>
      </c>
      <c r="F1012" s="232" t="s">
        <v>1137</v>
      </c>
      <c r="G1012" s="281" t="s">
        <v>296</v>
      </c>
      <c r="H1012" s="234" t="s">
        <v>296</v>
      </c>
      <c r="I1012" s="235" t="s">
        <v>20</v>
      </c>
      <c r="J1012" s="235" t="s">
        <v>296</v>
      </c>
      <c r="K1012" s="235" t="s">
        <v>20</v>
      </c>
      <c r="L1012" s="234" t="s">
        <v>296</v>
      </c>
      <c r="M1012" s="234" t="s">
        <v>296</v>
      </c>
      <c r="N1012" s="235" t="s">
        <v>296</v>
      </c>
      <c r="O1012" s="236" t="s">
        <v>20</v>
      </c>
      <c r="P1012" s="236" t="s">
        <v>20</v>
      </c>
      <c r="Q1012" s="236" t="s">
        <v>15</v>
      </c>
      <c r="R1012" s="236" t="s">
        <v>15</v>
      </c>
      <c r="S1012" s="236" t="s">
        <v>16</v>
      </c>
      <c r="T1012" s="236" t="s">
        <v>343</v>
      </c>
      <c r="U1012" s="236" t="s">
        <v>262</v>
      </c>
      <c r="V1012" s="236" t="s">
        <v>296</v>
      </c>
      <c r="W1012" s="237" t="s">
        <v>296</v>
      </c>
      <c r="X1012" s="237" t="s">
        <v>296</v>
      </c>
      <c r="Y1012" s="238" t="s">
        <v>296</v>
      </c>
    </row>
    <row r="1013" spans="1:25">
      <c r="A1013" s="230">
        <v>19</v>
      </c>
      <c r="B1013" s="231" t="str">
        <f>VLOOKUP(Tabel10[[#This Row],[Locatiecode]],Ruimtegroepen[[Code]:[Ruimte omschrijving]],2,FALSE)</f>
        <v>kleedruimten</v>
      </c>
      <c r="C1013" s="232" t="s">
        <v>1136</v>
      </c>
      <c r="D1013" s="231" t="s">
        <v>21</v>
      </c>
      <c r="E1013" s="233" t="s">
        <v>100</v>
      </c>
      <c r="F1013" s="232" t="s">
        <v>1138</v>
      </c>
      <c r="G1013" s="281" t="s">
        <v>296</v>
      </c>
      <c r="H1013" s="235" t="s">
        <v>20</v>
      </c>
      <c r="I1013" s="234" t="s">
        <v>296</v>
      </c>
      <c r="J1013" s="235" t="s">
        <v>296</v>
      </c>
      <c r="K1013" s="235" t="s">
        <v>296</v>
      </c>
      <c r="L1013" s="234" t="s">
        <v>296</v>
      </c>
      <c r="M1013" s="234" t="s">
        <v>296</v>
      </c>
      <c r="N1013" s="235" t="s">
        <v>296</v>
      </c>
      <c r="O1013" s="236" t="s">
        <v>20</v>
      </c>
      <c r="P1013" s="236" t="s">
        <v>20</v>
      </c>
      <c r="Q1013" s="236" t="s">
        <v>15</v>
      </c>
      <c r="R1013" s="236" t="s">
        <v>15</v>
      </c>
      <c r="S1013" s="236" t="s">
        <v>16</v>
      </c>
      <c r="T1013" s="236" t="s">
        <v>343</v>
      </c>
      <c r="U1013" s="236" t="s">
        <v>262</v>
      </c>
      <c r="V1013" s="236" t="s">
        <v>296</v>
      </c>
      <c r="W1013" s="237" t="s">
        <v>296</v>
      </c>
      <c r="X1013" s="237" t="s">
        <v>296</v>
      </c>
      <c r="Y1013" s="238" t="s">
        <v>296</v>
      </c>
    </row>
    <row r="1014" spans="1:25">
      <c r="A1014" s="230">
        <v>19</v>
      </c>
      <c r="B1014" s="231" t="str">
        <f>VLOOKUP(Tabel10[[#This Row],[Locatiecode]],Ruimtegroepen[[Code]:[Ruimte omschrijving]],2,FALSE)</f>
        <v>kleedruimten</v>
      </c>
      <c r="C1014" s="232" t="s">
        <v>1136</v>
      </c>
      <c r="D1014" s="231" t="s">
        <v>21</v>
      </c>
      <c r="E1014" s="233" t="s">
        <v>102</v>
      </c>
      <c r="F1014" s="232" t="s">
        <v>1139</v>
      </c>
      <c r="G1014" s="281" t="s">
        <v>296</v>
      </c>
      <c r="H1014" s="234" t="s">
        <v>296</v>
      </c>
      <c r="I1014" s="235" t="s">
        <v>20</v>
      </c>
      <c r="J1014" s="235" t="s">
        <v>296</v>
      </c>
      <c r="K1014" s="235" t="s">
        <v>20</v>
      </c>
      <c r="L1014" s="234" t="s">
        <v>296</v>
      </c>
      <c r="M1014" s="234" t="s">
        <v>296</v>
      </c>
      <c r="N1014" s="235" t="s">
        <v>296</v>
      </c>
      <c r="O1014" s="236" t="s">
        <v>20</v>
      </c>
      <c r="P1014" s="236" t="s">
        <v>20</v>
      </c>
      <c r="Q1014" s="236" t="s">
        <v>15</v>
      </c>
      <c r="R1014" s="236" t="s">
        <v>15</v>
      </c>
      <c r="S1014" s="236" t="s">
        <v>16</v>
      </c>
      <c r="T1014" s="236" t="s">
        <v>343</v>
      </c>
      <c r="U1014" s="236" t="s">
        <v>262</v>
      </c>
      <c r="V1014" s="236" t="s">
        <v>296</v>
      </c>
      <c r="W1014" s="237" t="s">
        <v>296</v>
      </c>
      <c r="X1014" s="237" t="s">
        <v>296</v>
      </c>
      <c r="Y1014" s="238" t="s">
        <v>296</v>
      </c>
    </row>
    <row r="1015" spans="1:25">
      <c r="A1015" s="230">
        <v>19</v>
      </c>
      <c r="B1015" s="231" t="str">
        <f>VLOOKUP(Tabel10[[#This Row],[Locatiecode]],Ruimtegroepen[[Code]:[Ruimte omschrijving]],2,FALSE)</f>
        <v>kleedruimten</v>
      </c>
      <c r="C1015" s="232" t="s">
        <v>1136</v>
      </c>
      <c r="D1015" s="231" t="s">
        <v>21</v>
      </c>
      <c r="E1015" s="233" t="s">
        <v>103</v>
      </c>
      <c r="F1015" s="232" t="s">
        <v>1140</v>
      </c>
      <c r="G1015" s="281" t="s">
        <v>296</v>
      </c>
      <c r="H1015" s="234" t="s">
        <v>296</v>
      </c>
      <c r="I1015" s="235" t="s">
        <v>20</v>
      </c>
      <c r="J1015" s="235" t="s">
        <v>296</v>
      </c>
      <c r="K1015" s="235" t="s">
        <v>20</v>
      </c>
      <c r="L1015" s="234" t="s">
        <v>296</v>
      </c>
      <c r="M1015" s="234" t="s">
        <v>296</v>
      </c>
      <c r="N1015" s="235" t="s">
        <v>296</v>
      </c>
      <c r="O1015" s="236" t="s">
        <v>20</v>
      </c>
      <c r="P1015" s="236" t="s">
        <v>20</v>
      </c>
      <c r="Q1015" s="236" t="s">
        <v>15</v>
      </c>
      <c r="R1015" s="236" t="s">
        <v>15</v>
      </c>
      <c r="S1015" s="236" t="s">
        <v>16</v>
      </c>
      <c r="T1015" s="236" t="s">
        <v>343</v>
      </c>
      <c r="U1015" s="236" t="s">
        <v>262</v>
      </c>
      <c r="V1015" s="236" t="s">
        <v>296</v>
      </c>
      <c r="W1015" s="237" t="s">
        <v>296</v>
      </c>
      <c r="X1015" s="237" t="s">
        <v>296</v>
      </c>
      <c r="Y1015" s="238" t="s">
        <v>296</v>
      </c>
    </row>
    <row r="1016" spans="1:25">
      <c r="A1016" s="230">
        <v>19</v>
      </c>
      <c r="B1016" s="231" t="str">
        <f>VLOOKUP(Tabel10[[#This Row],[Locatiecode]],Ruimtegroepen[[Code]:[Ruimte omschrijving]],2,FALSE)</f>
        <v>kleedruimten</v>
      </c>
      <c r="C1016" s="232" t="s">
        <v>1136</v>
      </c>
      <c r="D1016" s="231" t="s">
        <v>21</v>
      </c>
      <c r="E1016" s="233" t="s">
        <v>100</v>
      </c>
      <c r="F1016" s="232" t="s">
        <v>1138</v>
      </c>
      <c r="G1016" s="281" t="s">
        <v>296</v>
      </c>
      <c r="H1016" s="235" t="s">
        <v>20</v>
      </c>
      <c r="I1016" s="234" t="s">
        <v>296</v>
      </c>
      <c r="J1016" s="235" t="s">
        <v>296</v>
      </c>
      <c r="K1016" s="235" t="s">
        <v>296</v>
      </c>
      <c r="L1016" s="234" t="s">
        <v>296</v>
      </c>
      <c r="M1016" s="234" t="s">
        <v>296</v>
      </c>
      <c r="N1016" s="235" t="s">
        <v>296</v>
      </c>
      <c r="O1016" s="236" t="s">
        <v>20</v>
      </c>
      <c r="P1016" s="236" t="s">
        <v>20</v>
      </c>
      <c r="Q1016" s="236" t="s">
        <v>15</v>
      </c>
      <c r="R1016" s="236" t="s">
        <v>15</v>
      </c>
      <c r="S1016" s="236" t="s">
        <v>16</v>
      </c>
      <c r="T1016" s="236" t="s">
        <v>343</v>
      </c>
      <c r="U1016" s="236" t="s">
        <v>262</v>
      </c>
      <c r="V1016" s="236" t="s">
        <v>296</v>
      </c>
      <c r="W1016" s="237" t="s">
        <v>296</v>
      </c>
      <c r="X1016" s="237" t="s">
        <v>296</v>
      </c>
      <c r="Y1016" s="238" t="s">
        <v>296</v>
      </c>
    </row>
    <row r="1017" spans="1:25">
      <c r="A1017" s="230">
        <v>19</v>
      </c>
      <c r="B1017" s="231" t="str">
        <f>VLOOKUP(Tabel10[[#This Row],[Locatiecode]],Ruimtegroepen[[Code]:[Ruimte omschrijving]],2,FALSE)</f>
        <v>kleedruimten</v>
      </c>
      <c r="C1017" s="232" t="s">
        <v>1136</v>
      </c>
      <c r="D1017" s="231" t="s">
        <v>21</v>
      </c>
      <c r="E1017" s="233" t="s">
        <v>1344</v>
      </c>
      <c r="F1017" s="232" t="s">
        <v>1494</v>
      </c>
      <c r="G1017" s="281" t="s">
        <v>296</v>
      </c>
      <c r="H1017" s="234" t="s">
        <v>296</v>
      </c>
      <c r="I1017" s="235" t="s">
        <v>20</v>
      </c>
      <c r="J1017" s="235" t="s">
        <v>296</v>
      </c>
      <c r="K1017" s="235" t="s">
        <v>20</v>
      </c>
      <c r="L1017" s="234" t="s">
        <v>296</v>
      </c>
      <c r="M1017" s="234" t="s">
        <v>296</v>
      </c>
      <c r="N1017" s="235" t="s">
        <v>296</v>
      </c>
      <c r="O1017" s="236" t="s">
        <v>20</v>
      </c>
      <c r="P1017" s="236" t="s">
        <v>20</v>
      </c>
      <c r="Q1017" s="236" t="s">
        <v>15</v>
      </c>
      <c r="R1017" s="236" t="s">
        <v>15</v>
      </c>
      <c r="S1017" s="236" t="s">
        <v>16</v>
      </c>
      <c r="T1017" s="236" t="s">
        <v>343</v>
      </c>
      <c r="U1017" s="236" t="s">
        <v>262</v>
      </c>
      <c r="V1017" s="236" t="s">
        <v>296</v>
      </c>
      <c r="W1017" s="237" t="s">
        <v>296</v>
      </c>
      <c r="X1017" s="237" t="s">
        <v>296</v>
      </c>
      <c r="Y1017" s="238" t="s">
        <v>296</v>
      </c>
    </row>
    <row r="1018" spans="1:25">
      <c r="A1018" s="230">
        <v>19</v>
      </c>
      <c r="B1018" s="231" t="str">
        <f>VLOOKUP(Tabel10[[#This Row],[Locatiecode]],Ruimtegroepen[[Code]:[Ruimte omschrijving]],2,FALSE)</f>
        <v>kleedruimten</v>
      </c>
      <c r="C1018" s="232" t="s">
        <v>1141</v>
      </c>
      <c r="D1018" s="231" t="s">
        <v>12</v>
      </c>
      <c r="E1018" s="233" t="s">
        <v>101</v>
      </c>
      <c r="F1018" s="232" t="s">
        <v>1142</v>
      </c>
      <c r="G1018" s="281" t="s">
        <v>296</v>
      </c>
      <c r="H1018" s="234" t="s">
        <v>296</v>
      </c>
      <c r="I1018" s="235" t="s">
        <v>18</v>
      </c>
      <c r="J1018" s="235" t="s">
        <v>296</v>
      </c>
      <c r="K1018" s="235" t="s">
        <v>18</v>
      </c>
      <c r="L1018" s="234" t="s">
        <v>296</v>
      </c>
      <c r="M1018" s="234" t="s">
        <v>296</v>
      </c>
      <c r="N1018" s="235" t="s">
        <v>296</v>
      </c>
      <c r="O1018" s="236" t="s">
        <v>18</v>
      </c>
      <c r="P1018" s="236" t="s">
        <v>18</v>
      </c>
      <c r="Q1018" s="236" t="s">
        <v>15</v>
      </c>
      <c r="R1018" s="236" t="s">
        <v>15</v>
      </c>
      <c r="S1018" s="236" t="s">
        <v>16</v>
      </c>
      <c r="T1018" s="236" t="s">
        <v>343</v>
      </c>
      <c r="U1018" s="236" t="s">
        <v>262</v>
      </c>
      <c r="V1018" s="236" t="s">
        <v>296</v>
      </c>
      <c r="W1018" s="237" t="s">
        <v>296</v>
      </c>
      <c r="X1018" s="237" t="s">
        <v>296</v>
      </c>
      <c r="Y1018" s="238" t="s">
        <v>296</v>
      </c>
    </row>
    <row r="1019" spans="1:25">
      <c r="A1019" s="230">
        <v>19</v>
      </c>
      <c r="B1019" s="231" t="str">
        <f>VLOOKUP(Tabel10[[#This Row],[Locatiecode]],Ruimtegroepen[[Code]:[Ruimte omschrijving]],2,FALSE)</f>
        <v>kleedruimten</v>
      </c>
      <c r="C1019" s="232" t="s">
        <v>1141</v>
      </c>
      <c r="D1019" s="231" t="s">
        <v>12</v>
      </c>
      <c r="E1019" s="233" t="s">
        <v>100</v>
      </c>
      <c r="F1019" s="232" t="s">
        <v>1143</v>
      </c>
      <c r="G1019" s="281" t="s">
        <v>296</v>
      </c>
      <c r="H1019" s="235" t="s">
        <v>18</v>
      </c>
      <c r="I1019" s="234" t="s">
        <v>296</v>
      </c>
      <c r="J1019" s="235" t="s">
        <v>296</v>
      </c>
      <c r="K1019" s="235" t="s">
        <v>296</v>
      </c>
      <c r="L1019" s="234" t="s">
        <v>296</v>
      </c>
      <c r="M1019" s="234" t="s">
        <v>296</v>
      </c>
      <c r="N1019" s="235" t="s">
        <v>296</v>
      </c>
      <c r="O1019" s="236" t="s">
        <v>18</v>
      </c>
      <c r="P1019" s="236" t="s">
        <v>18</v>
      </c>
      <c r="Q1019" s="236" t="s">
        <v>15</v>
      </c>
      <c r="R1019" s="236" t="s">
        <v>15</v>
      </c>
      <c r="S1019" s="236" t="s">
        <v>16</v>
      </c>
      <c r="T1019" s="236" t="s">
        <v>343</v>
      </c>
      <c r="U1019" s="236" t="s">
        <v>262</v>
      </c>
      <c r="V1019" s="236" t="s">
        <v>296</v>
      </c>
      <c r="W1019" s="237" t="s">
        <v>296</v>
      </c>
      <c r="X1019" s="237" t="s">
        <v>296</v>
      </c>
      <c r="Y1019" s="238" t="s">
        <v>296</v>
      </c>
    </row>
    <row r="1020" spans="1:25">
      <c r="A1020" s="230">
        <v>19</v>
      </c>
      <c r="B1020" s="231" t="str">
        <f>VLOOKUP(Tabel10[[#This Row],[Locatiecode]],Ruimtegroepen[[Code]:[Ruimte omschrijving]],2,FALSE)</f>
        <v>kleedruimten</v>
      </c>
      <c r="C1020" s="232" t="s">
        <v>1141</v>
      </c>
      <c r="D1020" s="231" t="s">
        <v>12</v>
      </c>
      <c r="E1020" s="233" t="s">
        <v>102</v>
      </c>
      <c r="F1020" s="232" t="s">
        <v>1144</v>
      </c>
      <c r="G1020" s="281" t="s">
        <v>296</v>
      </c>
      <c r="H1020" s="234" t="s">
        <v>296</v>
      </c>
      <c r="I1020" s="235" t="s">
        <v>18</v>
      </c>
      <c r="J1020" s="235" t="s">
        <v>296</v>
      </c>
      <c r="K1020" s="235" t="s">
        <v>18</v>
      </c>
      <c r="L1020" s="234" t="s">
        <v>296</v>
      </c>
      <c r="M1020" s="234" t="s">
        <v>296</v>
      </c>
      <c r="N1020" s="235" t="s">
        <v>296</v>
      </c>
      <c r="O1020" s="236" t="s">
        <v>18</v>
      </c>
      <c r="P1020" s="236" t="s">
        <v>18</v>
      </c>
      <c r="Q1020" s="236" t="s">
        <v>15</v>
      </c>
      <c r="R1020" s="236" t="s">
        <v>15</v>
      </c>
      <c r="S1020" s="236" t="s">
        <v>16</v>
      </c>
      <c r="T1020" s="236" t="s">
        <v>343</v>
      </c>
      <c r="U1020" s="236" t="s">
        <v>262</v>
      </c>
      <c r="V1020" s="236" t="s">
        <v>296</v>
      </c>
      <c r="W1020" s="237" t="s">
        <v>296</v>
      </c>
      <c r="X1020" s="237" t="s">
        <v>296</v>
      </c>
      <c r="Y1020" s="238" t="s">
        <v>296</v>
      </c>
    </row>
    <row r="1021" spans="1:25">
      <c r="A1021" s="230">
        <v>19</v>
      </c>
      <c r="B1021" s="231" t="str">
        <f>VLOOKUP(Tabel10[[#This Row],[Locatiecode]],Ruimtegroepen[[Code]:[Ruimte omschrijving]],2,FALSE)</f>
        <v>kleedruimten</v>
      </c>
      <c r="C1021" s="232" t="s">
        <v>1141</v>
      </c>
      <c r="D1021" s="231" t="s">
        <v>12</v>
      </c>
      <c r="E1021" s="233" t="s">
        <v>103</v>
      </c>
      <c r="F1021" s="232" t="s">
        <v>1145</v>
      </c>
      <c r="G1021" s="281" t="s">
        <v>296</v>
      </c>
      <c r="H1021" s="234" t="s">
        <v>296</v>
      </c>
      <c r="I1021" s="235" t="s">
        <v>18</v>
      </c>
      <c r="J1021" s="235" t="s">
        <v>296</v>
      </c>
      <c r="K1021" s="235" t="s">
        <v>18</v>
      </c>
      <c r="L1021" s="234" t="s">
        <v>296</v>
      </c>
      <c r="M1021" s="234" t="s">
        <v>296</v>
      </c>
      <c r="N1021" s="235" t="s">
        <v>296</v>
      </c>
      <c r="O1021" s="236" t="s">
        <v>18</v>
      </c>
      <c r="P1021" s="236" t="s">
        <v>18</v>
      </c>
      <c r="Q1021" s="236" t="s">
        <v>15</v>
      </c>
      <c r="R1021" s="236" t="s">
        <v>15</v>
      </c>
      <c r="S1021" s="236" t="s">
        <v>16</v>
      </c>
      <c r="T1021" s="236" t="s">
        <v>343</v>
      </c>
      <c r="U1021" s="236" t="s">
        <v>262</v>
      </c>
      <c r="V1021" s="236" t="s">
        <v>296</v>
      </c>
      <c r="W1021" s="237" t="s">
        <v>296</v>
      </c>
      <c r="X1021" s="237" t="s">
        <v>296</v>
      </c>
      <c r="Y1021" s="238" t="s">
        <v>296</v>
      </c>
    </row>
    <row r="1022" spans="1:25">
      <c r="A1022" s="230">
        <v>19</v>
      </c>
      <c r="B1022" s="231" t="str">
        <f>VLOOKUP(Tabel10[[#This Row],[Locatiecode]],Ruimtegroepen[[Code]:[Ruimte omschrijving]],2,FALSE)</f>
        <v>kleedruimten</v>
      </c>
      <c r="C1022" s="232" t="s">
        <v>1141</v>
      </c>
      <c r="D1022" s="231" t="s">
        <v>12</v>
      </c>
      <c r="E1022" s="233" t="s">
        <v>100</v>
      </c>
      <c r="F1022" s="232" t="s">
        <v>1143</v>
      </c>
      <c r="G1022" s="281" t="s">
        <v>296</v>
      </c>
      <c r="H1022" s="235" t="s">
        <v>18</v>
      </c>
      <c r="I1022" s="234" t="s">
        <v>296</v>
      </c>
      <c r="J1022" s="235" t="s">
        <v>296</v>
      </c>
      <c r="K1022" s="235" t="s">
        <v>296</v>
      </c>
      <c r="L1022" s="234" t="s">
        <v>296</v>
      </c>
      <c r="M1022" s="234" t="s">
        <v>296</v>
      </c>
      <c r="N1022" s="235" t="s">
        <v>296</v>
      </c>
      <c r="O1022" s="236" t="s">
        <v>18</v>
      </c>
      <c r="P1022" s="236" t="s">
        <v>18</v>
      </c>
      <c r="Q1022" s="236" t="s">
        <v>15</v>
      </c>
      <c r="R1022" s="236" t="s">
        <v>15</v>
      </c>
      <c r="S1022" s="236" t="s">
        <v>16</v>
      </c>
      <c r="T1022" s="236" t="s">
        <v>343</v>
      </c>
      <c r="U1022" s="236" t="s">
        <v>262</v>
      </c>
      <c r="V1022" s="236" t="s">
        <v>296</v>
      </c>
      <c r="W1022" s="237" t="s">
        <v>296</v>
      </c>
      <c r="X1022" s="237" t="s">
        <v>296</v>
      </c>
      <c r="Y1022" s="238" t="s">
        <v>296</v>
      </c>
    </row>
    <row r="1023" spans="1:25">
      <c r="A1023" s="230">
        <v>19</v>
      </c>
      <c r="B1023" s="231" t="str">
        <f>VLOOKUP(Tabel10[[#This Row],[Locatiecode]],Ruimtegroepen[[Code]:[Ruimte omschrijving]],2,FALSE)</f>
        <v>kleedruimten</v>
      </c>
      <c r="C1023" s="232" t="s">
        <v>1141</v>
      </c>
      <c r="D1023" s="231" t="s">
        <v>12</v>
      </c>
      <c r="E1023" s="233" t="s">
        <v>1344</v>
      </c>
      <c r="F1023" s="232" t="s">
        <v>1476</v>
      </c>
      <c r="G1023" s="281" t="s">
        <v>296</v>
      </c>
      <c r="H1023" s="234" t="s">
        <v>296</v>
      </c>
      <c r="I1023" s="235" t="s">
        <v>18</v>
      </c>
      <c r="J1023" s="235" t="s">
        <v>296</v>
      </c>
      <c r="K1023" s="235" t="s">
        <v>18</v>
      </c>
      <c r="L1023" s="234" t="s">
        <v>296</v>
      </c>
      <c r="M1023" s="234" t="s">
        <v>296</v>
      </c>
      <c r="N1023" s="235" t="s">
        <v>296</v>
      </c>
      <c r="O1023" s="236" t="s">
        <v>18</v>
      </c>
      <c r="P1023" s="236" t="s">
        <v>18</v>
      </c>
      <c r="Q1023" s="236" t="s">
        <v>15</v>
      </c>
      <c r="R1023" s="236" t="s">
        <v>15</v>
      </c>
      <c r="S1023" s="236" t="s">
        <v>16</v>
      </c>
      <c r="T1023" s="236" t="s">
        <v>343</v>
      </c>
      <c r="U1023" s="236" t="s">
        <v>262</v>
      </c>
      <c r="V1023" s="236" t="s">
        <v>296</v>
      </c>
      <c r="W1023" s="237" t="s">
        <v>296</v>
      </c>
      <c r="X1023" s="237" t="s">
        <v>296</v>
      </c>
      <c r="Y1023" s="238" t="s">
        <v>296</v>
      </c>
    </row>
    <row r="1024" spans="1:25">
      <c r="A1024" s="230">
        <v>19</v>
      </c>
      <c r="B1024" s="231" t="str">
        <f>VLOOKUP(Tabel10[[#This Row],[Locatiecode]],Ruimtegroepen[[Code]:[Ruimte omschrijving]],2,FALSE)</f>
        <v>kleedruimten</v>
      </c>
      <c r="C1024" s="232" t="s">
        <v>1146</v>
      </c>
      <c r="D1024" s="231" t="s">
        <v>14</v>
      </c>
      <c r="E1024" s="233" t="s">
        <v>101</v>
      </c>
      <c r="F1024" s="232" t="s">
        <v>1147</v>
      </c>
      <c r="G1024" s="281" t="s">
        <v>296</v>
      </c>
      <c r="H1024" s="234" t="s">
        <v>296</v>
      </c>
      <c r="I1024" s="235" t="s">
        <v>17</v>
      </c>
      <c r="J1024" s="235" t="s">
        <v>296</v>
      </c>
      <c r="K1024" s="235" t="s">
        <v>17</v>
      </c>
      <c r="L1024" s="234" t="s">
        <v>296</v>
      </c>
      <c r="M1024" s="234" t="s">
        <v>296</v>
      </c>
      <c r="N1024" s="235" t="s">
        <v>296</v>
      </c>
      <c r="O1024" s="236" t="s">
        <v>17</v>
      </c>
      <c r="P1024" s="236" t="s">
        <v>17</v>
      </c>
      <c r="Q1024" s="236" t="s">
        <v>15</v>
      </c>
      <c r="R1024" s="236" t="s">
        <v>15</v>
      </c>
      <c r="S1024" s="236" t="s">
        <v>16</v>
      </c>
      <c r="T1024" s="236" t="s">
        <v>343</v>
      </c>
      <c r="U1024" s="236" t="s">
        <v>262</v>
      </c>
      <c r="V1024" s="236" t="s">
        <v>296</v>
      </c>
      <c r="W1024" s="237" t="s">
        <v>296</v>
      </c>
      <c r="X1024" s="237" t="s">
        <v>296</v>
      </c>
      <c r="Y1024" s="238" t="s">
        <v>296</v>
      </c>
    </row>
    <row r="1025" spans="1:25">
      <c r="A1025" s="230">
        <v>19</v>
      </c>
      <c r="B1025" s="231" t="str">
        <f>VLOOKUP(Tabel10[[#This Row],[Locatiecode]],Ruimtegroepen[[Code]:[Ruimte omschrijving]],2,FALSE)</f>
        <v>kleedruimten</v>
      </c>
      <c r="C1025" s="232" t="s">
        <v>1146</v>
      </c>
      <c r="D1025" s="231" t="s">
        <v>14</v>
      </c>
      <c r="E1025" s="233" t="s">
        <v>100</v>
      </c>
      <c r="F1025" s="232" t="s">
        <v>1148</v>
      </c>
      <c r="G1025" s="281" t="s">
        <v>296</v>
      </c>
      <c r="H1025" s="235" t="s">
        <v>17</v>
      </c>
      <c r="I1025" s="234" t="s">
        <v>296</v>
      </c>
      <c r="J1025" s="235" t="s">
        <v>296</v>
      </c>
      <c r="K1025" s="235" t="s">
        <v>296</v>
      </c>
      <c r="L1025" s="234" t="s">
        <v>296</v>
      </c>
      <c r="M1025" s="234" t="s">
        <v>296</v>
      </c>
      <c r="N1025" s="235" t="s">
        <v>296</v>
      </c>
      <c r="O1025" s="236" t="s">
        <v>17</v>
      </c>
      <c r="P1025" s="236" t="s">
        <v>17</v>
      </c>
      <c r="Q1025" s="236" t="s">
        <v>15</v>
      </c>
      <c r="R1025" s="236" t="s">
        <v>15</v>
      </c>
      <c r="S1025" s="236" t="s">
        <v>16</v>
      </c>
      <c r="T1025" s="236" t="s">
        <v>343</v>
      </c>
      <c r="U1025" s="236" t="s">
        <v>262</v>
      </c>
      <c r="V1025" s="236" t="s">
        <v>296</v>
      </c>
      <c r="W1025" s="237" t="s">
        <v>296</v>
      </c>
      <c r="X1025" s="237" t="s">
        <v>296</v>
      </c>
      <c r="Y1025" s="238" t="s">
        <v>296</v>
      </c>
    </row>
    <row r="1026" spans="1:25">
      <c r="A1026" s="230">
        <v>19</v>
      </c>
      <c r="B1026" s="231" t="str">
        <f>VLOOKUP(Tabel10[[#This Row],[Locatiecode]],Ruimtegroepen[[Code]:[Ruimte omschrijving]],2,FALSE)</f>
        <v>kleedruimten</v>
      </c>
      <c r="C1026" s="232" t="s">
        <v>1146</v>
      </c>
      <c r="D1026" s="231" t="s">
        <v>14</v>
      </c>
      <c r="E1026" s="233" t="s">
        <v>102</v>
      </c>
      <c r="F1026" s="232" t="s">
        <v>1149</v>
      </c>
      <c r="G1026" s="281" t="s">
        <v>296</v>
      </c>
      <c r="H1026" s="234" t="s">
        <v>296</v>
      </c>
      <c r="I1026" s="235" t="s">
        <v>17</v>
      </c>
      <c r="J1026" s="235" t="s">
        <v>296</v>
      </c>
      <c r="K1026" s="235" t="s">
        <v>17</v>
      </c>
      <c r="L1026" s="234" t="s">
        <v>296</v>
      </c>
      <c r="M1026" s="234" t="s">
        <v>296</v>
      </c>
      <c r="N1026" s="235" t="s">
        <v>296</v>
      </c>
      <c r="O1026" s="236" t="s">
        <v>17</v>
      </c>
      <c r="P1026" s="236" t="s">
        <v>17</v>
      </c>
      <c r="Q1026" s="236" t="s">
        <v>15</v>
      </c>
      <c r="R1026" s="236" t="s">
        <v>15</v>
      </c>
      <c r="S1026" s="236" t="s">
        <v>16</v>
      </c>
      <c r="T1026" s="236" t="s">
        <v>343</v>
      </c>
      <c r="U1026" s="236" t="s">
        <v>262</v>
      </c>
      <c r="V1026" s="236" t="s">
        <v>296</v>
      </c>
      <c r="W1026" s="237" t="s">
        <v>296</v>
      </c>
      <c r="X1026" s="237" t="s">
        <v>296</v>
      </c>
      <c r="Y1026" s="238" t="s">
        <v>296</v>
      </c>
    </row>
    <row r="1027" spans="1:25">
      <c r="A1027" s="230">
        <v>19</v>
      </c>
      <c r="B1027" s="231" t="str">
        <f>VLOOKUP(Tabel10[[#This Row],[Locatiecode]],Ruimtegroepen[[Code]:[Ruimte omschrijving]],2,FALSE)</f>
        <v>kleedruimten</v>
      </c>
      <c r="C1027" s="232" t="s">
        <v>1146</v>
      </c>
      <c r="D1027" s="231" t="s">
        <v>14</v>
      </c>
      <c r="E1027" s="233" t="s">
        <v>103</v>
      </c>
      <c r="F1027" s="232" t="s">
        <v>1150</v>
      </c>
      <c r="G1027" s="281" t="s">
        <v>296</v>
      </c>
      <c r="H1027" s="234" t="s">
        <v>296</v>
      </c>
      <c r="I1027" s="235" t="s">
        <v>17</v>
      </c>
      <c r="J1027" s="235" t="s">
        <v>296</v>
      </c>
      <c r="K1027" s="235" t="s">
        <v>17</v>
      </c>
      <c r="L1027" s="234" t="s">
        <v>296</v>
      </c>
      <c r="M1027" s="234" t="s">
        <v>296</v>
      </c>
      <c r="N1027" s="235" t="s">
        <v>296</v>
      </c>
      <c r="O1027" s="236" t="s">
        <v>17</v>
      </c>
      <c r="P1027" s="236" t="s">
        <v>17</v>
      </c>
      <c r="Q1027" s="236" t="s">
        <v>15</v>
      </c>
      <c r="R1027" s="236" t="s">
        <v>15</v>
      </c>
      <c r="S1027" s="236" t="s">
        <v>16</v>
      </c>
      <c r="T1027" s="236" t="s">
        <v>343</v>
      </c>
      <c r="U1027" s="236" t="s">
        <v>262</v>
      </c>
      <c r="V1027" s="236" t="s">
        <v>296</v>
      </c>
      <c r="W1027" s="237" t="s">
        <v>296</v>
      </c>
      <c r="X1027" s="237" t="s">
        <v>296</v>
      </c>
      <c r="Y1027" s="238" t="s">
        <v>296</v>
      </c>
    </row>
    <row r="1028" spans="1:25">
      <c r="A1028" s="230">
        <v>19</v>
      </c>
      <c r="B1028" s="231" t="str">
        <f>VLOOKUP(Tabel10[[#This Row],[Locatiecode]],Ruimtegroepen[[Code]:[Ruimte omschrijving]],2,FALSE)</f>
        <v>kleedruimten</v>
      </c>
      <c r="C1028" s="232" t="s">
        <v>1146</v>
      </c>
      <c r="D1028" s="231" t="s">
        <v>14</v>
      </c>
      <c r="E1028" s="233" t="s">
        <v>100</v>
      </c>
      <c r="F1028" s="232" t="s">
        <v>1148</v>
      </c>
      <c r="G1028" s="281" t="s">
        <v>296</v>
      </c>
      <c r="H1028" s="235" t="s">
        <v>17</v>
      </c>
      <c r="I1028" s="234" t="s">
        <v>296</v>
      </c>
      <c r="J1028" s="235" t="s">
        <v>296</v>
      </c>
      <c r="K1028" s="235" t="s">
        <v>296</v>
      </c>
      <c r="L1028" s="234" t="s">
        <v>296</v>
      </c>
      <c r="M1028" s="234" t="s">
        <v>296</v>
      </c>
      <c r="N1028" s="235" t="s">
        <v>296</v>
      </c>
      <c r="O1028" s="236" t="s">
        <v>17</v>
      </c>
      <c r="P1028" s="236" t="s">
        <v>17</v>
      </c>
      <c r="Q1028" s="236" t="s">
        <v>15</v>
      </c>
      <c r="R1028" s="236" t="s">
        <v>15</v>
      </c>
      <c r="S1028" s="236" t="s">
        <v>16</v>
      </c>
      <c r="T1028" s="236" t="s">
        <v>343</v>
      </c>
      <c r="U1028" s="236" t="s">
        <v>262</v>
      </c>
      <c r="V1028" s="236" t="s">
        <v>296</v>
      </c>
      <c r="W1028" s="237" t="s">
        <v>296</v>
      </c>
      <c r="X1028" s="237" t="s">
        <v>296</v>
      </c>
      <c r="Y1028" s="238" t="s">
        <v>296</v>
      </c>
    </row>
    <row r="1029" spans="1:25">
      <c r="A1029" s="230">
        <v>19</v>
      </c>
      <c r="B1029" s="231" t="str">
        <f>VLOOKUP(Tabel10[[#This Row],[Locatiecode]],Ruimtegroepen[[Code]:[Ruimte omschrijving]],2,FALSE)</f>
        <v>kleedruimten</v>
      </c>
      <c r="C1029" s="232" t="s">
        <v>1146</v>
      </c>
      <c r="D1029" s="231" t="s">
        <v>14</v>
      </c>
      <c r="E1029" s="233" t="s">
        <v>1344</v>
      </c>
      <c r="F1029" s="232" t="s">
        <v>1443</v>
      </c>
      <c r="G1029" s="281" t="s">
        <v>296</v>
      </c>
      <c r="H1029" s="234" t="s">
        <v>296</v>
      </c>
      <c r="I1029" s="235" t="s">
        <v>17</v>
      </c>
      <c r="J1029" s="235" t="s">
        <v>296</v>
      </c>
      <c r="K1029" s="235" t="s">
        <v>17</v>
      </c>
      <c r="L1029" s="234" t="s">
        <v>296</v>
      </c>
      <c r="M1029" s="234" t="s">
        <v>296</v>
      </c>
      <c r="N1029" s="235" t="s">
        <v>296</v>
      </c>
      <c r="O1029" s="236" t="s">
        <v>17</v>
      </c>
      <c r="P1029" s="236" t="s">
        <v>17</v>
      </c>
      <c r="Q1029" s="236" t="s">
        <v>15</v>
      </c>
      <c r="R1029" s="236" t="s">
        <v>15</v>
      </c>
      <c r="S1029" s="236" t="s">
        <v>16</v>
      </c>
      <c r="T1029" s="236" t="s">
        <v>343</v>
      </c>
      <c r="U1029" s="236" t="s">
        <v>262</v>
      </c>
      <c r="V1029" s="236" t="s">
        <v>296</v>
      </c>
      <c r="W1029" s="237" t="s">
        <v>296</v>
      </c>
      <c r="X1029" s="237" t="s">
        <v>296</v>
      </c>
      <c r="Y1029" s="238" t="s">
        <v>296</v>
      </c>
    </row>
    <row r="1030" spans="1:25">
      <c r="A1030" s="230">
        <v>19</v>
      </c>
      <c r="B1030" s="231" t="str">
        <f>VLOOKUP(Tabel10[[#This Row],[Locatiecode]],Ruimtegroepen[[Code]:[Ruimte omschrijving]],2,FALSE)</f>
        <v>kleedruimten</v>
      </c>
      <c r="C1030" s="232" t="s">
        <v>1151</v>
      </c>
      <c r="D1030" s="231" t="s">
        <v>13</v>
      </c>
      <c r="E1030" s="233" t="s">
        <v>101</v>
      </c>
      <c r="F1030" s="232" t="s">
        <v>1152</v>
      </c>
      <c r="G1030" s="281" t="s">
        <v>296</v>
      </c>
      <c r="H1030" s="234" t="s">
        <v>296</v>
      </c>
      <c r="I1030" s="235" t="s">
        <v>15</v>
      </c>
      <c r="J1030" s="235" t="s">
        <v>296</v>
      </c>
      <c r="K1030" s="235" t="s">
        <v>15</v>
      </c>
      <c r="L1030" s="234" t="s">
        <v>296</v>
      </c>
      <c r="M1030" s="234" t="s">
        <v>296</v>
      </c>
      <c r="N1030" s="235" t="s">
        <v>296</v>
      </c>
      <c r="O1030" s="236" t="s">
        <v>15</v>
      </c>
      <c r="P1030" s="236" t="s">
        <v>15</v>
      </c>
      <c r="Q1030" s="236" t="s">
        <v>15</v>
      </c>
      <c r="R1030" s="236" t="s">
        <v>15</v>
      </c>
      <c r="S1030" s="236" t="s">
        <v>16</v>
      </c>
      <c r="T1030" s="236" t="s">
        <v>343</v>
      </c>
      <c r="U1030" s="236" t="s">
        <v>262</v>
      </c>
      <c r="V1030" s="236" t="s">
        <v>296</v>
      </c>
      <c r="W1030" s="237" t="s">
        <v>296</v>
      </c>
      <c r="X1030" s="237" t="s">
        <v>296</v>
      </c>
      <c r="Y1030" s="238" t="s">
        <v>296</v>
      </c>
    </row>
    <row r="1031" spans="1:25">
      <c r="A1031" s="230">
        <v>19</v>
      </c>
      <c r="B1031" s="231" t="str">
        <f>VLOOKUP(Tabel10[[#This Row],[Locatiecode]],Ruimtegroepen[[Code]:[Ruimte omschrijving]],2,FALSE)</f>
        <v>kleedruimten</v>
      </c>
      <c r="C1031" s="232" t="s">
        <v>1151</v>
      </c>
      <c r="D1031" s="231" t="s">
        <v>13</v>
      </c>
      <c r="E1031" s="233" t="s">
        <v>100</v>
      </c>
      <c r="F1031" s="232" t="s">
        <v>1153</v>
      </c>
      <c r="G1031" s="281" t="s">
        <v>296</v>
      </c>
      <c r="H1031" s="235" t="s">
        <v>15</v>
      </c>
      <c r="I1031" s="234" t="s">
        <v>296</v>
      </c>
      <c r="J1031" s="235" t="s">
        <v>296</v>
      </c>
      <c r="K1031" s="235" t="s">
        <v>296</v>
      </c>
      <c r="L1031" s="234" t="s">
        <v>296</v>
      </c>
      <c r="M1031" s="234" t="s">
        <v>296</v>
      </c>
      <c r="N1031" s="235" t="s">
        <v>296</v>
      </c>
      <c r="O1031" s="236" t="s">
        <v>15</v>
      </c>
      <c r="P1031" s="236" t="s">
        <v>15</v>
      </c>
      <c r="Q1031" s="236" t="s">
        <v>15</v>
      </c>
      <c r="R1031" s="236" t="s">
        <v>15</v>
      </c>
      <c r="S1031" s="236" t="s">
        <v>16</v>
      </c>
      <c r="T1031" s="236" t="s">
        <v>343</v>
      </c>
      <c r="U1031" s="236" t="s">
        <v>262</v>
      </c>
      <c r="V1031" s="236" t="s">
        <v>296</v>
      </c>
      <c r="W1031" s="237" t="s">
        <v>296</v>
      </c>
      <c r="X1031" s="237" t="s">
        <v>296</v>
      </c>
      <c r="Y1031" s="238" t="s">
        <v>296</v>
      </c>
    </row>
    <row r="1032" spans="1:25">
      <c r="A1032" s="230">
        <v>19</v>
      </c>
      <c r="B1032" s="231" t="str">
        <f>VLOOKUP(Tabel10[[#This Row],[Locatiecode]],Ruimtegroepen[[Code]:[Ruimte omschrijving]],2,FALSE)</f>
        <v>kleedruimten</v>
      </c>
      <c r="C1032" s="232" t="s">
        <v>1151</v>
      </c>
      <c r="D1032" s="231" t="s">
        <v>13</v>
      </c>
      <c r="E1032" s="233" t="s">
        <v>102</v>
      </c>
      <c r="F1032" s="232" t="s">
        <v>1154</v>
      </c>
      <c r="G1032" s="281" t="s">
        <v>296</v>
      </c>
      <c r="H1032" s="234" t="s">
        <v>296</v>
      </c>
      <c r="I1032" s="235" t="s">
        <v>15</v>
      </c>
      <c r="J1032" s="235" t="s">
        <v>296</v>
      </c>
      <c r="K1032" s="235" t="s">
        <v>15</v>
      </c>
      <c r="L1032" s="234" t="s">
        <v>296</v>
      </c>
      <c r="M1032" s="234" t="s">
        <v>296</v>
      </c>
      <c r="N1032" s="235" t="s">
        <v>296</v>
      </c>
      <c r="O1032" s="236" t="s">
        <v>15</v>
      </c>
      <c r="P1032" s="236" t="s">
        <v>15</v>
      </c>
      <c r="Q1032" s="236" t="s">
        <v>15</v>
      </c>
      <c r="R1032" s="236" t="s">
        <v>15</v>
      </c>
      <c r="S1032" s="236" t="s">
        <v>16</v>
      </c>
      <c r="T1032" s="236" t="s">
        <v>343</v>
      </c>
      <c r="U1032" s="236" t="s">
        <v>262</v>
      </c>
      <c r="V1032" s="236" t="s">
        <v>296</v>
      </c>
      <c r="W1032" s="237" t="s">
        <v>296</v>
      </c>
      <c r="X1032" s="237" t="s">
        <v>296</v>
      </c>
      <c r="Y1032" s="238" t="s">
        <v>296</v>
      </c>
    </row>
    <row r="1033" spans="1:25">
      <c r="A1033" s="230">
        <v>19</v>
      </c>
      <c r="B1033" s="231" t="str">
        <f>VLOOKUP(Tabel10[[#This Row],[Locatiecode]],Ruimtegroepen[[Code]:[Ruimte omschrijving]],2,FALSE)</f>
        <v>kleedruimten</v>
      </c>
      <c r="C1033" s="232" t="s">
        <v>1151</v>
      </c>
      <c r="D1033" s="231" t="s">
        <v>13</v>
      </c>
      <c r="E1033" s="233" t="s">
        <v>103</v>
      </c>
      <c r="F1033" s="232" t="s">
        <v>1155</v>
      </c>
      <c r="G1033" s="281" t="s">
        <v>296</v>
      </c>
      <c r="H1033" s="234" t="s">
        <v>296</v>
      </c>
      <c r="I1033" s="235" t="s">
        <v>15</v>
      </c>
      <c r="J1033" s="235" t="s">
        <v>296</v>
      </c>
      <c r="K1033" s="235" t="s">
        <v>15</v>
      </c>
      <c r="L1033" s="234" t="s">
        <v>296</v>
      </c>
      <c r="M1033" s="234" t="s">
        <v>296</v>
      </c>
      <c r="N1033" s="235" t="s">
        <v>296</v>
      </c>
      <c r="O1033" s="236" t="s">
        <v>15</v>
      </c>
      <c r="P1033" s="236" t="s">
        <v>15</v>
      </c>
      <c r="Q1033" s="236" t="s">
        <v>15</v>
      </c>
      <c r="R1033" s="236" t="s">
        <v>15</v>
      </c>
      <c r="S1033" s="236" t="s">
        <v>16</v>
      </c>
      <c r="T1033" s="236" t="s">
        <v>343</v>
      </c>
      <c r="U1033" s="236" t="s">
        <v>262</v>
      </c>
      <c r="V1033" s="236" t="s">
        <v>296</v>
      </c>
      <c r="W1033" s="237" t="s">
        <v>296</v>
      </c>
      <c r="X1033" s="237" t="s">
        <v>296</v>
      </c>
      <c r="Y1033" s="238" t="s">
        <v>296</v>
      </c>
    </row>
    <row r="1034" spans="1:25">
      <c r="A1034" s="230">
        <v>19</v>
      </c>
      <c r="B1034" s="231" t="str">
        <f>VLOOKUP(Tabel10[[#This Row],[Locatiecode]],Ruimtegroepen[[Code]:[Ruimte omschrijving]],2,FALSE)</f>
        <v>kleedruimten</v>
      </c>
      <c r="C1034" s="232" t="s">
        <v>1151</v>
      </c>
      <c r="D1034" s="231" t="s">
        <v>13</v>
      </c>
      <c r="E1034" s="233" t="s">
        <v>100</v>
      </c>
      <c r="F1034" s="232" t="s">
        <v>1153</v>
      </c>
      <c r="G1034" s="281" t="s">
        <v>296</v>
      </c>
      <c r="H1034" s="235" t="s">
        <v>15</v>
      </c>
      <c r="I1034" s="234" t="s">
        <v>296</v>
      </c>
      <c r="J1034" s="235" t="s">
        <v>296</v>
      </c>
      <c r="K1034" s="235" t="s">
        <v>296</v>
      </c>
      <c r="L1034" s="234" t="s">
        <v>296</v>
      </c>
      <c r="M1034" s="234" t="s">
        <v>296</v>
      </c>
      <c r="N1034" s="235" t="s">
        <v>296</v>
      </c>
      <c r="O1034" s="236" t="s">
        <v>15</v>
      </c>
      <c r="P1034" s="236" t="s">
        <v>15</v>
      </c>
      <c r="Q1034" s="236" t="s">
        <v>15</v>
      </c>
      <c r="R1034" s="236" t="s">
        <v>15</v>
      </c>
      <c r="S1034" s="236" t="s">
        <v>16</v>
      </c>
      <c r="T1034" s="236" t="s">
        <v>343</v>
      </c>
      <c r="U1034" s="236" t="s">
        <v>262</v>
      </c>
      <c r="V1034" s="236" t="s">
        <v>296</v>
      </c>
      <c r="W1034" s="237" t="s">
        <v>296</v>
      </c>
      <c r="X1034" s="237" t="s">
        <v>296</v>
      </c>
      <c r="Y1034" s="238" t="s">
        <v>296</v>
      </c>
    </row>
    <row r="1035" spans="1:25">
      <c r="A1035" s="230">
        <v>19</v>
      </c>
      <c r="B1035" s="231" t="str">
        <f>VLOOKUP(Tabel10[[#This Row],[Locatiecode]],Ruimtegroepen[[Code]:[Ruimte omschrijving]],2,FALSE)</f>
        <v>kleedruimten</v>
      </c>
      <c r="C1035" s="232" t="s">
        <v>1151</v>
      </c>
      <c r="D1035" s="231" t="s">
        <v>13</v>
      </c>
      <c r="E1035" s="233" t="s">
        <v>1344</v>
      </c>
      <c r="F1035" s="232" t="s">
        <v>1410</v>
      </c>
      <c r="G1035" s="281" t="s">
        <v>296</v>
      </c>
      <c r="H1035" s="234" t="s">
        <v>296</v>
      </c>
      <c r="I1035" s="235" t="s">
        <v>15</v>
      </c>
      <c r="J1035" s="235" t="s">
        <v>296</v>
      </c>
      <c r="K1035" s="235" t="s">
        <v>15</v>
      </c>
      <c r="L1035" s="234" t="s">
        <v>296</v>
      </c>
      <c r="M1035" s="234" t="s">
        <v>296</v>
      </c>
      <c r="N1035" s="235" t="s">
        <v>296</v>
      </c>
      <c r="O1035" s="236" t="s">
        <v>15</v>
      </c>
      <c r="P1035" s="236" t="s">
        <v>15</v>
      </c>
      <c r="Q1035" s="236" t="s">
        <v>15</v>
      </c>
      <c r="R1035" s="236" t="s">
        <v>15</v>
      </c>
      <c r="S1035" s="236" t="s">
        <v>16</v>
      </c>
      <c r="T1035" s="236" t="s">
        <v>343</v>
      </c>
      <c r="U1035" s="236" t="s">
        <v>262</v>
      </c>
      <c r="V1035" s="236" t="s">
        <v>296</v>
      </c>
      <c r="W1035" s="237" t="s">
        <v>296</v>
      </c>
      <c r="X1035" s="237" t="s">
        <v>296</v>
      </c>
      <c r="Y1035" s="238" t="s">
        <v>296</v>
      </c>
    </row>
    <row r="1036" spans="1:25">
      <c r="A1036" s="230">
        <v>19</v>
      </c>
      <c r="B1036" s="231" t="str">
        <f>VLOOKUP(Tabel10[[#This Row],[Locatiecode]],Ruimtegroepen[[Code]:[Ruimte omschrijving]],2,FALSE)</f>
        <v>kleedruimten</v>
      </c>
      <c r="C1036" s="232" t="s">
        <v>1156</v>
      </c>
      <c r="D1036" s="231" t="s">
        <v>0</v>
      </c>
      <c r="E1036" s="233" t="s">
        <v>101</v>
      </c>
      <c r="F1036" s="232" t="s">
        <v>1157</v>
      </c>
      <c r="G1036" s="281" t="s">
        <v>296</v>
      </c>
      <c r="H1036" s="234" t="s">
        <v>296</v>
      </c>
      <c r="I1036" s="235" t="s">
        <v>16</v>
      </c>
      <c r="J1036" s="235" t="s">
        <v>296</v>
      </c>
      <c r="K1036" s="235" t="s">
        <v>16</v>
      </c>
      <c r="L1036" s="234" t="s">
        <v>296</v>
      </c>
      <c r="M1036" s="234" t="s">
        <v>296</v>
      </c>
      <c r="N1036" s="235" t="s">
        <v>296</v>
      </c>
      <c r="O1036" s="236" t="s">
        <v>16</v>
      </c>
      <c r="P1036" s="236" t="s">
        <v>16</v>
      </c>
      <c r="Q1036" s="236" t="s">
        <v>16</v>
      </c>
      <c r="R1036" s="236" t="s">
        <v>16</v>
      </c>
      <c r="S1036" s="236" t="s">
        <v>16</v>
      </c>
      <c r="T1036" s="236" t="s">
        <v>343</v>
      </c>
      <c r="U1036" s="236" t="s">
        <v>262</v>
      </c>
      <c r="V1036" s="236" t="s">
        <v>296</v>
      </c>
      <c r="W1036" s="237" t="s">
        <v>296</v>
      </c>
      <c r="X1036" s="237" t="s">
        <v>296</v>
      </c>
      <c r="Y1036" s="238" t="s">
        <v>296</v>
      </c>
    </row>
    <row r="1037" spans="1:25">
      <c r="A1037" s="230">
        <v>19</v>
      </c>
      <c r="B1037" s="231" t="str">
        <f>VLOOKUP(Tabel10[[#This Row],[Locatiecode]],Ruimtegroepen[[Code]:[Ruimte omschrijving]],2,FALSE)</f>
        <v>kleedruimten</v>
      </c>
      <c r="C1037" s="232" t="s">
        <v>1156</v>
      </c>
      <c r="D1037" s="231" t="s">
        <v>0</v>
      </c>
      <c r="E1037" s="233" t="s">
        <v>100</v>
      </c>
      <c r="F1037" s="232" t="s">
        <v>1158</v>
      </c>
      <c r="G1037" s="281" t="s">
        <v>296</v>
      </c>
      <c r="H1037" s="235" t="s">
        <v>16</v>
      </c>
      <c r="I1037" s="234" t="s">
        <v>296</v>
      </c>
      <c r="J1037" s="235" t="s">
        <v>296</v>
      </c>
      <c r="K1037" s="235" t="s">
        <v>296</v>
      </c>
      <c r="L1037" s="234" t="s">
        <v>296</v>
      </c>
      <c r="M1037" s="234" t="s">
        <v>296</v>
      </c>
      <c r="N1037" s="235" t="s">
        <v>296</v>
      </c>
      <c r="O1037" s="236" t="s">
        <v>16</v>
      </c>
      <c r="P1037" s="236" t="s">
        <v>16</v>
      </c>
      <c r="Q1037" s="236" t="s">
        <v>16</v>
      </c>
      <c r="R1037" s="236" t="s">
        <v>16</v>
      </c>
      <c r="S1037" s="236" t="s">
        <v>16</v>
      </c>
      <c r="T1037" s="236" t="s">
        <v>343</v>
      </c>
      <c r="U1037" s="236" t="s">
        <v>262</v>
      </c>
      <c r="V1037" s="236" t="s">
        <v>296</v>
      </c>
      <c r="W1037" s="237" t="s">
        <v>296</v>
      </c>
      <c r="X1037" s="237" t="s">
        <v>296</v>
      </c>
      <c r="Y1037" s="238" t="s">
        <v>296</v>
      </c>
    </row>
    <row r="1038" spans="1:25">
      <c r="A1038" s="230">
        <v>19</v>
      </c>
      <c r="B1038" s="231" t="str">
        <f>VLOOKUP(Tabel10[[#This Row],[Locatiecode]],Ruimtegroepen[[Code]:[Ruimte omschrijving]],2,FALSE)</f>
        <v>kleedruimten</v>
      </c>
      <c r="C1038" s="232" t="s">
        <v>1156</v>
      </c>
      <c r="D1038" s="231" t="s">
        <v>0</v>
      </c>
      <c r="E1038" s="233" t="s">
        <v>102</v>
      </c>
      <c r="F1038" s="232" t="s">
        <v>1159</v>
      </c>
      <c r="G1038" s="281" t="s">
        <v>296</v>
      </c>
      <c r="H1038" s="234" t="s">
        <v>296</v>
      </c>
      <c r="I1038" s="235" t="s">
        <v>16</v>
      </c>
      <c r="J1038" s="235" t="s">
        <v>375</v>
      </c>
      <c r="K1038" s="235" t="s">
        <v>16</v>
      </c>
      <c r="L1038" s="234" t="s">
        <v>296</v>
      </c>
      <c r="M1038" s="234" t="s">
        <v>296</v>
      </c>
      <c r="N1038" s="235" t="s">
        <v>296</v>
      </c>
      <c r="O1038" s="236" t="s">
        <v>16</v>
      </c>
      <c r="P1038" s="236" t="s">
        <v>16</v>
      </c>
      <c r="Q1038" s="236" t="s">
        <v>16</v>
      </c>
      <c r="R1038" s="236" t="s">
        <v>16</v>
      </c>
      <c r="S1038" s="236" t="s">
        <v>16</v>
      </c>
      <c r="T1038" s="236" t="s">
        <v>343</v>
      </c>
      <c r="U1038" s="236" t="s">
        <v>262</v>
      </c>
      <c r="V1038" s="236" t="s">
        <v>296</v>
      </c>
      <c r="W1038" s="237" t="s">
        <v>296</v>
      </c>
      <c r="X1038" s="237" t="s">
        <v>296</v>
      </c>
      <c r="Y1038" s="238" t="s">
        <v>296</v>
      </c>
    </row>
    <row r="1039" spans="1:25">
      <c r="A1039" s="230">
        <v>19</v>
      </c>
      <c r="B1039" s="231" t="str">
        <f>VLOOKUP(Tabel10[[#This Row],[Locatiecode]],Ruimtegroepen[[Code]:[Ruimte omschrijving]],2,FALSE)</f>
        <v>kleedruimten</v>
      </c>
      <c r="C1039" s="232" t="s">
        <v>1156</v>
      </c>
      <c r="D1039" s="231" t="s">
        <v>0</v>
      </c>
      <c r="E1039" s="233" t="s">
        <v>103</v>
      </c>
      <c r="F1039" s="232" t="s">
        <v>1160</v>
      </c>
      <c r="G1039" s="281" t="s">
        <v>296</v>
      </c>
      <c r="H1039" s="234" t="s">
        <v>296</v>
      </c>
      <c r="I1039" s="235" t="s">
        <v>16</v>
      </c>
      <c r="J1039" s="235" t="s">
        <v>296</v>
      </c>
      <c r="K1039" s="235" t="s">
        <v>16</v>
      </c>
      <c r="L1039" s="234" t="s">
        <v>296</v>
      </c>
      <c r="M1039" s="234" t="s">
        <v>296</v>
      </c>
      <c r="N1039" s="235" t="s">
        <v>296</v>
      </c>
      <c r="O1039" s="236" t="s">
        <v>16</v>
      </c>
      <c r="P1039" s="236" t="s">
        <v>16</v>
      </c>
      <c r="Q1039" s="236" t="s">
        <v>16</v>
      </c>
      <c r="R1039" s="236" t="s">
        <v>16</v>
      </c>
      <c r="S1039" s="236" t="s">
        <v>16</v>
      </c>
      <c r="T1039" s="236" t="s">
        <v>343</v>
      </c>
      <c r="U1039" s="236" t="s">
        <v>262</v>
      </c>
      <c r="V1039" s="236" t="s">
        <v>296</v>
      </c>
      <c r="W1039" s="237" t="s">
        <v>296</v>
      </c>
      <c r="X1039" s="237" t="s">
        <v>296</v>
      </c>
      <c r="Y1039" s="238" t="s">
        <v>296</v>
      </c>
    </row>
    <row r="1040" spans="1:25">
      <c r="A1040" s="230">
        <v>19</v>
      </c>
      <c r="B1040" s="231" t="str">
        <f>VLOOKUP(Tabel10[[#This Row],[Locatiecode]],Ruimtegroepen[[Code]:[Ruimte omschrijving]],2,FALSE)</f>
        <v>kleedruimten</v>
      </c>
      <c r="C1040" s="232" t="s">
        <v>1156</v>
      </c>
      <c r="D1040" s="231" t="s">
        <v>0</v>
      </c>
      <c r="E1040" s="233" t="s">
        <v>100</v>
      </c>
      <c r="F1040" s="232" t="s">
        <v>1158</v>
      </c>
      <c r="G1040" s="281" t="s">
        <v>296</v>
      </c>
      <c r="H1040" s="235" t="s">
        <v>16</v>
      </c>
      <c r="I1040" s="234" t="s">
        <v>296</v>
      </c>
      <c r="J1040" s="235" t="s">
        <v>296</v>
      </c>
      <c r="K1040" s="235" t="s">
        <v>296</v>
      </c>
      <c r="L1040" s="234" t="s">
        <v>296</v>
      </c>
      <c r="M1040" s="234" t="s">
        <v>296</v>
      </c>
      <c r="N1040" s="235" t="s">
        <v>296</v>
      </c>
      <c r="O1040" s="236" t="s">
        <v>16</v>
      </c>
      <c r="P1040" s="236" t="s">
        <v>16</v>
      </c>
      <c r="Q1040" s="236" t="s">
        <v>16</v>
      </c>
      <c r="R1040" s="236" t="s">
        <v>16</v>
      </c>
      <c r="S1040" s="236" t="s">
        <v>16</v>
      </c>
      <c r="T1040" s="236" t="s">
        <v>343</v>
      </c>
      <c r="U1040" s="236" t="s">
        <v>262</v>
      </c>
      <c r="V1040" s="236" t="s">
        <v>296</v>
      </c>
      <c r="W1040" s="237" t="s">
        <v>296</v>
      </c>
      <c r="X1040" s="237" t="s">
        <v>296</v>
      </c>
      <c r="Y1040" s="238" t="s">
        <v>296</v>
      </c>
    </row>
    <row r="1041" spans="1:25">
      <c r="A1041" s="230">
        <v>19</v>
      </c>
      <c r="B1041" s="231" t="str">
        <f>VLOOKUP(Tabel10[[#This Row],[Locatiecode]],Ruimtegroepen[[Code]:[Ruimte omschrijving]],2,FALSE)</f>
        <v>kleedruimten</v>
      </c>
      <c r="C1041" s="232" t="s">
        <v>1156</v>
      </c>
      <c r="D1041" s="231" t="s">
        <v>0</v>
      </c>
      <c r="E1041" s="233" t="s">
        <v>1344</v>
      </c>
      <c r="F1041" s="232" t="s">
        <v>1394</v>
      </c>
      <c r="G1041" s="281" t="s">
        <v>296</v>
      </c>
      <c r="H1041" s="234" t="s">
        <v>296</v>
      </c>
      <c r="I1041" s="235" t="s">
        <v>16</v>
      </c>
      <c r="J1041" s="235" t="s">
        <v>296</v>
      </c>
      <c r="K1041" s="235" t="s">
        <v>16</v>
      </c>
      <c r="L1041" s="234" t="s">
        <v>296</v>
      </c>
      <c r="M1041" s="234" t="s">
        <v>296</v>
      </c>
      <c r="N1041" s="235" t="s">
        <v>296</v>
      </c>
      <c r="O1041" s="236" t="s">
        <v>16</v>
      </c>
      <c r="P1041" s="236" t="s">
        <v>16</v>
      </c>
      <c r="Q1041" s="236" t="s">
        <v>16</v>
      </c>
      <c r="R1041" s="236" t="s">
        <v>16</v>
      </c>
      <c r="S1041" s="236" t="s">
        <v>16</v>
      </c>
      <c r="T1041" s="236" t="s">
        <v>343</v>
      </c>
      <c r="U1041" s="236" t="s">
        <v>262</v>
      </c>
      <c r="V1041" s="236" t="s">
        <v>296</v>
      </c>
      <c r="W1041" s="237" t="s">
        <v>296</v>
      </c>
      <c r="X1041" s="237" t="s">
        <v>296</v>
      </c>
      <c r="Y1041" s="238" t="s">
        <v>296</v>
      </c>
    </row>
    <row r="1042" spans="1:25">
      <c r="A1042" s="230">
        <v>19</v>
      </c>
      <c r="B1042" s="231" t="str">
        <f>VLOOKUP(Tabel10[[#This Row],[Locatiecode]],Ruimtegroepen[[Code]:[Ruimte omschrijving]],2,FALSE)</f>
        <v>kleedruimten</v>
      </c>
      <c r="C1042" s="232" t="s">
        <v>1161</v>
      </c>
      <c r="D1042" s="231" t="s">
        <v>27</v>
      </c>
      <c r="E1042" s="233" t="s">
        <v>101</v>
      </c>
      <c r="F1042" s="232" t="s">
        <v>1162</v>
      </c>
      <c r="G1042" s="281" t="s">
        <v>296</v>
      </c>
      <c r="H1042" s="234" t="s">
        <v>296</v>
      </c>
      <c r="I1042" s="235" t="s">
        <v>15</v>
      </c>
      <c r="J1042" s="235" t="s">
        <v>296</v>
      </c>
      <c r="K1042" s="235" t="s">
        <v>296</v>
      </c>
      <c r="L1042" s="234" t="s">
        <v>296</v>
      </c>
      <c r="M1042" s="234" t="s">
        <v>296</v>
      </c>
      <c r="N1042" s="235" t="s">
        <v>296</v>
      </c>
      <c r="O1042" s="236" t="s">
        <v>15</v>
      </c>
      <c r="P1042" s="236" t="s">
        <v>15</v>
      </c>
      <c r="Q1042" s="236" t="s">
        <v>15</v>
      </c>
      <c r="R1042" s="236" t="s">
        <v>296</v>
      </c>
      <c r="S1042" s="236" t="s">
        <v>296</v>
      </c>
      <c r="T1042" s="236" t="s">
        <v>296</v>
      </c>
      <c r="U1042" s="236" t="s">
        <v>296</v>
      </c>
      <c r="V1042" s="236" t="s">
        <v>296</v>
      </c>
      <c r="W1042" s="237" t="s">
        <v>296</v>
      </c>
      <c r="X1042" s="237" t="s">
        <v>296</v>
      </c>
      <c r="Y1042" s="238" t="s">
        <v>296</v>
      </c>
    </row>
    <row r="1043" spans="1:25">
      <c r="A1043" s="230">
        <v>19</v>
      </c>
      <c r="B1043" s="231" t="str">
        <f>VLOOKUP(Tabel10[[#This Row],[Locatiecode]],Ruimtegroepen[[Code]:[Ruimte omschrijving]],2,FALSE)</f>
        <v>kleedruimten</v>
      </c>
      <c r="C1043" s="232" t="s">
        <v>1161</v>
      </c>
      <c r="D1043" s="231" t="s">
        <v>27</v>
      </c>
      <c r="E1043" s="233" t="s">
        <v>100</v>
      </c>
      <c r="F1043" s="232" t="s">
        <v>1163</v>
      </c>
      <c r="G1043" s="281" t="s">
        <v>296</v>
      </c>
      <c r="H1043" s="235" t="s">
        <v>15</v>
      </c>
      <c r="I1043" s="234" t="s">
        <v>296</v>
      </c>
      <c r="J1043" s="235" t="s">
        <v>296</v>
      </c>
      <c r="K1043" s="235" t="s">
        <v>296</v>
      </c>
      <c r="L1043" s="234" t="s">
        <v>296</v>
      </c>
      <c r="M1043" s="234" t="s">
        <v>296</v>
      </c>
      <c r="N1043" s="235" t="s">
        <v>296</v>
      </c>
      <c r="O1043" s="236" t="s">
        <v>15</v>
      </c>
      <c r="P1043" s="236" t="s">
        <v>15</v>
      </c>
      <c r="Q1043" s="236" t="s">
        <v>15</v>
      </c>
      <c r="R1043" s="236" t="s">
        <v>296</v>
      </c>
      <c r="S1043" s="236" t="s">
        <v>296</v>
      </c>
      <c r="T1043" s="236" t="s">
        <v>296</v>
      </c>
      <c r="U1043" s="236" t="s">
        <v>296</v>
      </c>
      <c r="V1043" s="236" t="s">
        <v>296</v>
      </c>
      <c r="W1043" s="237" t="s">
        <v>296</v>
      </c>
      <c r="X1043" s="237" t="s">
        <v>296</v>
      </c>
      <c r="Y1043" s="238" t="s">
        <v>296</v>
      </c>
    </row>
    <row r="1044" spans="1:25">
      <c r="A1044" s="230">
        <v>19</v>
      </c>
      <c r="B1044" s="231" t="str">
        <f>VLOOKUP(Tabel10[[#This Row],[Locatiecode]],Ruimtegroepen[[Code]:[Ruimte omschrijving]],2,FALSE)</f>
        <v>kleedruimten</v>
      </c>
      <c r="C1044" s="232" t="s">
        <v>1161</v>
      </c>
      <c r="D1044" s="231" t="s">
        <v>27</v>
      </c>
      <c r="E1044" s="233" t="s">
        <v>102</v>
      </c>
      <c r="F1044" s="232" t="s">
        <v>1164</v>
      </c>
      <c r="G1044" s="281" t="s">
        <v>296</v>
      </c>
      <c r="H1044" s="234" t="s">
        <v>296</v>
      </c>
      <c r="I1044" s="235" t="s">
        <v>15</v>
      </c>
      <c r="J1044" s="235" t="s">
        <v>296</v>
      </c>
      <c r="K1044" s="235" t="s">
        <v>296</v>
      </c>
      <c r="L1044" s="234" t="s">
        <v>296</v>
      </c>
      <c r="M1044" s="234" t="s">
        <v>296</v>
      </c>
      <c r="N1044" s="235" t="s">
        <v>296</v>
      </c>
      <c r="O1044" s="236" t="s">
        <v>15</v>
      </c>
      <c r="P1044" s="236" t="s">
        <v>15</v>
      </c>
      <c r="Q1044" s="236" t="s">
        <v>15</v>
      </c>
      <c r="R1044" s="236" t="s">
        <v>296</v>
      </c>
      <c r="S1044" s="236" t="s">
        <v>296</v>
      </c>
      <c r="T1044" s="236" t="s">
        <v>296</v>
      </c>
      <c r="U1044" s="236" t="s">
        <v>296</v>
      </c>
      <c r="V1044" s="236" t="s">
        <v>296</v>
      </c>
      <c r="W1044" s="237" t="s">
        <v>296</v>
      </c>
      <c r="X1044" s="237" t="s">
        <v>296</v>
      </c>
      <c r="Y1044" s="238" t="s">
        <v>296</v>
      </c>
    </row>
    <row r="1045" spans="1:25">
      <c r="A1045" s="230">
        <v>19</v>
      </c>
      <c r="B1045" s="231" t="str">
        <f>VLOOKUP(Tabel10[[#This Row],[Locatiecode]],Ruimtegroepen[[Code]:[Ruimte omschrijving]],2,FALSE)</f>
        <v>kleedruimten</v>
      </c>
      <c r="C1045" s="232" t="s">
        <v>1161</v>
      </c>
      <c r="D1045" s="231" t="s">
        <v>27</v>
      </c>
      <c r="E1045" s="233" t="s">
        <v>103</v>
      </c>
      <c r="F1045" s="232" t="s">
        <v>1165</v>
      </c>
      <c r="G1045" s="281" t="s">
        <v>296</v>
      </c>
      <c r="H1045" s="234" t="s">
        <v>296</v>
      </c>
      <c r="I1045" s="235" t="s">
        <v>15</v>
      </c>
      <c r="J1045" s="235" t="s">
        <v>296</v>
      </c>
      <c r="K1045" s="235" t="s">
        <v>296</v>
      </c>
      <c r="L1045" s="234" t="s">
        <v>296</v>
      </c>
      <c r="M1045" s="234" t="s">
        <v>296</v>
      </c>
      <c r="N1045" s="235" t="s">
        <v>296</v>
      </c>
      <c r="O1045" s="236" t="s">
        <v>15</v>
      </c>
      <c r="P1045" s="236" t="s">
        <v>15</v>
      </c>
      <c r="Q1045" s="236" t="s">
        <v>15</v>
      </c>
      <c r="R1045" s="236" t="s">
        <v>296</v>
      </c>
      <c r="S1045" s="236" t="s">
        <v>296</v>
      </c>
      <c r="T1045" s="236" t="s">
        <v>296</v>
      </c>
      <c r="U1045" s="236" t="s">
        <v>296</v>
      </c>
      <c r="V1045" s="236" t="s">
        <v>296</v>
      </c>
      <c r="W1045" s="237" t="s">
        <v>296</v>
      </c>
      <c r="X1045" s="237" t="s">
        <v>296</v>
      </c>
      <c r="Y1045" s="238" t="s">
        <v>296</v>
      </c>
    </row>
    <row r="1046" spans="1:25">
      <c r="A1046" s="230">
        <v>19</v>
      </c>
      <c r="B1046" s="231" t="str">
        <f>VLOOKUP(Tabel10[[#This Row],[Locatiecode]],Ruimtegroepen[[Code]:[Ruimte omschrijving]],2,FALSE)</f>
        <v>kleedruimten</v>
      </c>
      <c r="C1046" s="232" t="s">
        <v>1161</v>
      </c>
      <c r="D1046" s="231" t="s">
        <v>27</v>
      </c>
      <c r="E1046" s="233" t="s">
        <v>100</v>
      </c>
      <c r="F1046" s="232" t="s">
        <v>1163</v>
      </c>
      <c r="G1046" s="281" t="s">
        <v>296</v>
      </c>
      <c r="H1046" s="235" t="s">
        <v>15</v>
      </c>
      <c r="I1046" s="234" t="s">
        <v>296</v>
      </c>
      <c r="J1046" s="235" t="s">
        <v>296</v>
      </c>
      <c r="K1046" s="235" t="s">
        <v>296</v>
      </c>
      <c r="L1046" s="234" t="s">
        <v>296</v>
      </c>
      <c r="M1046" s="234" t="s">
        <v>296</v>
      </c>
      <c r="N1046" s="235" t="s">
        <v>296</v>
      </c>
      <c r="O1046" s="236" t="s">
        <v>15</v>
      </c>
      <c r="P1046" s="236" t="s">
        <v>15</v>
      </c>
      <c r="Q1046" s="236" t="s">
        <v>15</v>
      </c>
      <c r="R1046" s="236" t="s">
        <v>296</v>
      </c>
      <c r="S1046" s="236" t="s">
        <v>296</v>
      </c>
      <c r="T1046" s="236" t="s">
        <v>296</v>
      </c>
      <c r="U1046" s="236" t="s">
        <v>296</v>
      </c>
      <c r="V1046" s="236" t="s">
        <v>296</v>
      </c>
      <c r="W1046" s="237" t="s">
        <v>296</v>
      </c>
      <c r="X1046" s="237" t="s">
        <v>296</v>
      </c>
      <c r="Y1046" s="238" t="s">
        <v>296</v>
      </c>
    </row>
    <row r="1047" spans="1:25">
      <c r="A1047" s="230">
        <v>19</v>
      </c>
      <c r="B1047" s="231" t="str">
        <f>VLOOKUP(Tabel10[[#This Row],[Locatiecode]],Ruimtegroepen[[Code]:[Ruimte omschrijving]],2,FALSE)</f>
        <v>kleedruimten</v>
      </c>
      <c r="C1047" s="232" t="s">
        <v>1161</v>
      </c>
      <c r="D1047" s="231" t="s">
        <v>27</v>
      </c>
      <c r="E1047" s="233" t="s">
        <v>1344</v>
      </c>
      <c r="F1047" s="232" t="s">
        <v>1427</v>
      </c>
      <c r="G1047" s="281" t="s">
        <v>296</v>
      </c>
      <c r="H1047" s="234" t="s">
        <v>296</v>
      </c>
      <c r="I1047" s="235" t="s">
        <v>15</v>
      </c>
      <c r="J1047" s="235" t="s">
        <v>296</v>
      </c>
      <c r="K1047" s="235" t="s">
        <v>296</v>
      </c>
      <c r="L1047" s="234" t="s">
        <v>296</v>
      </c>
      <c r="M1047" s="234" t="s">
        <v>296</v>
      </c>
      <c r="N1047" s="235" t="s">
        <v>296</v>
      </c>
      <c r="O1047" s="236" t="s">
        <v>15</v>
      </c>
      <c r="P1047" s="236" t="s">
        <v>15</v>
      </c>
      <c r="Q1047" s="236" t="s">
        <v>15</v>
      </c>
      <c r="R1047" s="236" t="s">
        <v>296</v>
      </c>
      <c r="S1047" s="236" t="s">
        <v>296</v>
      </c>
      <c r="T1047" s="236" t="s">
        <v>296</v>
      </c>
      <c r="U1047" s="236" t="s">
        <v>296</v>
      </c>
      <c r="V1047" s="236" t="s">
        <v>296</v>
      </c>
      <c r="W1047" s="237" t="s">
        <v>296</v>
      </c>
      <c r="X1047" s="237" t="s">
        <v>296</v>
      </c>
      <c r="Y1047" s="238" t="s">
        <v>296</v>
      </c>
    </row>
    <row r="1048" spans="1:25">
      <c r="A1048" s="230">
        <v>19</v>
      </c>
      <c r="B1048" s="231" t="str">
        <f>VLOOKUP(Tabel10[[#This Row],[Locatiecode]],Ruimtegroepen[[Code]:[Ruimte omschrijving]],2,FALSE)</f>
        <v>kleedruimten</v>
      </c>
      <c r="C1048" s="232" t="s">
        <v>1166</v>
      </c>
      <c r="D1048" s="231" t="s">
        <v>28</v>
      </c>
      <c r="E1048" s="233" t="s">
        <v>101</v>
      </c>
      <c r="F1048" s="232" t="s">
        <v>1167</v>
      </c>
      <c r="G1048" s="281" t="s">
        <v>296</v>
      </c>
      <c r="H1048" s="234" t="s">
        <v>296</v>
      </c>
      <c r="I1048" s="235" t="s">
        <v>17</v>
      </c>
      <c r="J1048" s="235" t="s">
        <v>296</v>
      </c>
      <c r="K1048" s="235" t="s">
        <v>296</v>
      </c>
      <c r="L1048" s="234" t="s">
        <v>296</v>
      </c>
      <c r="M1048" s="234" t="s">
        <v>296</v>
      </c>
      <c r="N1048" s="235" t="s">
        <v>296</v>
      </c>
      <c r="O1048" s="236" t="s">
        <v>17</v>
      </c>
      <c r="P1048" s="236" t="s">
        <v>17</v>
      </c>
      <c r="Q1048" s="236" t="s">
        <v>15</v>
      </c>
      <c r="R1048" s="236" t="s">
        <v>296</v>
      </c>
      <c r="S1048" s="236" t="s">
        <v>296</v>
      </c>
      <c r="T1048" s="236" t="s">
        <v>296</v>
      </c>
      <c r="U1048" s="236" t="s">
        <v>296</v>
      </c>
      <c r="V1048" s="236" t="s">
        <v>296</v>
      </c>
      <c r="W1048" s="237" t="s">
        <v>296</v>
      </c>
      <c r="X1048" s="237" t="s">
        <v>296</v>
      </c>
      <c r="Y1048" s="238" t="s">
        <v>296</v>
      </c>
    </row>
    <row r="1049" spans="1:25">
      <c r="A1049" s="230">
        <v>19</v>
      </c>
      <c r="B1049" s="231" t="str">
        <f>VLOOKUP(Tabel10[[#This Row],[Locatiecode]],Ruimtegroepen[[Code]:[Ruimte omschrijving]],2,FALSE)</f>
        <v>kleedruimten</v>
      </c>
      <c r="C1049" s="232" t="s">
        <v>1166</v>
      </c>
      <c r="D1049" s="231" t="s">
        <v>28</v>
      </c>
      <c r="E1049" s="233" t="s">
        <v>100</v>
      </c>
      <c r="F1049" s="232" t="s">
        <v>1168</v>
      </c>
      <c r="G1049" s="281" t="s">
        <v>296</v>
      </c>
      <c r="H1049" s="235" t="s">
        <v>17</v>
      </c>
      <c r="I1049" s="234" t="s">
        <v>296</v>
      </c>
      <c r="J1049" s="235" t="s">
        <v>296</v>
      </c>
      <c r="K1049" s="235" t="s">
        <v>296</v>
      </c>
      <c r="L1049" s="234" t="s">
        <v>296</v>
      </c>
      <c r="M1049" s="234" t="s">
        <v>296</v>
      </c>
      <c r="N1049" s="235" t="s">
        <v>296</v>
      </c>
      <c r="O1049" s="236" t="s">
        <v>17</v>
      </c>
      <c r="P1049" s="236" t="s">
        <v>17</v>
      </c>
      <c r="Q1049" s="236" t="s">
        <v>15</v>
      </c>
      <c r="R1049" s="236" t="s">
        <v>296</v>
      </c>
      <c r="S1049" s="236" t="s">
        <v>296</v>
      </c>
      <c r="T1049" s="236" t="s">
        <v>296</v>
      </c>
      <c r="U1049" s="236" t="s">
        <v>296</v>
      </c>
      <c r="V1049" s="236" t="s">
        <v>296</v>
      </c>
      <c r="W1049" s="237" t="s">
        <v>296</v>
      </c>
      <c r="X1049" s="237" t="s">
        <v>296</v>
      </c>
      <c r="Y1049" s="238" t="s">
        <v>296</v>
      </c>
    </row>
    <row r="1050" spans="1:25">
      <c r="A1050" s="230">
        <v>19</v>
      </c>
      <c r="B1050" s="231" t="str">
        <f>VLOOKUP(Tabel10[[#This Row],[Locatiecode]],Ruimtegroepen[[Code]:[Ruimte omschrijving]],2,FALSE)</f>
        <v>kleedruimten</v>
      </c>
      <c r="C1050" s="232" t="s">
        <v>1166</v>
      </c>
      <c r="D1050" s="231" t="s">
        <v>28</v>
      </c>
      <c r="E1050" s="233" t="s">
        <v>102</v>
      </c>
      <c r="F1050" s="232" t="s">
        <v>1169</v>
      </c>
      <c r="G1050" s="281" t="s">
        <v>296</v>
      </c>
      <c r="H1050" s="234" t="s">
        <v>296</v>
      </c>
      <c r="I1050" s="235" t="s">
        <v>17</v>
      </c>
      <c r="J1050" s="235" t="s">
        <v>296</v>
      </c>
      <c r="K1050" s="235" t="s">
        <v>296</v>
      </c>
      <c r="L1050" s="234" t="s">
        <v>296</v>
      </c>
      <c r="M1050" s="234" t="s">
        <v>296</v>
      </c>
      <c r="N1050" s="235" t="s">
        <v>296</v>
      </c>
      <c r="O1050" s="236" t="s">
        <v>17</v>
      </c>
      <c r="P1050" s="236" t="s">
        <v>17</v>
      </c>
      <c r="Q1050" s="236" t="s">
        <v>15</v>
      </c>
      <c r="R1050" s="236" t="s">
        <v>296</v>
      </c>
      <c r="S1050" s="236" t="s">
        <v>296</v>
      </c>
      <c r="T1050" s="236" t="s">
        <v>296</v>
      </c>
      <c r="U1050" s="236" t="s">
        <v>296</v>
      </c>
      <c r="V1050" s="236" t="s">
        <v>296</v>
      </c>
      <c r="W1050" s="237" t="s">
        <v>296</v>
      </c>
      <c r="X1050" s="237" t="s">
        <v>296</v>
      </c>
      <c r="Y1050" s="238" t="s">
        <v>296</v>
      </c>
    </row>
    <row r="1051" spans="1:25">
      <c r="A1051" s="230">
        <v>19</v>
      </c>
      <c r="B1051" s="231" t="str">
        <f>VLOOKUP(Tabel10[[#This Row],[Locatiecode]],Ruimtegroepen[[Code]:[Ruimte omschrijving]],2,FALSE)</f>
        <v>kleedruimten</v>
      </c>
      <c r="C1051" s="232" t="s">
        <v>1166</v>
      </c>
      <c r="D1051" s="231" t="s">
        <v>28</v>
      </c>
      <c r="E1051" s="233" t="s">
        <v>103</v>
      </c>
      <c r="F1051" s="232" t="s">
        <v>1170</v>
      </c>
      <c r="G1051" s="281" t="s">
        <v>296</v>
      </c>
      <c r="H1051" s="234" t="s">
        <v>296</v>
      </c>
      <c r="I1051" s="235" t="s">
        <v>17</v>
      </c>
      <c r="J1051" s="235" t="s">
        <v>296</v>
      </c>
      <c r="K1051" s="235" t="s">
        <v>296</v>
      </c>
      <c r="L1051" s="234" t="s">
        <v>296</v>
      </c>
      <c r="M1051" s="234" t="s">
        <v>296</v>
      </c>
      <c r="N1051" s="235" t="s">
        <v>296</v>
      </c>
      <c r="O1051" s="236" t="s">
        <v>17</v>
      </c>
      <c r="P1051" s="236" t="s">
        <v>17</v>
      </c>
      <c r="Q1051" s="236" t="s">
        <v>15</v>
      </c>
      <c r="R1051" s="236" t="s">
        <v>296</v>
      </c>
      <c r="S1051" s="236" t="s">
        <v>296</v>
      </c>
      <c r="T1051" s="236" t="s">
        <v>296</v>
      </c>
      <c r="U1051" s="236" t="s">
        <v>296</v>
      </c>
      <c r="V1051" s="236" t="s">
        <v>296</v>
      </c>
      <c r="W1051" s="237" t="s">
        <v>296</v>
      </c>
      <c r="X1051" s="237" t="s">
        <v>296</v>
      </c>
      <c r="Y1051" s="238" t="s">
        <v>296</v>
      </c>
    </row>
    <row r="1052" spans="1:25">
      <c r="A1052" s="230">
        <v>19</v>
      </c>
      <c r="B1052" s="231" t="str">
        <f>VLOOKUP(Tabel10[[#This Row],[Locatiecode]],Ruimtegroepen[[Code]:[Ruimte omschrijving]],2,FALSE)</f>
        <v>kleedruimten</v>
      </c>
      <c r="C1052" s="232" t="s">
        <v>1166</v>
      </c>
      <c r="D1052" s="231" t="s">
        <v>28</v>
      </c>
      <c r="E1052" s="233" t="s">
        <v>100</v>
      </c>
      <c r="F1052" s="232" t="s">
        <v>1168</v>
      </c>
      <c r="G1052" s="281" t="s">
        <v>296</v>
      </c>
      <c r="H1052" s="235" t="s">
        <v>17</v>
      </c>
      <c r="I1052" s="234" t="s">
        <v>296</v>
      </c>
      <c r="J1052" s="235" t="s">
        <v>296</v>
      </c>
      <c r="K1052" s="235" t="s">
        <v>296</v>
      </c>
      <c r="L1052" s="234" t="s">
        <v>296</v>
      </c>
      <c r="M1052" s="234" t="s">
        <v>296</v>
      </c>
      <c r="N1052" s="235" t="s">
        <v>296</v>
      </c>
      <c r="O1052" s="236" t="s">
        <v>17</v>
      </c>
      <c r="P1052" s="236" t="s">
        <v>17</v>
      </c>
      <c r="Q1052" s="236" t="s">
        <v>15</v>
      </c>
      <c r="R1052" s="236" t="s">
        <v>296</v>
      </c>
      <c r="S1052" s="236" t="s">
        <v>296</v>
      </c>
      <c r="T1052" s="236" t="s">
        <v>296</v>
      </c>
      <c r="U1052" s="236" t="s">
        <v>296</v>
      </c>
      <c r="V1052" s="236" t="s">
        <v>296</v>
      </c>
      <c r="W1052" s="237" t="s">
        <v>296</v>
      </c>
      <c r="X1052" s="237" t="s">
        <v>296</v>
      </c>
      <c r="Y1052" s="238" t="s">
        <v>296</v>
      </c>
    </row>
    <row r="1053" spans="1:25">
      <c r="A1053" s="230">
        <v>19</v>
      </c>
      <c r="B1053" s="231" t="str">
        <f>VLOOKUP(Tabel10[[#This Row],[Locatiecode]],Ruimtegroepen[[Code]:[Ruimte omschrijving]],2,FALSE)</f>
        <v>kleedruimten</v>
      </c>
      <c r="C1053" s="232" t="s">
        <v>1166</v>
      </c>
      <c r="D1053" s="231" t="s">
        <v>28</v>
      </c>
      <c r="E1053" s="233" t="s">
        <v>1344</v>
      </c>
      <c r="F1053" s="232" t="s">
        <v>1460</v>
      </c>
      <c r="G1053" s="281" t="s">
        <v>296</v>
      </c>
      <c r="H1053" s="234" t="s">
        <v>296</v>
      </c>
      <c r="I1053" s="235" t="s">
        <v>17</v>
      </c>
      <c r="J1053" s="235" t="s">
        <v>296</v>
      </c>
      <c r="K1053" s="235" t="s">
        <v>296</v>
      </c>
      <c r="L1053" s="234" t="s">
        <v>296</v>
      </c>
      <c r="M1053" s="234" t="s">
        <v>296</v>
      </c>
      <c r="N1053" s="235" t="s">
        <v>296</v>
      </c>
      <c r="O1053" s="236" t="s">
        <v>17</v>
      </c>
      <c r="P1053" s="236" t="s">
        <v>17</v>
      </c>
      <c r="Q1053" s="236" t="s">
        <v>15</v>
      </c>
      <c r="R1053" s="236" t="s">
        <v>296</v>
      </c>
      <c r="S1053" s="236" t="s">
        <v>296</v>
      </c>
      <c r="T1053" s="236" t="s">
        <v>296</v>
      </c>
      <c r="U1053" s="236" t="s">
        <v>296</v>
      </c>
      <c r="V1053" s="236" t="s">
        <v>296</v>
      </c>
      <c r="W1053" s="237" t="s">
        <v>296</v>
      </c>
      <c r="X1053" s="237" t="s">
        <v>296</v>
      </c>
      <c r="Y1053" s="238" t="s">
        <v>296</v>
      </c>
    </row>
    <row r="1054" spans="1:25">
      <c r="A1054" s="230">
        <v>20</v>
      </c>
      <c r="B1054" s="231" t="str">
        <f>VLOOKUP(Tabel10[[#This Row],[Locatiecode]],Ruimtegroepen[[Code]:[Ruimte omschrijving]],2,FALSE)</f>
        <v>Niet in Onderhoud</v>
      </c>
      <c r="C1054" s="232" t="s">
        <v>1171</v>
      </c>
      <c r="D1054" s="231" t="s">
        <v>29</v>
      </c>
      <c r="E1054" s="233" t="s">
        <v>101</v>
      </c>
      <c r="F1054" s="232" t="s">
        <v>1172</v>
      </c>
      <c r="G1054" s="281" t="s">
        <v>296</v>
      </c>
      <c r="H1054" s="234" t="s">
        <v>296</v>
      </c>
      <c r="I1054" s="234" t="s">
        <v>296</v>
      </c>
      <c r="J1054" s="235" t="s">
        <v>296</v>
      </c>
      <c r="K1054" s="235" t="s">
        <v>296</v>
      </c>
      <c r="L1054" s="234" t="s">
        <v>296</v>
      </c>
      <c r="M1054" s="234" t="s">
        <v>296</v>
      </c>
      <c r="N1054" s="235" t="s">
        <v>296</v>
      </c>
      <c r="O1054" s="236" t="s">
        <v>296</v>
      </c>
      <c r="P1054" s="236" t="s">
        <v>296</v>
      </c>
      <c r="Q1054" s="236" t="s">
        <v>296</v>
      </c>
      <c r="R1054" s="236" t="s">
        <v>296</v>
      </c>
      <c r="S1054" s="236" t="s">
        <v>296</v>
      </c>
      <c r="T1054" s="236" t="s">
        <v>296</v>
      </c>
      <c r="U1054" s="236" t="s">
        <v>296</v>
      </c>
      <c r="V1054" s="236" t="s">
        <v>296</v>
      </c>
      <c r="W1054" s="237" t="s">
        <v>296</v>
      </c>
      <c r="X1054" s="237" t="s">
        <v>296</v>
      </c>
      <c r="Y1054" s="238" t="s">
        <v>296</v>
      </c>
    </row>
    <row r="1055" spans="1:25">
      <c r="A1055" s="230">
        <v>20</v>
      </c>
      <c r="B1055" s="231" t="str">
        <f>VLOOKUP(Tabel10[[#This Row],[Locatiecode]],Ruimtegroepen[[Code]:[Ruimte omschrijving]],2,FALSE)</f>
        <v>Niet in Onderhoud</v>
      </c>
      <c r="C1055" s="232" t="s">
        <v>1171</v>
      </c>
      <c r="D1055" s="231" t="s">
        <v>29</v>
      </c>
      <c r="E1055" s="233" t="s">
        <v>100</v>
      </c>
      <c r="F1055" s="232" t="s">
        <v>1173</v>
      </c>
      <c r="G1055" s="281" t="s">
        <v>296</v>
      </c>
      <c r="H1055" s="234" t="s">
        <v>296</v>
      </c>
      <c r="I1055" s="234" t="s">
        <v>296</v>
      </c>
      <c r="J1055" s="235" t="s">
        <v>296</v>
      </c>
      <c r="K1055" s="235" t="s">
        <v>296</v>
      </c>
      <c r="L1055" s="234" t="s">
        <v>296</v>
      </c>
      <c r="M1055" s="234" t="s">
        <v>296</v>
      </c>
      <c r="N1055" s="235" t="s">
        <v>296</v>
      </c>
      <c r="O1055" s="236" t="s">
        <v>296</v>
      </c>
      <c r="P1055" s="236" t="s">
        <v>296</v>
      </c>
      <c r="Q1055" s="236" t="s">
        <v>296</v>
      </c>
      <c r="R1055" s="236" t="s">
        <v>296</v>
      </c>
      <c r="S1055" s="236" t="s">
        <v>296</v>
      </c>
      <c r="T1055" s="236" t="s">
        <v>296</v>
      </c>
      <c r="U1055" s="236" t="s">
        <v>296</v>
      </c>
      <c r="V1055" s="236" t="s">
        <v>296</v>
      </c>
      <c r="W1055" s="237" t="s">
        <v>296</v>
      </c>
      <c r="X1055" s="237" t="s">
        <v>296</v>
      </c>
      <c r="Y1055" s="238" t="s">
        <v>296</v>
      </c>
    </row>
    <row r="1056" spans="1:25">
      <c r="A1056" s="230">
        <v>20</v>
      </c>
      <c r="B1056" s="231" t="str">
        <f>VLOOKUP(Tabel10[[#This Row],[Locatiecode]],Ruimtegroepen[[Code]:[Ruimte omschrijving]],2,FALSE)</f>
        <v>Niet in Onderhoud</v>
      </c>
      <c r="C1056" s="232" t="s">
        <v>1171</v>
      </c>
      <c r="D1056" s="231" t="s">
        <v>29</v>
      </c>
      <c r="E1056" s="233" t="s">
        <v>102</v>
      </c>
      <c r="F1056" s="232" t="s">
        <v>1174</v>
      </c>
      <c r="G1056" s="281" t="s">
        <v>296</v>
      </c>
      <c r="H1056" s="234" t="s">
        <v>296</v>
      </c>
      <c r="I1056" s="234" t="s">
        <v>296</v>
      </c>
      <c r="J1056" s="235" t="s">
        <v>296</v>
      </c>
      <c r="K1056" s="235" t="s">
        <v>296</v>
      </c>
      <c r="L1056" s="234" t="s">
        <v>296</v>
      </c>
      <c r="M1056" s="234" t="s">
        <v>296</v>
      </c>
      <c r="N1056" s="235" t="s">
        <v>296</v>
      </c>
      <c r="O1056" s="236" t="s">
        <v>296</v>
      </c>
      <c r="P1056" s="236" t="s">
        <v>296</v>
      </c>
      <c r="Q1056" s="236" t="s">
        <v>296</v>
      </c>
      <c r="R1056" s="236" t="s">
        <v>296</v>
      </c>
      <c r="S1056" s="236" t="s">
        <v>296</v>
      </c>
      <c r="T1056" s="236" t="s">
        <v>296</v>
      </c>
      <c r="U1056" s="236" t="s">
        <v>296</v>
      </c>
      <c r="V1056" s="236" t="s">
        <v>296</v>
      </c>
      <c r="W1056" s="237" t="s">
        <v>296</v>
      </c>
      <c r="X1056" s="237" t="s">
        <v>296</v>
      </c>
      <c r="Y1056" s="238" t="s">
        <v>296</v>
      </c>
    </row>
    <row r="1057" spans="1:25">
      <c r="A1057" s="230">
        <v>20</v>
      </c>
      <c r="B1057" s="231" t="str">
        <f>VLOOKUP(Tabel10[[#This Row],[Locatiecode]],Ruimtegroepen[[Code]:[Ruimte omschrijving]],2,FALSE)</f>
        <v>Niet in Onderhoud</v>
      </c>
      <c r="C1057" s="232" t="s">
        <v>1171</v>
      </c>
      <c r="D1057" s="231" t="s">
        <v>29</v>
      </c>
      <c r="E1057" s="233" t="s">
        <v>103</v>
      </c>
      <c r="F1057" s="232" t="s">
        <v>1175</v>
      </c>
      <c r="G1057" s="281" t="s">
        <v>296</v>
      </c>
      <c r="H1057" s="234" t="s">
        <v>296</v>
      </c>
      <c r="I1057" s="234" t="s">
        <v>296</v>
      </c>
      <c r="J1057" s="235" t="s">
        <v>296</v>
      </c>
      <c r="K1057" s="235" t="s">
        <v>296</v>
      </c>
      <c r="L1057" s="234" t="s">
        <v>296</v>
      </c>
      <c r="M1057" s="234" t="s">
        <v>296</v>
      </c>
      <c r="N1057" s="235" t="s">
        <v>296</v>
      </c>
      <c r="O1057" s="236" t="s">
        <v>296</v>
      </c>
      <c r="P1057" s="236" t="s">
        <v>296</v>
      </c>
      <c r="Q1057" s="236" t="s">
        <v>296</v>
      </c>
      <c r="R1057" s="236" t="s">
        <v>296</v>
      </c>
      <c r="S1057" s="236" t="s">
        <v>296</v>
      </c>
      <c r="T1057" s="236" t="s">
        <v>296</v>
      </c>
      <c r="U1057" s="236" t="s">
        <v>296</v>
      </c>
      <c r="V1057" s="236" t="s">
        <v>296</v>
      </c>
      <c r="W1057" s="237" t="s">
        <v>296</v>
      </c>
      <c r="X1057" s="237" t="s">
        <v>296</v>
      </c>
      <c r="Y1057" s="238" t="s">
        <v>296</v>
      </c>
    </row>
    <row r="1058" spans="1:25">
      <c r="A1058" s="230">
        <v>20</v>
      </c>
      <c r="B1058" s="231" t="str">
        <f>VLOOKUP(Tabel10[[#This Row],[Locatiecode]],Ruimtegroepen[[Code]:[Ruimte omschrijving]],2,FALSE)</f>
        <v>Niet in Onderhoud</v>
      </c>
      <c r="C1058" s="232" t="s">
        <v>1171</v>
      </c>
      <c r="D1058" s="231" t="s">
        <v>29</v>
      </c>
      <c r="E1058" s="233" t="s">
        <v>100</v>
      </c>
      <c r="F1058" s="232" t="s">
        <v>1173</v>
      </c>
      <c r="G1058" s="281" t="s">
        <v>296</v>
      </c>
      <c r="H1058" s="234" t="s">
        <v>296</v>
      </c>
      <c r="I1058" s="234" t="s">
        <v>296</v>
      </c>
      <c r="J1058" s="235" t="s">
        <v>296</v>
      </c>
      <c r="K1058" s="235" t="s">
        <v>296</v>
      </c>
      <c r="L1058" s="234" t="s">
        <v>296</v>
      </c>
      <c r="M1058" s="234" t="s">
        <v>296</v>
      </c>
      <c r="N1058" s="235" t="s">
        <v>296</v>
      </c>
      <c r="O1058" s="236" t="s">
        <v>296</v>
      </c>
      <c r="P1058" s="236" t="s">
        <v>296</v>
      </c>
      <c r="Q1058" s="236" t="s">
        <v>296</v>
      </c>
      <c r="R1058" s="236" t="s">
        <v>296</v>
      </c>
      <c r="S1058" s="236" t="s">
        <v>296</v>
      </c>
      <c r="T1058" s="236" t="s">
        <v>296</v>
      </c>
      <c r="U1058" s="236" t="s">
        <v>296</v>
      </c>
      <c r="V1058" s="236" t="s">
        <v>296</v>
      </c>
      <c r="W1058" s="237" t="s">
        <v>296</v>
      </c>
      <c r="X1058" s="237" t="s">
        <v>296</v>
      </c>
      <c r="Y1058" s="238" t="s">
        <v>296</v>
      </c>
    </row>
    <row r="1059" spans="1:25">
      <c r="A1059" s="230">
        <v>20</v>
      </c>
      <c r="B1059" s="231" t="str">
        <f>VLOOKUP(Tabel10[[#This Row],[Locatiecode]],Ruimtegroepen[[Code]:[Ruimte omschrijving]],2,FALSE)</f>
        <v>Niet in Onderhoud</v>
      </c>
      <c r="C1059" s="232" t="s">
        <v>1171</v>
      </c>
      <c r="D1059" s="231" t="s">
        <v>29</v>
      </c>
      <c r="E1059" s="233" t="s">
        <v>1344</v>
      </c>
      <c r="F1059" s="232" t="s">
        <v>1362</v>
      </c>
      <c r="G1059" s="281" t="s">
        <v>296</v>
      </c>
      <c r="H1059" s="234" t="s">
        <v>296</v>
      </c>
      <c r="I1059" s="234" t="s">
        <v>296</v>
      </c>
      <c r="J1059" s="235" t="s">
        <v>296</v>
      </c>
      <c r="K1059" s="235" t="s">
        <v>296</v>
      </c>
      <c r="L1059" s="234" t="s">
        <v>296</v>
      </c>
      <c r="M1059" s="234" t="s">
        <v>296</v>
      </c>
      <c r="N1059" s="235" t="s">
        <v>296</v>
      </c>
      <c r="O1059" s="236" t="s">
        <v>296</v>
      </c>
      <c r="P1059" s="236" t="s">
        <v>296</v>
      </c>
      <c r="Q1059" s="236" t="s">
        <v>296</v>
      </c>
      <c r="R1059" s="236" t="s">
        <v>296</v>
      </c>
      <c r="S1059" s="236" t="s">
        <v>296</v>
      </c>
      <c r="T1059" s="236" t="s">
        <v>296</v>
      </c>
      <c r="U1059" s="236" t="s">
        <v>296</v>
      </c>
      <c r="V1059" s="236" t="s">
        <v>296</v>
      </c>
      <c r="W1059" s="237" t="s">
        <v>296</v>
      </c>
      <c r="X1059" s="237" t="s">
        <v>296</v>
      </c>
      <c r="Y1059" s="238" t="s">
        <v>296</v>
      </c>
    </row>
    <row r="1060" spans="1:25">
      <c r="A1060" s="230">
        <v>20</v>
      </c>
      <c r="B1060" s="231" t="str">
        <f>VLOOKUP(Tabel10[[#This Row],[Locatiecode]],Ruimtegroepen[[Code]:[Ruimte omschrijving]],2,FALSE)</f>
        <v>Niet in Onderhoud</v>
      </c>
      <c r="C1060" s="232" t="s">
        <v>1176</v>
      </c>
      <c r="D1060" s="231" t="s">
        <v>1</v>
      </c>
      <c r="E1060" s="233" t="s">
        <v>101</v>
      </c>
      <c r="F1060" s="232" t="s">
        <v>1177</v>
      </c>
      <c r="G1060" s="281" t="s">
        <v>296</v>
      </c>
      <c r="H1060" s="234" t="s">
        <v>296</v>
      </c>
      <c r="I1060" s="234" t="s">
        <v>296</v>
      </c>
      <c r="J1060" s="235" t="s">
        <v>296</v>
      </c>
      <c r="K1060" s="235" t="s">
        <v>296</v>
      </c>
      <c r="L1060" s="234" t="s">
        <v>296</v>
      </c>
      <c r="M1060" s="234" t="s">
        <v>296</v>
      </c>
      <c r="N1060" s="235" t="s">
        <v>296</v>
      </c>
      <c r="O1060" s="236" t="s">
        <v>296</v>
      </c>
      <c r="P1060" s="236" t="s">
        <v>296</v>
      </c>
      <c r="Q1060" s="236" t="s">
        <v>296</v>
      </c>
      <c r="R1060" s="236" t="s">
        <v>296</v>
      </c>
      <c r="S1060" s="236" t="s">
        <v>296</v>
      </c>
      <c r="T1060" s="236" t="s">
        <v>296</v>
      </c>
      <c r="U1060" s="236" t="s">
        <v>296</v>
      </c>
      <c r="V1060" s="236" t="s">
        <v>296</v>
      </c>
      <c r="W1060" s="237" t="s">
        <v>296</v>
      </c>
      <c r="X1060" s="237" t="s">
        <v>296</v>
      </c>
      <c r="Y1060" s="238" t="s">
        <v>296</v>
      </c>
    </row>
    <row r="1061" spans="1:25">
      <c r="A1061" s="230">
        <v>20</v>
      </c>
      <c r="B1061" s="231" t="str">
        <f>VLOOKUP(Tabel10[[#This Row],[Locatiecode]],Ruimtegroepen[[Code]:[Ruimte omschrijving]],2,FALSE)</f>
        <v>Niet in Onderhoud</v>
      </c>
      <c r="C1061" s="232" t="s">
        <v>1176</v>
      </c>
      <c r="D1061" s="231" t="s">
        <v>1</v>
      </c>
      <c r="E1061" s="233" t="s">
        <v>100</v>
      </c>
      <c r="F1061" s="232" t="s">
        <v>1178</v>
      </c>
      <c r="G1061" s="281" t="s">
        <v>296</v>
      </c>
      <c r="H1061" s="234" t="s">
        <v>296</v>
      </c>
      <c r="I1061" s="234" t="s">
        <v>296</v>
      </c>
      <c r="J1061" s="235" t="s">
        <v>296</v>
      </c>
      <c r="K1061" s="235" t="s">
        <v>296</v>
      </c>
      <c r="L1061" s="234" t="s">
        <v>296</v>
      </c>
      <c r="M1061" s="234" t="s">
        <v>296</v>
      </c>
      <c r="N1061" s="235" t="s">
        <v>296</v>
      </c>
      <c r="O1061" s="236" t="s">
        <v>296</v>
      </c>
      <c r="P1061" s="236" t="s">
        <v>296</v>
      </c>
      <c r="Q1061" s="236" t="s">
        <v>296</v>
      </c>
      <c r="R1061" s="236" t="s">
        <v>296</v>
      </c>
      <c r="S1061" s="236" t="s">
        <v>296</v>
      </c>
      <c r="T1061" s="236" t="s">
        <v>296</v>
      </c>
      <c r="U1061" s="236" t="s">
        <v>296</v>
      </c>
      <c r="V1061" s="236" t="s">
        <v>296</v>
      </c>
      <c r="W1061" s="237" t="s">
        <v>296</v>
      </c>
      <c r="X1061" s="237" t="s">
        <v>296</v>
      </c>
      <c r="Y1061" s="238" t="s">
        <v>296</v>
      </c>
    </row>
    <row r="1062" spans="1:25">
      <c r="A1062" s="230">
        <v>20</v>
      </c>
      <c r="B1062" s="231" t="str">
        <f>VLOOKUP(Tabel10[[#This Row],[Locatiecode]],Ruimtegroepen[[Code]:[Ruimte omschrijving]],2,FALSE)</f>
        <v>Niet in Onderhoud</v>
      </c>
      <c r="C1062" s="232" t="s">
        <v>1176</v>
      </c>
      <c r="D1062" s="231" t="s">
        <v>1</v>
      </c>
      <c r="E1062" s="233" t="s">
        <v>102</v>
      </c>
      <c r="F1062" s="232" t="s">
        <v>1179</v>
      </c>
      <c r="G1062" s="281" t="s">
        <v>296</v>
      </c>
      <c r="H1062" s="234" t="s">
        <v>296</v>
      </c>
      <c r="I1062" s="234" t="s">
        <v>296</v>
      </c>
      <c r="J1062" s="235" t="s">
        <v>296</v>
      </c>
      <c r="K1062" s="235" t="s">
        <v>296</v>
      </c>
      <c r="L1062" s="234" t="s">
        <v>296</v>
      </c>
      <c r="M1062" s="234" t="s">
        <v>296</v>
      </c>
      <c r="N1062" s="235" t="s">
        <v>296</v>
      </c>
      <c r="O1062" s="236" t="s">
        <v>296</v>
      </c>
      <c r="P1062" s="236" t="s">
        <v>296</v>
      </c>
      <c r="Q1062" s="236" t="s">
        <v>296</v>
      </c>
      <c r="R1062" s="236" t="s">
        <v>296</v>
      </c>
      <c r="S1062" s="236" t="s">
        <v>296</v>
      </c>
      <c r="T1062" s="236" t="s">
        <v>296</v>
      </c>
      <c r="U1062" s="236" t="s">
        <v>296</v>
      </c>
      <c r="V1062" s="236" t="s">
        <v>296</v>
      </c>
      <c r="W1062" s="237" t="s">
        <v>296</v>
      </c>
      <c r="X1062" s="237" t="s">
        <v>296</v>
      </c>
      <c r="Y1062" s="238" t="s">
        <v>296</v>
      </c>
    </row>
    <row r="1063" spans="1:25">
      <c r="A1063" s="230">
        <v>20</v>
      </c>
      <c r="B1063" s="231" t="str">
        <f>VLOOKUP(Tabel10[[#This Row],[Locatiecode]],Ruimtegroepen[[Code]:[Ruimte omschrijving]],2,FALSE)</f>
        <v>Niet in Onderhoud</v>
      </c>
      <c r="C1063" s="232" t="s">
        <v>1176</v>
      </c>
      <c r="D1063" s="231" t="s">
        <v>1</v>
      </c>
      <c r="E1063" s="233" t="s">
        <v>103</v>
      </c>
      <c r="F1063" s="232" t="s">
        <v>1180</v>
      </c>
      <c r="G1063" s="281" t="s">
        <v>296</v>
      </c>
      <c r="H1063" s="234" t="s">
        <v>296</v>
      </c>
      <c r="I1063" s="234" t="s">
        <v>296</v>
      </c>
      <c r="J1063" s="235" t="s">
        <v>296</v>
      </c>
      <c r="K1063" s="235" t="s">
        <v>296</v>
      </c>
      <c r="L1063" s="234" t="s">
        <v>296</v>
      </c>
      <c r="M1063" s="234" t="s">
        <v>296</v>
      </c>
      <c r="N1063" s="235" t="s">
        <v>296</v>
      </c>
      <c r="O1063" s="236" t="s">
        <v>296</v>
      </c>
      <c r="P1063" s="236" t="s">
        <v>296</v>
      </c>
      <c r="Q1063" s="236" t="s">
        <v>296</v>
      </c>
      <c r="R1063" s="236" t="s">
        <v>296</v>
      </c>
      <c r="S1063" s="236" t="s">
        <v>296</v>
      </c>
      <c r="T1063" s="236" t="s">
        <v>296</v>
      </c>
      <c r="U1063" s="236" t="s">
        <v>296</v>
      </c>
      <c r="V1063" s="236" t="s">
        <v>296</v>
      </c>
      <c r="W1063" s="237" t="s">
        <v>296</v>
      </c>
      <c r="X1063" s="237" t="s">
        <v>296</v>
      </c>
      <c r="Y1063" s="238" t="s">
        <v>296</v>
      </c>
    </row>
    <row r="1064" spans="1:25">
      <c r="A1064" s="230">
        <v>20</v>
      </c>
      <c r="B1064" s="231" t="str">
        <f>VLOOKUP(Tabel10[[#This Row],[Locatiecode]],Ruimtegroepen[[Code]:[Ruimte omschrijving]],2,FALSE)</f>
        <v>Niet in Onderhoud</v>
      </c>
      <c r="C1064" s="232" t="s">
        <v>1176</v>
      </c>
      <c r="D1064" s="231" t="s">
        <v>1</v>
      </c>
      <c r="E1064" s="233" t="s">
        <v>100</v>
      </c>
      <c r="F1064" s="232" t="s">
        <v>1178</v>
      </c>
      <c r="G1064" s="281" t="s">
        <v>296</v>
      </c>
      <c r="H1064" s="234" t="s">
        <v>296</v>
      </c>
      <c r="I1064" s="234" t="s">
        <v>296</v>
      </c>
      <c r="J1064" s="235" t="s">
        <v>296</v>
      </c>
      <c r="K1064" s="235" t="s">
        <v>296</v>
      </c>
      <c r="L1064" s="234" t="s">
        <v>296</v>
      </c>
      <c r="M1064" s="234" t="s">
        <v>296</v>
      </c>
      <c r="N1064" s="235" t="s">
        <v>296</v>
      </c>
      <c r="O1064" s="236" t="s">
        <v>296</v>
      </c>
      <c r="P1064" s="236" t="s">
        <v>296</v>
      </c>
      <c r="Q1064" s="236" t="s">
        <v>296</v>
      </c>
      <c r="R1064" s="236" t="s">
        <v>296</v>
      </c>
      <c r="S1064" s="236" t="s">
        <v>296</v>
      </c>
      <c r="T1064" s="236" t="s">
        <v>296</v>
      </c>
      <c r="U1064" s="236" t="s">
        <v>296</v>
      </c>
      <c r="V1064" s="236" t="s">
        <v>296</v>
      </c>
      <c r="W1064" s="237" t="s">
        <v>296</v>
      </c>
      <c r="X1064" s="237" t="s">
        <v>296</v>
      </c>
      <c r="Y1064" s="238" t="s">
        <v>296</v>
      </c>
    </row>
    <row r="1065" spans="1:25">
      <c r="A1065" s="230">
        <v>20</v>
      </c>
      <c r="B1065" s="231" t="str">
        <f>VLOOKUP(Tabel10[[#This Row],[Locatiecode]],Ruimtegroepen[[Code]:[Ruimte omschrijving]],2,FALSE)</f>
        <v>Niet in Onderhoud</v>
      </c>
      <c r="C1065" s="232" t="s">
        <v>1176</v>
      </c>
      <c r="D1065" s="231" t="s">
        <v>1</v>
      </c>
      <c r="E1065" s="233" t="s">
        <v>1344</v>
      </c>
      <c r="F1065" s="232" t="s">
        <v>1361</v>
      </c>
      <c r="G1065" s="281" t="s">
        <v>296</v>
      </c>
      <c r="H1065" s="234" t="s">
        <v>296</v>
      </c>
      <c r="I1065" s="234" t="s">
        <v>296</v>
      </c>
      <c r="J1065" s="235" t="s">
        <v>296</v>
      </c>
      <c r="K1065" s="235" t="s">
        <v>296</v>
      </c>
      <c r="L1065" s="234" t="s">
        <v>296</v>
      </c>
      <c r="M1065" s="234" t="s">
        <v>296</v>
      </c>
      <c r="N1065" s="235" t="s">
        <v>296</v>
      </c>
      <c r="O1065" s="236" t="s">
        <v>296</v>
      </c>
      <c r="P1065" s="236" t="s">
        <v>296</v>
      </c>
      <c r="Q1065" s="236" t="s">
        <v>296</v>
      </c>
      <c r="R1065" s="236" t="s">
        <v>296</v>
      </c>
      <c r="S1065" s="236" t="s">
        <v>296</v>
      </c>
      <c r="T1065" s="236" t="s">
        <v>296</v>
      </c>
      <c r="U1065" s="236" t="s">
        <v>296</v>
      </c>
      <c r="V1065" s="236" t="s">
        <v>296</v>
      </c>
      <c r="W1065" s="237" t="s">
        <v>296</v>
      </c>
      <c r="X1065" s="237" t="s">
        <v>296</v>
      </c>
      <c r="Y1065" s="238" t="s">
        <v>296</v>
      </c>
    </row>
    <row r="1066" spans="1:25">
      <c r="A1066" s="230">
        <v>20</v>
      </c>
      <c r="B1066" s="231" t="str">
        <f>VLOOKUP(Tabel10[[#This Row],[Locatiecode]],Ruimtegroepen[[Code]:[Ruimte omschrijving]],2,FALSE)</f>
        <v>Niet in Onderhoud</v>
      </c>
      <c r="C1066" s="232" t="s">
        <v>1181</v>
      </c>
      <c r="D1066" s="231" t="s">
        <v>21</v>
      </c>
      <c r="E1066" s="233" t="s">
        <v>101</v>
      </c>
      <c r="F1066" s="232" t="s">
        <v>1182</v>
      </c>
      <c r="G1066" s="281" t="s">
        <v>296</v>
      </c>
      <c r="H1066" s="234" t="s">
        <v>296</v>
      </c>
      <c r="I1066" s="234" t="s">
        <v>296</v>
      </c>
      <c r="J1066" s="235" t="s">
        <v>296</v>
      </c>
      <c r="K1066" s="235" t="s">
        <v>296</v>
      </c>
      <c r="L1066" s="234" t="s">
        <v>296</v>
      </c>
      <c r="M1066" s="234" t="s">
        <v>296</v>
      </c>
      <c r="N1066" s="235" t="s">
        <v>296</v>
      </c>
      <c r="O1066" s="236" t="s">
        <v>296</v>
      </c>
      <c r="P1066" s="236" t="s">
        <v>296</v>
      </c>
      <c r="Q1066" s="236" t="s">
        <v>296</v>
      </c>
      <c r="R1066" s="236" t="s">
        <v>296</v>
      </c>
      <c r="S1066" s="236" t="s">
        <v>296</v>
      </c>
      <c r="T1066" s="236" t="s">
        <v>296</v>
      </c>
      <c r="U1066" s="236" t="s">
        <v>296</v>
      </c>
      <c r="V1066" s="236" t="s">
        <v>296</v>
      </c>
      <c r="W1066" s="237" t="s">
        <v>296</v>
      </c>
      <c r="X1066" s="237" t="s">
        <v>296</v>
      </c>
      <c r="Y1066" s="238" t="s">
        <v>296</v>
      </c>
    </row>
    <row r="1067" spans="1:25">
      <c r="A1067" s="230">
        <v>20</v>
      </c>
      <c r="B1067" s="231" t="str">
        <f>VLOOKUP(Tabel10[[#This Row],[Locatiecode]],Ruimtegroepen[[Code]:[Ruimte omschrijving]],2,FALSE)</f>
        <v>Niet in Onderhoud</v>
      </c>
      <c r="C1067" s="232" t="s">
        <v>1181</v>
      </c>
      <c r="D1067" s="231" t="s">
        <v>21</v>
      </c>
      <c r="E1067" s="233" t="s">
        <v>100</v>
      </c>
      <c r="F1067" s="232" t="s">
        <v>1183</v>
      </c>
      <c r="G1067" s="281" t="s">
        <v>296</v>
      </c>
      <c r="H1067" s="234" t="s">
        <v>296</v>
      </c>
      <c r="I1067" s="234" t="s">
        <v>296</v>
      </c>
      <c r="J1067" s="235" t="s">
        <v>296</v>
      </c>
      <c r="K1067" s="235" t="s">
        <v>296</v>
      </c>
      <c r="L1067" s="234" t="s">
        <v>296</v>
      </c>
      <c r="M1067" s="234" t="s">
        <v>296</v>
      </c>
      <c r="N1067" s="235" t="s">
        <v>296</v>
      </c>
      <c r="O1067" s="236" t="s">
        <v>296</v>
      </c>
      <c r="P1067" s="236" t="s">
        <v>296</v>
      </c>
      <c r="Q1067" s="236" t="s">
        <v>296</v>
      </c>
      <c r="R1067" s="236" t="s">
        <v>296</v>
      </c>
      <c r="S1067" s="236" t="s">
        <v>296</v>
      </c>
      <c r="T1067" s="236" t="s">
        <v>296</v>
      </c>
      <c r="U1067" s="236" t="s">
        <v>296</v>
      </c>
      <c r="V1067" s="236" t="s">
        <v>296</v>
      </c>
      <c r="W1067" s="237" t="s">
        <v>296</v>
      </c>
      <c r="X1067" s="237" t="s">
        <v>296</v>
      </c>
      <c r="Y1067" s="238" t="s">
        <v>296</v>
      </c>
    </row>
    <row r="1068" spans="1:25">
      <c r="A1068" s="230">
        <v>20</v>
      </c>
      <c r="B1068" s="231" t="str">
        <f>VLOOKUP(Tabel10[[#This Row],[Locatiecode]],Ruimtegroepen[[Code]:[Ruimte omschrijving]],2,FALSE)</f>
        <v>Niet in Onderhoud</v>
      </c>
      <c r="C1068" s="232" t="s">
        <v>1181</v>
      </c>
      <c r="D1068" s="231" t="s">
        <v>21</v>
      </c>
      <c r="E1068" s="233" t="s">
        <v>102</v>
      </c>
      <c r="F1068" s="232" t="s">
        <v>1184</v>
      </c>
      <c r="G1068" s="281" t="s">
        <v>296</v>
      </c>
      <c r="H1068" s="234" t="s">
        <v>296</v>
      </c>
      <c r="I1068" s="234" t="s">
        <v>296</v>
      </c>
      <c r="J1068" s="235" t="s">
        <v>296</v>
      </c>
      <c r="K1068" s="235" t="s">
        <v>296</v>
      </c>
      <c r="L1068" s="234" t="s">
        <v>296</v>
      </c>
      <c r="M1068" s="234" t="s">
        <v>296</v>
      </c>
      <c r="N1068" s="235" t="s">
        <v>296</v>
      </c>
      <c r="O1068" s="236" t="s">
        <v>296</v>
      </c>
      <c r="P1068" s="236" t="s">
        <v>296</v>
      </c>
      <c r="Q1068" s="236" t="s">
        <v>296</v>
      </c>
      <c r="R1068" s="236" t="s">
        <v>296</v>
      </c>
      <c r="S1068" s="236" t="s">
        <v>296</v>
      </c>
      <c r="T1068" s="236" t="s">
        <v>296</v>
      </c>
      <c r="U1068" s="236" t="s">
        <v>296</v>
      </c>
      <c r="V1068" s="236" t="s">
        <v>296</v>
      </c>
      <c r="W1068" s="237" t="s">
        <v>296</v>
      </c>
      <c r="X1068" s="237" t="s">
        <v>296</v>
      </c>
      <c r="Y1068" s="238" t="s">
        <v>296</v>
      </c>
    </row>
    <row r="1069" spans="1:25">
      <c r="A1069" s="230">
        <v>20</v>
      </c>
      <c r="B1069" s="231" t="str">
        <f>VLOOKUP(Tabel10[[#This Row],[Locatiecode]],Ruimtegroepen[[Code]:[Ruimte omschrijving]],2,FALSE)</f>
        <v>Niet in Onderhoud</v>
      </c>
      <c r="C1069" s="232" t="s">
        <v>1181</v>
      </c>
      <c r="D1069" s="231" t="s">
        <v>21</v>
      </c>
      <c r="E1069" s="233" t="s">
        <v>103</v>
      </c>
      <c r="F1069" s="232" t="s">
        <v>1185</v>
      </c>
      <c r="G1069" s="281" t="s">
        <v>296</v>
      </c>
      <c r="H1069" s="234" t="s">
        <v>296</v>
      </c>
      <c r="I1069" s="234" t="s">
        <v>296</v>
      </c>
      <c r="J1069" s="235" t="s">
        <v>296</v>
      </c>
      <c r="K1069" s="235" t="s">
        <v>296</v>
      </c>
      <c r="L1069" s="234" t="s">
        <v>296</v>
      </c>
      <c r="M1069" s="234" t="s">
        <v>296</v>
      </c>
      <c r="N1069" s="235" t="s">
        <v>296</v>
      </c>
      <c r="O1069" s="236" t="s">
        <v>296</v>
      </c>
      <c r="P1069" s="236" t="s">
        <v>296</v>
      </c>
      <c r="Q1069" s="236" t="s">
        <v>296</v>
      </c>
      <c r="R1069" s="236" t="s">
        <v>296</v>
      </c>
      <c r="S1069" s="236" t="s">
        <v>296</v>
      </c>
      <c r="T1069" s="236" t="s">
        <v>296</v>
      </c>
      <c r="U1069" s="236" t="s">
        <v>296</v>
      </c>
      <c r="V1069" s="236" t="s">
        <v>296</v>
      </c>
      <c r="W1069" s="237" t="s">
        <v>296</v>
      </c>
      <c r="X1069" s="237" t="s">
        <v>296</v>
      </c>
      <c r="Y1069" s="238" t="s">
        <v>296</v>
      </c>
    </row>
    <row r="1070" spans="1:25">
      <c r="A1070" s="230">
        <v>20</v>
      </c>
      <c r="B1070" s="231" t="str">
        <f>VLOOKUP(Tabel10[[#This Row],[Locatiecode]],Ruimtegroepen[[Code]:[Ruimte omschrijving]],2,FALSE)</f>
        <v>Niet in Onderhoud</v>
      </c>
      <c r="C1070" s="232" t="s">
        <v>1181</v>
      </c>
      <c r="D1070" s="231" t="s">
        <v>21</v>
      </c>
      <c r="E1070" s="233" t="s">
        <v>100</v>
      </c>
      <c r="F1070" s="232" t="s">
        <v>1183</v>
      </c>
      <c r="G1070" s="281" t="s">
        <v>296</v>
      </c>
      <c r="H1070" s="234" t="s">
        <v>296</v>
      </c>
      <c r="I1070" s="234" t="s">
        <v>296</v>
      </c>
      <c r="J1070" s="235" t="s">
        <v>296</v>
      </c>
      <c r="K1070" s="235" t="s">
        <v>296</v>
      </c>
      <c r="L1070" s="234" t="s">
        <v>296</v>
      </c>
      <c r="M1070" s="234" t="s">
        <v>296</v>
      </c>
      <c r="N1070" s="235" t="s">
        <v>296</v>
      </c>
      <c r="O1070" s="236" t="s">
        <v>296</v>
      </c>
      <c r="P1070" s="236" t="s">
        <v>296</v>
      </c>
      <c r="Q1070" s="236" t="s">
        <v>296</v>
      </c>
      <c r="R1070" s="236" t="s">
        <v>296</v>
      </c>
      <c r="S1070" s="236" t="s">
        <v>296</v>
      </c>
      <c r="T1070" s="236" t="s">
        <v>296</v>
      </c>
      <c r="U1070" s="236" t="s">
        <v>296</v>
      </c>
      <c r="V1070" s="236" t="s">
        <v>296</v>
      </c>
      <c r="W1070" s="237" t="s">
        <v>296</v>
      </c>
      <c r="X1070" s="237" t="s">
        <v>296</v>
      </c>
      <c r="Y1070" s="238" t="s">
        <v>296</v>
      </c>
    </row>
    <row r="1071" spans="1:25">
      <c r="A1071" s="230">
        <v>20</v>
      </c>
      <c r="B1071" s="231" t="str">
        <f>VLOOKUP(Tabel10[[#This Row],[Locatiecode]],Ruimtegroepen[[Code]:[Ruimte omschrijving]],2,FALSE)</f>
        <v>Niet in Onderhoud</v>
      </c>
      <c r="C1071" s="232" t="s">
        <v>1181</v>
      </c>
      <c r="D1071" s="231" t="s">
        <v>21</v>
      </c>
      <c r="E1071" s="233" t="s">
        <v>1344</v>
      </c>
      <c r="F1071" s="232" t="s">
        <v>1360</v>
      </c>
      <c r="G1071" s="281" t="s">
        <v>296</v>
      </c>
      <c r="H1071" s="234" t="s">
        <v>296</v>
      </c>
      <c r="I1071" s="234" t="s">
        <v>296</v>
      </c>
      <c r="J1071" s="235" t="s">
        <v>296</v>
      </c>
      <c r="K1071" s="235" t="s">
        <v>296</v>
      </c>
      <c r="L1071" s="234" t="s">
        <v>296</v>
      </c>
      <c r="M1071" s="234" t="s">
        <v>296</v>
      </c>
      <c r="N1071" s="235" t="s">
        <v>296</v>
      </c>
      <c r="O1071" s="236" t="s">
        <v>296</v>
      </c>
      <c r="P1071" s="236" t="s">
        <v>296</v>
      </c>
      <c r="Q1071" s="236" t="s">
        <v>296</v>
      </c>
      <c r="R1071" s="236" t="s">
        <v>296</v>
      </c>
      <c r="S1071" s="236" t="s">
        <v>296</v>
      </c>
      <c r="T1071" s="236" t="s">
        <v>296</v>
      </c>
      <c r="U1071" s="236" t="s">
        <v>296</v>
      </c>
      <c r="V1071" s="236" t="s">
        <v>296</v>
      </c>
      <c r="W1071" s="237" t="s">
        <v>296</v>
      </c>
      <c r="X1071" s="237" t="s">
        <v>296</v>
      </c>
      <c r="Y1071" s="238" t="s">
        <v>296</v>
      </c>
    </row>
    <row r="1072" spans="1:25">
      <c r="A1072" s="230">
        <v>20</v>
      </c>
      <c r="B1072" s="231" t="str">
        <f>VLOOKUP(Tabel10[[#This Row],[Locatiecode]],Ruimtegroepen[[Code]:[Ruimte omschrijving]],2,FALSE)</f>
        <v>Niet in Onderhoud</v>
      </c>
      <c r="C1072" s="232" t="s">
        <v>1186</v>
      </c>
      <c r="D1072" s="231" t="s">
        <v>12</v>
      </c>
      <c r="E1072" s="233" t="s">
        <v>101</v>
      </c>
      <c r="F1072" s="232" t="s">
        <v>1187</v>
      </c>
      <c r="G1072" s="281" t="s">
        <v>296</v>
      </c>
      <c r="H1072" s="234" t="s">
        <v>296</v>
      </c>
      <c r="I1072" s="234" t="s">
        <v>296</v>
      </c>
      <c r="J1072" s="235" t="s">
        <v>296</v>
      </c>
      <c r="K1072" s="235" t="s">
        <v>296</v>
      </c>
      <c r="L1072" s="234" t="s">
        <v>296</v>
      </c>
      <c r="M1072" s="234" t="s">
        <v>296</v>
      </c>
      <c r="N1072" s="235" t="s">
        <v>296</v>
      </c>
      <c r="O1072" s="236" t="s">
        <v>296</v>
      </c>
      <c r="P1072" s="236" t="s">
        <v>296</v>
      </c>
      <c r="Q1072" s="236" t="s">
        <v>296</v>
      </c>
      <c r="R1072" s="236" t="s">
        <v>296</v>
      </c>
      <c r="S1072" s="236" t="s">
        <v>296</v>
      </c>
      <c r="T1072" s="236" t="s">
        <v>296</v>
      </c>
      <c r="U1072" s="236" t="s">
        <v>296</v>
      </c>
      <c r="V1072" s="236" t="s">
        <v>296</v>
      </c>
      <c r="W1072" s="237" t="s">
        <v>296</v>
      </c>
      <c r="X1072" s="237" t="s">
        <v>296</v>
      </c>
      <c r="Y1072" s="238" t="s">
        <v>296</v>
      </c>
    </row>
    <row r="1073" spans="1:25">
      <c r="A1073" s="230">
        <v>20</v>
      </c>
      <c r="B1073" s="231" t="str">
        <f>VLOOKUP(Tabel10[[#This Row],[Locatiecode]],Ruimtegroepen[[Code]:[Ruimte omschrijving]],2,FALSE)</f>
        <v>Niet in Onderhoud</v>
      </c>
      <c r="C1073" s="232" t="s">
        <v>1186</v>
      </c>
      <c r="D1073" s="231" t="s">
        <v>12</v>
      </c>
      <c r="E1073" s="233" t="s">
        <v>100</v>
      </c>
      <c r="F1073" s="232" t="s">
        <v>1188</v>
      </c>
      <c r="G1073" s="281" t="s">
        <v>296</v>
      </c>
      <c r="H1073" s="234" t="s">
        <v>296</v>
      </c>
      <c r="I1073" s="234" t="s">
        <v>296</v>
      </c>
      <c r="J1073" s="235" t="s">
        <v>296</v>
      </c>
      <c r="K1073" s="235" t="s">
        <v>296</v>
      </c>
      <c r="L1073" s="234" t="s">
        <v>296</v>
      </c>
      <c r="M1073" s="234" t="s">
        <v>296</v>
      </c>
      <c r="N1073" s="235" t="s">
        <v>296</v>
      </c>
      <c r="O1073" s="236" t="s">
        <v>296</v>
      </c>
      <c r="P1073" s="236" t="s">
        <v>296</v>
      </c>
      <c r="Q1073" s="236" t="s">
        <v>296</v>
      </c>
      <c r="R1073" s="236" t="s">
        <v>296</v>
      </c>
      <c r="S1073" s="236" t="s">
        <v>296</v>
      </c>
      <c r="T1073" s="236" t="s">
        <v>296</v>
      </c>
      <c r="U1073" s="236" t="s">
        <v>296</v>
      </c>
      <c r="V1073" s="236" t="s">
        <v>296</v>
      </c>
      <c r="W1073" s="237" t="s">
        <v>296</v>
      </c>
      <c r="X1073" s="237" t="s">
        <v>296</v>
      </c>
      <c r="Y1073" s="238" t="s">
        <v>296</v>
      </c>
    </row>
    <row r="1074" spans="1:25">
      <c r="A1074" s="230">
        <v>20</v>
      </c>
      <c r="B1074" s="231" t="str">
        <f>VLOOKUP(Tabel10[[#This Row],[Locatiecode]],Ruimtegroepen[[Code]:[Ruimte omschrijving]],2,FALSE)</f>
        <v>Niet in Onderhoud</v>
      </c>
      <c r="C1074" s="232" t="s">
        <v>1186</v>
      </c>
      <c r="D1074" s="231" t="s">
        <v>12</v>
      </c>
      <c r="E1074" s="233" t="s">
        <v>102</v>
      </c>
      <c r="F1074" s="232" t="s">
        <v>1189</v>
      </c>
      <c r="G1074" s="281" t="s">
        <v>296</v>
      </c>
      <c r="H1074" s="234" t="s">
        <v>296</v>
      </c>
      <c r="I1074" s="234" t="s">
        <v>296</v>
      </c>
      <c r="J1074" s="235" t="s">
        <v>296</v>
      </c>
      <c r="K1074" s="235" t="s">
        <v>296</v>
      </c>
      <c r="L1074" s="234" t="s">
        <v>296</v>
      </c>
      <c r="M1074" s="234" t="s">
        <v>296</v>
      </c>
      <c r="N1074" s="235" t="s">
        <v>296</v>
      </c>
      <c r="O1074" s="236" t="s">
        <v>296</v>
      </c>
      <c r="P1074" s="236" t="s">
        <v>296</v>
      </c>
      <c r="Q1074" s="236" t="s">
        <v>296</v>
      </c>
      <c r="R1074" s="236" t="s">
        <v>296</v>
      </c>
      <c r="S1074" s="236" t="s">
        <v>296</v>
      </c>
      <c r="T1074" s="236" t="s">
        <v>296</v>
      </c>
      <c r="U1074" s="236" t="s">
        <v>296</v>
      </c>
      <c r="V1074" s="236" t="s">
        <v>296</v>
      </c>
      <c r="W1074" s="237" t="s">
        <v>296</v>
      </c>
      <c r="X1074" s="237" t="s">
        <v>296</v>
      </c>
      <c r="Y1074" s="238" t="s">
        <v>296</v>
      </c>
    </row>
    <row r="1075" spans="1:25">
      <c r="A1075" s="230">
        <v>20</v>
      </c>
      <c r="B1075" s="231" t="str">
        <f>VLOOKUP(Tabel10[[#This Row],[Locatiecode]],Ruimtegroepen[[Code]:[Ruimte omschrijving]],2,FALSE)</f>
        <v>Niet in Onderhoud</v>
      </c>
      <c r="C1075" s="232" t="s">
        <v>1186</v>
      </c>
      <c r="D1075" s="231" t="s">
        <v>12</v>
      </c>
      <c r="E1075" s="233" t="s">
        <v>103</v>
      </c>
      <c r="F1075" s="232" t="s">
        <v>1190</v>
      </c>
      <c r="G1075" s="281" t="s">
        <v>296</v>
      </c>
      <c r="H1075" s="234" t="s">
        <v>296</v>
      </c>
      <c r="I1075" s="234" t="s">
        <v>296</v>
      </c>
      <c r="J1075" s="235" t="s">
        <v>296</v>
      </c>
      <c r="K1075" s="235" t="s">
        <v>296</v>
      </c>
      <c r="L1075" s="234" t="s">
        <v>296</v>
      </c>
      <c r="M1075" s="234" t="s">
        <v>296</v>
      </c>
      <c r="N1075" s="235" t="s">
        <v>296</v>
      </c>
      <c r="O1075" s="236" t="s">
        <v>296</v>
      </c>
      <c r="P1075" s="236" t="s">
        <v>296</v>
      </c>
      <c r="Q1075" s="236" t="s">
        <v>296</v>
      </c>
      <c r="R1075" s="236" t="s">
        <v>296</v>
      </c>
      <c r="S1075" s="236" t="s">
        <v>296</v>
      </c>
      <c r="T1075" s="236" t="s">
        <v>296</v>
      </c>
      <c r="U1075" s="236" t="s">
        <v>296</v>
      </c>
      <c r="V1075" s="236" t="s">
        <v>296</v>
      </c>
      <c r="W1075" s="237" t="s">
        <v>296</v>
      </c>
      <c r="X1075" s="237" t="s">
        <v>296</v>
      </c>
      <c r="Y1075" s="238" t="s">
        <v>296</v>
      </c>
    </row>
    <row r="1076" spans="1:25">
      <c r="A1076" s="230">
        <v>20</v>
      </c>
      <c r="B1076" s="231" t="str">
        <f>VLOOKUP(Tabel10[[#This Row],[Locatiecode]],Ruimtegroepen[[Code]:[Ruimte omschrijving]],2,FALSE)</f>
        <v>Niet in Onderhoud</v>
      </c>
      <c r="C1076" s="232" t="s">
        <v>1186</v>
      </c>
      <c r="D1076" s="231" t="s">
        <v>12</v>
      </c>
      <c r="E1076" s="233" t="s">
        <v>100</v>
      </c>
      <c r="F1076" s="232" t="s">
        <v>1188</v>
      </c>
      <c r="G1076" s="281" t="s">
        <v>296</v>
      </c>
      <c r="H1076" s="234" t="s">
        <v>296</v>
      </c>
      <c r="I1076" s="234" t="s">
        <v>296</v>
      </c>
      <c r="J1076" s="235" t="s">
        <v>296</v>
      </c>
      <c r="K1076" s="235" t="s">
        <v>296</v>
      </c>
      <c r="L1076" s="234" t="s">
        <v>296</v>
      </c>
      <c r="M1076" s="234" t="s">
        <v>296</v>
      </c>
      <c r="N1076" s="235" t="s">
        <v>296</v>
      </c>
      <c r="O1076" s="236" t="s">
        <v>296</v>
      </c>
      <c r="P1076" s="236" t="s">
        <v>296</v>
      </c>
      <c r="Q1076" s="236" t="s">
        <v>296</v>
      </c>
      <c r="R1076" s="236" t="s">
        <v>296</v>
      </c>
      <c r="S1076" s="236" t="s">
        <v>296</v>
      </c>
      <c r="T1076" s="236" t="s">
        <v>296</v>
      </c>
      <c r="U1076" s="236" t="s">
        <v>296</v>
      </c>
      <c r="V1076" s="236" t="s">
        <v>296</v>
      </c>
      <c r="W1076" s="237" t="s">
        <v>296</v>
      </c>
      <c r="X1076" s="237" t="s">
        <v>296</v>
      </c>
      <c r="Y1076" s="238" t="s">
        <v>296</v>
      </c>
    </row>
    <row r="1077" spans="1:25">
      <c r="A1077" s="230">
        <v>20</v>
      </c>
      <c r="B1077" s="231" t="str">
        <f>VLOOKUP(Tabel10[[#This Row],[Locatiecode]],Ruimtegroepen[[Code]:[Ruimte omschrijving]],2,FALSE)</f>
        <v>Niet in Onderhoud</v>
      </c>
      <c r="C1077" s="232" t="s">
        <v>1186</v>
      </c>
      <c r="D1077" s="231" t="s">
        <v>12</v>
      </c>
      <c r="E1077" s="233" t="s">
        <v>1344</v>
      </c>
      <c r="F1077" s="232" t="s">
        <v>1359</v>
      </c>
      <c r="G1077" s="281" t="s">
        <v>296</v>
      </c>
      <c r="H1077" s="234" t="s">
        <v>296</v>
      </c>
      <c r="I1077" s="234" t="s">
        <v>296</v>
      </c>
      <c r="J1077" s="235" t="s">
        <v>296</v>
      </c>
      <c r="K1077" s="235" t="s">
        <v>296</v>
      </c>
      <c r="L1077" s="234" t="s">
        <v>296</v>
      </c>
      <c r="M1077" s="234" t="s">
        <v>296</v>
      </c>
      <c r="N1077" s="235" t="s">
        <v>296</v>
      </c>
      <c r="O1077" s="236" t="s">
        <v>296</v>
      </c>
      <c r="P1077" s="236" t="s">
        <v>296</v>
      </c>
      <c r="Q1077" s="236" t="s">
        <v>296</v>
      </c>
      <c r="R1077" s="236" t="s">
        <v>296</v>
      </c>
      <c r="S1077" s="236" t="s">
        <v>296</v>
      </c>
      <c r="T1077" s="236" t="s">
        <v>296</v>
      </c>
      <c r="U1077" s="236" t="s">
        <v>296</v>
      </c>
      <c r="V1077" s="236" t="s">
        <v>296</v>
      </c>
      <c r="W1077" s="237" t="s">
        <v>296</v>
      </c>
      <c r="X1077" s="237" t="s">
        <v>296</v>
      </c>
      <c r="Y1077" s="238" t="s">
        <v>296</v>
      </c>
    </row>
    <row r="1078" spans="1:25">
      <c r="A1078" s="230">
        <v>20</v>
      </c>
      <c r="B1078" s="231" t="str">
        <f>VLOOKUP(Tabel10[[#This Row],[Locatiecode]],Ruimtegroepen[[Code]:[Ruimte omschrijving]],2,FALSE)</f>
        <v>Niet in Onderhoud</v>
      </c>
      <c r="C1078" s="232" t="s">
        <v>1191</v>
      </c>
      <c r="D1078" s="231" t="s">
        <v>14</v>
      </c>
      <c r="E1078" s="233" t="s">
        <v>101</v>
      </c>
      <c r="F1078" s="232" t="s">
        <v>1192</v>
      </c>
      <c r="G1078" s="281" t="s">
        <v>296</v>
      </c>
      <c r="H1078" s="234" t="s">
        <v>296</v>
      </c>
      <c r="I1078" s="234" t="s">
        <v>296</v>
      </c>
      <c r="J1078" s="235" t="s">
        <v>296</v>
      </c>
      <c r="K1078" s="235" t="s">
        <v>296</v>
      </c>
      <c r="L1078" s="234" t="s">
        <v>296</v>
      </c>
      <c r="M1078" s="234" t="s">
        <v>296</v>
      </c>
      <c r="N1078" s="235" t="s">
        <v>296</v>
      </c>
      <c r="O1078" s="236" t="s">
        <v>296</v>
      </c>
      <c r="P1078" s="236" t="s">
        <v>296</v>
      </c>
      <c r="Q1078" s="236" t="s">
        <v>296</v>
      </c>
      <c r="R1078" s="236" t="s">
        <v>296</v>
      </c>
      <c r="S1078" s="236" t="s">
        <v>296</v>
      </c>
      <c r="T1078" s="236" t="s">
        <v>296</v>
      </c>
      <c r="U1078" s="236" t="s">
        <v>296</v>
      </c>
      <c r="V1078" s="236" t="s">
        <v>296</v>
      </c>
      <c r="W1078" s="237" t="s">
        <v>296</v>
      </c>
      <c r="X1078" s="237" t="s">
        <v>296</v>
      </c>
      <c r="Y1078" s="238" t="s">
        <v>296</v>
      </c>
    </row>
    <row r="1079" spans="1:25">
      <c r="A1079" s="230">
        <v>20</v>
      </c>
      <c r="B1079" s="231" t="str">
        <f>VLOOKUP(Tabel10[[#This Row],[Locatiecode]],Ruimtegroepen[[Code]:[Ruimte omschrijving]],2,FALSE)</f>
        <v>Niet in Onderhoud</v>
      </c>
      <c r="C1079" s="232" t="s">
        <v>1191</v>
      </c>
      <c r="D1079" s="231" t="s">
        <v>14</v>
      </c>
      <c r="E1079" s="233" t="s">
        <v>100</v>
      </c>
      <c r="F1079" s="232" t="s">
        <v>1193</v>
      </c>
      <c r="G1079" s="281" t="s">
        <v>296</v>
      </c>
      <c r="H1079" s="234" t="s">
        <v>296</v>
      </c>
      <c r="I1079" s="234" t="s">
        <v>296</v>
      </c>
      <c r="J1079" s="235" t="s">
        <v>296</v>
      </c>
      <c r="K1079" s="235" t="s">
        <v>296</v>
      </c>
      <c r="L1079" s="234" t="s">
        <v>296</v>
      </c>
      <c r="M1079" s="234" t="s">
        <v>296</v>
      </c>
      <c r="N1079" s="235" t="s">
        <v>296</v>
      </c>
      <c r="O1079" s="236" t="s">
        <v>296</v>
      </c>
      <c r="P1079" s="236" t="s">
        <v>296</v>
      </c>
      <c r="Q1079" s="236" t="s">
        <v>296</v>
      </c>
      <c r="R1079" s="236" t="s">
        <v>296</v>
      </c>
      <c r="S1079" s="236" t="s">
        <v>296</v>
      </c>
      <c r="T1079" s="236" t="s">
        <v>296</v>
      </c>
      <c r="U1079" s="236" t="s">
        <v>296</v>
      </c>
      <c r="V1079" s="236" t="s">
        <v>296</v>
      </c>
      <c r="W1079" s="237" t="s">
        <v>296</v>
      </c>
      <c r="X1079" s="237" t="s">
        <v>296</v>
      </c>
      <c r="Y1079" s="238" t="s">
        <v>296</v>
      </c>
    </row>
    <row r="1080" spans="1:25">
      <c r="A1080" s="230">
        <v>20</v>
      </c>
      <c r="B1080" s="231" t="str">
        <f>VLOOKUP(Tabel10[[#This Row],[Locatiecode]],Ruimtegroepen[[Code]:[Ruimte omschrijving]],2,FALSE)</f>
        <v>Niet in Onderhoud</v>
      </c>
      <c r="C1080" s="232" t="s">
        <v>1191</v>
      </c>
      <c r="D1080" s="231" t="s">
        <v>14</v>
      </c>
      <c r="E1080" s="233" t="s">
        <v>102</v>
      </c>
      <c r="F1080" s="232" t="s">
        <v>1194</v>
      </c>
      <c r="G1080" s="281" t="s">
        <v>296</v>
      </c>
      <c r="H1080" s="234" t="s">
        <v>296</v>
      </c>
      <c r="I1080" s="234" t="s">
        <v>296</v>
      </c>
      <c r="J1080" s="235" t="s">
        <v>296</v>
      </c>
      <c r="K1080" s="235" t="s">
        <v>296</v>
      </c>
      <c r="L1080" s="234" t="s">
        <v>296</v>
      </c>
      <c r="M1080" s="234" t="s">
        <v>296</v>
      </c>
      <c r="N1080" s="235" t="s">
        <v>296</v>
      </c>
      <c r="O1080" s="236" t="s">
        <v>296</v>
      </c>
      <c r="P1080" s="236" t="s">
        <v>296</v>
      </c>
      <c r="Q1080" s="236" t="s">
        <v>296</v>
      </c>
      <c r="R1080" s="236" t="s">
        <v>296</v>
      </c>
      <c r="S1080" s="236" t="s">
        <v>296</v>
      </c>
      <c r="T1080" s="236" t="s">
        <v>296</v>
      </c>
      <c r="U1080" s="236" t="s">
        <v>296</v>
      </c>
      <c r="V1080" s="236" t="s">
        <v>296</v>
      </c>
      <c r="W1080" s="237" t="s">
        <v>296</v>
      </c>
      <c r="X1080" s="237" t="s">
        <v>296</v>
      </c>
      <c r="Y1080" s="238" t="s">
        <v>296</v>
      </c>
    </row>
    <row r="1081" spans="1:25">
      <c r="A1081" s="230">
        <v>20</v>
      </c>
      <c r="B1081" s="231" t="str">
        <f>VLOOKUP(Tabel10[[#This Row],[Locatiecode]],Ruimtegroepen[[Code]:[Ruimte omschrijving]],2,FALSE)</f>
        <v>Niet in Onderhoud</v>
      </c>
      <c r="C1081" s="232" t="s">
        <v>1191</v>
      </c>
      <c r="D1081" s="231" t="s">
        <v>14</v>
      </c>
      <c r="E1081" s="233" t="s">
        <v>103</v>
      </c>
      <c r="F1081" s="232" t="s">
        <v>1195</v>
      </c>
      <c r="G1081" s="281" t="s">
        <v>296</v>
      </c>
      <c r="H1081" s="234" t="s">
        <v>296</v>
      </c>
      <c r="I1081" s="234" t="s">
        <v>296</v>
      </c>
      <c r="J1081" s="235" t="s">
        <v>296</v>
      </c>
      <c r="K1081" s="235" t="s">
        <v>296</v>
      </c>
      <c r="L1081" s="234" t="s">
        <v>296</v>
      </c>
      <c r="M1081" s="234" t="s">
        <v>296</v>
      </c>
      <c r="N1081" s="235" t="s">
        <v>296</v>
      </c>
      <c r="O1081" s="236" t="s">
        <v>296</v>
      </c>
      <c r="P1081" s="236" t="s">
        <v>296</v>
      </c>
      <c r="Q1081" s="236" t="s">
        <v>296</v>
      </c>
      <c r="R1081" s="236" t="s">
        <v>296</v>
      </c>
      <c r="S1081" s="236" t="s">
        <v>296</v>
      </c>
      <c r="T1081" s="236" t="s">
        <v>296</v>
      </c>
      <c r="U1081" s="236" t="s">
        <v>296</v>
      </c>
      <c r="V1081" s="236" t="s">
        <v>296</v>
      </c>
      <c r="W1081" s="237" t="s">
        <v>296</v>
      </c>
      <c r="X1081" s="237" t="s">
        <v>296</v>
      </c>
      <c r="Y1081" s="238" t="s">
        <v>296</v>
      </c>
    </row>
    <row r="1082" spans="1:25">
      <c r="A1082" s="230">
        <v>20</v>
      </c>
      <c r="B1082" s="231" t="str">
        <f>VLOOKUP(Tabel10[[#This Row],[Locatiecode]],Ruimtegroepen[[Code]:[Ruimte omschrijving]],2,FALSE)</f>
        <v>Niet in Onderhoud</v>
      </c>
      <c r="C1082" s="232" t="s">
        <v>1191</v>
      </c>
      <c r="D1082" s="231" t="s">
        <v>14</v>
      </c>
      <c r="E1082" s="233" t="s">
        <v>100</v>
      </c>
      <c r="F1082" s="232" t="s">
        <v>1193</v>
      </c>
      <c r="G1082" s="281" t="s">
        <v>296</v>
      </c>
      <c r="H1082" s="234" t="s">
        <v>296</v>
      </c>
      <c r="I1082" s="234" t="s">
        <v>296</v>
      </c>
      <c r="J1082" s="235" t="s">
        <v>296</v>
      </c>
      <c r="K1082" s="235" t="s">
        <v>296</v>
      </c>
      <c r="L1082" s="234" t="s">
        <v>296</v>
      </c>
      <c r="M1082" s="234" t="s">
        <v>296</v>
      </c>
      <c r="N1082" s="235" t="s">
        <v>296</v>
      </c>
      <c r="O1082" s="236" t="s">
        <v>296</v>
      </c>
      <c r="P1082" s="236" t="s">
        <v>296</v>
      </c>
      <c r="Q1082" s="236" t="s">
        <v>296</v>
      </c>
      <c r="R1082" s="236" t="s">
        <v>296</v>
      </c>
      <c r="S1082" s="236" t="s">
        <v>296</v>
      </c>
      <c r="T1082" s="236" t="s">
        <v>296</v>
      </c>
      <c r="U1082" s="236" t="s">
        <v>296</v>
      </c>
      <c r="V1082" s="236" t="s">
        <v>296</v>
      </c>
      <c r="W1082" s="237" t="s">
        <v>296</v>
      </c>
      <c r="X1082" s="237" t="s">
        <v>296</v>
      </c>
      <c r="Y1082" s="238" t="s">
        <v>296</v>
      </c>
    </row>
    <row r="1083" spans="1:25">
      <c r="A1083" s="230">
        <v>20</v>
      </c>
      <c r="B1083" s="231" t="str">
        <f>VLOOKUP(Tabel10[[#This Row],[Locatiecode]],Ruimtegroepen[[Code]:[Ruimte omschrijving]],2,FALSE)</f>
        <v>Niet in Onderhoud</v>
      </c>
      <c r="C1083" s="232" t="s">
        <v>1191</v>
      </c>
      <c r="D1083" s="231" t="s">
        <v>14</v>
      </c>
      <c r="E1083" s="233" t="s">
        <v>1344</v>
      </c>
      <c r="F1083" s="232" t="s">
        <v>1358</v>
      </c>
      <c r="G1083" s="281" t="s">
        <v>296</v>
      </c>
      <c r="H1083" s="234" t="s">
        <v>296</v>
      </c>
      <c r="I1083" s="234" t="s">
        <v>296</v>
      </c>
      <c r="J1083" s="235" t="s">
        <v>296</v>
      </c>
      <c r="K1083" s="235" t="s">
        <v>296</v>
      </c>
      <c r="L1083" s="234" t="s">
        <v>296</v>
      </c>
      <c r="M1083" s="234" t="s">
        <v>296</v>
      </c>
      <c r="N1083" s="235" t="s">
        <v>296</v>
      </c>
      <c r="O1083" s="236" t="s">
        <v>296</v>
      </c>
      <c r="P1083" s="236" t="s">
        <v>296</v>
      </c>
      <c r="Q1083" s="236" t="s">
        <v>296</v>
      </c>
      <c r="R1083" s="236" t="s">
        <v>296</v>
      </c>
      <c r="S1083" s="236" t="s">
        <v>296</v>
      </c>
      <c r="T1083" s="236" t="s">
        <v>296</v>
      </c>
      <c r="U1083" s="236" t="s">
        <v>296</v>
      </c>
      <c r="V1083" s="236" t="s">
        <v>296</v>
      </c>
      <c r="W1083" s="237" t="s">
        <v>296</v>
      </c>
      <c r="X1083" s="237" t="s">
        <v>296</v>
      </c>
      <c r="Y1083" s="238" t="s">
        <v>296</v>
      </c>
    </row>
    <row r="1084" spans="1:25">
      <c r="A1084" s="230">
        <v>20</v>
      </c>
      <c r="B1084" s="231" t="str">
        <f>VLOOKUP(Tabel10[[#This Row],[Locatiecode]],Ruimtegroepen[[Code]:[Ruimte omschrijving]],2,FALSE)</f>
        <v>Niet in Onderhoud</v>
      </c>
      <c r="C1084" s="232" t="s">
        <v>1196</v>
      </c>
      <c r="D1084" s="231" t="s">
        <v>13</v>
      </c>
      <c r="E1084" s="233" t="s">
        <v>101</v>
      </c>
      <c r="F1084" s="232" t="s">
        <v>1197</v>
      </c>
      <c r="G1084" s="281" t="s">
        <v>296</v>
      </c>
      <c r="H1084" s="234" t="s">
        <v>296</v>
      </c>
      <c r="I1084" s="234" t="s">
        <v>296</v>
      </c>
      <c r="J1084" s="235" t="s">
        <v>296</v>
      </c>
      <c r="K1084" s="235" t="s">
        <v>296</v>
      </c>
      <c r="L1084" s="234" t="s">
        <v>296</v>
      </c>
      <c r="M1084" s="234" t="s">
        <v>296</v>
      </c>
      <c r="N1084" s="235" t="s">
        <v>296</v>
      </c>
      <c r="O1084" s="236" t="s">
        <v>296</v>
      </c>
      <c r="P1084" s="236" t="s">
        <v>296</v>
      </c>
      <c r="Q1084" s="236" t="s">
        <v>296</v>
      </c>
      <c r="R1084" s="236" t="s">
        <v>296</v>
      </c>
      <c r="S1084" s="236" t="s">
        <v>296</v>
      </c>
      <c r="T1084" s="236" t="s">
        <v>296</v>
      </c>
      <c r="U1084" s="236" t="s">
        <v>296</v>
      </c>
      <c r="V1084" s="236" t="s">
        <v>296</v>
      </c>
      <c r="W1084" s="237" t="s">
        <v>296</v>
      </c>
      <c r="X1084" s="237" t="s">
        <v>296</v>
      </c>
      <c r="Y1084" s="238" t="s">
        <v>296</v>
      </c>
    </row>
    <row r="1085" spans="1:25">
      <c r="A1085" s="230">
        <v>20</v>
      </c>
      <c r="B1085" s="231" t="str">
        <f>VLOOKUP(Tabel10[[#This Row],[Locatiecode]],Ruimtegroepen[[Code]:[Ruimte omschrijving]],2,FALSE)</f>
        <v>Niet in Onderhoud</v>
      </c>
      <c r="C1085" s="232" t="s">
        <v>1196</v>
      </c>
      <c r="D1085" s="231" t="s">
        <v>13</v>
      </c>
      <c r="E1085" s="233" t="s">
        <v>100</v>
      </c>
      <c r="F1085" s="232" t="s">
        <v>1198</v>
      </c>
      <c r="G1085" s="281" t="s">
        <v>296</v>
      </c>
      <c r="H1085" s="234" t="s">
        <v>296</v>
      </c>
      <c r="I1085" s="234" t="s">
        <v>296</v>
      </c>
      <c r="J1085" s="235" t="s">
        <v>296</v>
      </c>
      <c r="K1085" s="235" t="s">
        <v>296</v>
      </c>
      <c r="L1085" s="234" t="s">
        <v>296</v>
      </c>
      <c r="M1085" s="234" t="s">
        <v>296</v>
      </c>
      <c r="N1085" s="235" t="s">
        <v>296</v>
      </c>
      <c r="O1085" s="236" t="s">
        <v>296</v>
      </c>
      <c r="P1085" s="236" t="s">
        <v>296</v>
      </c>
      <c r="Q1085" s="236" t="s">
        <v>296</v>
      </c>
      <c r="R1085" s="236" t="s">
        <v>296</v>
      </c>
      <c r="S1085" s="236" t="s">
        <v>296</v>
      </c>
      <c r="T1085" s="236" t="s">
        <v>296</v>
      </c>
      <c r="U1085" s="236" t="s">
        <v>296</v>
      </c>
      <c r="V1085" s="236" t="s">
        <v>296</v>
      </c>
      <c r="W1085" s="237" t="s">
        <v>296</v>
      </c>
      <c r="X1085" s="237" t="s">
        <v>296</v>
      </c>
      <c r="Y1085" s="238" t="s">
        <v>296</v>
      </c>
    </row>
    <row r="1086" spans="1:25">
      <c r="A1086" s="230">
        <v>20</v>
      </c>
      <c r="B1086" s="231" t="str">
        <f>VLOOKUP(Tabel10[[#This Row],[Locatiecode]],Ruimtegroepen[[Code]:[Ruimte omschrijving]],2,FALSE)</f>
        <v>Niet in Onderhoud</v>
      </c>
      <c r="C1086" s="232" t="s">
        <v>1196</v>
      </c>
      <c r="D1086" s="231" t="s">
        <v>13</v>
      </c>
      <c r="E1086" s="233" t="s">
        <v>102</v>
      </c>
      <c r="F1086" s="232" t="s">
        <v>1199</v>
      </c>
      <c r="G1086" s="281" t="s">
        <v>296</v>
      </c>
      <c r="H1086" s="234" t="s">
        <v>296</v>
      </c>
      <c r="I1086" s="234" t="s">
        <v>296</v>
      </c>
      <c r="J1086" s="235" t="s">
        <v>296</v>
      </c>
      <c r="K1086" s="235" t="s">
        <v>296</v>
      </c>
      <c r="L1086" s="234" t="s">
        <v>296</v>
      </c>
      <c r="M1086" s="234" t="s">
        <v>296</v>
      </c>
      <c r="N1086" s="235" t="s">
        <v>296</v>
      </c>
      <c r="O1086" s="236" t="s">
        <v>296</v>
      </c>
      <c r="P1086" s="236" t="s">
        <v>296</v>
      </c>
      <c r="Q1086" s="236" t="s">
        <v>296</v>
      </c>
      <c r="R1086" s="236" t="s">
        <v>296</v>
      </c>
      <c r="S1086" s="236" t="s">
        <v>296</v>
      </c>
      <c r="T1086" s="236" t="s">
        <v>296</v>
      </c>
      <c r="U1086" s="236" t="s">
        <v>296</v>
      </c>
      <c r="V1086" s="236" t="s">
        <v>296</v>
      </c>
      <c r="W1086" s="237" t="s">
        <v>296</v>
      </c>
      <c r="X1086" s="237" t="s">
        <v>296</v>
      </c>
      <c r="Y1086" s="238" t="s">
        <v>296</v>
      </c>
    </row>
    <row r="1087" spans="1:25">
      <c r="A1087" s="230">
        <v>20</v>
      </c>
      <c r="B1087" s="231" t="str">
        <f>VLOOKUP(Tabel10[[#This Row],[Locatiecode]],Ruimtegroepen[[Code]:[Ruimte omschrijving]],2,FALSE)</f>
        <v>Niet in Onderhoud</v>
      </c>
      <c r="C1087" s="232" t="s">
        <v>1196</v>
      </c>
      <c r="D1087" s="231" t="s">
        <v>13</v>
      </c>
      <c r="E1087" s="233" t="s">
        <v>103</v>
      </c>
      <c r="F1087" s="232" t="s">
        <v>1200</v>
      </c>
      <c r="G1087" s="281" t="s">
        <v>296</v>
      </c>
      <c r="H1087" s="234" t="s">
        <v>296</v>
      </c>
      <c r="I1087" s="234" t="s">
        <v>296</v>
      </c>
      <c r="J1087" s="235" t="s">
        <v>296</v>
      </c>
      <c r="K1087" s="235" t="s">
        <v>296</v>
      </c>
      <c r="L1087" s="234" t="s">
        <v>296</v>
      </c>
      <c r="M1087" s="234" t="s">
        <v>296</v>
      </c>
      <c r="N1087" s="235" t="s">
        <v>296</v>
      </c>
      <c r="O1087" s="236" t="s">
        <v>296</v>
      </c>
      <c r="P1087" s="236" t="s">
        <v>296</v>
      </c>
      <c r="Q1087" s="236" t="s">
        <v>296</v>
      </c>
      <c r="R1087" s="236" t="s">
        <v>296</v>
      </c>
      <c r="S1087" s="236" t="s">
        <v>296</v>
      </c>
      <c r="T1087" s="236" t="s">
        <v>296</v>
      </c>
      <c r="U1087" s="236" t="s">
        <v>296</v>
      </c>
      <c r="V1087" s="236" t="s">
        <v>296</v>
      </c>
      <c r="W1087" s="237" t="s">
        <v>296</v>
      </c>
      <c r="X1087" s="237" t="s">
        <v>296</v>
      </c>
      <c r="Y1087" s="238" t="s">
        <v>296</v>
      </c>
    </row>
    <row r="1088" spans="1:25">
      <c r="A1088" s="230">
        <v>20</v>
      </c>
      <c r="B1088" s="231" t="str">
        <f>VLOOKUP(Tabel10[[#This Row],[Locatiecode]],Ruimtegroepen[[Code]:[Ruimte omschrijving]],2,FALSE)</f>
        <v>Niet in Onderhoud</v>
      </c>
      <c r="C1088" s="232" t="s">
        <v>1196</v>
      </c>
      <c r="D1088" s="231" t="s">
        <v>13</v>
      </c>
      <c r="E1088" s="233" t="s">
        <v>100</v>
      </c>
      <c r="F1088" s="232" t="s">
        <v>1198</v>
      </c>
      <c r="G1088" s="281" t="s">
        <v>296</v>
      </c>
      <c r="H1088" s="234" t="s">
        <v>296</v>
      </c>
      <c r="I1088" s="234" t="s">
        <v>296</v>
      </c>
      <c r="J1088" s="235" t="s">
        <v>296</v>
      </c>
      <c r="K1088" s="235" t="s">
        <v>296</v>
      </c>
      <c r="L1088" s="234" t="s">
        <v>296</v>
      </c>
      <c r="M1088" s="234" t="s">
        <v>296</v>
      </c>
      <c r="N1088" s="235" t="s">
        <v>296</v>
      </c>
      <c r="O1088" s="236" t="s">
        <v>296</v>
      </c>
      <c r="P1088" s="236" t="s">
        <v>296</v>
      </c>
      <c r="Q1088" s="236" t="s">
        <v>296</v>
      </c>
      <c r="R1088" s="236" t="s">
        <v>296</v>
      </c>
      <c r="S1088" s="236" t="s">
        <v>296</v>
      </c>
      <c r="T1088" s="236" t="s">
        <v>296</v>
      </c>
      <c r="U1088" s="236" t="s">
        <v>296</v>
      </c>
      <c r="V1088" s="236" t="s">
        <v>296</v>
      </c>
      <c r="W1088" s="237" t="s">
        <v>296</v>
      </c>
      <c r="X1088" s="237" t="s">
        <v>296</v>
      </c>
      <c r="Y1088" s="238" t="s">
        <v>296</v>
      </c>
    </row>
    <row r="1089" spans="1:25">
      <c r="A1089" s="230">
        <v>20</v>
      </c>
      <c r="B1089" s="231" t="str">
        <f>VLOOKUP(Tabel10[[#This Row],[Locatiecode]],Ruimtegroepen[[Code]:[Ruimte omschrijving]],2,FALSE)</f>
        <v>Niet in Onderhoud</v>
      </c>
      <c r="C1089" s="232" t="s">
        <v>1196</v>
      </c>
      <c r="D1089" s="231" t="s">
        <v>13</v>
      </c>
      <c r="E1089" s="233" t="s">
        <v>1344</v>
      </c>
      <c r="F1089" s="232" t="s">
        <v>1357</v>
      </c>
      <c r="G1089" s="281" t="s">
        <v>296</v>
      </c>
      <c r="H1089" s="234" t="s">
        <v>296</v>
      </c>
      <c r="I1089" s="234" t="s">
        <v>296</v>
      </c>
      <c r="J1089" s="235" t="s">
        <v>296</v>
      </c>
      <c r="K1089" s="235" t="s">
        <v>296</v>
      </c>
      <c r="L1089" s="234" t="s">
        <v>296</v>
      </c>
      <c r="M1089" s="234" t="s">
        <v>296</v>
      </c>
      <c r="N1089" s="235" t="s">
        <v>296</v>
      </c>
      <c r="O1089" s="236" t="s">
        <v>296</v>
      </c>
      <c r="P1089" s="236" t="s">
        <v>296</v>
      </c>
      <c r="Q1089" s="236" t="s">
        <v>296</v>
      </c>
      <c r="R1089" s="236" t="s">
        <v>296</v>
      </c>
      <c r="S1089" s="236" t="s">
        <v>296</v>
      </c>
      <c r="T1089" s="236" t="s">
        <v>296</v>
      </c>
      <c r="U1089" s="236" t="s">
        <v>296</v>
      </c>
      <c r="V1089" s="236" t="s">
        <v>296</v>
      </c>
      <c r="W1089" s="237" t="s">
        <v>296</v>
      </c>
      <c r="X1089" s="237" t="s">
        <v>296</v>
      </c>
      <c r="Y1089" s="238" t="s">
        <v>296</v>
      </c>
    </row>
    <row r="1090" spans="1:25">
      <c r="A1090" s="230">
        <v>20</v>
      </c>
      <c r="B1090" s="231" t="str">
        <f>VLOOKUP(Tabel10[[#This Row],[Locatiecode]],Ruimtegroepen[[Code]:[Ruimte omschrijving]],2,FALSE)</f>
        <v>Niet in Onderhoud</v>
      </c>
      <c r="C1090" s="232" t="s">
        <v>1201</v>
      </c>
      <c r="D1090" s="231" t="s">
        <v>0</v>
      </c>
      <c r="E1090" s="233" t="s">
        <v>101</v>
      </c>
      <c r="F1090" s="232" t="s">
        <v>1202</v>
      </c>
      <c r="G1090" s="281" t="s">
        <v>296</v>
      </c>
      <c r="H1090" s="234" t="s">
        <v>296</v>
      </c>
      <c r="I1090" s="234" t="s">
        <v>296</v>
      </c>
      <c r="J1090" s="235" t="s">
        <v>296</v>
      </c>
      <c r="K1090" s="235" t="s">
        <v>296</v>
      </c>
      <c r="L1090" s="234" t="s">
        <v>296</v>
      </c>
      <c r="M1090" s="234" t="s">
        <v>296</v>
      </c>
      <c r="N1090" s="235" t="s">
        <v>296</v>
      </c>
      <c r="O1090" s="236" t="s">
        <v>296</v>
      </c>
      <c r="P1090" s="236" t="s">
        <v>296</v>
      </c>
      <c r="Q1090" s="236" t="s">
        <v>296</v>
      </c>
      <c r="R1090" s="236" t="s">
        <v>296</v>
      </c>
      <c r="S1090" s="236" t="s">
        <v>296</v>
      </c>
      <c r="T1090" s="236" t="s">
        <v>296</v>
      </c>
      <c r="U1090" s="236" t="s">
        <v>296</v>
      </c>
      <c r="V1090" s="236" t="s">
        <v>296</v>
      </c>
      <c r="W1090" s="237" t="s">
        <v>296</v>
      </c>
      <c r="X1090" s="237" t="s">
        <v>296</v>
      </c>
      <c r="Y1090" s="238" t="s">
        <v>296</v>
      </c>
    </row>
    <row r="1091" spans="1:25">
      <c r="A1091" s="230">
        <v>20</v>
      </c>
      <c r="B1091" s="231" t="str">
        <f>VLOOKUP(Tabel10[[#This Row],[Locatiecode]],Ruimtegroepen[[Code]:[Ruimte omschrijving]],2,FALSE)</f>
        <v>Niet in Onderhoud</v>
      </c>
      <c r="C1091" s="232" t="s">
        <v>1201</v>
      </c>
      <c r="D1091" s="231" t="s">
        <v>0</v>
      </c>
      <c r="E1091" s="233" t="s">
        <v>100</v>
      </c>
      <c r="F1091" s="232" t="s">
        <v>1203</v>
      </c>
      <c r="G1091" s="281" t="s">
        <v>296</v>
      </c>
      <c r="H1091" s="234" t="s">
        <v>296</v>
      </c>
      <c r="I1091" s="234" t="s">
        <v>296</v>
      </c>
      <c r="J1091" s="235" t="s">
        <v>296</v>
      </c>
      <c r="K1091" s="235" t="s">
        <v>296</v>
      </c>
      <c r="L1091" s="234" t="s">
        <v>296</v>
      </c>
      <c r="M1091" s="234" t="s">
        <v>296</v>
      </c>
      <c r="N1091" s="235" t="s">
        <v>296</v>
      </c>
      <c r="O1091" s="236" t="s">
        <v>296</v>
      </c>
      <c r="P1091" s="236" t="s">
        <v>296</v>
      </c>
      <c r="Q1091" s="236" t="s">
        <v>296</v>
      </c>
      <c r="R1091" s="236" t="s">
        <v>296</v>
      </c>
      <c r="S1091" s="236" t="s">
        <v>296</v>
      </c>
      <c r="T1091" s="236" t="s">
        <v>296</v>
      </c>
      <c r="U1091" s="236" t="s">
        <v>296</v>
      </c>
      <c r="V1091" s="236" t="s">
        <v>296</v>
      </c>
      <c r="W1091" s="237" t="s">
        <v>296</v>
      </c>
      <c r="X1091" s="237" t="s">
        <v>296</v>
      </c>
      <c r="Y1091" s="238" t="s">
        <v>296</v>
      </c>
    </row>
    <row r="1092" spans="1:25">
      <c r="A1092" s="230">
        <v>20</v>
      </c>
      <c r="B1092" s="231" t="str">
        <f>VLOOKUP(Tabel10[[#This Row],[Locatiecode]],Ruimtegroepen[[Code]:[Ruimte omschrijving]],2,FALSE)</f>
        <v>Niet in Onderhoud</v>
      </c>
      <c r="C1092" s="232" t="s">
        <v>1201</v>
      </c>
      <c r="D1092" s="231" t="s">
        <v>0</v>
      </c>
      <c r="E1092" s="233" t="s">
        <v>102</v>
      </c>
      <c r="F1092" s="232" t="s">
        <v>1204</v>
      </c>
      <c r="G1092" s="281" t="s">
        <v>296</v>
      </c>
      <c r="H1092" s="234" t="s">
        <v>296</v>
      </c>
      <c r="I1092" s="234" t="s">
        <v>296</v>
      </c>
      <c r="J1092" s="235" t="s">
        <v>296</v>
      </c>
      <c r="K1092" s="235" t="s">
        <v>296</v>
      </c>
      <c r="L1092" s="234" t="s">
        <v>296</v>
      </c>
      <c r="M1092" s="234" t="s">
        <v>296</v>
      </c>
      <c r="N1092" s="235" t="s">
        <v>296</v>
      </c>
      <c r="O1092" s="236" t="s">
        <v>296</v>
      </c>
      <c r="P1092" s="236" t="s">
        <v>296</v>
      </c>
      <c r="Q1092" s="236" t="s">
        <v>296</v>
      </c>
      <c r="R1092" s="236" t="s">
        <v>296</v>
      </c>
      <c r="S1092" s="236" t="s">
        <v>296</v>
      </c>
      <c r="T1092" s="236" t="s">
        <v>296</v>
      </c>
      <c r="U1092" s="236" t="s">
        <v>296</v>
      </c>
      <c r="V1092" s="236" t="s">
        <v>296</v>
      </c>
      <c r="W1092" s="237" t="s">
        <v>296</v>
      </c>
      <c r="X1092" s="237" t="s">
        <v>296</v>
      </c>
      <c r="Y1092" s="238" t="s">
        <v>296</v>
      </c>
    </row>
    <row r="1093" spans="1:25">
      <c r="A1093" s="230">
        <v>20</v>
      </c>
      <c r="B1093" s="231" t="str">
        <f>VLOOKUP(Tabel10[[#This Row],[Locatiecode]],Ruimtegroepen[[Code]:[Ruimte omschrijving]],2,FALSE)</f>
        <v>Niet in Onderhoud</v>
      </c>
      <c r="C1093" s="232" t="s">
        <v>1201</v>
      </c>
      <c r="D1093" s="231" t="s">
        <v>0</v>
      </c>
      <c r="E1093" s="233" t="s">
        <v>103</v>
      </c>
      <c r="F1093" s="232" t="s">
        <v>1205</v>
      </c>
      <c r="G1093" s="281" t="s">
        <v>296</v>
      </c>
      <c r="H1093" s="234" t="s">
        <v>296</v>
      </c>
      <c r="I1093" s="234" t="s">
        <v>296</v>
      </c>
      <c r="J1093" s="235" t="s">
        <v>296</v>
      </c>
      <c r="K1093" s="235" t="s">
        <v>296</v>
      </c>
      <c r="L1093" s="234" t="s">
        <v>296</v>
      </c>
      <c r="M1093" s="234" t="s">
        <v>296</v>
      </c>
      <c r="N1093" s="235" t="s">
        <v>296</v>
      </c>
      <c r="O1093" s="236" t="s">
        <v>296</v>
      </c>
      <c r="P1093" s="236" t="s">
        <v>296</v>
      </c>
      <c r="Q1093" s="236" t="s">
        <v>296</v>
      </c>
      <c r="R1093" s="236" t="s">
        <v>296</v>
      </c>
      <c r="S1093" s="236" t="s">
        <v>296</v>
      </c>
      <c r="T1093" s="236" t="s">
        <v>296</v>
      </c>
      <c r="U1093" s="236" t="s">
        <v>296</v>
      </c>
      <c r="V1093" s="236" t="s">
        <v>296</v>
      </c>
      <c r="W1093" s="237" t="s">
        <v>296</v>
      </c>
      <c r="X1093" s="237" t="s">
        <v>296</v>
      </c>
      <c r="Y1093" s="238" t="s">
        <v>296</v>
      </c>
    </row>
    <row r="1094" spans="1:25">
      <c r="A1094" s="230">
        <v>20</v>
      </c>
      <c r="B1094" s="231" t="str">
        <f>VLOOKUP(Tabel10[[#This Row],[Locatiecode]],Ruimtegroepen[[Code]:[Ruimte omschrijving]],2,FALSE)</f>
        <v>Niet in Onderhoud</v>
      </c>
      <c r="C1094" s="232" t="s">
        <v>1201</v>
      </c>
      <c r="D1094" s="231" t="s">
        <v>0</v>
      </c>
      <c r="E1094" s="233" t="s">
        <v>100</v>
      </c>
      <c r="F1094" s="232" t="s">
        <v>1203</v>
      </c>
      <c r="G1094" s="281" t="s">
        <v>296</v>
      </c>
      <c r="H1094" s="234" t="s">
        <v>296</v>
      </c>
      <c r="I1094" s="234" t="s">
        <v>296</v>
      </c>
      <c r="J1094" s="235" t="s">
        <v>296</v>
      </c>
      <c r="K1094" s="235" t="s">
        <v>296</v>
      </c>
      <c r="L1094" s="234" t="s">
        <v>296</v>
      </c>
      <c r="M1094" s="234" t="s">
        <v>296</v>
      </c>
      <c r="N1094" s="235" t="s">
        <v>296</v>
      </c>
      <c r="O1094" s="236" t="s">
        <v>296</v>
      </c>
      <c r="P1094" s="236" t="s">
        <v>296</v>
      </c>
      <c r="Q1094" s="236" t="s">
        <v>296</v>
      </c>
      <c r="R1094" s="236" t="s">
        <v>296</v>
      </c>
      <c r="S1094" s="236" t="s">
        <v>296</v>
      </c>
      <c r="T1094" s="236" t="s">
        <v>296</v>
      </c>
      <c r="U1094" s="236" t="s">
        <v>296</v>
      </c>
      <c r="V1094" s="236" t="s">
        <v>296</v>
      </c>
      <c r="W1094" s="237" t="s">
        <v>296</v>
      </c>
      <c r="X1094" s="237" t="s">
        <v>296</v>
      </c>
      <c r="Y1094" s="238" t="s">
        <v>296</v>
      </c>
    </row>
    <row r="1095" spans="1:25">
      <c r="A1095" s="230">
        <v>20</v>
      </c>
      <c r="B1095" s="231" t="str">
        <f>VLOOKUP(Tabel10[[#This Row],[Locatiecode]],Ruimtegroepen[[Code]:[Ruimte omschrijving]],2,FALSE)</f>
        <v>Niet in Onderhoud</v>
      </c>
      <c r="C1095" s="232" t="s">
        <v>1201</v>
      </c>
      <c r="D1095" s="231" t="s">
        <v>0</v>
      </c>
      <c r="E1095" s="233" t="s">
        <v>1344</v>
      </c>
      <c r="F1095" s="232" t="s">
        <v>1356</v>
      </c>
      <c r="G1095" s="281" t="s">
        <v>296</v>
      </c>
      <c r="H1095" s="234" t="s">
        <v>296</v>
      </c>
      <c r="I1095" s="234" t="s">
        <v>296</v>
      </c>
      <c r="J1095" s="235" t="s">
        <v>296</v>
      </c>
      <c r="K1095" s="235" t="s">
        <v>296</v>
      </c>
      <c r="L1095" s="234" t="s">
        <v>296</v>
      </c>
      <c r="M1095" s="234" t="s">
        <v>296</v>
      </c>
      <c r="N1095" s="235" t="s">
        <v>296</v>
      </c>
      <c r="O1095" s="236" t="s">
        <v>296</v>
      </c>
      <c r="P1095" s="236" t="s">
        <v>296</v>
      </c>
      <c r="Q1095" s="236" t="s">
        <v>296</v>
      </c>
      <c r="R1095" s="236" t="s">
        <v>296</v>
      </c>
      <c r="S1095" s="236" t="s">
        <v>296</v>
      </c>
      <c r="T1095" s="236" t="s">
        <v>296</v>
      </c>
      <c r="U1095" s="236" t="s">
        <v>296</v>
      </c>
      <c r="V1095" s="236" t="s">
        <v>296</v>
      </c>
      <c r="W1095" s="237" t="s">
        <v>296</v>
      </c>
      <c r="X1095" s="237" t="s">
        <v>296</v>
      </c>
      <c r="Y1095" s="238" t="s">
        <v>296</v>
      </c>
    </row>
    <row r="1096" spans="1:25">
      <c r="A1096" s="230">
        <v>20</v>
      </c>
      <c r="B1096" s="231" t="str">
        <f>VLOOKUP(Tabel10[[#This Row],[Locatiecode]],Ruimtegroepen[[Code]:[Ruimte omschrijving]],2,FALSE)</f>
        <v>Niet in Onderhoud</v>
      </c>
      <c r="C1096" s="232" t="s">
        <v>1206</v>
      </c>
      <c r="D1096" s="231" t="s">
        <v>27</v>
      </c>
      <c r="E1096" s="233" t="s">
        <v>101</v>
      </c>
      <c r="F1096" s="232" t="s">
        <v>1207</v>
      </c>
      <c r="G1096" s="281" t="s">
        <v>296</v>
      </c>
      <c r="H1096" s="234" t="s">
        <v>296</v>
      </c>
      <c r="I1096" s="234" t="s">
        <v>296</v>
      </c>
      <c r="J1096" s="235" t="s">
        <v>296</v>
      </c>
      <c r="K1096" s="235" t="s">
        <v>296</v>
      </c>
      <c r="L1096" s="234" t="s">
        <v>296</v>
      </c>
      <c r="M1096" s="234" t="s">
        <v>296</v>
      </c>
      <c r="N1096" s="235" t="s">
        <v>296</v>
      </c>
      <c r="O1096" s="236" t="s">
        <v>296</v>
      </c>
      <c r="P1096" s="236" t="s">
        <v>296</v>
      </c>
      <c r="Q1096" s="236" t="s">
        <v>296</v>
      </c>
      <c r="R1096" s="236" t="s">
        <v>296</v>
      </c>
      <c r="S1096" s="236" t="s">
        <v>296</v>
      </c>
      <c r="T1096" s="236" t="s">
        <v>296</v>
      </c>
      <c r="U1096" s="236" t="s">
        <v>296</v>
      </c>
      <c r="V1096" s="236" t="s">
        <v>296</v>
      </c>
      <c r="W1096" s="237" t="s">
        <v>296</v>
      </c>
      <c r="X1096" s="237" t="s">
        <v>296</v>
      </c>
      <c r="Y1096" s="238" t="s">
        <v>296</v>
      </c>
    </row>
    <row r="1097" spans="1:25">
      <c r="A1097" s="230">
        <v>20</v>
      </c>
      <c r="B1097" s="231" t="str">
        <f>VLOOKUP(Tabel10[[#This Row],[Locatiecode]],Ruimtegroepen[[Code]:[Ruimte omschrijving]],2,FALSE)</f>
        <v>Niet in Onderhoud</v>
      </c>
      <c r="C1097" s="232" t="s">
        <v>1206</v>
      </c>
      <c r="D1097" s="231" t="s">
        <v>27</v>
      </c>
      <c r="E1097" s="233" t="s">
        <v>100</v>
      </c>
      <c r="F1097" s="232" t="s">
        <v>1208</v>
      </c>
      <c r="G1097" s="281" t="s">
        <v>296</v>
      </c>
      <c r="H1097" s="234" t="s">
        <v>296</v>
      </c>
      <c r="I1097" s="234" t="s">
        <v>296</v>
      </c>
      <c r="J1097" s="235" t="s">
        <v>296</v>
      </c>
      <c r="K1097" s="235" t="s">
        <v>296</v>
      </c>
      <c r="L1097" s="234" t="s">
        <v>296</v>
      </c>
      <c r="M1097" s="234" t="s">
        <v>296</v>
      </c>
      <c r="N1097" s="235" t="s">
        <v>296</v>
      </c>
      <c r="O1097" s="236" t="s">
        <v>296</v>
      </c>
      <c r="P1097" s="236" t="s">
        <v>296</v>
      </c>
      <c r="Q1097" s="236" t="s">
        <v>296</v>
      </c>
      <c r="R1097" s="236" t="s">
        <v>296</v>
      </c>
      <c r="S1097" s="236" t="s">
        <v>296</v>
      </c>
      <c r="T1097" s="236" t="s">
        <v>296</v>
      </c>
      <c r="U1097" s="236" t="s">
        <v>296</v>
      </c>
      <c r="V1097" s="236" t="s">
        <v>296</v>
      </c>
      <c r="W1097" s="237" t="s">
        <v>296</v>
      </c>
      <c r="X1097" s="237" t="s">
        <v>296</v>
      </c>
      <c r="Y1097" s="238" t="s">
        <v>296</v>
      </c>
    </row>
    <row r="1098" spans="1:25">
      <c r="A1098" s="230">
        <v>20</v>
      </c>
      <c r="B1098" s="231" t="str">
        <f>VLOOKUP(Tabel10[[#This Row],[Locatiecode]],Ruimtegroepen[[Code]:[Ruimte omschrijving]],2,FALSE)</f>
        <v>Niet in Onderhoud</v>
      </c>
      <c r="C1098" s="232" t="s">
        <v>1206</v>
      </c>
      <c r="D1098" s="231" t="s">
        <v>27</v>
      </c>
      <c r="E1098" s="233" t="s">
        <v>102</v>
      </c>
      <c r="F1098" s="232" t="s">
        <v>1209</v>
      </c>
      <c r="G1098" s="281" t="s">
        <v>296</v>
      </c>
      <c r="H1098" s="234" t="s">
        <v>296</v>
      </c>
      <c r="I1098" s="234" t="s">
        <v>296</v>
      </c>
      <c r="J1098" s="235" t="s">
        <v>296</v>
      </c>
      <c r="K1098" s="235" t="s">
        <v>296</v>
      </c>
      <c r="L1098" s="234" t="s">
        <v>296</v>
      </c>
      <c r="M1098" s="234" t="s">
        <v>296</v>
      </c>
      <c r="N1098" s="235" t="s">
        <v>296</v>
      </c>
      <c r="O1098" s="236" t="s">
        <v>296</v>
      </c>
      <c r="P1098" s="236" t="s">
        <v>296</v>
      </c>
      <c r="Q1098" s="236" t="s">
        <v>296</v>
      </c>
      <c r="R1098" s="236" t="s">
        <v>296</v>
      </c>
      <c r="S1098" s="236" t="s">
        <v>296</v>
      </c>
      <c r="T1098" s="236" t="s">
        <v>296</v>
      </c>
      <c r="U1098" s="236" t="s">
        <v>296</v>
      </c>
      <c r="V1098" s="236" t="s">
        <v>296</v>
      </c>
      <c r="W1098" s="237" t="s">
        <v>296</v>
      </c>
      <c r="X1098" s="237" t="s">
        <v>296</v>
      </c>
      <c r="Y1098" s="238" t="s">
        <v>296</v>
      </c>
    </row>
    <row r="1099" spans="1:25">
      <c r="A1099" s="230">
        <v>20</v>
      </c>
      <c r="B1099" s="231" t="str">
        <f>VLOOKUP(Tabel10[[#This Row],[Locatiecode]],Ruimtegroepen[[Code]:[Ruimte omschrijving]],2,FALSE)</f>
        <v>Niet in Onderhoud</v>
      </c>
      <c r="C1099" s="232" t="s">
        <v>1206</v>
      </c>
      <c r="D1099" s="231" t="s">
        <v>27</v>
      </c>
      <c r="E1099" s="233" t="s">
        <v>103</v>
      </c>
      <c r="F1099" s="232" t="s">
        <v>1210</v>
      </c>
      <c r="G1099" s="281" t="s">
        <v>296</v>
      </c>
      <c r="H1099" s="234" t="s">
        <v>296</v>
      </c>
      <c r="I1099" s="234" t="s">
        <v>296</v>
      </c>
      <c r="J1099" s="235" t="s">
        <v>296</v>
      </c>
      <c r="K1099" s="235" t="s">
        <v>296</v>
      </c>
      <c r="L1099" s="234" t="s">
        <v>296</v>
      </c>
      <c r="M1099" s="234" t="s">
        <v>296</v>
      </c>
      <c r="N1099" s="235" t="s">
        <v>296</v>
      </c>
      <c r="O1099" s="236" t="s">
        <v>296</v>
      </c>
      <c r="P1099" s="236" t="s">
        <v>296</v>
      </c>
      <c r="Q1099" s="236" t="s">
        <v>296</v>
      </c>
      <c r="R1099" s="236" t="s">
        <v>296</v>
      </c>
      <c r="S1099" s="236" t="s">
        <v>296</v>
      </c>
      <c r="T1099" s="236" t="s">
        <v>296</v>
      </c>
      <c r="U1099" s="236" t="s">
        <v>296</v>
      </c>
      <c r="V1099" s="236" t="s">
        <v>296</v>
      </c>
      <c r="W1099" s="237" t="s">
        <v>296</v>
      </c>
      <c r="X1099" s="237" t="s">
        <v>296</v>
      </c>
      <c r="Y1099" s="238" t="s">
        <v>296</v>
      </c>
    </row>
    <row r="1100" spans="1:25">
      <c r="A1100" s="230">
        <v>20</v>
      </c>
      <c r="B1100" s="231" t="str">
        <f>VLOOKUP(Tabel10[[#This Row],[Locatiecode]],Ruimtegroepen[[Code]:[Ruimte omschrijving]],2,FALSE)</f>
        <v>Niet in Onderhoud</v>
      </c>
      <c r="C1100" s="232" t="s">
        <v>1206</v>
      </c>
      <c r="D1100" s="231" t="s">
        <v>27</v>
      </c>
      <c r="E1100" s="233" t="s">
        <v>100</v>
      </c>
      <c r="F1100" s="232" t="s">
        <v>1208</v>
      </c>
      <c r="G1100" s="281" t="s">
        <v>296</v>
      </c>
      <c r="H1100" s="234" t="s">
        <v>296</v>
      </c>
      <c r="I1100" s="234" t="s">
        <v>296</v>
      </c>
      <c r="J1100" s="235" t="s">
        <v>296</v>
      </c>
      <c r="K1100" s="235" t="s">
        <v>296</v>
      </c>
      <c r="L1100" s="234" t="s">
        <v>296</v>
      </c>
      <c r="M1100" s="234" t="s">
        <v>296</v>
      </c>
      <c r="N1100" s="235" t="s">
        <v>296</v>
      </c>
      <c r="O1100" s="236" t="s">
        <v>296</v>
      </c>
      <c r="P1100" s="236" t="s">
        <v>296</v>
      </c>
      <c r="Q1100" s="236" t="s">
        <v>296</v>
      </c>
      <c r="R1100" s="236" t="s">
        <v>296</v>
      </c>
      <c r="S1100" s="236" t="s">
        <v>296</v>
      </c>
      <c r="T1100" s="236" t="s">
        <v>296</v>
      </c>
      <c r="U1100" s="236" t="s">
        <v>296</v>
      </c>
      <c r="V1100" s="236" t="s">
        <v>296</v>
      </c>
      <c r="W1100" s="237" t="s">
        <v>296</v>
      </c>
      <c r="X1100" s="237" t="s">
        <v>296</v>
      </c>
      <c r="Y1100" s="238" t="s">
        <v>296</v>
      </c>
    </row>
    <row r="1101" spans="1:25">
      <c r="A1101" s="230">
        <v>20</v>
      </c>
      <c r="B1101" s="231" t="str">
        <f>VLOOKUP(Tabel10[[#This Row],[Locatiecode]],Ruimtegroepen[[Code]:[Ruimte omschrijving]],2,FALSE)</f>
        <v>Niet in Onderhoud</v>
      </c>
      <c r="C1101" s="232" t="s">
        <v>1206</v>
      </c>
      <c r="D1101" s="231" t="s">
        <v>27</v>
      </c>
      <c r="E1101" s="233" t="s">
        <v>1344</v>
      </c>
      <c r="F1101" s="232" t="s">
        <v>1355</v>
      </c>
      <c r="G1101" s="281" t="s">
        <v>296</v>
      </c>
      <c r="H1101" s="234" t="s">
        <v>296</v>
      </c>
      <c r="I1101" s="234" t="s">
        <v>296</v>
      </c>
      <c r="J1101" s="235" t="s">
        <v>296</v>
      </c>
      <c r="K1101" s="235" t="s">
        <v>296</v>
      </c>
      <c r="L1101" s="234" t="s">
        <v>296</v>
      </c>
      <c r="M1101" s="234" t="s">
        <v>296</v>
      </c>
      <c r="N1101" s="235" t="s">
        <v>296</v>
      </c>
      <c r="O1101" s="236" t="s">
        <v>296</v>
      </c>
      <c r="P1101" s="236" t="s">
        <v>296</v>
      </c>
      <c r="Q1101" s="236" t="s">
        <v>296</v>
      </c>
      <c r="R1101" s="236" t="s">
        <v>296</v>
      </c>
      <c r="S1101" s="236" t="s">
        <v>296</v>
      </c>
      <c r="T1101" s="236" t="s">
        <v>296</v>
      </c>
      <c r="U1101" s="236" t="s">
        <v>296</v>
      </c>
      <c r="V1101" s="236" t="s">
        <v>296</v>
      </c>
      <c r="W1101" s="237" t="s">
        <v>296</v>
      </c>
      <c r="X1101" s="237" t="s">
        <v>296</v>
      </c>
      <c r="Y1101" s="238" t="s">
        <v>296</v>
      </c>
    </row>
    <row r="1102" spans="1:25">
      <c r="A1102" s="230">
        <v>20</v>
      </c>
      <c r="B1102" s="231" t="str">
        <f>VLOOKUP(Tabel10[[#This Row],[Locatiecode]],Ruimtegroepen[[Code]:[Ruimte omschrijving]],2,FALSE)</f>
        <v>Niet in Onderhoud</v>
      </c>
      <c r="C1102" s="232" t="s">
        <v>1211</v>
      </c>
      <c r="D1102" s="231" t="s">
        <v>28</v>
      </c>
      <c r="E1102" s="233" t="s">
        <v>101</v>
      </c>
      <c r="F1102" s="232" t="s">
        <v>1212</v>
      </c>
      <c r="G1102" s="281" t="s">
        <v>296</v>
      </c>
      <c r="H1102" s="234" t="s">
        <v>296</v>
      </c>
      <c r="I1102" s="234" t="s">
        <v>296</v>
      </c>
      <c r="J1102" s="235" t="s">
        <v>296</v>
      </c>
      <c r="K1102" s="235" t="s">
        <v>296</v>
      </c>
      <c r="L1102" s="234" t="s">
        <v>296</v>
      </c>
      <c r="M1102" s="234" t="s">
        <v>296</v>
      </c>
      <c r="N1102" s="235" t="s">
        <v>296</v>
      </c>
      <c r="O1102" s="236" t="s">
        <v>296</v>
      </c>
      <c r="P1102" s="236" t="s">
        <v>296</v>
      </c>
      <c r="Q1102" s="236" t="s">
        <v>296</v>
      </c>
      <c r="R1102" s="236" t="s">
        <v>296</v>
      </c>
      <c r="S1102" s="236" t="s">
        <v>296</v>
      </c>
      <c r="T1102" s="236" t="s">
        <v>296</v>
      </c>
      <c r="U1102" s="236" t="s">
        <v>296</v>
      </c>
      <c r="V1102" s="236" t="s">
        <v>296</v>
      </c>
      <c r="W1102" s="237" t="s">
        <v>296</v>
      </c>
      <c r="X1102" s="237" t="s">
        <v>296</v>
      </c>
      <c r="Y1102" s="238" t="s">
        <v>296</v>
      </c>
    </row>
    <row r="1103" spans="1:25">
      <c r="A1103" s="230">
        <v>20</v>
      </c>
      <c r="B1103" s="231" t="str">
        <f>VLOOKUP(Tabel10[[#This Row],[Locatiecode]],Ruimtegroepen[[Code]:[Ruimte omschrijving]],2,FALSE)</f>
        <v>Niet in Onderhoud</v>
      </c>
      <c r="C1103" s="232" t="s">
        <v>1211</v>
      </c>
      <c r="D1103" s="231" t="s">
        <v>28</v>
      </c>
      <c r="E1103" s="233" t="s">
        <v>100</v>
      </c>
      <c r="F1103" s="232" t="s">
        <v>1213</v>
      </c>
      <c r="G1103" s="281" t="s">
        <v>296</v>
      </c>
      <c r="H1103" s="234" t="s">
        <v>296</v>
      </c>
      <c r="I1103" s="234" t="s">
        <v>296</v>
      </c>
      <c r="J1103" s="235" t="s">
        <v>296</v>
      </c>
      <c r="K1103" s="235" t="s">
        <v>296</v>
      </c>
      <c r="L1103" s="234" t="s">
        <v>296</v>
      </c>
      <c r="M1103" s="234" t="s">
        <v>296</v>
      </c>
      <c r="N1103" s="235" t="s">
        <v>296</v>
      </c>
      <c r="O1103" s="236" t="s">
        <v>296</v>
      </c>
      <c r="P1103" s="236" t="s">
        <v>296</v>
      </c>
      <c r="Q1103" s="236" t="s">
        <v>296</v>
      </c>
      <c r="R1103" s="236" t="s">
        <v>296</v>
      </c>
      <c r="S1103" s="236" t="s">
        <v>296</v>
      </c>
      <c r="T1103" s="236" t="s">
        <v>296</v>
      </c>
      <c r="U1103" s="236" t="s">
        <v>296</v>
      </c>
      <c r="V1103" s="236" t="s">
        <v>296</v>
      </c>
      <c r="W1103" s="237" t="s">
        <v>296</v>
      </c>
      <c r="X1103" s="237" t="s">
        <v>296</v>
      </c>
      <c r="Y1103" s="238" t="s">
        <v>296</v>
      </c>
    </row>
    <row r="1104" spans="1:25">
      <c r="A1104" s="230">
        <v>20</v>
      </c>
      <c r="B1104" s="231" t="str">
        <f>VLOOKUP(Tabel10[[#This Row],[Locatiecode]],Ruimtegroepen[[Code]:[Ruimte omschrijving]],2,FALSE)</f>
        <v>Niet in Onderhoud</v>
      </c>
      <c r="C1104" s="232" t="s">
        <v>1211</v>
      </c>
      <c r="D1104" s="231" t="s">
        <v>28</v>
      </c>
      <c r="E1104" s="233" t="s">
        <v>102</v>
      </c>
      <c r="F1104" s="232" t="s">
        <v>1214</v>
      </c>
      <c r="G1104" s="281" t="s">
        <v>296</v>
      </c>
      <c r="H1104" s="234" t="s">
        <v>296</v>
      </c>
      <c r="I1104" s="234" t="s">
        <v>296</v>
      </c>
      <c r="J1104" s="235" t="s">
        <v>296</v>
      </c>
      <c r="K1104" s="235" t="s">
        <v>296</v>
      </c>
      <c r="L1104" s="234" t="s">
        <v>296</v>
      </c>
      <c r="M1104" s="234" t="s">
        <v>296</v>
      </c>
      <c r="N1104" s="235" t="s">
        <v>296</v>
      </c>
      <c r="O1104" s="236" t="s">
        <v>296</v>
      </c>
      <c r="P1104" s="236" t="s">
        <v>296</v>
      </c>
      <c r="Q1104" s="236" t="s">
        <v>296</v>
      </c>
      <c r="R1104" s="236" t="s">
        <v>296</v>
      </c>
      <c r="S1104" s="236" t="s">
        <v>296</v>
      </c>
      <c r="T1104" s="236" t="s">
        <v>296</v>
      </c>
      <c r="U1104" s="236" t="s">
        <v>296</v>
      </c>
      <c r="V1104" s="236" t="s">
        <v>296</v>
      </c>
      <c r="W1104" s="237" t="s">
        <v>296</v>
      </c>
      <c r="X1104" s="237" t="s">
        <v>296</v>
      </c>
      <c r="Y1104" s="238" t="s">
        <v>296</v>
      </c>
    </row>
    <row r="1105" spans="1:25">
      <c r="A1105" s="230">
        <v>20</v>
      </c>
      <c r="B1105" s="231" t="str">
        <f>VLOOKUP(Tabel10[[#This Row],[Locatiecode]],Ruimtegroepen[[Code]:[Ruimte omschrijving]],2,FALSE)</f>
        <v>Niet in Onderhoud</v>
      </c>
      <c r="C1105" s="232" t="s">
        <v>1211</v>
      </c>
      <c r="D1105" s="231" t="s">
        <v>28</v>
      </c>
      <c r="E1105" s="233" t="s">
        <v>103</v>
      </c>
      <c r="F1105" s="232" t="s">
        <v>1215</v>
      </c>
      <c r="G1105" s="281" t="s">
        <v>296</v>
      </c>
      <c r="H1105" s="234" t="s">
        <v>296</v>
      </c>
      <c r="I1105" s="234" t="s">
        <v>296</v>
      </c>
      <c r="J1105" s="235" t="s">
        <v>296</v>
      </c>
      <c r="K1105" s="235" t="s">
        <v>296</v>
      </c>
      <c r="L1105" s="234" t="s">
        <v>296</v>
      </c>
      <c r="M1105" s="234" t="s">
        <v>296</v>
      </c>
      <c r="N1105" s="235" t="s">
        <v>296</v>
      </c>
      <c r="O1105" s="236" t="s">
        <v>296</v>
      </c>
      <c r="P1105" s="236" t="s">
        <v>296</v>
      </c>
      <c r="Q1105" s="236" t="s">
        <v>296</v>
      </c>
      <c r="R1105" s="236" t="s">
        <v>296</v>
      </c>
      <c r="S1105" s="236" t="s">
        <v>296</v>
      </c>
      <c r="T1105" s="236" t="s">
        <v>296</v>
      </c>
      <c r="U1105" s="236" t="s">
        <v>296</v>
      </c>
      <c r="V1105" s="236" t="s">
        <v>296</v>
      </c>
      <c r="W1105" s="237" t="s">
        <v>296</v>
      </c>
      <c r="X1105" s="237" t="s">
        <v>296</v>
      </c>
      <c r="Y1105" s="238" t="s">
        <v>296</v>
      </c>
    </row>
    <row r="1106" spans="1:25">
      <c r="A1106" s="230">
        <v>20</v>
      </c>
      <c r="B1106" s="231" t="str">
        <f>VLOOKUP(Tabel10[[#This Row],[Locatiecode]],Ruimtegroepen[[Code]:[Ruimte omschrijving]],2,FALSE)</f>
        <v>Niet in Onderhoud</v>
      </c>
      <c r="C1106" s="232" t="s">
        <v>1211</v>
      </c>
      <c r="D1106" s="231" t="s">
        <v>28</v>
      </c>
      <c r="E1106" s="233" t="s">
        <v>100</v>
      </c>
      <c r="F1106" s="232" t="s">
        <v>1213</v>
      </c>
      <c r="G1106" s="281" t="s">
        <v>296</v>
      </c>
      <c r="H1106" s="234" t="s">
        <v>296</v>
      </c>
      <c r="I1106" s="234" t="s">
        <v>296</v>
      </c>
      <c r="J1106" s="235" t="s">
        <v>296</v>
      </c>
      <c r="K1106" s="235" t="s">
        <v>296</v>
      </c>
      <c r="L1106" s="234" t="s">
        <v>296</v>
      </c>
      <c r="M1106" s="234" t="s">
        <v>296</v>
      </c>
      <c r="N1106" s="235" t="s">
        <v>296</v>
      </c>
      <c r="O1106" s="236" t="s">
        <v>296</v>
      </c>
      <c r="P1106" s="236" t="s">
        <v>296</v>
      </c>
      <c r="Q1106" s="236" t="s">
        <v>296</v>
      </c>
      <c r="R1106" s="236" t="s">
        <v>296</v>
      </c>
      <c r="S1106" s="236" t="s">
        <v>296</v>
      </c>
      <c r="T1106" s="236" t="s">
        <v>296</v>
      </c>
      <c r="U1106" s="236" t="s">
        <v>296</v>
      </c>
      <c r="V1106" s="236" t="s">
        <v>296</v>
      </c>
      <c r="W1106" s="237" t="s">
        <v>296</v>
      </c>
      <c r="X1106" s="237" t="s">
        <v>296</v>
      </c>
      <c r="Y1106" s="238" t="s">
        <v>296</v>
      </c>
    </row>
    <row r="1107" spans="1:25">
      <c r="A1107" s="230">
        <v>20</v>
      </c>
      <c r="B1107" s="231" t="str">
        <f>VLOOKUP(Tabel10[[#This Row],[Locatiecode]],Ruimtegroepen[[Code]:[Ruimte omschrijving]],2,FALSE)</f>
        <v>Niet in Onderhoud</v>
      </c>
      <c r="C1107" s="232" t="s">
        <v>1211</v>
      </c>
      <c r="D1107" s="231" t="s">
        <v>28</v>
      </c>
      <c r="E1107" s="233" t="s">
        <v>1344</v>
      </c>
      <c r="F1107" s="232" t="s">
        <v>1354</v>
      </c>
      <c r="G1107" s="281" t="s">
        <v>296</v>
      </c>
      <c r="H1107" s="234" t="s">
        <v>296</v>
      </c>
      <c r="I1107" s="234" t="s">
        <v>296</v>
      </c>
      <c r="J1107" s="235" t="s">
        <v>296</v>
      </c>
      <c r="K1107" s="235" t="s">
        <v>296</v>
      </c>
      <c r="L1107" s="234" t="s">
        <v>296</v>
      </c>
      <c r="M1107" s="234" t="s">
        <v>296</v>
      </c>
      <c r="N1107" s="235" t="s">
        <v>296</v>
      </c>
      <c r="O1107" s="236" t="s">
        <v>296</v>
      </c>
      <c r="P1107" s="236" t="s">
        <v>296</v>
      </c>
      <c r="Q1107" s="236" t="s">
        <v>296</v>
      </c>
      <c r="R1107" s="236" t="s">
        <v>296</v>
      </c>
      <c r="S1107" s="236" t="s">
        <v>296</v>
      </c>
      <c r="T1107" s="236" t="s">
        <v>296</v>
      </c>
      <c r="U1107" s="236" t="s">
        <v>296</v>
      </c>
      <c r="V1107" s="236" t="s">
        <v>296</v>
      </c>
      <c r="W1107" s="237" t="s">
        <v>296</v>
      </c>
      <c r="X1107" s="237" t="s">
        <v>296</v>
      </c>
      <c r="Y1107" s="238" t="s">
        <v>296</v>
      </c>
    </row>
  </sheetData>
  <mergeCells count="3">
    <mergeCell ref="G2:N2"/>
    <mergeCell ref="O2:V2"/>
    <mergeCell ref="W2:Y2"/>
  </mergeCells>
  <phoneticPr fontId="69"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zoomScale="90" zoomScaleNormal="100" zoomScaleSheetLayoutView="90" workbookViewId="0">
      <selection sqref="A1:E1"/>
    </sheetView>
  </sheetViews>
  <sheetFormatPr defaultColWidth="7.85546875" defaultRowHeight="15" customHeight="1"/>
  <cols>
    <col min="1" max="1" width="15.140625" style="4" bestFit="1" customWidth="1"/>
    <col min="2" max="2" width="26" style="4" customWidth="1"/>
    <col min="3" max="3" width="18.28515625" style="4" customWidth="1"/>
    <col min="4" max="4" width="17.7109375" style="4" bestFit="1" customWidth="1"/>
    <col min="5" max="5" width="18.28515625" style="18" customWidth="1"/>
    <col min="6" max="6" width="2.85546875" style="4" customWidth="1"/>
    <col min="7" max="7" width="11" style="4" bestFit="1" customWidth="1"/>
    <col min="8" max="8" width="12" style="4" bestFit="1" customWidth="1"/>
    <col min="9" max="9" width="17.7109375" style="4" bestFit="1" customWidth="1"/>
    <col min="10" max="10" width="12" style="4" bestFit="1" customWidth="1"/>
    <col min="11" max="11" width="17.7109375" style="4" bestFit="1" customWidth="1"/>
    <col min="12" max="12" width="12" style="4" bestFit="1" customWidth="1"/>
    <col min="13" max="13" width="17.7109375" style="4" bestFit="1" customWidth="1"/>
    <col min="14" max="14" width="12" style="4" bestFit="1" customWidth="1"/>
    <col min="15" max="15" width="17.7109375" style="4" bestFit="1" customWidth="1"/>
    <col min="16" max="16" width="12" style="4" bestFit="1" customWidth="1"/>
    <col min="17" max="17" width="15.85546875" style="4" customWidth="1"/>
    <col min="18" max="16384" width="7.85546875" style="4"/>
  </cols>
  <sheetData>
    <row r="1" spans="1:17" s="9" customFormat="1" ht="26.25" customHeight="1">
      <c r="A1" s="399" t="s">
        <v>34</v>
      </c>
      <c r="B1" s="399"/>
      <c r="C1" s="399"/>
      <c r="D1" s="399"/>
      <c r="E1" s="399"/>
    </row>
    <row r="2" spans="1:17" s="9" customFormat="1" ht="15" customHeight="1">
      <c r="A2" s="400" t="s">
        <v>203</v>
      </c>
      <c r="B2" s="400"/>
      <c r="C2" s="400"/>
      <c r="D2" s="400"/>
      <c r="E2" s="400"/>
      <c r="G2" s="395" t="s">
        <v>238</v>
      </c>
      <c r="H2" s="395"/>
      <c r="I2" s="395"/>
      <c r="J2" s="395"/>
      <c r="K2" s="395"/>
      <c r="L2" s="395"/>
      <c r="M2" s="395"/>
      <c r="N2" s="395"/>
      <c r="O2" s="395"/>
      <c r="P2" s="395"/>
      <c r="Q2" s="395"/>
    </row>
    <row r="3" spans="1:17" ht="15" customHeight="1">
      <c r="E3" s="4"/>
      <c r="G3" s="155"/>
      <c r="H3" s="396">
        <v>2024</v>
      </c>
      <c r="I3" s="396"/>
      <c r="J3" s="397">
        <v>2025</v>
      </c>
      <c r="K3" s="398"/>
      <c r="L3" s="397">
        <v>2026</v>
      </c>
      <c r="M3" s="398"/>
      <c r="N3" s="397">
        <v>2027</v>
      </c>
      <c r="O3" s="398"/>
      <c r="P3" s="397">
        <v>2028</v>
      </c>
      <c r="Q3" s="398"/>
    </row>
    <row r="4" spans="1:17" s="8" customFormat="1" ht="26.25" customHeight="1">
      <c r="A4" s="390" t="s">
        <v>73</v>
      </c>
      <c r="B4" s="392"/>
      <c r="C4" s="85" t="s">
        <v>198</v>
      </c>
      <c r="D4" s="85" t="s">
        <v>213</v>
      </c>
      <c r="E4" s="85" t="s">
        <v>80</v>
      </c>
      <c r="G4" s="155" t="s">
        <v>1324</v>
      </c>
      <c r="H4" s="155" t="s">
        <v>1325</v>
      </c>
      <c r="I4" s="155" t="s">
        <v>1326</v>
      </c>
      <c r="J4" s="155" t="s">
        <v>1325</v>
      </c>
      <c r="K4" s="155" t="s">
        <v>1326</v>
      </c>
      <c r="L4" s="155" t="s">
        <v>1325</v>
      </c>
      <c r="M4" s="155" t="s">
        <v>1326</v>
      </c>
      <c r="N4" s="155" t="s">
        <v>1325</v>
      </c>
      <c r="O4" s="155" t="s">
        <v>1326</v>
      </c>
      <c r="P4" s="155" t="s">
        <v>1325</v>
      </c>
      <c r="Q4" s="155" t="s">
        <v>1326</v>
      </c>
    </row>
    <row r="5" spans="1:17" ht="15" customHeight="1">
      <c r="A5" s="401" t="s">
        <v>94</v>
      </c>
      <c r="B5" s="402"/>
      <c r="C5" s="10">
        <v>0</v>
      </c>
      <c r="D5" s="11">
        <v>0</v>
      </c>
      <c r="E5" s="12">
        <f>C5*D5</f>
        <v>0</v>
      </c>
      <c r="G5" s="288"/>
      <c r="H5" s="288"/>
      <c r="I5" s="288"/>
      <c r="J5" s="288"/>
      <c r="K5" s="288"/>
      <c r="L5" s="288"/>
      <c r="M5" s="288"/>
      <c r="N5" s="288"/>
      <c r="O5" s="288"/>
      <c r="P5" s="288"/>
      <c r="Q5" s="288"/>
    </row>
    <row r="6" spans="1:17" ht="15" customHeight="1">
      <c r="A6" s="401" t="s">
        <v>64</v>
      </c>
      <c r="B6" s="402"/>
      <c r="C6" s="10">
        <v>0</v>
      </c>
      <c r="D6" s="11">
        <v>0</v>
      </c>
      <c r="E6" s="12">
        <f>C6*D6</f>
        <v>0</v>
      </c>
      <c r="G6" s="288"/>
      <c r="H6" s="288"/>
      <c r="I6" s="288"/>
      <c r="J6" s="288"/>
      <c r="K6" s="288"/>
      <c r="L6" s="288"/>
      <c r="M6" s="288"/>
      <c r="N6" s="288"/>
      <c r="O6" s="288"/>
      <c r="P6" s="288"/>
      <c r="Q6" s="288"/>
    </row>
    <row r="7" spans="1:17" ht="15" customHeight="1">
      <c r="A7" s="387"/>
      <c r="B7" s="389"/>
      <c r="C7" s="10">
        <v>0</v>
      </c>
      <c r="D7" s="11">
        <v>0</v>
      </c>
      <c r="E7" s="12">
        <f>C7*D7</f>
        <v>0</v>
      </c>
      <c r="G7" s="288"/>
      <c r="H7" s="288"/>
      <c r="I7" s="288"/>
      <c r="J7" s="288"/>
      <c r="K7" s="288"/>
      <c r="L7" s="288"/>
      <c r="M7" s="288"/>
      <c r="N7" s="288"/>
      <c r="O7" s="288"/>
      <c r="P7" s="288"/>
      <c r="Q7" s="288"/>
    </row>
    <row r="8" spans="1:17" ht="15" customHeight="1">
      <c r="A8" s="384" t="s">
        <v>65</v>
      </c>
      <c r="B8" s="386"/>
      <c r="C8" s="10">
        <v>0</v>
      </c>
      <c r="D8" s="11">
        <v>0</v>
      </c>
      <c r="E8" s="12">
        <f>C8*D8</f>
        <v>0</v>
      </c>
      <c r="G8" s="288"/>
      <c r="H8" s="288"/>
      <c r="I8" s="288"/>
      <c r="J8" s="288"/>
      <c r="K8" s="288"/>
      <c r="L8" s="288"/>
      <c r="M8" s="288"/>
      <c r="N8" s="288"/>
      <c r="O8" s="288"/>
      <c r="P8" s="288"/>
      <c r="Q8" s="288"/>
    </row>
    <row r="9" spans="1:17" ht="15" customHeight="1">
      <c r="A9" s="403" t="s">
        <v>95</v>
      </c>
      <c r="B9" s="404"/>
      <c r="C9" s="405"/>
      <c r="D9" s="13">
        <f>SUM(D5:D8)</f>
        <v>0</v>
      </c>
      <c r="E9" s="12" t="str">
        <f>IF(SUM($D$5:$D$8)=100%,SUM(E5:E8),"    GEEN 100%")</f>
        <v xml:space="preserve">    GEEN 100%</v>
      </c>
      <c r="G9" s="288"/>
      <c r="H9" s="295"/>
      <c r="I9" s="288"/>
      <c r="J9" s="288"/>
      <c r="K9" s="288"/>
      <c r="L9" s="288"/>
      <c r="M9" s="288"/>
      <c r="N9" s="288"/>
      <c r="O9" s="288"/>
      <c r="P9" s="288"/>
      <c r="Q9" s="288"/>
    </row>
    <row r="10" spans="1:17" ht="15" customHeight="1">
      <c r="A10" s="393" t="s">
        <v>66</v>
      </c>
      <c r="B10" s="393"/>
      <c r="C10" s="393"/>
      <c r="D10" s="296" t="s">
        <v>3</v>
      </c>
      <c r="E10" s="297">
        <f>SUM(E9:E9)</f>
        <v>0</v>
      </c>
      <c r="G10" s="288" t="s">
        <v>1327</v>
      </c>
      <c r="H10" s="295">
        <v>0</v>
      </c>
      <c r="I10" s="297">
        <f>(E10*H10)+E10</f>
        <v>0</v>
      </c>
      <c r="J10" s="295">
        <v>0</v>
      </c>
      <c r="K10" s="297">
        <f>(I10*J10)+I10</f>
        <v>0</v>
      </c>
      <c r="L10" s="295">
        <v>0</v>
      </c>
      <c r="M10" s="297">
        <f>(K10*L10)+K10</f>
        <v>0</v>
      </c>
      <c r="N10" s="295">
        <v>0</v>
      </c>
      <c r="O10" s="297">
        <f>(M10*N10)+M10</f>
        <v>0</v>
      </c>
      <c r="P10" s="295">
        <v>0</v>
      </c>
      <c r="Q10" s="297">
        <f>(O10*P10)+O10</f>
        <v>0</v>
      </c>
    </row>
    <row r="11" spans="1:17" ht="15" customHeight="1">
      <c r="A11" s="16"/>
      <c r="B11" s="17"/>
      <c r="C11" s="17"/>
      <c r="D11" s="17"/>
      <c r="G11" s="288"/>
      <c r="H11" s="288"/>
      <c r="I11" s="288"/>
      <c r="J11" s="288"/>
      <c r="K11" s="288"/>
      <c r="L11" s="288"/>
      <c r="M11" s="288"/>
      <c r="N11" s="288"/>
      <c r="O11" s="288"/>
      <c r="P11" s="288"/>
      <c r="Q11" s="288"/>
    </row>
    <row r="12" spans="1:17" s="8" customFormat="1" ht="26.25" customHeight="1">
      <c r="A12" s="390" t="s">
        <v>68</v>
      </c>
      <c r="B12" s="391"/>
      <c r="C12" s="392"/>
      <c r="D12" s="86" t="s">
        <v>77</v>
      </c>
      <c r="E12" s="85" t="s">
        <v>80</v>
      </c>
      <c r="G12" s="85"/>
      <c r="H12" s="85"/>
      <c r="I12" s="85"/>
      <c r="J12" s="85"/>
      <c r="K12" s="85"/>
      <c r="L12" s="85"/>
      <c r="M12" s="85"/>
      <c r="N12" s="85"/>
      <c r="O12" s="85"/>
      <c r="P12" s="85"/>
      <c r="Q12" s="85"/>
    </row>
    <row r="13" spans="1:17" ht="15" customHeight="1">
      <c r="A13" s="394" t="s">
        <v>4</v>
      </c>
      <c r="B13" s="383"/>
      <c r="C13" s="383"/>
      <c r="D13" s="290">
        <v>0</v>
      </c>
      <c r="E13" s="15">
        <f>SUM($E$10*D13)</f>
        <v>0</v>
      </c>
      <c r="G13" s="288" t="s">
        <v>1328</v>
      </c>
      <c r="H13" s="295"/>
      <c r="I13" s="298">
        <f>(E13*H13)+E13</f>
        <v>0</v>
      </c>
      <c r="J13" s="299"/>
      <c r="K13" s="298">
        <f>(I13*J13)+I13</f>
        <v>0</v>
      </c>
      <c r="L13" s="299"/>
      <c r="M13" s="298">
        <f>(K13*L13)+K13</f>
        <v>0</v>
      </c>
      <c r="N13" s="299"/>
      <c r="O13" s="298">
        <f>(M13*N13)+M13</f>
        <v>0</v>
      </c>
      <c r="P13" s="299"/>
      <c r="Q13" s="298">
        <f>(O13*P13)+O13</f>
        <v>0</v>
      </c>
    </row>
    <row r="14" spans="1:17" ht="15" customHeight="1">
      <c r="A14" s="383" t="s">
        <v>82</v>
      </c>
      <c r="B14" s="383"/>
      <c r="C14" s="383"/>
      <c r="D14" s="290">
        <v>0</v>
      </c>
      <c r="E14" s="15">
        <f>SUM($E$10*D14)</f>
        <v>0</v>
      </c>
      <c r="G14" s="288" t="s">
        <v>1328</v>
      </c>
      <c r="H14" s="295"/>
      <c r="I14" s="298">
        <f>(E14*H14)+E14</f>
        <v>0</v>
      </c>
      <c r="J14" s="299"/>
      <c r="K14" s="298">
        <f>(I14*J14)+I14</f>
        <v>0</v>
      </c>
      <c r="L14" s="299"/>
      <c r="M14" s="298">
        <f>(K14*L14)+K14</f>
        <v>0</v>
      </c>
      <c r="N14" s="299"/>
      <c r="O14" s="298">
        <f>(M14*N14)+M14</f>
        <v>0</v>
      </c>
      <c r="P14" s="299"/>
      <c r="Q14" s="298">
        <f>(O14*P14)+O14</f>
        <v>0</v>
      </c>
    </row>
    <row r="15" spans="1:17" ht="15" customHeight="1">
      <c r="A15" s="383" t="s">
        <v>5</v>
      </c>
      <c r="B15" s="383"/>
      <c r="C15" s="383"/>
      <c r="D15" s="290">
        <v>0</v>
      </c>
      <c r="E15" s="15">
        <f>SUM($E$10*D15)</f>
        <v>0</v>
      </c>
      <c r="G15" s="288" t="s">
        <v>1328</v>
      </c>
      <c r="H15" s="295"/>
      <c r="I15" s="298">
        <f>(E15*H15)+E15</f>
        <v>0</v>
      </c>
      <c r="J15" s="299"/>
      <c r="K15" s="298">
        <f>(I15*J15)+I15</f>
        <v>0</v>
      </c>
      <c r="L15" s="299"/>
      <c r="M15" s="298">
        <f>(K15*L15)+K15</f>
        <v>0</v>
      </c>
      <c r="N15" s="299"/>
      <c r="O15" s="298">
        <f>(M15*N15)+M15</f>
        <v>0</v>
      </c>
      <c r="P15" s="299"/>
      <c r="Q15" s="298">
        <f>(O15*P15)+O15</f>
        <v>0</v>
      </c>
    </row>
    <row r="16" spans="1:17" ht="15" customHeight="1">
      <c r="A16" s="383" t="s">
        <v>6</v>
      </c>
      <c r="B16" s="383"/>
      <c r="C16" s="383"/>
      <c r="D16" s="290">
        <v>0</v>
      </c>
      <c r="E16" s="15">
        <f>SUM($E$10*D16)</f>
        <v>0</v>
      </c>
      <c r="G16" s="288" t="s">
        <v>1328</v>
      </c>
      <c r="H16" s="295"/>
      <c r="I16" s="298">
        <f>(E16*H16)+E16</f>
        <v>0</v>
      </c>
      <c r="J16" s="299"/>
      <c r="K16" s="298">
        <f>(I16*J16)+I16</f>
        <v>0</v>
      </c>
      <c r="L16" s="299"/>
      <c r="M16" s="298">
        <f>(K16*L16)+K16</f>
        <v>0</v>
      </c>
      <c r="N16" s="299"/>
      <c r="O16" s="298">
        <f>(M16*N16)+M16</f>
        <v>0</v>
      </c>
      <c r="P16" s="299"/>
      <c r="Q16" s="298">
        <f>(O16*P16)+O16</f>
        <v>0</v>
      </c>
    </row>
    <row r="17" spans="1:17" ht="15" customHeight="1">
      <c r="A17" s="387" t="s">
        <v>85</v>
      </c>
      <c r="B17" s="388"/>
      <c r="C17" s="389"/>
      <c r="D17" s="290">
        <v>0</v>
      </c>
      <c r="E17" s="15">
        <f>SUM($E$10*D17)</f>
        <v>0</v>
      </c>
      <c r="G17" s="288" t="s">
        <v>1328</v>
      </c>
      <c r="H17" s="295"/>
      <c r="I17" s="298">
        <f>(E17*H17)+E17</f>
        <v>0</v>
      </c>
      <c r="J17" s="299"/>
      <c r="K17" s="298">
        <f>(I17*J17)+I17</f>
        <v>0</v>
      </c>
      <c r="L17" s="299"/>
      <c r="M17" s="298">
        <f>(K17*L17)+K17</f>
        <v>0</v>
      </c>
      <c r="N17" s="299"/>
      <c r="O17" s="298">
        <f>(M17*N17)+M17</f>
        <v>0</v>
      </c>
      <c r="P17" s="299"/>
      <c r="Q17" s="298">
        <f>(O17*P17)+O17</f>
        <v>0</v>
      </c>
    </row>
    <row r="18" spans="1:17" ht="15" customHeight="1">
      <c r="A18" s="393" t="s">
        <v>74</v>
      </c>
      <c r="B18" s="393"/>
      <c r="C18" s="393"/>
      <c r="D18" s="300"/>
      <c r="E18" s="301">
        <f>SUM(E13:E17)</f>
        <v>0</v>
      </c>
      <c r="G18" s="288"/>
      <c r="H18" s="288"/>
      <c r="I18" s="301">
        <f>SUM(I13:I17)</f>
        <v>0</v>
      </c>
      <c r="J18" s="288"/>
      <c r="K18" s="301">
        <f>SUM(K13:K17)</f>
        <v>0</v>
      </c>
      <c r="L18" s="288"/>
      <c r="M18" s="301">
        <f>SUM(M13:M17)</f>
        <v>0</v>
      </c>
      <c r="N18" s="288"/>
      <c r="O18" s="301">
        <f>SUM(O13:O17)</f>
        <v>0</v>
      </c>
      <c r="P18" s="288"/>
      <c r="Q18" s="301">
        <f>SUM(Q13:Q17)</f>
        <v>0</v>
      </c>
    </row>
    <row r="19" spans="1:17" ht="15" customHeight="1">
      <c r="D19" s="19"/>
      <c r="E19" s="20"/>
      <c r="G19" s="288"/>
      <c r="H19" s="288"/>
      <c r="I19" s="288"/>
      <c r="J19" s="288"/>
      <c r="K19" s="288"/>
      <c r="L19" s="288"/>
      <c r="M19" s="288"/>
      <c r="N19" s="288"/>
      <c r="O19" s="288"/>
      <c r="P19" s="288"/>
      <c r="Q19" s="288"/>
    </row>
    <row r="20" spans="1:17" s="8" customFormat="1" ht="26.25" customHeight="1">
      <c r="A20" s="390" t="s">
        <v>69</v>
      </c>
      <c r="B20" s="391"/>
      <c r="C20" s="392"/>
      <c r="D20" s="86" t="s">
        <v>78</v>
      </c>
      <c r="E20" s="85" t="s">
        <v>80</v>
      </c>
      <c r="G20" s="85"/>
      <c r="H20" s="85"/>
      <c r="I20" s="85"/>
      <c r="J20" s="85"/>
      <c r="K20" s="85"/>
      <c r="L20" s="85"/>
      <c r="M20" s="85"/>
      <c r="N20" s="85"/>
      <c r="O20" s="85"/>
      <c r="P20" s="85"/>
      <c r="Q20" s="85"/>
    </row>
    <row r="21" spans="1:17" ht="15" customHeight="1">
      <c r="A21" s="383" t="s">
        <v>7</v>
      </c>
      <c r="B21" s="383"/>
      <c r="C21" s="383"/>
      <c r="D21" s="154" t="e">
        <f>E21/$E$35</f>
        <v>#DIV/0!</v>
      </c>
      <c r="E21" s="152">
        <v>0</v>
      </c>
      <c r="G21" s="288" t="s">
        <v>1328</v>
      </c>
      <c r="H21" s="295"/>
      <c r="I21" s="298">
        <f>(E21*H21)+E21</f>
        <v>0</v>
      </c>
      <c r="J21" s="299"/>
      <c r="K21" s="298">
        <f>(I21*J21)+I21</f>
        <v>0</v>
      </c>
      <c r="L21" s="299"/>
      <c r="M21" s="298">
        <f>(K21*L21)+K21</f>
        <v>0</v>
      </c>
      <c r="N21" s="299"/>
      <c r="O21" s="298">
        <f>(M21*N21)+M21</f>
        <v>0</v>
      </c>
      <c r="P21" s="299"/>
      <c r="Q21" s="298">
        <f>(O21*P21)+O21</f>
        <v>0</v>
      </c>
    </row>
    <row r="22" spans="1:17" ht="15" customHeight="1">
      <c r="A22" s="394" t="s">
        <v>8</v>
      </c>
      <c r="B22" s="383"/>
      <c r="C22" s="383"/>
      <c r="D22" s="154" t="e">
        <f>E22/$E$35</f>
        <v>#DIV/0!</v>
      </c>
      <c r="E22" s="152">
        <v>0</v>
      </c>
      <c r="G22" s="288" t="s">
        <v>1328</v>
      </c>
      <c r="H22" s="295"/>
      <c r="I22" s="298">
        <f>(E22*H22)+E22</f>
        <v>0</v>
      </c>
      <c r="J22" s="299"/>
      <c r="K22" s="298">
        <f>(I22*J22)+I22</f>
        <v>0</v>
      </c>
      <c r="L22" s="299"/>
      <c r="M22" s="298">
        <f>(K22*L22)+K22</f>
        <v>0</v>
      </c>
      <c r="N22" s="299"/>
      <c r="O22" s="298">
        <f>(M22*N22)+M22</f>
        <v>0</v>
      </c>
      <c r="P22" s="299"/>
      <c r="Q22" s="298">
        <f>(O22*P22)+O22</f>
        <v>0</v>
      </c>
    </row>
    <row r="23" spans="1:17" ht="15" customHeight="1">
      <c r="A23" s="383" t="s">
        <v>9</v>
      </c>
      <c r="B23" s="383"/>
      <c r="C23" s="383"/>
      <c r="D23" s="154" t="e">
        <f>E23/$E$35</f>
        <v>#DIV/0!</v>
      </c>
      <c r="E23" s="152">
        <v>0</v>
      </c>
      <c r="G23" s="288" t="s">
        <v>1328</v>
      </c>
      <c r="H23" s="295"/>
      <c r="I23" s="302">
        <f>(E23*H23)+E23</f>
        <v>0</v>
      </c>
      <c r="J23" s="299"/>
      <c r="K23" s="298">
        <f>(I23*J23)+I23</f>
        <v>0</v>
      </c>
      <c r="L23" s="299"/>
      <c r="M23" s="298">
        <f>(K23*L23)+K23</f>
        <v>0</v>
      </c>
      <c r="N23" s="299"/>
      <c r="O23" s="298">
        <f>(M23*N23)+M23</f>
        <v>0</v>
      </c>
      <c r="P23" s="299"/>
      <c r="Q23" s="298">
        <f>(O23*P23)+O23</f>
        <v>0</v>
      </c>
    </row>
    <row r="24" spans="1:17" ht="15" customHeight="1">
      <c r="A24" s="384" t="s">
        <v>10</v>
      </c>
      <c r="B24" s="385"/>
      <c r="C24" s="386"/>
      <c r="D24" s="290">
        <v>0</v>
      </c>
      <c r="E24" s="14">
        <f>D24*$E$10</f>
        <v>0</v>
      </c>
      <c r="G24" s="288" t="s">
        <v>1327</v>
      </c>
      <c r="H24" s="295"/>
      <c r="I24" s="298">
        <f>(E24*H24)+E24</f>
        <v>0</v>
      </c>
      <c r="J24" s="299"/>
      <c r="K24" s="298">
        <f>(I24*J24)+I24</f>
        <v>0</v>
      </c>
      <c r="L24" s="299"/>
      <c r="M24" s="298">
        <f>(K24*L24)+K24</f>
        <v>0</v>
      </c>
      <c r="N24" s="299"/>
      <c r="O24" s="298">
        <f>(M24*N24)+M24</f>
        <v>0</v>
      </c>
      <c r="P24" s="299"/>
      <c r="Q24" s="298">
        <f>(O24*P24)+O24</f>
        <v>0</v>
      </c>
    </row>
    <row r="25" spans="1:17" ht="15" customHeight="1">
      <c r="A25" s="387" t="s">
        <v>83</v>
      </c>
      <c r="B25" s="388"/>
      <c r="C25" s="389"/>
      <c r="D25" s="154" t="e">
        <f>E25/$E$35</f>
        <v>#DIV/0!</v>
      </c>
      <c r="E25" s="152">
        <v>0</v>
      </c>
      <c r="G25" s="288" t="s">
        <v>1328</v>
      </c>
      <c r="H25" s="295"/>
      <c r="I25" s="302">
        <f>(E25*H25)+E25</f>
        <v>0</v>
      </c>
      <c r="J25" s="299"/>
      <c r="K25" s="298">
        <f>(I25*J25)+I25</f>
        <v>0</v>
      </c>
      <c r="L25" s="299"/>
      <c r="M25" s="298">
        <f>(K25*L25)+K25</f>
        <v>0</v>
      </c>
      <c r="N25" s="299"/>
      <c r="O25" s="298">
        <f>(M25*N25)+M25</f>
        <v>0</v>
      </c>
      <c r="P25" s="299"/>
      <c r="Q25" s="298">
        <f>(O25*P25)+O25</f>
        <v>0</v>
      </c>
    </row>
    <row r="26" spans="1:17" ht="15" customHeight="1">
      <c r="A26" s="393" t="s">
        <v>75</v>
      </c>
      <c r="B26" s="393"/>
      <c r="C26" s="393"/>
      <c r="D26" s="296" t="s">
        <v>3</v>
      </c>
      <c r="E26" s="297">
        <f>SUM(E21:E25)</f>
        <v>0</v>
      </c>
      <c r="G26" s="288"/>
      <c r="H26" s="288"/>
      <c r="I26" s="297">
        <f>SUM(I21:I25)</f>
        <v>0</v>
      </c>
      <c r="J26" s="288"/>
      <c r="K26" s="297">
        <f>SUM(K21:K25)</f>
        <v>0</v>
      </c>
      <c r="L26" s="288"/>
      <c r="M26" s="297">
        <f>SUM(M21:M25)</f>
        <v>0</v>
      </c>
      <c r="N26" s="288"/>
      <c r="O26" s="297">
        <f>SUM(O21:O25)</f>
        <v>0</v>
      </c>
      <c r="P26" s="288"/>
      <c r="Q26" s="297">
        <f>SUM(Q21:Q25)</f>
        <v>0</v>
      </c>
    </row>
    <row r="27" spans="1:17" ht="15" customHeight="1">
      <c r="A27" s="21"/>
      <c r="B27" s="21"/>
      <c r="C27" s="21"/>
      <c r="D27" s="22"/>
      <c r="E27" s="23"/>
      <c r="G27" s="288"/>
      <c r="H27" s="288"/>
      <c r="I27" s="288"/>
      <c r="J27" s="288"/>
      <c r="K27" s="288"/>
      <c r="L27" s="288"/>
      <c r="M27" s="288"/>
      <c r="N27" s="288"/>
      <c r="O27" s="288"/>
      <c r="P27" s="288"/>
      <c r="Q27" s="288"/>
    </row>
    <row r="28" spans="1:17" s="8" customFormat="1" ht="26.25" customHeight="1">
      <c r="A28" s="390" t="s">
        <v>70</v>
      </c>
      <c r="B28" s="391"/>
      <c r="C28" s="392"/>
      <c r="D28" s="86" t="s">
        <v>78</v>
      </c>
      <c r="E28" s="85" t="s">
        <v>80</v>
      </c>
      <c r="G28" s="85"/>
      <c r="H28" s="85"/>
      <c r="I28" s="85"/>
      <c r="J28" s="85"/>
      <c r="K28" s="85"/>
      <c r="L28" s="85"/>
      <c r="M28" s="85"/>
      <c r="N28" s="85"/>
      <c r="O28" s="85"/>
      <c r="P28" s="85"/>
      <c r="Q28" s="85"/>
    </row>
    <row r="29" spans="1:17" ht="15" customHeight="1">
      <c r="A29" s="394" t="s">
        <v>11</v>
      </c>
      <c r="B29" s="383"/>
      <c r="C29" s="383"/>
      <c r="D29" s="290">
        <v>0</v>
      </c>
      <c r="E29" s="14">
        <f>D29*($E$18+$E$10)</f>
        <v>0</v>
      </c>
      <c r="G29" s="288" t="s">
        <v>1328</v>
      </c>
      <c r="H29" s="295"/>
      <c r="I29" s="298">
        <f>(E29*H29)+E29</f>
        <v>0</v>
      </c>
      <c r="J29" s="299"/>
      <c r="K29" s="298">
        <f>(I29*J29)+I29</f>
        <v>0</v>
      </c>
      <c r="L29" s="299"/>
      <c r="M29" s="298">
        <f>(K29*L29)+K29</f>
        <v>0</v>
      </c>
      <c r="N29" s="299"/>
      <c r="O29" s="298">
        <f>(M29*N29)+M29</f>
        <v>0</v>
      </c>
      <c r="P29" s="299"/>
      <c r="Q29" s="298">
        <f>(O29*P29)+O29</f>
        <v>0</v>
      </c>
    </row>
    <row r="30" spans="1:17" ht="15" customHeight="1">
      <c r="A30" s="394" t="s">
        <v>71</v>
      </c>
      <c r="B30" s="383"/>
      <c r="C30" s="383"/>
      <c r="D30" s="153" t="e">
        <f>E30/$E$35</f>
        <v>#DIV/0!</v>
      </c>
      <c r="E30" s="152">
        <v>0</v>
      </c>
      <c r="G30" s="288" t="s">
        <v>1328</v>
      </c>
      <c r="H30" s="295"/>
      <c r="I30" s="302">
        <f>(E30*H30)+E30</f>
        <v>0</v>
      </c>
      <c r="J30" s="299"/>
      <c r="K30" s="298">
        <f>(I30*J30)+I30</f>
        <v>0</v>
      </c>
      <c r="L30" s="299"/>
      <c r="M30" s="298">
        <f>(K30*L30)+K30</f>
        <v>0</v>
      </c>
      <c r="N30" s="299"/>
      <c r="O30" s="298">
        <f>(M30*N30)+M30</f>
        <v>0</v>
      </c>
      <c r="P30" s="299"/>
      <c r="Q30" s="298">
        <f>(O30*P30)+O30</f>
        <v>0</v>
      </c>
    </row>
    <row r="31" spans="1:17" ht="15" customHeight="1">
      <c r="A31" s="387" t="s">
        <v>84</v>
      </c>
      <c r="B31" s="388"/>
      <c r="C31" s="389"/>
      <c r="D31" s="154" t="e">
        <f>E31/$E$35</f>
        <v>#DIV/0!</v>
      </c>
      <c r="E31" s="152">
        <v>0</v>
      </c>
      <c r="G31" s="288" t="s">
        <v>1328</v>
      </c>
      <c r="H31" s="295"/>
      <c r="I31" s="302">
        <f>(E31*H31)+E31</f>
        <v>0</v>
      </c>
      <c r="J31" s="299"/>
      <c r="K31" s="298">
        <f>(I31*J31)+I31</f>
        <v>0</v>
      </c>
      <c r="L31" s="299"/>
      <c r="M31" s="298">
        <f>(K31*L31)+K31</f>
        <v>0</v>
      </c>
      <c r="N31" s="299"/>
      <c r="O31" s="298">
        <f>(M31*N31)+M31</f>
        <v>0</v>
      </c>
      <c r="P31" s="299"/>
      <c r="Q31" s="298">
        <f>(O31*P31)+O31</f>
        <v>0</v>
      </c>
    </row>
    <row r="32" spans="1:17" ht="15" customHeight="1">
      <c r="A32" s="383" t="s">
        <v>72</v>
      </c>
      <c r="B32" s="383"/>
      <c r="C32" s="383"/>
      <c r="D32" s="153" t="e">
        <f>E32/$E$35</f>
        <v>#DIV/0!</v>
      </c>
      <c r="E32" s="152">
        <v>0</v>
      </c>
      <c r="G32" s="288" t="s">
        <v>1328</v>
      </c>
      <c r="H32" s="288"/>
      <c r="I32" s="302">
        <f>(E32*H32)+E32</f>
        <v>0</v>
      </c>
      <c r="J32" s="299"/>
      <c r="K32" s="298">
        <f>(I32*J32)+I32</f>
        <v>0</v>
      </c>
      <c r="L32" s="299"/>
      <c r="M32" s="298">
        <f>(K32*L32)+K32</f>
        <v>0</v>
      </c>
      <c r="N32" s="299"/>
      <c r="O32" s="298">
        <f>(M32*N32)+M32</f>
        <v>0</v>
      </c>
      <c r="P32" s="299"/>
      <c r="Q32" s="298">
        <f>(O32*P32)+O32</f>
        <v>0</v>
      </c>
    </row>
    <row r="33" spans="1:17" ht="15" customHeight="1">
      <c r="A33" s="393" t="s">
        <v>76</v>
      </c>
      <c r="B33" s="393"/>
      <c r="C33" s="393"/>
      <c r="D33" s="296"/>
      <c r="E33" s="303">
        <f>SUM(E29:E32)</f>
        <v>0</v>
      </c>
      <c r="G33" s="288"/>
      <c r="H33" s="288"/>
      <c r="I33" s="303">
        <f>SUM(I29:I32)</f>
        <v>0</v>
      </c>
      <c r="J33" s="288"/>
      <c r="K33" s="303">
        <f>SUM(K29:K32)</f>
        <v>0</v>
      </c>
      <c r="L33" s="288"/>
      <c r="M33" s="303">
        <f>SUM(M29:M32)</f>
        <v>0</v>
      </c>
      <c r="N33" s="288"/>
      <c r="O33" s="303">
        <f>SUM(O29:O32)</f>
        <v>0</v>
      </c>
      <c r="P33" s="288"/>
      <c r="Q33" s="303">
        <f>SUM(Q29:Q32)</f>
        <v>0</v>
      </c>
    </row>
    <row r="34" spans="1:17" ht="15" customHeight="1">
      <c r="A34" s="21"/>
      <c r="B34" s="21"/>
      <c r="C34" s="21"/>
      <c r="D34" s="22"/>
      <c r="E34" s="24"/>
      <c r="H34" s="288"/>
      <c r="I34" s="288"/>
      <c r="J34" s="288"/>
      <c r="K34" s="288"/>
      <c r="L34" s="288"/>
      <c r="M34" s="288"/>
      <c r="N34" s="288"/>
      <c r="O34" s="288"/>
      <c r="P34" s="288"/>
      <c r="Q34" s="288"/>
    </row>
    <row r="35" spans="1:17" ht="26.25" customHeight="1">
      <c r="A35" s="380" t="s">
        <v>93</v>
      </c>
      <c r="B35" s="381"/>
      <c r="C35" s="381"/>
      <c r="D35" s="382"/>
      <c r="E35" s="126">
        <f>E33+E26+E18+E10</f>
        <v>0</v>
      </c>
      <c r="G35" s="28"/>
      <c r="H35" s="288"/>
      <c r="I35" s="126">
        <f>I33+I26+I18+I10</f>
        <v>0</v>
      </c>
      <c r="J35" s="288"/>
      <c r="K35" s="126">
        <f>K33+K26+K18+K10</f>
        <v>0</v>
      </c>
      <c r="L35" s="288"/>
      <c r="M35" s="126">
        <f>M33+M26+M18+M10</f>
        <v>0</v>
      </c>
      <c r="N35" s="288"/>
      <c r="O35" s="126">
        <f>O33+O26+O18+O10</f>
        <v>0</v>
      </c>
      <c r="P35" s="288"/>
      <c r="Q35" s="126">
        <f>Q33+Q26+Q18+Q10</f>
        <v>0</v>
      </c>
    </row>
    <row r="36" spans="1:17" ht="15" customHeight="1">
      <c r="D36" s="19"/>
      <c r="E36" s="20"/>
    </row>
    <row r="37" spans="1:17" ht="26.25" customHeight="1">
      <c r="A37" s="87" t="s">
        <v>79</v>
      </c>
      <c r="B37" s="88"/>
      <c r="C37" s="86" t="s">
        <v>92</v>
      </c>
      <c r="D37" s="86" t="s">
        <v>1329</v>
      </c>
      <c r="E37" s="86" t="s">
        <v>1330</v>
      </c>
      <c r="H37" s="86" t="s">
        <v>1331</v>
      </c>
      <c r="I37" s="151">
        <f>AVERAGE(H10:H32)</f>
        <v>0</v>
      </c>
      <c r="J37" s="86"/>
      <c r="K37" s="151">
        <f>AVERAGE(J10:J32)</f>
        <v>0</v>
      </c>
      <c r="L37" s="86"/>
      <c r="M37" s="151">
        <f>AVERAGE(L10:L32)</f>
        <v>0</v>
      </c>
      <c r="N37" s="86"/>
      <c r="O37" s="151">
        <f>AVERAGE(N10:N33)</f>
        <v>0</v>
      </c>
      <c r="P37" s="86"/>
      <c r="Q37" s="151">
        <f>AVERAGE(P10:P33)</f>
        <v>0</v>
      </c>
    </row>
    <row r="38" spans="1:17" ht="15" customHeight="1">
      <c r="A38" s="288" t="s">
        <v>81</v>
      </c>
      <c r="B38" s="288" t="s">
        <v>87</v>
      </c>
      <c r="C38" s="25">
        <v>0</v>
      </c>
      <c r="D38" s="26">
        <f>+E35</f>
        <v>0</v>
      </c>
      <c r="E38" s="27">
        <f>D38*121%</f>
        <v>0</v>
      </c>
      <c r="F38" s="28"/>
      <c r="H38" s="288"/>
      <c r="I38" s="12">
        <f>I35</f>
        <v>0</v>
      </c>
      <c r="J38" s="288"/>
      <c r="K38" s="12">
        <f>K35</f>
        <v>0</v>
      </c>
      <c r="L38" s="288"/>
      <c r="M38" s="12">
        <f>M35</f>
        <v>0</v>
      </c>
      <c r="N38" s="288"/>
      <c r="O38" s="12">
        <f>O35</f>
        <v>0</v>
      </c>
      <c r="P38" s="288"/>
      <c r="Q38" s="12">
        <f>Q35</f>
        <v>0</v>
      </c>
    </row>
    <row r="39" spans="1:17" ht="15" customHeight="1">
      <c r="A39" s="288" t="s">
        <v>86</v>
      </c>
      <c r="B39" s="288" t="s">
        <v>88</v>
      </c>
      <c r="C39" s="25">
        <v>0.3</v>
      </c>
      <c r="D39" s="26">
        <f>SUM($E$10,$E$18,$E$26,$E$33)+(C39*($E$18+$E$10))</f>
        <v>0</v>
      </c>
      <c r="E39" s="27">
        <f>D39*121%</f>
        <v>0</v>
      </c>
      <c r="F39" s="28"/>
      <c r="H39" s="12"/>
      <c r="I39" s="12">
        <f>SUM($I$10,$I$18,$I$26,$I$33)+(C39*($I$18+$I$10))</f>
        <v>0</v>
      </c>
      <c r="J39" s="288"/>
      <c r="K39" s="12">
        <f>SUM($K$10,$K$18,$K$26,$K$33)+(C39*($K$18+$K$10))</f>
        <v>0</v>
      </c>
      <c r="L39" s="288"/>
      <c r="M39" s="12">
        <f>SUM($M$10,$M$18,$M$26,$M$33)+(C39*($M$18+$M$10))</f>
        <v>0</v>
      </c>
      <c r="N39" s="288"/>
      <c r="O39" s="12">
        <f>SUM($O$10,$O$18,$O$26,$O$33)+(C39*($O$18+$O$10))</f>
        <v>0</v>
      </c>
      <c r="P39" s="288"/>
      <c r="Q39" s="12">
        <f>SUM($Q$10,$Q$18,$Q$26,$Q$33)+(C39*($Q$18+$Q$10))</f>
        <v>0</v>
      </c>
    </row>
    <row r="40" spans="1:17" ht="15" customHeight="1">
      <c r="A40" s="288" t="s">
        <v>24</v>
      </c>
      <c r="B40" s="288" t="s">
        <v>89</v>
      </c>
      <c r="C40" s="25">
        <v>0.5</v>
      </c>
      <c r="D40" s="26">
        <f>SUM($E$10,$E$18,$E$26,$E$33)+(C40*($E$18+$E$10))</f>
        <v>0</v>
      </c>
      <c r="E40" s="27">
        <f>D40*121%</f>
        <v>0</v>
      </c>
      <c r="F40" s="28"/>
      <c r="H40" s="288"/>
      <c r="I40" s="12">
        <f>SUM($I$10,$I$18,$I$26,$I$33)+(C40*($I$18+$I$10))</f>
        <v>0</v>
      </c>
      <c r="J40" s="288"/>
      <c r="K40" s="12">
        <f>SUM($K$10,$K$18,$K$26,$K$33)+(C40*($K$18+$K$10))</f>
        <v>0</v>
      </c>
      <c r="L40" s="288"/>
      <c r="M40" s="12">
        <f>SUM($M$10,$M$18,$M$26,$M$33)+(C40*($M$18+$M$10))</f>
        <v>0</v>
      </c>
      <c r="N40" s="288"/>
      <c r="O40" s="12">
        <f>SUM($O$10,$O$18,$O$26,$O$33)+(C40*($O$18+$O$10))</f>
        <v>0</v>
      </c>
      <c r="P40" s="288"/>
      <c r="Q40" s="12">
        <f>SUM($Q$10,$Q$18,$Q$26,$Q$33)+(C40*($Q$18+$Q$10))</f>
        <v>0</v>
      </c>
    </row>
    <row r="41" spans="1:17" ht="15" customHeight="1">
      <c r="A41" s="288" t="s">
        <v>90</v>
      </c>
      <c r="B41" s="289" t="s">
        <v>91</v>
      </c>
      <c r="C41" s="25">
        <v>1.5</v>
      </c>
      <c r="D41" s="26">
        <f>SUM($E$10,$E$18,$E$26,$E$33)+(C41*($E$18+$E$10))</f>
        <v>0</v>
      </c>
      <c r="E41" s="27">
        <f>D41*121%</f>
        <v>0</v>
      </c>
      <c r="F41" s="28"/>
      <c r="H41" s="288"/>
      <c r="I41" s="12">
        <f>SUM($I$10,$I$18,$I$26,$I$33)+(C41*($I$18+$I$10))</f>
        <v>0</v>
      </c>
      <c r="J41" s="288"/>
      <c r="K41" s="12">
        <f>SUM($K$10,$K$18,$K$26,$K$33)+(C41*($K$18+$K$10))</f>
        <v>0</v>
      </c>
      <c r="L41" s="288"/>
      <c r="M41" s="12">
        <f>SUM($M$10,$M$18,$M$26,$M$33)+(C41*($M$18+$M$10))</f>
        <v>0</v>
      </c>
      <c r="N41" s="288"/>
      <c r="O41" s="12">
        <f>SUM($O$10,$O$18,$O$26,$O$33)+(C41*($O$18+$O$10))</f>
        <v>0</v>
      </c>
      <c r="P41" s="288"/>
      <c r="Q41" s="12">
        <f>SUM($Q$10,$Q$18,$Q$26,$Q$33)+(C41*($Q$18+$Q$10))</f>
        <v>0</v>
      </c>
    </row>
    <row r="42" spans="1:17" ht="15" customHeight="1">
      <c r="E42" s="4"/>
    </row>
    <row r="43" spans="1:17" ht="15" customHeight="1">
      <c r="E43" s="4"/>
    </row>
    <row r="44" spans="1:17" ht="15" customHeight="1">
      <c r="E44" s="4"/>
    </row>
    <row r="45" spans="1:17" ht="15" customHeight="1">
      <c r="E45" s="4"/>
    </row>
    <row r="46" spans="1:17" ht="15" customHeight="1">
      <c r="E46" s="4"/>
    </row>
    <row r="47" spans="1:17" ht="15" customHeight="1">
      <c r="E47" s="4"/>
    </row>
    <row r="48" spans="1:17" ht="15" customHeight="1">
      <c r="E48" s="4"/>
    </row>
    <row r="49" spans="5:5" ht="15" customHeight="1">
      <c r="E49" s="4"/>
    </row>
    <row r="50" spans="5:5" ht="15" customHeight="1">
      <c r="E50" s="4"/>
    </row>
    <row r="51" spans="5:5" ht="15" customHeight="1">
      <c r="E51" s="4"/>
    </row>
    <row r="52" spans="5:5" ht="15" customHeight="1">
      <c r="E52" s="4"/>
    </row>
    <row r="53" spans="5:5" ht="15" customHeight="1">
      <c r="E53" s="4"/>
    </row>
    <row r="54" spans="5:5" ht="15" customHeight="1">
      <c r="E54" s="4"/>
    </row>
    <row r="55" spans="5:5" ht="15" customHeight="1">
      <c r="E55" s="4"/>
    </row>
    <row r="56" spans="5:5" ht="15" customHeight="1">
      <c r="E56" s="4"/>
    </row>
  </sheetData>
  <mergeCells count="36">
    <mergeCell ref="A1:E1"/>
    <mergeCell ref="A18:C18"/>
    <mergeCell ref="A2:E2"/>
    <mergeCell ref="A4:B4"/>
    <mergeCell ref="A12:C12"/>
    <mergeCell ref="A13:C13"/>
    <mergeCell ref="A5:B5"/>
    <mergeCell ref="A9:C9"/>
    <mergeCell ref="A8:B8"/>
    <mergeCell ref="A6:B6"/>
    <mergeCell ref="A20:C20"/>
    <mergeCell ref="A7:B7"/>
    <mergeCell ref="A22:C22"/>
    <mergeCell ref="A10:C10"/>
    <mergeCell ref="G2:Q2"/>
    <mergeCell ref="H3:I3"/>
    <mergeCell ref="J3:K3"/>
    <mergeCell ref="L3:M3"/>
    <mergeCell ref="N3:O3"/>
    <mergeCell ref="P3:Q3"/>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s>
  <phoneticPr fontId="8" type="noConversion"/>
  <conditionalFormatting sqref="E9">
    <cfRule type="containsText" dxfId="267"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9" orientation="portrait" r:id="rId1"/>
  <headerFooter alignWithMargins="0">
    <oddFooter>&amp;L&amp;F&amp;C&amp;D&amp;R&amp;A</oddFooter>
  </headerFooter>
  <colBreaks count="1" manualBreakCount="1">
    <brk id="6" max="4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58"/>
  <sheetViews>
    <sheetView view="pageBreakPreview" zoomScaleNormal="100" zoomScaleSheetLayoutView="100" workbookViewId="0">
      <selection sqref="A1:F1"/>
    </sheetView>
  </sheetViews>
  <sheetFormatPr defaultColWidth="14.140625" defaultRowHeight="15" customHeight="1"/>
  <cols>
    <col min="1" max="1" width="14.140625" style="5"/>
    <col min="2" max="2" width="44.85546875" style="2" customWidth="1"/>
    <col min="3" max="3" width="14.140625" style="2"/>
    <col min="4" max="4" width="32.5703125" style="7" customWidth="1"/>
    <col min="5" max="5" width="12.140625" style="2" bestFit="1" customWidth="1"/>
    <col min="6" max="6" width="15" style="2" bestFit="1" customWidth="1"/>
    <col min="7" max="7" width="16" style="6" bestFit="1" customWidth="1"/>
    <col min="8" max="8" width="16" style="2" bestFit="1" customWidth="1"/>
    <col min="9" max="9" width="14.140625" style="2"/>
    <col min="10" max="10" width="16" style="5" bestFit="1" customWidth="1"/>
    <col min="11" max="15" width="14.140625" style="1"/>
    <col min="16" max="16384" width="14.140625" style="2"/>
  </cols>
  <sheetData>
    <row r="1" spans="1:18" s="9" customFormat="1" ht="26.25" customHeight="1">
      <c r="A1" s="408" t="s">
        <v>111</v>
      </c>
      <c r="B1" s="408"/>
      <c r="C1" s="408"/>
      <c r="D1" s="408"/>
      <c r="E1" s="408"/>
      <c r="F1" s="408"/>
      <c r="G1" s="68"/>
      <c r="H1" s="68"/>
      <c r="I1" s="68"/>
      <c r="J1" s="68"/>
      <c r="K1" s="68"/>
      <c r="L1" s="68"/>
      <c r="M1" s="68"/>
    </row>
    <row r="2" spans="1:18" s="9" customFormat="1" ht="15" customHeight="1">
      <c r="A2" s="406" t="s">
        <v>205</v>
      </c>
      <c r="B2" s="407"/>
      <c r="C2" s="407"/>
      <c r="D2" s="407"/>
      <c r="E2" s="407"/>
      <c r="F2" s="407"/>
      <c r="G2" s="106"/>
      <c r="H2" s="106"/>
      <c r="I2" s="106"/>
      <c r="J2" s="106"/>
      <c r="K2" s="106"/>
      <c r="L2" s="106"/>
      <c r="M2" s="106"/>
      <c r="N2" s="106"/>
    </row>
    <row r="3" spans="1:18" s="60" customFormat="1" ht="26.25" customHeight="1">
      <c r="A3" s="80" t="s">
        <v>222</v>
      </c>
      <c r="B3" s="80"/>
      <c r="C3" s="80"/>
      <c r="D3" s="80"/>
      <c r="E3" s="74"/>
      <c r="F3" s="74"/>
      <c r="H3" s="78"/>
      <c r="I3" s="78"/>
      <c r="K3" s="79"/>
      <c r="L3" s="61"/>
      <c r="M3" s="61"/>
      <c r="N3" s="61"/>
      <c r="O3" s="61"/>
      <c r="P3" s="61"/>
    </row>
    <row r="4" spans="1:18" s="60" customFormat="1" ht="26.25" customHeight="1" thickBot="1">
      <c r="A4" s="181" t="s">
        <v>33</v>
      </c>
      <c r="B4" s="182" t="s">
        <v>136</v>
      </c>
      <c r="C4" s="183" t="s">
        <v>99</v>
      </c>
      <c r="D4" s="184" t="s">
        <v>1316</v>
      </c>
      <c r="E4" s="291" t="s">
        <v>1317</v>
      </c>
      <c r="F4" s="103" t="s">
        <v>1319</v>
      </c>
      <c r="G4" s="78"/>
      <c r="H4" s="78"/>
      <c r="J4" s="79"/>
      <c r="K4" s="61"/>
      <c r="L4" s="61"/>
      <c r="M4" s="61"/>
      <c r="N4" s="61"/>
      <c r="O4" s="61"/>
    </row>
    <row r="5" spans="1:18" s="60" customFormat="1" ht="15" customHeight="1" thickTop="1">
      <c r="A5" s="210">
        <v>1</v>
      </c>
      <c r="B5" s="211" t="s">
        <v>1619</v>
      </c>
      <c r="C5" s="185">
        <v>1</v>
      </c>
      <c r="D5" s="254" t="s">
        <v>1616</v>
      </c>
      <c r="E5" s="257" t="s">
        <v>1617</v>
      </c>
      <c r="F5" s="4" t="s">
        <v>1618</v>
      </c>
      <c r="G5" s="78"/>
      <c r="H5" s="78"/>
      <c r="J5" s="79"/>
      <c r="K5" s="61"/>
      <c r="L5" s="61"/>
      <c r="M5" s="61"/>
      <c r="N5" s="61"/>
      <c r="O5" s="61"/>
    </row>
    <row r="6" spans="1:18" s="60" customFormat="1" ht="15" customHeight="1">
      <c r="A6" s="21"/>
      <c r="B6" s="4"/>
      <c r="C6" s="4"/>
      <c r="D6" s="4"/>
      <c r="E6" s="4"/>
      <c r="F6" s="4"/>
      <c r="H6" s="78"/>
      <c r="I6" s="78"/>
      <c r="K6" s="79"/>
      <c r="L6" s="61"/>
      <c r="M6" s="61"/>
      <c r="N6" s="61"/>
      <c r="O6" s="61"/>
      <c r="P6" s="61"/>
    </row>
    <row r="7" spans="1:18" s="60" customFormat="1" ht="15" customHeight="1">
      <c r="A7" s="90" t="s">
        <v>223</v>
      </c>
      <c r="B7" s="74"/>
      <c r="C7" s="74"/>
      <c r="D7" s="74"/>
      <c r="E7" s="77"/>
      <c r="F7" s="77"/>
      <c r="H7" s="78"/>
      <c r="I7" s="78"/>
      <c r="K7" s="79"/>
      <c r="L7" s="61"/>
      <c r="M7" s="61"/>
      <c r="N7" s="61"/>
      <c r="O7" s="61"/>
      <c r="P7" s="61"/>
    </row>
    <row r="8" spans="1:18" s="60" customFormat="1" ht="15" customHeight="1">
      <c r="A8" s="89" t="s">
        <v>33</v>
      </c>
      <c r="B8" s="29" t="s">
        <v>97</v>
      </c>
      <c r="C8" s="8" t="s">
        <v>96</v>
      </c>
      <c r="D8" s="89" t="s">
        <v>197</v>
      </c>
      <c r="E8" s="77"/>
      <c r="H8" s="78"/>
      <c r="J8" s="79"/>
      <c r="K8" s="61"/>
      <c r="L8" s="61"/>
      <c r="M8" s="61"/>
      <c r="N8" s="61"/>
      <c r="O8" s="61"/>
    </row>
    <row r="9" spans="1:18" s="60" customFormat="1" ht="15" customHeight="1">
      <c r="A9" s="30">
        <v>1</v>
      </c>
      <c r="B9" s="9" t="s">
        <v>57</v>
      </c>
      <c r="C9" s="179"/>
      <c r="D9" s="127" t="s">
        <v>1311</v>
      </c>
      <c r="E9" s="190"/>
      <c r="F9" s="193"/>
      <c r="G9" s="193"/>
      <c r="H9" s="78"/>
      <c r="I9" s="193"/>
      <c r="J9" s="79"/>
      <c r="K9" s="61"/>
      <c r="L9" s="61"/>
      <c r="M9" s="61"/>
      <c r="N9" s="61"/>
      <c r="O9" s="61"/>
    </row>
    <row r="10" spans="1:18" s="60" customFormat="1" ht="15" customHeight="1">
      <c r="A10" s="30">
        <v>2</v>
      </c>
      <c r="B10" s="9" t="s">
        <v>58</v>
      </c>
      <c r="C10" s="179"/>
      <c r="D10" s="127" t="s">
        <v>1312</v>
      </c>
      <c r="E10" s="191"/>
      <c r="F10" s="193"/>
      <c r="G10" s="193"/>
      <c r="H10" s="78"/>
      <c r="J10" s="79"/>
      <c r="K10" s="61"/>
      <c r="L10" s="61"/>
      <c r="M10" s="61"/>
      <c r="N10" s="61"/>
      <c r="O10" s="61"/>
    </row>
    <row r="11" spans="1:18" s="60" customFormat="1" ht="11.25">
      <c r="A11" s="30">
        <v>3</v>
      </c>
      <c r="B11" s="9" t="s">
        <v>59</v>
      </c>
      <c r="C11" s="179"/>
      <c r="D11" s="127" t="s">
        <v>1311</v>
      </c>
      <c r="E11" s="192"/>
      <c r="H11" s="78"/>
      <c r="J11" s="79"/>
      <c r="K11" s="61"/>
      <c r="L11" s="61"/>
      <c r="M11" s="61"/>
      <c r="N11" s="61"/>
      <c r="O11" s="61"/>
    </row>
    <row r="12" spans="1:18" s="60" customFormat="1" ht="14.25" customHeight="1">
      <c r="A12" s="30">
        <v>4</v>
      </c>
      <c r="B12" s="9" t="s">
        <v>237</v>
      </c>
      <c r="C12" s="179"/>
      <c r="D12" s="127" t="s">
        <v>1312</v>
      </c>
      <c r="E12" s="191"/>
      <c r="H12" s="78"/>
      <c r="J12" s="79"/>
      <c r="K12" s="61"/>
      <c r="L12" s="61"/>
      <c r="M12" s="61"/>
      <c r="N12" s="61"/>
      <c r="O12" s="61"/>
    </row>
    <row r="13" spans="1:18" s="60" customFormat="1" ht="15" customHeight="1">
      <c r="A13" s="30">
        <v>5</v>
      </c>
      <c r="B13" s="9" t="s">
        <v>22</v>
      </c>
      <c r="C13" s="179"/>
      <c r="D13" s="127" t="s">
        <v>1313</v>
      </c>
      <c r="E13" s="191"/>
      <c r="F13" s="193"/>
      <c r="G13" s="193"/>
      <c r="H13" s="78"/>
      <c r="I13" s="193"/>
      <c r="J13" s="79"/>
      <c r="K13" s="196"/>
      <c r="L13" s="196"/>
      <c r="M13" s="196"/>
      <c r="N13" s="61"/>
      <c r="O13" s="61"/>
      <c r="P13" s="199"/>
      <c r="Q13" s="199"/>
      <c r="R13" s="199"/>
    </row>
    <row r="14" spans="1:18" s="74" customFormat="1" ht="15" customHeight="1">
      <c r="A14" s="30">
        <v>6</v>
      </c>
      <c r="B14" s="9" t="s">
        <v>60</v>
      </c>
      <c r="C14" s="179"/>
      <c r="D14" s="127" t="s">
        <v>1311</v>
      </c>
      <c r="E14" s="191"/>
      <c r="H14" s="78"/>
      <c r="I14" s="81"/>
      <c r="N14" s="82"/>
      <c r="O14" s="82"/>
      <c r="P14" s="200"/>
      <c r="Q14" s="165"/>
      <c r="R14" s="165"/>
    </row>
    <row r="15" spans="1:18" s="31" customFormat="1" ht="15" customHeight="1">
      <c r="A15" s="30">
        <v>7</v>
      </c>
      <c r="B15" s="9" t="s">
        <v>38</v>
      </c>
      <c r="C15" s="179"/>
      <c r="D15" s="127" t="s">
        <v>1311</v>
      </c>
      <c r="E15" s="191"/>
      <c r="F15" s="62"/>
      <c r="G15" s="62"/>
      <c r="H15" s="78"/>
      <c r="I15" s="83"/>
      <c r="J15" s="62"/>
      <c r="K15" s="62"/>
      <c r="L15" s="62"/>
      <c r="M15" s="62"/>
      <c r="N15" s="108"/>
      <c r="O15" s="108"/>
      <c r="P15" s="201"/>
      <c r="Q15" s="201"/>
      <c r="R15" s="202"/>
    </row>
    <row r="16" spans="1:18" s="31" customFormat="1" ht="15" customHeight="1">
      <c r="A16" s="30">
        <v>8</v>
      </c>
      <c r="B16" s="9" t="s">
        <v>1781</v>
      </c>
      <c r="C16" s="179"/>
      <c r="D16" s="127" t="s">
        <v>1815</v>
      </c>
      <c r="E16" s="191"/>
      <c r="F16" s="62"/>
      <c r="G16" s="62"/>
      <c r="H16" s="78"/>
      <c r="I16" s="83"/>
      <c r="J16" s="62"/>
      <c r="K16" s="62"/>
      <c r="L16" s="62"/>
      <c r="M16" s="62"/>
      <c r="N16" s="108"/>
      <c r="O16" s="108"/>
      <c r="P16" s="201"/>
      <c r="Q16" s="201"/>
      <c r="R16" s="202"/>
    </row>
    <row r="17" spans="1:18" s="31" customFormat="1" ht="15" customHeight="1">
      <c r="A17" s="30">
        <v>9</v>
      </c>
      <c r="B17" s="9" t="s">
        <v>1813</v>
      </c>
      <c r="C17" s="179"/>
      <c r="D17" s="127" t="s">
        <v>1816</v>
      </c>
      <c r="E17" s="191"/>
      <c r="F17" s="194"/>
      <c r="G17" s="194"/>
      <c r="H17" s="78"/>
      <c r="I17" s="195"/>
      <c r="J17" s="62"/>
      <c r="K17" s="196"/>
      <c r="L17" s="196"/>
      <c r="M17" s="194"/>
      <c r="N17" s="108"/>
      <c r="O17" s="108"/>
      <c r="P17" s="201"/>
      <c r="Q17" s="201"/>
      <c r="R17" s="202"/>
    </row>
    <row r="18" spans="1:18" s="31" customFormat="1" ht="15" customHeight="1">
      <c r="A18" s="30">
        <v>10</v>
      </c>
      <c r="B18" s="9" t="s">
        <v>61</v>
      </c>
      <c r="C18" s="179"/>
      <c r="D18" s="127" t="s">
        <v>1311</v>
      </c>
      <c r="E18" s="191"/>
      <c r="F18" s="62"/>
      <c r="G18" s="62"/>
      <c r="H18" s="62"/>
      <c r="I18" s="83"/>
      <c r="J18" s="62"/>
      <c r="K18" s="62"/>
      <c r="L18" s="62"/>
      <c r="M18" s="62"/>
      <c r="N18" s="108"/>
      <c r="O18" s="108"/>
      <c r="P18" s="201"/>
      <c r="Q18" s="201"/>
      <c r="R18" s="202"/>
    </row>
    <row r="19" spans="1:18" s="31" customFormat="1" ht="15" customHeight="1">
      <c r="A19" s="30">
        <v>11</v>
      </c>
      <c r="B19" s="9" t="s">
        <v>1303</v>
      </c>
      <c r="C19" s="179"/>
      <c r="D19" s="127" t="s">
        <v>1311</v>
      </c>
      <c r="E19" s="191"/>
      <c r="F19" s="194"/>
      <c r="G19" s="62"/>
      <c r="H19" s="62"/>
      <c r="I19" s="195"/>
      <c r="J19" s="62"/>
      <c r="K19" s="62"/>
      <c r="L19" s="194"/>
      <c r="M19" s="62"/>
      <c r="N19" s="108"/>
      <c r="O19" s="108"/>
      <c r="P19" s="201"/>
      <c r="Q19" s="201"/>
      <c r="R19" s="202"/>
    </row>
    <row r="20" spans="1:18" s="31" customFormat="1" ht="15" customHeight="1">
      <c r="A20" s="30">
        <v>12</v>
      </c>
      <c r="B20" s="9" t="s">
        <v>1304</v>
      </c>
      <c r="C20" s="179"/>
      <c r="D20" s="127" t="s">
        <v>1311</v>
      </c>
      <c r="E20" s="191"/>
      <c r="F20" s="62"/>
      <c r="G20" s="62"/>
      <c r="H20" s="62"/>
      <c r="I20" s="83"/>
      <c r="J20" s="62"/>
      <c r="K20" s="62"/>
      <c r="L20" s="62"/>
      <c r="M20" s="62"/>
      <c r="N20" s="108"/>
      <c r="O20" s="108"/>
      <c r="P20" s="201"/>
      <c r="Q20" s="201"/>
      <c r="R20" s="202"/>
    </row>
    <row r="21" spans="1:18" s="31" customFormat="1" ht="15" customHeight="1">
      <c r="A21" s="30">
        <v>13</v>
      </c>
      <c r="B21" s="9" t="s">
        <v>1814</v>
      </c>
      <c r="C21" s="179"/>
      <c r="D21" s="127" t="s">
        <v>1310</v>
      </c>
      <c r="E21" s="191"/>
      <c r="F21" s="62"/>
      <c r="G21" s="62"/>
      <c r="H21" s="62"/>
      <c r="I21" s="83"/>
      <c r="J21" s="62"/>
      <c r="K21" s="194"/>
      <c r="L21" s="62"/>
      <c r="M21" s="194"/>
      <c r="N21" s="108"/>
      <c r="O21" s="108"/>
      <c r="P21" s="201"/>
      <c r="Q21" s="201"/>
      <c r="R21" s="202"/>
    </row>
    <row r="22" spans="1:18" s="31" customFormat="1" ht="15" customHeight="1">
      <c r="A22" s="30">
        <v>14</v>
      </c>
      <c r="B22" s="9" t="s">
        <v>1305</v>
      </c>
      <c r="C22" s="179"/>
      <c r="D22" s="127" t="s">
        <v>1310</v>
      </c>
      <c r="E22" s="191"/>
      <c r="F22" s="62"/>
      <c r="G22" s="62"/>
      <c r="H22" s="62"/>
      <c r="I22" s="83"/>
      <c r="J22" s="62"/>
      <c r="K22" s="62"/>
      <c r="L22" s="62"/>
      <c r="M22" s="62"/>
      <c r="N22" s="108"/>
      <c r="O22" s="108"/>
      <c r="P22" s="108"/>
      <c r="Q22" s="108"/>
    </row>
    <row r="23" spans="1:18" s="4" customFormat="1" ht="15" customHeight="1">
      <c r="A23" s="30">
        <v>15</v>
      </c>
      <c r="B23" s="9" t="s">
        <v>62</v>
      </c>
      <c r="C23" s="179"/>
      <c r="D23" s="127" t="s">
        <v>1311</v>
      </c>
      <c r="E23" s="191"/>
      <c r="F23" s="74"/>
      <c r="G23" s="74"/>
      <c r="H23" s="74"/>
      <c r="I23" s="81"/>
      <c r="J23" s="74"/>
      <c r="K23" s="74"/>
      <c r="L23" s="74"/>
      <c r="M23" s="74"/>
      <c r="N23" s="82"/>
      <c r="O23" s="82"/>
      <c r="P23" s="82"/>
      <c r="Q23" s="82"/>
    </row>
    <row r="24" spans="1:18" s="4" customFormat="1" ht="15" customHeight="1">
      <c r="A24" s="30">
        <v>16</v>
      </c>
      <c r="B24" s="9" t="s">
        <v>1306</v>
      </c>
      <c r="C24" s="179"/>
      <c r="D24" s="127" t="s">
        <v>1310</v>
      </c>
      <c r="E24" s="191"/>
      <c r="F24" s="74"/>
      <c r="G24" s="74"/>
      <c r="H24" s="74"/>
      <c r="I24" s="81"/>
      <c r="J24" s="74"/>
      <c r="K24" s="74"/>
      <c r="L24" s="74"/>
      <c r="M24" s="74"/>
      <c r="N24" s="82"/>
      <c r="O24" s="82"/>
      <c r="P24" s="82"/>
      <c r="Q24" s="82"/>
    </row>
    <row r="25" spans="1:18" s="4" customFormat="1" ht="15" customHeight="1">
      <c r="A25" s="30">
        <v>17</v>
      </c>
      <c r="B25" s="9" t="s">
        <v>1307</v>
      </c>
      <c r="C25" s="179"/>
      <c r="D25" s="127" t="s">
        <v>1311</v>
      </c>
      <c r="E25" s="191"/>
      <c r="F25" s="74"/>
      <c r="G25" s="74"/>
      <c r="H25" s="74"/>
      <c r="I25" s="81"/>
      <c r="J25" s="74"/>
      <c r="K25" s="74"/>
      <c r="L25" s="74"/>
      <c r="M25" s="74"/>
      <c r="N25" s="82"/>
      <c r="O25" s="82"/>
      <c r="P25" s="82"/>
      <c r="Q25" s="82"/>
    </row>
    <row r="26" spans="1:18" s="4" customFormat="1" ht="15" customHeight="1">
      <c r="A26" s="30">
        <v>18</v>
      </c>
      <c r="B26" s="9" t="s">
        <v>1308</v>
      </c>
      <c r="C26" s="179"/>
      <c r="D26" s="127" t="s">
        <v>1315</v>
      </c>
      <c r="E26" s="191"/>
      <c r="F26" s="74"/>
      <c r="G26" s="74"/>
      <c r="H26" s="74"/>
      <c r="I26" s="81"/>
      <c r="J26" s="74"/>
      <c r="K26" s="74"/>
      <c r="L26" s="74"/>
      <c r="M26" s="74"/>
      <c r="N26" s="82"/>
      <c r="O26" s="82"/>
      <c r="P26" s="82"/>
      <c r="Q26" s="82"/>
    </row>
    <row r="27" spans="1:18" s="4" customFormat="1" ht="15" customHeight="1">
      <c r="A27" s="30">
        <v>19</v>
      </c>
      <c r="B27" s="9" t="s">
        <v>1314</v>
      </c>
      <c r="C27" s="179"/>
      <c r="D27" s="127" t="s">
        <v>1311</v>
      </c>
      <c r="E27" s="191"/>
      <c r="F27" s="197"/>
      <c r="G27" s="74"/>
      <c r="H27" s="74"/>
      <c r="I27" s="81"/>
      <c r="J27" s="74"/>
      <c r="K27" s="198"/>
      <c r="L27" s="74"/>
      <c r="M27" s="74"/>
      <c r="N27" s="82"/>
      <c r="O27" s="82"/>
      <c r="P27" s="82"/>
      <c r="Q27" s="82"/>
    </row>
    <row r="28" spans="1:18" s="4" customFormat="1" ht="15" customHeight="1">
      <c r="A28" s="30">
        <v>20</v>
      </c>
      <c r="B28" s="9" t="s">
        <v>1309</v>
      </c>
      <c r="C28" s="179"/>
      <c r="D28" s="127"/>
      <c r="E28" s="191"/>
      <c r="F28" s="74"/>
      <c r="G28" s="74"/>
      <c r="H28" s="74"/>
      <c r="I28" s="81"/>
      <c r="J28" s="74"/>
      <c r="K28" s="74"/>
      <c r="L28" s="74"/>
      <c r="M28" s="74"/>
      <c r="N28" s="82"/>
      <c r="O28" s="82"/>
      <c r="P28" s="82"/>
      <c r="Q28" s="82"/>
    </row>
    <row r="29" spans="1:18" s="4" customFormat="1" ht="15" customHeight="1">
      <c r="A29" s="74"/>
      <c r="B29" s="74"/>
      <c r="C29" s="74"/>
      <c r="D29" s="74"/>
      <c r="E29" s="93"/>
      <c r="F29" s="74"/>
      <c r="G29" s="74"/>
      <c r="H29" s="93"/>
      <c r="I29" s="74"/>
      <c r="J29" s="74"/>
      <c r="K29" s="74"/>
      <c r="L29" s="82"/>
      <c r="M29" s="82"/>
      <c r="N29" s="82"/>
      <c r="O29" s="82"/>
      <c r="P29" s="82"/>
      <c r="Q29" s="74"/>
      <c r="R29" s="74"/>
    </row>
    <row r="30" spans="1:18" s="4" customFormat="1" ht="15" customHeight="1">
      <c r="A30" s="80" t="s">
        <v>224</v>
      </c>
      <c r="B30" s="80"/>
      <c r="C30" s="74"/>
      <c r="D30" s="74"/>
      <c r="E30" s="93"/>
      <c r="F30" s="74"/>
      <c r="G30" s="74"/>
      <c r="H30" s="74"/>
      <c r="I30" s="74"/>
      <c r="J30" s="74"/>
      <c r="K30" s="74"/>
      <c r="L30" s="82"/>
      <c r="M30" s="82"/>
      <c r="N30" s="82"/>
      <c r="O30" s="82"/>
      <c r="P30" s="82"/>
      <c r="Q30" s="74"/>
      <c r="R30" s="74"/>
    </row>
    <row r="31" spans="1:18" s="4" customFormat="1" ht="22.9" customHeight="1">
      <c r="A31" s="32" t="s">
        <v>33</v>
      </c>
      <c r="B31" s="104" t="s">
        <v>123</v>
      </c>
      <c r="C31" s="33" t="s">
        <v>99</v>
      </c>
      <c r="D31" s="8" t="s">
        <v>98</v>
      </c>
      <c r="E31" s="74"/>
      <c r="F31" s="74"/>
      <c r="G31" s="74"/>
      <c r="H31" s="74"/>
      <c r="I31" s="74"/>
      <c r="J31" s="82"/>
      <c r="K31" s="82"/>
      <c r="L31" s="82"/>
      <c r="M31" s="82"/>
      <c r="N31" s="82"/>
      <c r="O31" s="74"/>
      <c r="P31" s="74"/>
    </row>
    <row r="32" spans="1:18" s="4" customFormat="1" ht="15" customHeight="1">
      <c r="A32" s="91" t="s">
        <v>101</v>
      </c>
      <c r="B32" s="30" t="s">
        <v>124</v>
      </c>
      <c r="C32" s="203">
        <v>1</v>
      </c>
      <c r="D32" s="9" t="s">
        <v>104</v>
      </c>
      <c r="E32" s="74"/>
      <c r="F32" s="74"/>
      <c r="G32" s="74"/>
      <c r="H32" s="74"/>
      <c r="I32" s="74"/>
      <c r="J32" s="82"/>
      <c r="K32" s="82"/>
      <c r="L32" s="82"/>
      <c r="M32" s="82"/>
      <c r="N32" s="82"/>
      <c r="O32" s="74"/>
      <c r="P32" s="74"/>
    </row>
    <row r="33" spans="1:20" s="4" customFormat="1" ht="15" customHeight="1">
      <c r="A33" s="91" t="s">
        <v>100</v>
      </c>
      <c r="B33" s="30" t="s">
        <v>36</v>
      </c>
      <c r="C33" s="203">
        <v>1</v>
      </c>
      <c r="D33" s="9" t="s">
        <v>105</v>
      </c>
      <c r="E33" s="74"/>
      <c r="F33" s="74"/>
      <c r="G33" s="74"/>
      <c r="H33" s="74"/>
      <c r="I33" s="74"/>
      <c r="J33" s="82"/>
      <c r="K33" s="82"/>
      <c r="L33" s="82"/>
      <c r="M33" s="82"/>
      <c r="N33" s="82"/>
      <c r="O33" s="74"/>
      <c r="P33" s="74"/>
    </row>
    <row r="34" spans="1:20" s="4" customFormat="1" ht="11.25">
      <c r="A34" s="91" t="s">
        <v>102</v>
      </c>
      <c r="B34" s="30" t="s">
        <v>120</v>
      </c>
      <c r="C34" s="203">
        <v>1</v>
      </c>
      <c r="D34" s="9" t="s">
        <v>236</v>
      </c>
      <c r="E34" s="74"/>
      <c r="F34" s="74"/>
      <c r="G34" s="74"/>
      <c r="H34" s="74"/>
      <c r="I34" s="74"/>
      <c r="J34" s="82"/>
      <c r="K34" s="82"/>
      <c r="L34" s="82"/>
      <c r="M34" s="82"/>
      <c r="N34" s="82"/>
      <c r="O34" s="74"/>
      <c r="P34" s="74"/>
    </row>
    <row r="35" spans="1:20" s="4" customFormat="1" ht="15" customHeight="1">
      <c r="A35" s="91" t="s">
        <v>103</v>
      </c>
      <c r="B35" s="30" t="s">
        <v>121</v>
      </c>
      <c r="C35" s="203">
        <v>1</v>
      </c>
      <c r="D35" s="9" t="s">
        <v>106</v>
      </c>
      <c r="E35" s="74"/>
      <c r="F35" s="74"/>
      <c r="G35" s="74"/>
      <c r="H35" s="74"/>
      <c r="I35" s="74"/>
      <c r="J35" s="74"/>
      <c r="K35" s="74"/>
      <c r="L35" s="82"/>
      <c r="M35" s="82"/>
      <c r="N35" s="82"/>
      <c r="O35" s="82"/>
      <c r="P35" s="82"/>
      <c r="Q35" s="74"/>
      <c r="R35" s="74"/>
    </row>
    <row r="36" spans="1:20" s="4" customFormat="1" ht="15" customHeight="1">
      <c r="A36" s="91" t="s">
        <v>1344</v>
      </c>
      <c r="B36" s="30" t="s">
        <v>260</v>
      </c>
      <c r="C36" s="203">
        <v>1</v>
      </c>
      <c r="D36" s="9" t="s">
        <v>1528</v>
      </c>
      <c r="E36" s="93"/>
      <c r="F36" s="74"/>
      <c r="G36" s="74"/>
      <c r="H36" s="74"/>
      <c r="I36" s="74"/>
      <c r="J36" s="74"/>
      <c r="K36" s="74"/>
      <c r="L36" s="74"/>
      <c r="M36" s="74"/>
      <c r="N36" s="82"/>
      <c r="O36" s="82"/>
      <c r="P36" s="82"/>
      <c r="Q36" s="82"/>
      <c r="R36" s="82"/>
      <c r="S36" s="74"/>
      <c r="T36" s="74"/>
    </row>
    <row r="37" spans="1:20" s="4" customFormat="1" ht="15" customHeight="1">
      <c r="A37" s="74"/>
      <c r="B37" s="74"/>
      <c r="C37" s="74"/>
      <c r="D37" s="74"/>
      <c r="E37" s="60"/>
      <c r="F37" s="60"/>
      <c r="G37" s="74"/>
      <c r="H37" s="74"/>
      <c r="I37" s="74"/>
      <c r="J37" s="74"/>
      <c r="K37" s="74"/>
      <c r="L37" s="74"/>
      <c r="M37" s="74"/>
      <c r="N37" s="82"/>
      <c r="O37" s="82"/>
      <c r="P37" s="82"/>
      <c r="Q37" s="82"/>
      <c r="R37" s="82"/>
      <c r="S37" s="74"/>
      <c r="T37" s="74"/>
    </row>
    <row r="38" spans="1:20" s="4" customFormat="1" ht="11.25">
      <c r="A38" s="80" t="s">
        <v>107</v>
      </c>
      <c r="B38" s="74"/>
      <c r="C38" s="74"/>
      <c r="D38" s="82"/>
      <c r="E38" s="60"/>
      <c r="F38" s="93"/>
      <c r="G38" s="74"/>
      <c r="H38" s="74"/>
      <c r="I38" s="74"/>
      <c r="J38" s="74"/>
      <c r="K38" s="74"/>
      <c r="L38" s="74"/>
      <c r="M38" s="82"/>
      <c r="N38" s="82"/>
      <c r="O38" s="82"/>
      <c r="P38" s="82"/>
      <c r="Q38" s="82"/>
      <c r="R38" s="74"/>
      <c r="S38" s="74"/>
    </row>
    <row r="39" spans="1:20" s="4" customFormat="1" ht="22.5">
      <c r="A39" s="32" t="s">
        <v>33</v>
      </c>
      <c r="B39" s="8" t="s">
        <v>108</v>
      </c>
      <c r="C39" s="33" t="s">
        <v>99</v>
      </c>
      <c r="D39" s="62" t="s">
        <v>167</v>
      </c>
      <c r="E39" s="60"/>
      <c r="F39" s="93"/>
      <c r="G39" s="74"/>
      <c r="H39" s="74"/>
      <c r="I39" s="74"/>
      <c r="J39" s="74"/>
      <c r="K39" s="74"/>
      <c r="L39" s="74"/>
      <c r="M39" s="82"/>
      <c r="N39" s="82"/>
      <c r="O39" s="82"/>
      <c r="P39" s="82"/>
      <c r="Q39" s="82"/>
      <c r="R39" s="74"/>
      <c r="S39" s="74"/>
    </row>
    <row r="40" spans="1:20" s="4" customFormat="1" ht="15" customHeight="1">
      <c r="A40" s="366" t="s">
        <v>265</v>
      </c>
      <c r="B40" s="257" t="s">
        <v>264</v>
      </c>
      <c r="C40" s="92">
        <v>1</v>
      </c>
      <c r="D40" s="74"/>
      <c r="E40" s="60"/>
      <c r="F40" s="93"/>
      <c r="G40" s="74"/>
      <c r="H40" s="74"/>
      <c r="I40" s="74"/>
      <c r="J40" s="74"/>
      <c r="K40" s="74"/>
      <c r="L40" s="74"/>
      <c r="M40" s="82"/>
      <c r="N40" s="82"/>
      <c r="O40" s="82"/>
      <c r="P40" s="82"/>
      <c r="Q40" s="82"/>
      <c r="R40" s="74"/>
      <c r="S40" s="74"/>
    </row>
    <row r="41" spans="1:20" s="4" customFormat="1" ht="15" customHeight="1">
      <c r="A41" s="366" t="s">
        <v>19</v>
      </c>
      <c r="B41" s="257" t="s">
        <v>29</v>
      </c>
      <c r="C41" s="92">
        <v>1</v>
      </c>
      <c r="D41" s="74"/>
      <c r="E41" s="60"/>
      <c r="F41" s="74"/>
      <c r="G41" s="74"/>
      <c r="H41" s="74"/>
      <c r="I41" s="74"/>
      <c r="J41" s="74"/>
      <c r="K41" s="82"/>
      <c r="L41" s="82"/>
      <c r="M41" s="82"/>
      <c r="N41" s="82"/>
      <c r="O41" s="82"/>
      <c r="P41" s="74"/>
      <c r="Q41" s="74"/>
    </row>
    <row r="42" spans="1:20" s="60" customFormat="1" ht="11.25">
      <c r="A42" s="366" t="s">
        <v>2</v>
      </c>
      <c r="B42" s="257" t="s">
        <v>1</v>
      </c>
      <c r="C42" s="92">
        <v>1</v>
      </c>
      <c r="D42" s="74"/>
      <c r="H42" s="109"/>
      <c r="I42" s="109"/>
      <c r="J42" s="61"/>
      <c r="K42" s="61"/>
      <c r="L42" s="61"/>
      <c r="M42" s="61"/>
      <c r="N42" s="61"/>
    </row>
    <row r="43" spans="1:20" ht="11.25">
      <c r="A43" s="366" t="s">
        <v>20</v>
      </c>
      <c r="B43" s="257" t="s">
        <v>21</v>
      </c>
      <c r="C43" s="92">
        <v>1</v>
      </c>
      <c r="D43" s="74"/>
      <c r="E43" s="60"/>
      <c r="F43" s="78"/>
      <c r="G43" s="110"/>
      <c r="H43" s="61"/>
      <c r="I43" s="61"/>
      <c r="J43" s="61"/>
      <c r="K43" s="61"/>
      <c r="L43" s="61"/>
      <c r="M43" s="61"/>
      <c r="N43" s="60"/>
      <c r="O43" s="60"/>
      <c r="P43" s="60"/>
    </row>
    <row r="44" spans="1:20" ht="15" customHeight="1">
      <c r="A44" s="366" t="s">
        <v>18</v>
      </c>
      <c r="B44" s="257" t="s">
        <v>12</v>
      </c>
      <c r="C44" s="92">
        <v>1</v>
      </c>
      <c r="D44" s="74"/>
      <c r="E44" s="60"/>
      <c r="F44" s="78"/>
      <c r="G44" s="110"/>
      <c r="H44" s="61"/>
      <c r="I44" s="61"/>
      <c r="J44" s="61"/>
      <c r="K44" s="61"/>
      <c r="L44" s="61"/>
      <c r="M44" s="61"/>
      <c r="N44" s="60"/>
      <c r="O44" s="60"/>
      <c r="P44" s="60"/>
    </row>
    <row r="45" spans="1:20" ht="15" customHeight="1">
      <c r="A45" s="366" t="s">
        <v>109</v>
      </c>
      <c r="B45" s="257" t="s">
        <v>110</v>
      </c>
      <c r="C45" s="92">
        <v>1</v>
      </c>
      <c r="D45" s="74"/>
      <c r="E45" s="60"/>
      <c r="F45" s="78"/>
      <c r="G45" s="110"/>
      <c r="H45" s="61"/>
      <c r="I45" s="61"/>
      <c r="J45" s="61"/>
      <c r="K45" s="61"/>
      <c r="L45" s="61"/>
      <c r="M45" s="61"/>
      <c r="N45" s="60"/>
      <c r="O45" s="60"/>
      <c r="P45" s="60"/>
    </row>
    <row r="46" spans="1:20" ht="15" customHeight="1">
      <c r="A46" s="366" t="s">
        <v>17</v>
      </c>
      <c r="B46" s="257" t="s">
        <v>14</v>
      </c>
      <c r="C46" s="92">
        <v>1</v>
      </c>
      <c r="D46" s="74"/>
      <c r="E46" s="60"/>
      <c r="F46" s="78"/>
      <c r="G46" s="110"/>
      <c r="H46" s="61"/>
      <c r="I46" s="61"/>
      <c r="J46" s="61"/>
      <c r="K46" s="61"/>
      <c r="L46" s="61"/>
      <c r="M46" s="61"/>
      <c r="N46" s="60"/>
      <c r="O46" s="60"/>
      <c r="P46" s="60"/>
    </row>
    <row r="47" spans="1:20" ht="15" customHeight="1">
      <c r="A47" s="366" t="s">
        <v>15</v>
      </c>
      <c r="B47" s="257" t="s">
        <v>13</v>
      </c>
      <c r="C47" s="92">
        <v>1</v>
      </c>
      <c r="D47" s="74"/>
      <c r="E47" s="60"/>
      <c r="F47" s="78"/>
      <c r="G47" s="110"/>
      <c r="H47" s="61"/>
      <c r="I47" s="61"/>
      <c r="J47" s="61"/>
      <c r="K47" s="61"/>
      <c r="L47" s="61"/>
      <c r="M47" s="61"/>
      <c r="N47" s="60"/>
      <c r="O47" s="60"/>
      <c r="P47" s="60"/>
    </row>
    <row r="48" spans="1:20" ht="15" customHeight="1">
      <c r="A48" s="366" t="s">
        <v>25</v>
      </c>
      <c r="B48" s="257" t="s">
        <v>28</v>
      </c>
      <c r="C48" s="92">
        <v>1</v>
      </c>
      <c r="D48" s="74"/>
      <c r="E48" s="60"/>
      <c r="F48" s="78"/>
      <c r="G48" s="110"/>
      <c r="H48" s="61"/>
      <c r="I48" s="61"/>
      <c r="J48" s="61"/>
      <c r="K48" s="61"/>
      <c r="L48" s="61"/>
      <c r="M48" s="61"/>
      <c r="N48" s="60"/>
      <c r="O48" s="60"/>
      <c r="P48" s="60"/>
    </row>
    <row r="49" spans="1:18" ht="15" customHeight="1">
      <c r="A49" s="366" t="s">
        <v>26</v>
      </c>
      <c r="B49" s="257" t="s">
        <v>27</v>
      </c>
      <c r="C49" s="92">
        <v>1</v>
      </c>
      <c r="D49" s="74"/>
      <c r="E49" s="60"/>
      <c r="F49" s="78"/>
      <c r="G49" s="110"/>
      <c r="H49" s="61"/>
      <c r="I49" s="61"/>
      <c r="J49" s="61"/>
      <c r="K49" s="61"/>
      <c r="L49" s="61"/>
      <c r="M49" s="61"/>
      <c r="N49" s="60"/>
      <c r="O49" s="60"/>
      <c r="P49" s="60"/>
    </row>
    <row r="50" spans="1:18" ht="15" customHeight="1">
      <c r="A50" s="366" t="s">
        <v>16</v>
      </c>
      <c r="B50" s="257" t="s">
        <v>0</v>
      </c>
      <c r="C50" s="92">
        <v>1</v>
      </c>
      <c r="D50" s="74"/>
      <c r="E50" s="60"/>
      <c r="F50" s="78"/>
      <c r="G50" s="110"/>
      <c r="H50" s="61"/>
      <c r="I50" s="61"/>
      <c r="J50" s="61"/>
      <c r="K50" s="61"/>
      <c r="L50" s="61"/>
      <c r="M50" s="61"/>
      <c r="N50" s="60"/>
      <c r="O50" s="60"/>
      <c r="P50" s="60"/>
    </row>
    <row r="51" spans="1:18" ht="15" customHeight="1">
      <c r="A51" s="366" t="s">
        <v>1811</v>
      </c>
      <c r="B51" s="257" t="s">
        <v>1818</v>
      </c>
      <c r="C51" s="92">
        <v>1</v>
      </c>
      <c r="D51" s="74"/>
      <c r="E51" s="60"/>
      <c r="F51" s="78"/>
      <c r="G51" s="110"/>
      <c r="H51" s="61"/>
      <c r="I51" s="61"/>
      <c r="J51" s="61"/>
      <c r="K51" s="61"/>
      <c r="L51" s="61"/>
      <c r="M51" s="61"/>
      <c r="N51" s="60"/>
      <c r="O51" s="60"/>
      <c r="P51" s="60"/>
    </row>
    <row r="52" spans="1:18" ht="15" customHeight="1">
      <c r="A52" s="366" t="s">
        <v>262</v>
      </c>
      <c r="B52" s="257" t="s">
        <v>263</v>
      </c>
      <c r="C52" s="92">
        <v>1</v>
      </c>
      <c r="D52" s="74"/>
      <c r="E52" s="60"/>
      <c r="F52" s="78"/>
      <c r="G52" s="60"/>
      <c r="H52" s="110"/>
      <c r="I52" s="110"/>
      <c r="J52" s="61"/>
      <c r="K52" s="61"/>
      <c r="L52" s="61"/>
      <c r="M52" s="61"/>
      <c r="N52" s="61"/>
      <c r="O52" s="60"/>
      <c r="P52" s="60"/>
      <c r="Q52" s="60"/>
    </row>
    <row r="53" spans="1:18" ht="15" customHeight="1">
      <c r="A53" s="94"/>
      <c r="B53" s="82"/>
      <c r="C53" s="82"/>
      <c r="D53" s="82"/>
      <c r="E53" s="60"/>
      <c r="F53" s="60"/>
      <c r="G53" s="60"/>
      <c r="H53" s="110"/>
      <c r="I53" s="110"/>
      <c r="J53" s="61"/>
      <c r="K53" s="61"/>
      <c r="L53" s="61"/>
      <c r="M53" s="61"/>
      <c r="N53" s="61"/>
      <c r="O53" s="60"/>
      <c r="P53" s="60"/>
      <c r="Q53" s="60"/>
    </row>
    <row r="54" spans="1:18" ht="15" customHeight="1">
      <c r="A54" s="110"/>
      <c r="B54" s="60"/>
      <c r="C54" s="60"/>
      <c r="D54" s="77"/>
      <c r="E54" s="60"/>
      <c r="F54" s="60"/>
      <c r="G54" s="60"/>
      <c r="H54" s="110"/>
      <c r="I54" s="110"/>
      <c r="J54" s="61"/>
      <c r="K54" s="61"/>
      <c r="L54" s="61"/>
      <c r="M54" s="61"/>
      <c r="N54" s="61"/>
      <c r="O54" s="60"/>
      <c r="P54" s="60"/>
      <c r="Q54" s="60"/>
    </row>
    <row r="55" spans="1:18" ht="15" customHeight="1">
      <c r="A55" s="110"/>
      <c r="B55" s="60"/>
      <c r="C55" s="189"/>
      <c r="D55" s="77"/>
      <c r="E55" s="60"/>
      <c r="F55" s="60"/>
      <c r="G55" s="60"/>
      <c r="H55" s="110"/>
      <c r="I55" s="110"/>
      <c r="J55" s="61"/>
      <c r="K55" s="61"/>
      <c r="L55" s="61"/>
      <c r="M55" s="61"/>
      <c r="N55" s="61"/>
      <c r="O55" s="60"/>
      <c r="P55" s="60"/>
      <c r="Q55" s="60"/>
    </row>
    <row r="56" spans="1:18" ht="15" customHeight="1">
      <c r="A56" s="110"/>
      <c r="B56" s="60"/>
      <c r="C56" s="60"/>
      <c r="D56" s="77"/>
      <c r="E56" s="60"/>
      <c r="F56" s="60"/>
      <c r="G56" s="78"/>
      <c r="H56" s="60"/>
      <c r="I56" s="60"/>
      <c r="J56" s="110"/>
      <c r="K56" s="61"/>
      <c r="L56" s="61"/>
      <c r="M56" s="61"/>
      <c r="N56" s="61"/>
      <c r="O56" s="61"/>
      <c r="P56" s="60"/>
      <c r="Q56" s="60"/>
      <c r="R56" s="60"/>
    </row>
    <row r="57" spans="1:18" ht="15" customHeight="1">
      <c r="A57" s="110"/>
      <c r="B57" s="60"/>
      <c r="C57" s="60"/>
      <c r="D57" s="77"/>
      <c r="F57" s="60"/>
      <c r="G57" s="78"/>
      <c r="H57" s="60"/>
      <c r="I57" s="60"/>
      <c r="J57" s="110"/>
      <c r="K57" s="61"/>
      <c r="L57" s="61"/>
      <c r="M57" s="61"/>
      <c r="N57" s="61"/>
      <c r="O57" s="61"/>
      <c r="P57" s="60"/>
      <c r="Q57" s="60"/>
      <c r="R57" s="60"/>
    </row>
    <row r="58" spans="1:18" ht="15" customHeight="1">
      <c r="F58" s="60"/>
      <c r="G58" s="78"/>
      <c r="H58" s="60"/>
      <c r="I58" s="60"/>
      <c r="J58" s="110"/>
      <c r="K58" s="61"/>
      <c r="L58" s="61"/>
      <c r="M58" s="61"/>
      <c r="N58" s="61"/>
      <c r="O58" s="61"/>
      <c r="P58" s="60"/>
      <c r="Q58" s="60"/>
      <c r="R58" s="60"/>
    </row>
    <row r="59" spans="1:18" ht="15" customHeight="1">
      <c r="F59" s="60"/>
      <c r="G59" s="78"/>
      <c r="H59" s="60"/>
      <c r="I59" s="60"/>
      <c r="J59" s="110"/>
      <c r="K59" s="61"/>
      <c r="L59" s="61"/>
      <c r="M59" s="61"/>
      <c r="N59" s="61"/>
      <c r="O59" s="61"/>
      <c r="P59" s="60"/>
      <c r="Q59" s="60"/>
      <c r="R59" s="60"/>
    </row>
    <row r="60" spans="1:18" ht="15" customHeight="1">
      <c r="F60" s="60"/>
      <c r="G60" s="78"/>
      <c r="H60" s="60"/>
      <c r="I60" s="60"/>
      <c r="J60" s="110"/>
      <c r="K60" s="61"/>
      <c r="L60" s="61"/>
      <c r="M60" s="61"/>
      <c r="N60" s="61"/>
      <c r="O60" s="61"/>
      <c r="P60" s="60"/>
      <c r="Q60" s="60"/>
      <c r="R60" s="60"/>
    </row>
    <row r="61" spans="1:18" ht="15" customHeight="1">
      <c r="F61" s="60"/>
      <c r="G61" s="78"/>
      <c r="H61" s="60"/>
      <c r="I61" s="60"/>
      <c r="J61" s="110"/>
      <c r="K61" s="61"/>
      <c r="L61" s="61"/>
      <c r="M61" s="61"/>
      <c r="N61" s="61"/>
      <c r="O61" s="61"/>
      <c r="P61" s="60"/>
      <c r="Q61" s="60"/>
      <c r="R61" s="60"/>
    </row>
    <row r="62" spans="1:18" ht="15" customHeight="1">
      <c r="F62" s="60"/>
      <c r="G62" s="78"/>
      <c r="H62" s="60"/>
      <c r="I62" s="60"/>
      <c r="J62" s="110"/>
      <c r="K62" s="61"/>
      <c r="L62" s="61"/>
      <c r="M62" s="61"/>
      <c r="N62" s="61"/>
      <c r="O62" s="61"/>
      <c r="P62" s="60"/>
      <c r="Q62" s="60"/>
      <c r="R62" s="60"/>
    </row>
    <row r="63" spans="1:18" ht="15" customHeight="1">
      <c r="F63" s="60"/>
      <c r="G63" s="78"/>
      <c r="H63" s="60"/>
      <c r="I63" s="60"/>
      <c r="J63" s="110"/>
      <c r="K63" s="61"/>
      <c r="L63" s="61"/>
      <c r="M63" s="61"/>
      <c r="N63" s="61"/>
      <c r="O63" s="61"/>
      <c r="P63" s="60"/>
      <c r="Q63" s="60"/>
      <c r="R63" s="60"/>
    </row>
    <row r="64" spans="1:18" ht="15" customHeight="1">
      <c r="F64" s="60"/>
      <c r="G64" s="78"/>
      <c r="H64" s="60"/>
      <c r="I64" s="60"/>
      <c r="J64" s="110"/>
      <c r="K64" s="61"/>
      <c r="L64" s="61"/>
      <c r="M64" s="61"/>
      <c r="N64" s="61"/>
      <c r="O64" s="61"/>
      <c r="P64" s="60"/>
      <c r="Q64" s="60"/>
      <c r="R64" s="60"/>
    </row>
    <row r="65" spans="6:18" ht="15" customHeight="1">
      <c r="F65" s="60"/>
      <c r="G65" s="78"/>
      <c r="H65" s="60"/>
      <c r="I65" s="60"/>
      <c r="J65" s="110"/>
      <c r="K65" s="61"/>
      <c r="L65" s="61"/>
      <c r="M65" s="61"/>
      <c r="N65" s="61"/>
      <c r="O65" s="61"/>
      <c r="P65" s="60"/>
      <c r="Q65" s="60"/>
      <c r="R65" s="60"/>
    </row>
    <row r="66" spans="6:18" ht="15" customHeight="1">
      <c r="F66" s="60"/>
      <c r="G66" s="78"/>
      <c r="H66" s="60"/>
      <c r="I66" s="60"/>
      <c r="J66" s="110"/>
      <c r="K66" s="61"/>
      <c r="L66" s="61"/>
      <c r="M66" s="61"/>
      <c r="N66" s="61"/>
      <c r="O66" s="61"/>
      <c r="P66" s="60"/>
      <c r="Q66" s="60"/>
      <c r="R66" s="60"/>
    </row>
    <row r="67" spans="6:18" ht="15" customHeight="1">
      <c r="F67" s="60"/>
      <c r="G67" s="78"/>
      <c r="H67" s="60"/>
      <c r="I67" s="60"/>
      <c r="J67" s="110"/>
      <c r="K67" s="61"/>
      <c r="L67" s="61"/>
      <c r="M67" s="61"/>
      <c r="N67" s="61"/>
      <c r="O67" s="61"/>
      <c r="P67" s="60"/>
      <c r="Q67" s="60"/>
      <c r="R67" s="60"/>
    </row>
    <row r="68" spans="6:18" ht="15" customHeight="1">
      <c r="F68" s="60"/>
      <c r="G68" s="78"/>
      <c r="H68" s="60"/>
      <c r="I68" s="60"/>
      <c r="J68" s="110"/>
      <c r="K68" s="61"/>
      <c r="L68" s="61"/>
      <c r="M68" s="61"/>
      <c r="N68" s="61"/>
      <c r="O68" s="61"/>
      <c r="P68" s="60"/>
      <c r="Q68" s="60"/>
      <c r="R68" s="60"/>
    </row>
    <row r="69" spans="6:18" ht="15" customHeight="1">
      <c r="F69" s="60"/>
      <c r="G69" s="78"/>
      <c r="H69" s="60"/>
      <c r="I69" s="60"/>
      <c r="J69" s="110"/>
      <c r="K69" s="61"/>
      <c r="L69" s="61"/>
      <c r="M69" s="61"/>
      <c r="N69" s="61"/>
      <c r="O69" s="61"/>
      <c r="P69" s="60"/>
      <c r="Q69" s="60"/>
      <c r="R69" s="60"/>
    </row>
    <row r="70" spans="6:18" ht="15" customHeight="1">
      <c r="F70" s="60"/>
      <c r="G70" s="78"/>
      <c r="H70" s="60"/>
      <c r="I70" s="60"/>
      <c r="J70" s="110"/>
      <c r="K70" s="61"/>
      <c r="L70" s="61"/>
      <c r="M70" s="61"/>
      <c r="N70" s="61"/>
      <c r="O70" s="61"/>
      <c r="P70" s="60"/>
      <c r="Q70" s="60"/>
      <c r="R70" s="60"/>
    </row>
    <row r="71" spans="6:18" ht="15" customHeight="1">
      <c r="F71" s="60"/>
      <c r="G71" s="78"/>
      <c r="H71" s="60"/>
      <c r="I71" s="60"/>
      <c r="J71" s="110"/>
      <c r="K71" s="61"/>
      <c r="L71" s="61"/>
      <c r="M71" s="61"/>
      <c r="N71" s="61"/>
      <c r="O71" s="61"/>
      <c r="P71" s="60"/>
      <c r="Q71" s="60"/>
      <c r="R71" s="60"/>
    </row>
    <row r="72" spans="6:18" ht="15" customHeight="1">
      <c r="F72" s="60"/>
      <c r="G72" s="78"/>
      <c r="H72" s="60"/>
      <c r="I72" s="60"/>
      <c r="J72" s="110"/>
      <c r="K72" s="61"/>
      <c r="L72" s="61"/>
      <c r="M72" s="61"/>
      <c r="N72" s="61"/>
      <c r="O72" s="61"/>
      <c r="P72" s="60"/>
      <c r="Q72" s="60"/>
      <c r="R72" s="60"/>
    </row>
    <row r="73" spans="6:18" ht="15" customHeight="1">
      <c r="F73" s="60"/>
      <c r="G73" s="78"/>
      <c r="H73" s="60"/>
      <c r="I73" s="60"/>
      <c r="J73" s="110"/>
      <c r="K73" s="61"/>
      <c r="L73" s="61"/>
      <c r="M73" s="61"/>
      <c r="N73" s="61"/>
      <c r="O73" s="61"/>
      <c r="P73" s="60"/>
      <c r="Q73" s="60"/>
      <c r="R73" s="60"/>
    </row>
    <row r="74" spans="6:18" ht="15" customHeight="1">
      <c r="F74" s="60"/>
      <c r="G74" s="78"/>
      <c r="H74" s="60"/>
      <c r="I74" s="60"/>
      <c r="J74" s="110"/>
      <c r="K74" s="61"/>
      <c r="L74" s="61"/>
      <c r="M74" s="61"/>
      <c r="N74" s="61"/>
      <c r="O74" s="61"/>
      <c r="P74" s="60"/>
      <c r="Q74" s="60"/>
      <c r="R74" s="60"/>
    </row>
    <row r="75" spans="6:18" ht="15" customHeight="1">
      <c r="F75" s="60"/>
      <c r="G75" s="78"/>
      <c r="H75" s="60"/>
      <c r="I75" s="60"/>
      <c r="J75" s="110"/>
      <c r="K75" s="61"/>
      <c r="L75" s="61"/>
      <c r="M75" s="61"/>
      <c r="N75" s="61"/>
      <c r="O75" s="61"/>
      <c r="P75" s="60"/>
      <c r="Q75" s="60"/>
      <c r="R75" s="60"/>
    </row>
    <row r="76" spans="6:18" ht="15" customHeight="1">
      <c r="F76" s="60"/>
      <c r="G76" s="78"/>
      <c r="H76" s="60"/>
      <c r="I76" s="60"/>
      <c r="J76" s="110"/>
      <c r="K76" s="61"/>
      <c r="L76" s="61"/>
      <c r="M76" s="61"/>
      <c r="N76" s="61"/>
      <c r="O76" s="61"/>
      <c r="P76" s="60"/>
      <c r="Q76" s="60"/>
      <c r="R76" s="60"/>
    </row>
    <row r="77" spans="6:18" ht="15" customHeight="1">
      <c r="F77" s="60"/>
      <c r="G77" s="78"/>
      <c r="H77" s="60"/>
      <c r="I77" s="60"/>
      <c r="J77" s="110"/>
      <c r="K77" s="61"/>
      <c r="L77" s="61"/>
      <c r="M77" s="61"/>
      <c r="N77" s="61"/>
      <c r="O77" s="61"/>
      <c r="P77" s="60"/>
      <c r="Q77" s="60"/>
      <c r="R77" s="60"/>
    </row>
    <row r="78" spans="6:18" ht="15" customHeight="1">
      <c r="F78" s="60"/>
      <c r="G78" s="78"/>
      <c r="H78" s="60"/>
      <c r="I78" s="60"/>
      <c r="J78" s="110"/>
      <c r="K78" s="61"/>
      <c r="L78" s="61"/>
      <c r="M78" s="61"/>
      <c r="N78" s="61"/>
      <c r="O78" s="61"/>
      <c r="P78" s="60"/>
      <c r="Q78" s="60"/>
      <c r="R78" s="60"/>
    </row>
    <row r="79" spans="6:18" ht="15" customHeight="1">
      <c r="F79" s="60"/>
      <c r="G79" s="78"/>
      <c r="H79" s="60"/>
      <c r="I79" s="60"/>
      <c r="J79" s="110"/>
      <c r="K79" s="61"/>
      <c r="L79" s="61"/>
      <c r="M79" s="61"/>
      <c r="N79" s="61"/>
      <c r="O79" s="61"/>
      <c r="P79" s="60"/>
      <c r="Q79" s="60"/>
      <c r="R79" s="60"/>
    </row>
    <row r="80" spans="6:18" ht="15" customHeight="1">
      <c r="F80" s="60"/>
      <c r="G80" s="78"/>
      <c r="H80" s="60"/>
      <c r="I80" s="60"/>
      <c r="J80" s="110"/>
      <c r="K80" s="61"/>
      <c r="L80" s="61"/>
      <c r="M80" s="61"/>
      <c r="N80" s="61"/>
      <c r="O80" s="61"/>
      <c r="P80" s="60"/>
      <c r="Q80" s="60"/>
      <c r="R80" s="60"/>
    </row>
    <row r="81" spans="6:18" ht="15" customHeight="1">
      <c r="F81" s="60"/>
      <c r="G81" s="78"/>
      <c r="H81" s="60"/>
      <c r="I81" s="60"/>
      <c r="J81" s="110"/>
      <c r="K81" s="61"/>
      <c r="L81" s="61"/>
      <c r="M81" s="61"/>
      <c r="N81" s="61"/>
      <c r="O81" s="61"/>
      <c r="P81" s="60"/>
      <c r="Q81" s="60"/>
      <c r="R81" s="60"/>
    </row>
    <row r="82" spans="6:18" ht="15" customHeight="1">
      <c r="F82" s="60"/>
      <c r="G82" s="78"/>
      <c r="H82" s="60"/>
      <c r="I82" s="60"/>
      <c r="J82" s="110"/>
      <c r="K82" s="61"/>
      <c r="L82" s="61"/>
      <c r="M82" s="61"/>
      <c r="N82" s="61"/>
      <c r="O82" s="61"/>
      <c r="P82" s="60"/>
      <c r="Q82" s="60"/>
      <c r="R82" s="60"/>
    </row>
    <row r="83" spans="6:18" ht="15" customHeight="1">
      <c r="F83" s="60"/>
      <c r="G83" s="78"/>
      <c r="H83" s="60"/>
      <c r="I83" s="60"/>
      <c r="J83" s="110"/>
      <c r="K83" s="61"/>
      <c r="L83" s="61"/>
      <c r="M83" s="61"/>
      <c r="N83" s="61"/>
      <c r="O83" s="61"/>
      <c r="P83" s="60"/>
      <c r="Q83" s="60"/>
      <c r="R83" s="60"/>
    </row>
    <row r="84" spans="6:18" ht="15" customHeight="1">
      <c r="F84" s="60"/>
      <c r="G84" s="78"/>
      <c r="H84" s="60"/>
      <c r="I84" s="60"/>
      <c r="J84" s="110"/>
      <c r="K84" s="61"/>
      <c r="L84" s="61"/>
      <c r="M84" s="61"/>
      <c r="N84" s="61"/>
      <c r="O84" s="61"/>
      <c r="P84" s="60"/>
      <c r="Q84" s="60"/>
      <c r="R84" s="60"/>
    </row>
    <row r="85" spans="6:18" ht="15" customHeight="1">
      <c r="F85" s="60"/>
      <c r="G85" s="78"/>
      <c r="H85" s="60"/>
      <c r="I85" s="60"/>
      <c r="J85" s="110"/>
      <c r="K85" s="61"/>
      <c r="L85" s="61"/>
      <c r="M85" s="61"/>
      <c r="N85" s="61"/>
      <c r="O85" s="61"/>
      <c r="P85" s="60"/>
      <c r="Q85" s="60"/>
      <c r="R85" s="60"/>
    </row>
    <row r="86" spans="6:18" ht="15" customHeight="1">
      <c r="F86" s="60"/>
      <c r="G86" s="78"/>
      <c r="H86" s="60"/>
      <c r="I86" s="60"/>
      <c r="J86" s="110"/>
      <c r="K86" s="61"/>
      <c r="L86" s="61"/>
      <c r="M86" s="61"/>
      <c r="N86" s="61"/>
      <c r="O86" s="61"/>
      <c r="P86" s="60"/>
      <c r="Q86" s="60"/>
      <c r="R86" s="60"/>
    </row>
    <row r="87" spans="6:18" ht="15" customHeight="1">
      <c r="F87" s="60"/>
      <c r="G87" s="78"/>
      <c r="H87" s="60"/>
      <c r="I87" s="60"/>
      <c r="J87" s="110"/>
      <c r="K87" s="61"/>
      <c r="L87" s="61"/>
      <c r="M87" s="61"/>
      <c r="N87" s="61"/>
      <c r="O87" s="61"/>
      <c r="P87" s="60"/>
      <c r="Q87" s="60"/>
      <c r="R87" s="60"/>
    </row>
    <row r="88" spans="6:18" ht="15" customHeight="1">
      <c r="F88" s="60"/>
      <c r="G88" s="78"/>
      <c r="H88" s="60"/>
      <c r="I88" s="60"/>
      <c r="J88" s="110"/>
      <c r="K88" s="61"/>
      <c r="L88" s="61"/>
      <c r="M88" s="61"/>
      <c r="N88" s="61"/>
      <c r="O88" s="61"/>
      <c r="P88" s="60"/>
      <c r="Q88" s="60"/>
      <c r="R88" s="60"/>
    </row>
    <row r="89" spans="6:18" ht="15" customHeight="1">
      <c r="F89" s="60"/>
      <c r="G89" s="78"/>
      <c r="H89" s="60"/>
      <c r="I89" s="60"/>
      <c r="J89" s="110"/>
      <c r="K89" s="61"/>
      <c r="L89" s="61"/>
      <c r="M89" s="61"/>
      <c r="N89" s="61"/>
      <c r="O89" s="61"/>
      <c r="P89" s="60"/>
      <c r="Q89" s="60"/>
      <c r="R89" s="60"/>
    </row>
    <row r="90" spans="6:18" ht="15" customHeight="1">
      <c r="F90" s="60"/>
      <c r="G90" s="78"/>
      <c r="H90" s="60"/>
      <c r="I90" s="60"/>
      <c r="J90" s="110"/>
      <c r="K90" s="61"/>
      <c r="L90" s="61"/>
      <c r="M90" s="61"/>
      <c r="N90" s="61"/>
      <c r="O90" s="61"/>
      <c r="P90" s="60"/>
      <c r="Q90" s="60"/>
      <c r="R90" s="60"/>
    </row>
    <row r="91" spans="6:18" ht="15" customHeight="1">
      <c r="F91" s="60"/>
      <c r="G91" s="78"/>
      <c r="H91" s="60"/>
      <c r="I91" s="60"/>
      <c r="J91" s="110"/>
      <c r="K91" s="61"/>
      <c r="L91" s="61"/>
      <c r="M91" s="61"/>
      <c r="N91" s="61"/>
      <c r="O91" s="61"/>
      <c r="P91" s="60"/>
      <c r="Q91" s="60"/>
      <c r="R91" s="60"/>
    </row>
    <row r="92" spans="6:18" ht="15" customHeight="1">
      <c r="F92" s="60"/>
      <c r="G92" s="78"/>
      <c r="H92" s="60"/>
      <c r="I92" s="60"/>
      <c r="J92" s="110"/>
      <c r="K92" s="61"/>
      <c r="L92" s="61"/>
      <c r="M92" s="61"/>
      <c r="N92" s="61"/>
      <c r="O92" s="61"/>
      <c r="P92" s="60"/>
      <c r="Q92" s="60"/>
      <c r="R92" s="60"/>
    </row>
    <row r="93" spans="6:18" ht="15" customHeight="1">
      <c r="F93" s="60"/>
      <c r="G93" s="78"/>
      <c r="H93" s="60"/>
      <c r="I93" s="60"/>
      <c r="J93" s="110"/>
      <c r="K93" s="61"/>
      <c r="L93" s="61"/>
      <c r="M93" s="61"/>
      <c r="N93" s="61"/>
      <c r="O93" s="61"/>
      <c r="P93" s="60"/>
      <c r="Q93" s="60"/>
      <c r="R93" s="60"/>
    </row>
    <row r="94" spans="6:18" ht="15" customHeight="1">
      <c r="F94" s="60"/>
      <c r="G94" s="78"/>
      <c r="H94" s="60"/>
      <c r="I94" s="60"/>
      <c r="J94" s="110"/>
      <c r="K94" s="61"/>
      <c r="L94" s="61"/>
      <c r="M94" s="61"/>
      <c r="N94" s="61"/>
      <c r="O94" s="61"/>
      <c r="P94" s="60"/>
      <c r="Q94" s="60"/>
      <c r="R94" s="60"/>
    </row>
    <row r="95" spans="6:18" ht="15" customHeight="1">
      <c r="F95" s="60"/>
      <c r="G95" s="78"/>
      <c r="H95" s="60"/>
      <c r="I95" s="60"/>
      <c r="J95" s="110"/>
      <c r="K95" s="61"/>
      <c r="L95" s="61"/>
      <c r="M95" s="61"/>
      <c r="N95" s="61"/>
      <c r="O95" s="61"/>
      <c r="P95" s="60"/>
      <c r="Q95" s="60"/>
      <c r="R95" s="60"/>
    </row>
    <row r="96" spans="6:18" ht="15" customHeight="1">
      <c r="F96" s="60"/>
      <c r="G96" s="78"/>
      <c r="H96" s="60"/>
      <c r="I96" s="60"/>
      <c r="J96" s="110"/>
      <c r="K96" s="61"/>
      <c r="L96" s="61"/>
      <c r="M96" s="61"/>
      <c r="N96" s="61"/>
      <c r="O96" s="61"/>
      <c r="P96" s="60"/>
      <c r="Q96" s="60"/>
      <c r="R96" s="60"/>
    </row>
    <row r="97" spans="6:18" ht="15" customHeight="1">
      <c r="F97" s="60"/>
      <c r="G97" s="78"/>
      <c r="H97" s="60"/>
      <c r="I97" s="60"/>
      <c r="J97" s="110"/>
      <c r="K97" s="61"/>
      <c r="L97" s="61"/>
      <c r="M97" s="61"/>
      <c r="N97" s="61"/>
      <c r="O97" s="61"/>
      <c r="P97" s="60"/>
      <c r="Q97" s="60"/>
      <c r="R97" s="60"/>
    </row>
    <row r="98" spans="6:18" ht="15" customHeight="1">
      <c r="F98" s="60"/>
      <c r="G98" s="78"/>
      <c r="H98" s="60"/>
      <c r="I98" s="60"/>
      <c r="J98" s="110"/>
      <c r="K98" s="61"/>
      <c r="L98" s="61"/>
      <c r="M98" s="61"/>
      <c r="N98" s="61"/>
      <c r="O98" s="61"/>
      <c r="P98" s="60"/>
      <c r="Q98" s="60"/>
      <c r="R98" s="60"/>
    </row>
    <row r="99" spans="6:18" ht="15" customHeight="1">
      <c r="F99" s="60"/>
      <c r="G99" s="78"/>
      <c r="H99" s="60"/>
      <c r="I99" s="60"/>
      <c r="J99" s="110"/>
      <c r="K99" s="61"/>
      <c r="L99" s="61"/>
      <c r="M99" s="61"/>
      <c r="N99" s="61"/>
      <c r="O99" s="61"/>
      <c r="P99" s="60"/>
      <c r="Q99" s="60"/>
      <c r="R99" s="60"/>
    </row>
    <row r="100" spans="6:18" ht="15" customHeight="1">
      <c r="F100" s="60"/>
      <c r="G100" s="78"/>
      <c r="H100" s="60"/>
      <c r="I100" s="60"/>
      <c r="J100" s="110"/>
      <c r="K100" s="61"/>
      <c r="L100" s="61"/>
      <c r="M100" s="61"/>
      <c r="N100" s="61"/>
      <c r="O100" s="61"/>
      <c r="P100" s="60"/>
      <c r="Q100" s="60"/>
      <c r="R100" s="60"/>
    </row>
    <row r="101" spans="6:18" ht="15" customHeight="1">
      <c r="F101" s="60"/>
      <c r="G101" s="78"/>
      <c r="H101" s="60"/>
      <c r="I101" s="60"/>
      <c r="J101" s="110"/>
      <c r="K101" s="61"/>
      <c r="L101" s="61"/>
      <c r="M101" s="61"/>
      <c r="N101" s="61"/>
      <c r="O101" s="61"/>
      <c r="P101" s="60"/>
      <c r="Q101" s="60"/>
      <c r="R101" s="60"/>
    </row>
    <row r="102" spans="6:18" ht="15" customHeight="1">
      <c r="F102" s="60"/>
      <c r="G102" s="78"/>
      <c r="H102" s="60"/>
      <c r="I102" s="60"/>
      <c r="J102" s="110"/>
      <c r="K102" s="61"/>
      <c r="L102" s="61"/>
      <c r="M102" s="61"/>
      <c r="N102" s="61"/>
      <c r="O102" s="61"/>
      <c r="P102" s="60"/>
      <c r="Q102" s="60"/>
      <c r="R102" s="60"/>
    </row>
    <row r="103" spans="6:18" ht="15" customHeight="1">
      <c r="F103" s="60"/>
      <c r="G103" s="78"/>
      <c r="H103" s="60"/>
      <c r="I103" s="60"/>
      <c r="J103" s="110"/>
      <c r="K103" s="61"/>
      <c r="L103" s="61"/>
      <c r="M103" s="61"/>
      <c r="N103" s="61"/>
      <c r="O103" s="61"/>
      <c r="P103" s="60"/>
      <c r="Q103" s="60"/>
      <c r="R103" s="60"/>
    </row>
    <row r="104" spans="6:18" ht="15" customHeight="1">
      <c r="F104" s="60"/>
      <c r="G104" s="78"/>
      <c r="H104" s="60"/>
      <c r="I104" s="60"/>
      <c r="J104" s="110"/>
      <c r="K104" s="61"/>
      <c r="L104" s="61"/>
      <c r="M104" s="61"/>
      <c r="N104" s="61"/>
      <c r="O104" s="61"/>
      <c r="P104" s="60"/>
      <c r="Q104" s="60"/>
      <c r="R104" s="60"/>
    </row>
    <row r="105" spans="6:18" ht="15" customHeight="1">
      <c r="F105" s="60"/>
      <c r="G105" s="78"/>
      <c r="H105" s="60"/>
      <c r="I105" s="60"/>
      <c r="J105" s="110"/>
      <c r="K105" s="61"/>
      <c r="L105" s="61"/>
      <c r="M105" s="61"/>
      <c r="N105" s="61"/>
      <c r="O105" s="61"/>
      <c r="P105" s="60"/>
      <c r="Q105" s="60"/>
      <c r="R105" s="60"/>
    </row>
    <row r="106" spans="6:18" ht="15" customHeight="1">
      <c r="F106" s="60"/>
      <c r="G106" s="78"/>
      <c r="H106" s="60"/>
      <c r="I106" s="60"/>
      <c r="J106" s="110"/>
      <c r="K106" s="61"/>
      <c r="L106" s="61"/>
      <c r="M106" s="61"/>
      <c r="N106" s="61"/>
      <c r="O106" s="61"/>
      <c r="P106" s="60"/>
      <c r="Q106" s="60"/>
      <c r="R106" s="60"/>
    </row>
    <row r="107" spans="6:18" ht="15" customHeight="1">
      <c r="F107" s="60"/>
      <c r="G107" s="78"/>
      <c r="H107" s="60"/>
      <c r="I107" s="60"/>
      <c r="J107" s="110"/>
      <c r="K107" s="61"/>
      <c r="L107" s="61"/>
      <c r="M107" s="61"/>
      <c r="N107" s="61"/>
      <c r="O107" s="61"/>
      <c r="P107" s="60"/>
      <c r="Q107" s="60"/>
      <c r="R107" s="60"/>
    </row>
    <row r="108" spans="6:18" ht="15" customHeight="1">
      <c r="F108" s="60"/>
      <c r="G108" s="78"/>
      <c r="H108" s="60"/>
      <c r="I108" s="60"/>
      <c r="J108" s="110"/>
      <c r="K108" s="61"/>
      <c r="L108" s="61"/>
      <c r="M108" s="61"/>
      <c r="N108" s="61"/>
      <c r="O108" s="61"/>
      <c r="P108" s="60"/>
      <c r="Q108" s="60"/>
      <c r="R108" s="60"/>
    </row>
    <row r="109" spans="6:18" ht="15" customHeight="1">
      <c r="F109" s="60"/>
      <c r="G109" s="78"/>
      <c r="H109" s="60"/>
      <c r="I109" s="60"/>
      <c r="J109" s="110"/>
      <c r="K109" s="61"/>
      <c r="L109" s="61"/>
      <c r="M109" s="61"/>
      <c r="N109" s="61"/>
      <c r="O109" s="61"/>
      <c r="P109" s="60"/>
      <c r="Q109" s="60"/>
      <c r="R109" s="60"/>
    </row>
    <row r="110" spans="6:18" ht="15" customHeight="1">
      <c r="F110" s="60"/>
      <c r="G110" s="78"/>
      <c r="H110" s="60"/>
      <c r="I110" s="60"/>
      <c r="J110" s="110"/>
      <c r="K110" s="61"/>
      <c r="L110" s="61"/>
      <c r="M110" s="61"/>
      <c r="N110" s="61"/>
      <c r="O110" s="61"/>
      <c r="P110" s="60"/>
      <c r="Q110" s="60"/>
      <c r="R110" s="60"/>
    </row>
    <row r="111" spans="6:18" ht="15" customHeight="1">
      <c r="F111" s="60"/>
      <c r="G111" s="78"/>
      <c r="H111" s="60"/>
      <c r="I111" s="60"/>
      <c r="J111" s="110"/>
      <c r="K111" s="61"/>
      <c r="L111" s="61"/>
      <c r="M111" s="61"/>
      <c r="N111" s="61"/>
      <c r="O111" s="61"/>
      <c r="P111" s="60"/>
      <c r="Q111" s="60"/>
      <c r="R111" s="60"/>
    </row>
    <row r="112" spans="6:18" ht="15" customHeight="1">
      <c r="F112" s="60"/>
      <c r="G112" s="78"/>
      <c r="H112" s="60"/>
      <c r="I112" s="60"/>
      <c r="J112" s="110"/>
      <c r="K112" s="61"/>
      <c r="L112" s="61"/>
      <c r="M112" s="61"/>
      <c r="N112" s="61"/>
      <c r="O112" s="61"/>
      <c r="P112" s="60"/>
      <c r="Q112" s="60"/>
      <c r="R112" s="60"/>
    </row>
    <row r="113" spans="6:18" ht="15" customHeight="1">
      <c r="F113" s="60"/>
      <c r="G113" s="78"/>
      <c r="H113" s="60"/>
      <c r="I113" s="60"/>
      <c r="J113" s="110"/>
      <c r="K113" s="61"/>
      <c r="L113" s="61"/>
      <c r="M113" s="61"/>
      <c r="N113" s="61"/>
      <c r="O113" s="61"/>
      <c r="P113" s="60"/>
      <c r="Q113" s="60"/>
      <c r="R113" s="60"/>
    </row>
    <row r="114" spans="6:18" ht="15" customHeight="1">
      <c r="F114" s="60"/>
      <c r="G114" s="78"/>
      <c r="H114" s="60"/>
      <c r="I114" s="60"/>
      <c r="J114" s="110"/>
      <c r="K114" s="61"/>
      <c r="L114" s="61"/>
      <c r="M114" s="61"/>
      <c r="N114" s="61"/>
      <c r="O114" s="61"/>
      <c r="P114" s="60"/>
      <c r="Q114" s="60"/>
      <c r="R114" s="60"/>
    </row>
    <row r="115" spans="6:18" ht="15" customHeight="1">
      <c r="F115" s="60"/>
      <c r="G115" s="78"/>
      <c r="H115" s="60"/>
      <c r="I115" s="60"/>
      <c r="J115" s="110"/>
      <c r="K115" s="61"/>
      <c r="L115" s="61"/>
      <c r="M115" s="61"/>
      <c r="N115" s="61"/>
      <c r="O115" s="61"/>
      <c r="P115" s="60"/>
      <c r="Q115" s="60"/>
      <c r="R115" s="60"/>
    </row>
    <row r="116" spans="6:18" ht="15" customHeight="1">
      <c r="F116" s="60"/>
      <c r="G116" s="78"/>
      <c r="H116" s="60"/>
      <c r="I116" s="60"/>
      <c r="J116" s="110"/>
      <c r="K116" s="61"/>
      <c r="L116" s="61"/>
      <c r="M116" s="61"/>
      <c r="N116" s="61"/>
      <c r="O116" s="61"/>
      <c r="P116" s="60"/>
      <c r="Q116" s="60"/>
      <c r="R116" s="60"/>
    </row>
    <row r="117" spans="6:18" ht="15" customHeight="1">
      <c r="F117" s="60"/>
      <c r="G117" s="78"/>
      <c r="H117" s="60"/>
      <c r="I117" s="60"/>
      <c r="J117" s="110"/>
      <c r="K117" s="61"/>
      <c r="L117" s="61"/>
      <c r="M117" s="61"/>
      <c r="N117" s="61"/>
      <c r="O117" s="61"/>
      <c r="P117" s="60"/>
      <c r="Q117" s="60"/>
      <c r="R117" s="60"/>
    </row>
    <row r="118" spans="6:18" ht="15" customHeight="1">
      <c r="F118" s="60"/>
      <c r="G118" s="78"/>
      <c r="H118" s="60"/>
      <c r="I118" s="60"/>
      <c r="J118" s="110"/>
      <c r="K118" s="61"/>
      <c r="L118" s="61"/>
      <c r="M118" s="61"/>
      <c r="N118" s="61"/>
      <c r="O118" s="61"/>
      <c r="P118" s="60"/>
      <c r="Q118" s="60"/>
      <c r="R118" s="60"/>
    </row>
    <row r="119" spans="6:18" ht="15" customHeight="1">
      <c r="F119" s="60"/>
      <c r="G119" s="78"/>
      <c r="H119" s="60"/>
      <c r="I119" s="60"/>
      <c r="J119" s="110"/>
      <c r="K119" s="61"/>
      <c r="L119" s="61"/>
      <c r="M119" s="61"/>
      <c r="N119" s="61"/>
      <c r="O119" s="61"/>
      <c r="P119" s="60"/>
      <c r="Q119" s="60"/>
      <c r="R119" s="60"/>
    </row>
    <row r="120" spans="6:18" ht="15" customHeight="1">
      <c r="F120" s="60"/>
      <c r="G120" s="78"/>
      <c r="H120" s="60"/>
      <c r="I120" s="60"/>
      <c r="J120" s="110"/>
      <c r="K120" s="61"/>
      <c r="L120" s="61"/>
      <c r="M120" s="61"/>
      <c r="N120" s="61"/>
      <c r="O120" s="61"/>
      <c r="P120" s="60"/>
      <c r="Q120" s="60"/>
      <c r="R120" s="60"/>
    </row>
    <row r="121" spans="6:18" ht="15" customHeight="1">
      <c r="F121" s="60"/>
      <c r="G121" s="78"/>
      <c r="H121" s="60"/>
      <c r="I121" s="60"/>
      <c r="J121" s="110"/>
      <c r="K121" s="61"/>
      <c r="L121" s="61"/>
      <c r="M121" s="61"/>
      <c r="N121" s="61"/>
      <c r="O121" s="61"/>
      <c r="P121" s="60"/>
      <c r="Q121" s="60"/>
      <c r="R121" s="60"/>
    </row>
    <row r="122" spans="6:18" ht="15" customHeight="1">
      <c r="F122" s="60"/>
      <c r="G122" s="78"/>
      <c r="H122" s="60"/>
      <c r="I122" s="60"/>
      <c r="J122" s="110"/>
      <c r="K122" s="61"/>
      <c r="L122" s="61"/>
      <c r="M122" s="61"/>
      <c r="N122" s="61"/>
      <c r="O122" s="61"/>
      <c r="P122" s="60"/>
      <c r="Q122" s="60"/>
      <c r="R122" s="60"/>
    </row>
    <row r="123" spans="6:18" ht="15" customHeight="1">
      <c r="F123" s="60"/>
      <c r="G123" s="78"/>
      <c r="H123" s="60"/>
      <c r="I123" s="60"/>
      <c r="J123" s="110"/>
      <c r="K123" s="61"/>
      <c r="L123" s="61"/>
      <c r="M123" s="61"/>
      <c r="N123" s="61"/>
      <c r="O123" s="61"/>
      <c r="P123" s="60"/>
      <c r="Q123" s="60"/>
      <c r="R123" s="60"/>
    </row>
    <row r="124" spans="6:18" ht="15" customHeight="1">
      <c r="F124" s="60"/>
      <c r="G124" s="78"/>
      <c r="H124" s="60"/>
      <c r="I124" s="60"/>
      <c r="J124" s="110"/>
      <c r="K124" s="61"/>
      <c r="L124" s="61"/>
      <c r="M124" s="61"/>
      <c r="N124" s="61"/>
      <c r="O124" s="61"/>
      <c r="P124" s="60"/>
      <c r="Q124" s="60"/>
      <c r="R124" s="60"/>
    </row>
    <row r="125" spans="6:18" ht="15" customHeight="1">
      <c r="F125" s="60"/>
      <c r="G125" s="78"/>
      <c r="H125" s="60"/>
      <c r="I125" s="60"/>
      <c r="J125" s="110"/>
      <c r="K125" s="61"/>
      <c r="L125" s="61"/>
      <c r="M125" s="61"/>
      <c r="N125" s="61"/>
      <c r="O125" s="61"/>
      <c r="P125" s="60"/>
      <c r="Q125" s="60"/>
      <c r="R125" s="60"/>
    </row>
    <row r="126" spans="6:18" ht="15" customHeight="1">
      <c r="F126" s="60"/>
      <c r="G126" s="78"/>
      <c r="H126" s="60"/>
      <c r="I126" s="60"/>
      <c r="J126" s="110"/>
      <c r="K126" s="61"/>
      <c r="L126" s="61"/>
      <c r="M126" s="61"/>
      <c r="N126" s="61"/>
      <c r="O126" s="61"/>
      <c r="P126" s="60"/>
      <c r="Q126" s="60"/>
      <c r="R126" s="60"/>
    </row>
    <row r="127" spans="6:18" ht="15" customHeight="1">
      <c r="F127" s="60"/>
      <c r="G127" s="78"/>
      <c r="H127" s="60"/>
      <c r="I127" s="60"/>
      <c r="J127" s="110"/>
      <c r="K127" s="61"/>
      <c r="L127" s="61"/>
      <c r="M127" s="61"/>
      <c r="N127" s="61"/>
      <c r="O127" s="61"/>
      <c r="P127" s="60"/>
      <c r="Q127" s="60"/>
      <c r="R127" s="60"/>
    </row>
    <row r="128" spans="6:18" ht="15" customHeight="1">
      <c r="F128" s="60"/>
      <c r="G128" s="78"/>
      <c r="H128" s="60"/>
      <c r="I128" s="60"/>
      <c r="J128" s="110"/>
      <c r="K128" s="61"/>
      <c r="L128" s="61"/>
      <c r="M128" s="61"/>
      <c r="N128" s="61"/>
      <c r="O128" s="61"/>
      <c r="P128" s="60"/>
      <c r="Q128" s="60"/>
      <c r="R128" s="60"/>
    </row>
    <row r="129" spans="6:18" ht="15" customHeight="1">
      <c r="F129" s="60"/>
      <c r="G129" s="78"/>
      <c r="H129" s="60"/>
      <c r="I129" s="60"/>
      <c r="J129" s="110"/>
      <c r="K129" s="61"/>
      <c r="L129" s="61"/>
      <c r="M129" s="61"/>
      <c r="N129" s="61"/>
      <c r="O129" s="61"/>
      <c r="P129" s="60"/>
      <c r="Q129" s="60"/>
      <c r="R129" s="60"/>
    </row>
    <row r="130" spans="6:18" ht="15" customHeight="1">
      <c r="F130" s="60"/>
      <c r="G130" s="78"/>
      <c r="H130" s="60"/>
      <c r="I130" s="60"/>
      <c r="J130" s="110"/>
      <c r="K130" s="61"/>
      <c r="L130" s="61"/>
      <c r="M130" s="61"/>
      <c r="N130" s="61"/>
      <c r="O130" s="61"/>
      <c r="P130" s="60"/>
      <c r="Q130" s="60"/>
      <c r="R130" s="60"/>
    </row>
    <row r="131" spans="6:18" ht="15" customHeight="1">
      <c r="F131" s="60"/>
      <c r="G131" s="78"/>
      <c r="H131" s="60"/>
      <c r="I131" s="60"/>
      <c r="J131" s="110"/>
      <c r="K131" s="61"/>
      <c r="L131" s="61"/>
      <c r="M131" s="61"/>
      <c r="N131" s="61"/>
      <c r="O131" s="61"/>
      <c r="P131" s="60"/>
      <c r="Q131" s="60"/>
      <c r="R131" s="60"/>
    </row>
    <row r="132" spans="6:18" ht="15" customHeight="1">
      <c r="F132" s="60"/>
      <c r="G132" s="78"/>
      <c r="H132" s="60"/>
      <c r="I132" s="60"/>
      <c r="J132" s="110"/>
      <c r="K132" s="61"/>
      <c r="L132" s="61"/>
      <c r="M132" s="61"/>
      <c r="N132" s="61"/>
      <c r="O132" s="61"/>
      <c r="P132" s="60"/>
      <c r="Q132" s="60"/>
      <c r="R132" s="60"/>
    </row>
    <row r="133" spans="6:18" ht="15" customHeight="1">
      <c r="F133" s="60"/>
      <c r="G133" s="78"/>
      <c r="H133" s="60"/>
      <c r="I133" s="60"/>
      <c r="J133" s="110"/>
      <c r="K133" s="61"/>
      <c r="L133" s="61"/>
      <c r="M133" s="61"/>
      <c r="N133" s="61"/>
      <c r="O133" s="61"/>
      <c r="P133" s="60"/>
      <c r="Q133" s="60"/>
      <c r="R133" s="60"/>
    </row>
    <row r="134" spans="6:18" ht="15" customHeight="1">
      <c r="F134" s="60"/>
      <c r="G134" s="78"/>
      <c r="H134" s="60"/>
      <c r="I134" s="60"/>
      <c r="J134" s="110"/>
      <c r="K134" s="61"/>
      <c r="L134" s="61"/>
      <c r="M134" s="61"/>
      <c r="N134" s="61"/>
      <c r="O134" s="61"/>
      <c r="P134" s="60"/>
      <c r="Q134" s="60"/>
      <c r="R134" s="60"/>
    </row>
    <row r="135" spans="6:18" ht="15" customHeight="1">
      <c r="F135" s="60"/>
      <c r="G135" s="78"/>
      <c r="H135" s="60"/>
      <c r="I135" s="60"/>
      <c r="J135" s="110"/>
      <c r="K135" s="61"/>
      <c r="L135" s="61"/>
      <c r="M135" s="61"/>
      <c r="N135" s="61"/>
      <c r="O135" s="61"/>
      <c r="P135" s="60"/>
      <c r="Q135" s="60"/>
      <c r="R135" s="60"/>
    </row>
    <row r="136" spans="6:18" ht="15" customHeight="1">
      <c r="F136" s="60"/>
      <c r="G136" s="78"/>
      <c r="H136" s="60"/>
      <c r="I136" s="60"/>
      <c r="J136" s="110"/>
      <c r="K136" s="61"/>
      <c r="L136" s="61"/>
      <c r="M136" s="61"/>
      <c r="N136" s="61"/>
      <c r="O136" s="61"/>
      <c r="P136" s="60"/>
      <c r="Q136" s="60"/>
      <c r="R136" s="60"/>
    </row>
    <row r="137" spans="6:18" ht="15" customHeight="1">
      <c r="F137" s="60"/>
      <c r="G137" s="78"/>
      <c r="H137" s="60"/>
      <c r="I137" s="60"/>
      <c r="J137" s="110"/>
      <c r="K137" s="61"/>
      <c r="L137" s="61"/>
      <c r="M137" s="61"/>
      <c r="N137" s="61"/>
      <c r="O137" s="61"/>
      <c r="P137" s="60"/>
      <c r="Q137" s="60"/>
      <c r="R137" s="60"/>
    </row>
    <row r="138" spans="6:18" ht="15" customHeight="1">
      <c r="F138" s="60"/>
      <c r="G138" s="78"/>
      <c r="H138" s="60"/>
      <c r="I138" s="60"/>
      <c r="J138" s="110"/>
      <c r="K138" s="61"/>
      <c r="L138" s="61"/>
      <c r="M138" s="61"/>
      <c r="N138" s="61"/>
      <c r="O138" s="61"/>
      <c r="P138" s="60"/>
      <c r="Q138" s="60"/>
      <c r="R138" s="60"/>
    </row>
    <row r="139" spans="6:18" ht="15" customHeight="1">
      <c r="F139" s="60"/>
      <c r="G139" s="78"/>
      <c r="H139" s="60"/>
      <c r="I139" s="60"/>
      <c r="J139" s="110"/>
      <c r="K139" s="61"/>
      <c r="L139" s="61"/>
      <c r="M139" s="61"/>
      <c r="N139" s="61"/>
      <c r="O139" s="61"/>
      <c r="P139" s="60"/>
      <c r="Q139" s="60"/>
      <c r="R139" s="60"/>
    </row>
    <row r="140" spans="6:18" ht="15" customHeight="1">
      <c r="F140" s="60"/>
      <c r="G140" s="78"/>
      <c r="H140" s="60"/>
      <c r="I140" s="60"/>
      <c r="J140" s="110"/>
      <c r="K140" s="61"/>
      <c r="L140" s="61"/>
      <c r="M140" s="61"/>
      <c r="N140" s="61"/>
      <c r="O140" s="61"/>
      <c r="P140" s="60"/>
      <c r="Q140" s="60"/>
      <c r="R140" s="60"/>
    </row>
    <row r="141" spans="6:18" ht="15" customHeight="1">
      <c r="F141" s="60"/>
      <c r="G141" s="78"/>
      <c r="H141" s="60"/>
      <c r="I141" s="60"/>
      <c r="J141" s="110"/>
      <c r="K141" s="61"/>
      <c r="L141" s="61"/>
      <c r="M141" s="61"/>
      <c r="N141" s="61"/>
      <c r="O141" s="61"/>
      <c r="P141" s="60"/>
      <c r="Q141" s="60"/>
      <c r="R141" s="60"/>
    </row>
    <row r="142" spans="6:18" ht="15" customHeight="1">
      <c r="F142" s="60"/>
      <c r="G142" s="78"/>
      <c r="H142" s="60"/>
      <c r="I142" s="60"/>
      <c r="J142" s="110"/>
      <c r="K142" s="61"/>
      <c r="L142" s="61"/>
      <c r="M142" s="61"/>
      <c r="N142" s="61"/>
      <c r="O142" s="61"/>
      <c r="P142" s="60"/>
      <c r="Q142" s="60"/>
      <c r="R142" s="60"/>
    </row>
    <row r="143" spans="6:18" ht="15" customHeight="1">
      <c r="F143" s="60"/>
      <c r="G143" s="78"/>
      <c r="H143" s="60"/>
      <c r="I143" s="60"/>
      <c r="J143" s="110"/>
      <c r="K143" s="61"/>
      <c r="L143" s="61"/>
      <c r="M143" s="61"/>
      <c r="N143" s="61"/>
      <c r="O143" s="61"/>
      <c r="P143" s="60"/>
      <c r="Q143" s="60"/>
      <c r="R143" s="60"/>
    </row>
    <row r="144" spans="6:18" ht="15" customHeight="1">
      <c r="F144" s="60"/>
      <c r="G144" s="78"/>
      <c r="H144" s="60"/>
      <c r="I144" s="60"/>
      <c r="J144" s="110"/>
      <c r="K144" s="61"/>
      <c r="L144" s="61"/>
      <c r="M144" s="61"/>
      <c r="N144" s="61"/>
      <c r="O144" s="61"/>
      <c r="P144" s="60"/>
      <c r="Q144" s="60"/>
      <c r="R144" s="60"/>
    </row>
    <row r="145" spans="6:18" ht="15" customHeight="1">
      <c r="F145" s="60"/>
      <c r="G145" s="78"/>
      <c r="H145" s="60"/>
      <c r="I145" s="60"/>
      <c r="J145" s="110"/>
      <c r="K145" s="61"/>
      <c r="L145" s="61"/>
      <c r="M145" s="61"/>
      <c r="N145" s="61"/>
      <c r="O145" s="61"/>
      <c r="P145" s="60"/>
      <c r="Q145" s="60"/>
      <c r="R145" s="60"/>
    </row>
    <row r="146" spans="6:18" ht="15" customHeight="1">
      <c r="F146" s="60"/>
      <c r="G146" s="78"/>
      <c r="H146" s="60"/>
      <c r="I146" s="60"/>
      <c r="J146" s="110"/>
      <c r="K146" s="61"/>
      <c r="L146" s="61"/>
      <c r="M146" s="61"/>
      <c r="N146" s="61"/>
      <c r="O146" s="61"/>
      <c r="P146" s="60"/>
      <c r="Q146" s="60"/>
      <c r="R146" s="60"/>
    </row>
    <row r="147" spans="6:18" ht="15" customHeight="1">
      <c r="F147" s="60"/>
      <c r="G147" s="78"/>
      <c r="H147" s="60"/>
      <c r="I147" s="60"/>
      <c r="J147" s="110"/>
      <c r="K147" s="61"/>
      <c r="L147" s="61"/>
      <c r="M147" s="61"/>
      <c r="N147" s="61"/>
      <c r="O147" s="61"/>
      <c r="P147" s="60"/>
      <c r="Q147" s="60"/>
      <c r="R147" s="60"/>
    </row>
    <row r="148" spans="6:18" ht="15" customHeight="1">
      <c r="F148" s="60"/>
      <c r="G148" s="78"/>
      <c r="H148" s="60"/>
      <c r="I148" s="60"/>
      <c r="J148" s="110"/>
      <c r="K148" s="61"/>
      <c r="L148" s="61"/>
      <c r="M148" s="61"/>
      <c r="N148" s="61"/>
      <c r="O148" s="61"/>
      <c r="P148" s="60"/>
      <c r="Q148" s="60"/>
      <c r="R148" s="60"/>
    </row>
    <row r="149" spans="6:18" ht="15" customHeight="1">
      <c r="F149" s="60"/>
      <c r="G149" s="78"/>
      <c r="H149" s="60"/>
      <c r="I149" s="60"/>
      <c r="J149" s="110"/>
      <c r="K149" s="61"/>
      <c r="L149" s="61"/>
      <c r="M149" s="61"/>
      <c r="N149" s="61"/>
      <c r="O149" s="61"/>
      <c r="P149" s="60"/>
      <c r="Q149" s="60"/>
      <c r="R149" s="60"/>
    </row>
    <row r="150" spans="6:18" ht="15" customHeight="1">
      <c r="F150" s="60"/>
      <c r="G150" s="78"/>
      <c r="H150" s="60"/>
      <c r="I150" s="60"/>
      <c r="J150" s="110"/>
      <c r="K150" s="61"/>
      <c r="L150" s="61"/>
      <c r="M150" s="61"/>
      <c r="N150" s="61"/>
      <c r="O150" s="61"/>
      <c r="P150" s="60"/>
      <c r="Q150" s="60"/>
      <c r="R150" s="60"/>
    </row>
    <row r="151" spans="6:18" ht="15" customHeight="1">
      <c r="F151" s="60"/>
      <c r="G151" s="78"/>
      <c r="H151" s="60"/>
      <c r="I151" s="60"/>
      <c r="J151" s="110"/>
      <c r="K151" s="61"/>
      <c r="L151" s="61"/>
      <c r="M151" s="61"/>
      <c r="N151" s="61"/>
      <c r="O151" s="61"/>
      <c r="P151" s="60"/>
      <c r="Q151" s="60"/>
      <c r="R151" s="60"/>
    </row>
    <row r="152" spans="6:18" ht="15" customHeight="1">
      <c r="F152" s="60"/>
      <c r="G152" s="78"/>
      <c r="H152" s="60"/>
      <c r="I152" s="60"/>
      <c r="J152" s="110"/>
      <c r="K152" s="61"/>
      <c r="L152" s="61"/>
      <c r="M152" s="61"/>
      <c r="N152" s="61"/>
      <c r="O152" s="61"/>
      <c r="P152" s="60"/>
      <c r="Q152" s="60"/>
      <c r="R152" s="60"/>
    </row>
    <row r="153" spans="6:18" ht="15" customHeight="1">
      <c r="F153" s="60"/>
      <c r="G153" s="78"/>
      <c r="H153" s="60"/>
      <c r="I153" s="60"/>
      <c r="J153" s="110"/>
      <c r="K153" s="61"/>
      <c r="L153" s="61"/>
      <c r="M153" s="61"/>
      <c r="N153" s="61"/>
      <c r="O153" s="61"/>
      <c r="P153" s="60"/>
      <c r="Q153" s="60"/>
      <c r="R153" s="60"/>
    </row>
    <row r="154" spans="6:18" ht="15" customHeight="1">
      <c r="F154" s="60"/>
      <c r="G154" s="78"/>
      <c r="H154" s="60"/>
      <c r="I154" s="60"/>
      <c r="J154" s="110"/>
      <c r="K154" s="61"/>
      <c r="L154" s="61"/>
      <c r="M154" s="61"/>
      <c r="N154" s="61"/>
      <c r="O154" s="61"/>
      <c r="P154" s="60"/>
      <c r="Q154" s="60"/>
      <c r="R154" s="60"/>
    </row>
    <row r="155" spans="6:18" ht="15" customHeight="1">
      <c r="G155" s="78"/>
      <c r="H155" s="60"/>
      <c r="I155" s="60"/>
      <c r="J155" s="110"/>
      <c r="K155" s="61"/>
      <c r="L155" s="61"/>
      <c r="M155" s="61"/>
      <c r="N155" s="61"/>
      <c r="O155" s="61"/>
      <c r="P155" s="60"/>
      <c r="Q155" s="60"/>
      <c r="R155" s="60"/>
    </row>
    <row r="156" spans="6:18" ht="15" customHeight="1">
      <c r="G156" s="78"/>
      <c r="H156" s="60"/>
      <c r="I156" s="60"/>
      <c r="J156" s="110"/>
      <c r="K156" s="61"/>
      <c r="L156" s="61"/>
      <c r="M156" s="61"/>
      <c r="N156" s="61"/>
      <c r="O156" s="61"/>
      <c r="P156" s="60"/>
      <c r="Q156" s="60"/>
      <c r="R156" s="60"/>
    </row>
    <row r="157" spans="6:18" ht="15" customHeight="1">
      <c r="G157" s="78"/>
      <c r="H157" s="60"/>
      <c r="I157" s="60"/>
      <c r="J157" s="110"/>
      <c r="K157" s="61"/>
      <c r="L157" s="61"/>
      <c r="M157" s="61"/>
      <c r="N157" s="61"/>
      <c r="O157" s="61"/>
      <c r="P157" s="60"/>
      <c r="Q157" s="60"/>
      <c r="R157" s="60"/>
    </row>
    <row r="158" spans="6:18" ht="15" customHeight="1">
      <c r="G158" s="78"/>
      <c r="H158" s="60"/>
      <c r="I158" s="60"/>
      <c r="J158" s="110"/>
      <c r="K158" s="61"/>
      <c r="L158" s="61"/>
      <c r="M158" s="61"/>
      <c r="N158" s="61"/>
      <c r="O158" s="61"/>
      <c r="P158" s="60"/>
      <c r="Q158" s="60"/>
      <c r="R158" s="60"/>
    </row>
  </sheetData>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65" fitToHeight="0" orientation="portrait" horizontalDpi="1200" verticalDpi="1200" r:id="rId1"/>
  <headerFooter alignWithMargins="0">
    <oddFooter>&amp;L&amp;F&amp;C&amp;D&amp;R&amp;A</oddFooter>
  </headerFooter>
  <rowBreaks count="1" manualBreakCount="1">
    <brk id="5" max="5" man="1"/>
  </rowBreaks>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BV204"/>
  <sheetViews>
    <sheetView view="pageBreakPreview" zoomScale="85" zoomScaleNormal="40" zoomScaleSheetLayoutView="85" workbookViewId="0">
      <pane ySplit="4" topLeftCell="A5" activePane="bottomLeft" state="frozen"/>
      <selection activeCell="T6105" sqref="T6105"/>
      <selection pane="bottomLeft" sqref="A1:P1"/>
    </sheetView>
  </sheetViews>
  <sheetFormatPr defaultColWidth="10.28515625" defaultRowHeight="15" customHeight="1"/>
  <cols>
    <col min="1" max="1" width="7.85546875" style="21" customWidth="1"/>
    <col min="2" max="2" width="12.140625" style="173" bestFit="1" customWidth="1"/>
    <col min="3" max="3" width="16.42578125" style="173" bestFit="1" customWidth="1"/>
    <col min="4" max="4" width="10.140625" style="173" customWidth="1"/>
    <col min="5" max="5" width="14.28515625" style="173" customWidth="1"/>
    <col min="6" max="6" width="25.140625" style="4" bestFit="1" customWidth="1"/>
    <col min="7" max="7" width="13.42578125" style="21" bestFit="1" customWidth="1"/>
    <col min="8" max="8" width="11.140625" style="21" customWidth="1"/>
    <col min="9" max="9" width="32.140625" style="69" bestFit="1" customWidth="1"/>
    <col min="10" max="10" width="10" style="21" customWidth="1"/>
    <col min="11" max="11" width="23.140625" style="69" bestFit="1" customWidth="1"/>
    <col min="12" max="12" width="10" style="21" customWidth="1"/>
    <col min="13" max="13" width="19.140625" style="97" customWidth="1"/>
    <col min="14" max="14" width="14.5703125" style="97" bestFit="1" customWidth="1"/>
    <col min="15" max="15" width="13.85546875" style="98" customWidth="1"/>
    <col min="16" max="16" width="18.7109375" style="134" bestFit="1" customWidth="1"/>
    <col min="17" max="17" width="12" style="4" customWidth="1"/>
    <col min="18" max="18" width="12.42578125" style="17" customWidth="1"/>
    <col min="19" max="19" width="16.42578125" style="17" customWidth="1"/>
    <col min="20" max="20" width="16.42578125" style="100" customWidth="1"/>
    <col min="21" max="21" width="16.7109375" style="101" customWidth="1"/>
    <col min="22" max="22" width="17" style="164" bestFit="1" customWidth="1"/>
    <col min="23" max="23" width="16.42578125" style="167" customWidth="1"/>
    <col min="24" max="24" width="16.42578125" style="100" customWidth="1"/>
    <col min="25" max="25" width="16.42578125" style="101" customWidth="1"/>
    <col min="26" max="26" width="16.42578125" style="99" customWidth="1"/>
    <col min="27" max="28" width="16.42578125" style="4" customWidth="1"/>
    <col min="29" max="30" width="16.42578125" style="102" customWidth="1"/>
    <col min="31" max="31" width="16.42578125" style="28" customWidth="1"/>
    <col min="32" max="32" width="16.42578125" style="74" customWidth="1"/>
    <col min="33" max="33" width="2.5703125" style="74" customWidth="1"/>
    <col min="34" max="34" width="22.7109375" style="74" hidden="1" customWidth="1"/>
    <col min="35" max="35" width="4.42578125" style="219" customWidth="1"/>
    <col min="36" max="36" width="4.140625" style="219" customWidth="1"/>
    <col min="37" max="37" width="4.7109375" style="219" customWidth="1"/>
    <col min="38" max="38" width="4.140625" style="219" customWidth="1"/>
    <col min="39" max="39" width="4.28515625" style="219" customWidth="1"/>
    <col min="40" max="40" width="4.42578125" style="219" customWidth="1"/>
    <col min="41" max="41" width="3.5703125" style="219" customWidth="1"/>
    <col min="42" max="42" width="4.140625" style="219" customWidth="1"/>
    <col min="43" max="43" width="3.85546875" style="219" customWidth="1"/>
    <col min="44" max="45" width="4.140625" style="219" customWidth="1"/>
    <col min="46" max="46" width="4" style="219" customWidth="1"/>
    <col min="47" max="48" width="4.42578125" style="219" customWidth="1"/>
    <col min="49" max="49" width="4.140625" style="219" customWidth="1"/>
    <col min="50" max="50" width="3.85546875" style="219" customWidth="1"/>
    <col min="51" max="51" width="4" style="219" customWidth="1"/>
    <col min="52" max="52" width="3.42578125" style="219" customWidth="1"/>
    <col min="53" max="53" width="4" style="219" customWidth="1"/>
    <col min="54" max="54" width="2.28515625" style="220" customWidth="1"/>
    <col min="55" max="55" width="10.85546875" style="74" hidden="1" customWidth="1"/>
    <col min="56" max="56" width="3.7109375" style="219" customWidth="1"/>
    <col min="57" max="57" width="3.28515625" style="219" customWidth="1"/>
    <col min="58" max="58" width="3.42578125" style="219" customWidth="1"/>
    <col min="59" max="59" width="3.85546875" style="219" customWidth="1"/>
    <col min="60" max="60" width="3.42578125" style="219" customWidth="1"/>
    <col min="61" max="61" width="3.28515625" style="219" customWidth="1"/>
    <col min="62" max="62" width="3.140625" style="219" customWidth="1"/>
    <col min="63" max="63" width="4.140625" style="219" customWidth="1"/>
    <col min="64" max="64" width="3.5703125" style="219" customWidth="1"/>
    <col min="65" max="65" width="3.85546875" style="219" customWidth="1"/>
    <col min="66" max="66" width="3.28515625" style="219" customWidth="1"/>
    <col min="67" max="67" width="3.7109375" style="219" customWidth="1"/>
    <col min="68" max="68" width="3.5703125" style="219" customWidth="1"/>
    <col min="69" max="69" width="3.42578125" style="219" customWidth="1"/>
    <col min="70" max="72" width="3.28515625" style="219" customWidth="1"/>
    <col min="73" max="73" width="3.42578125" style="219" customWidth="1"/>
    <col min="74" max="74" width="3.85546875" style="219" customWidth="1"/>
    <col min="75" max="16384" width="10.28515625" style="4"/>
  </cols>
  <sheetData>
    <row r="1" spans="1:74" ht="15" customHeight="1">
      <c r="A1" s="412" t="s">
        <v>162</v>
      </c>
      <c r="B1" s="412"/>
      <c r="C1" s="412"/>
      <c r="D1" s="412"/>
      <c r="E1" s="412"/>
      <c r="F1" s="412"/>
      <c r="G1" s="412"/>
      <c r="H1" s="412"/>
      <c r="I1" s="412"/>
      <c r="J1" s="412"/>
      <c r="K1" s="412"/>
      <c r="L1" s="412"/>
      <c r="M1" s="412"/>
      <c r="N1" s="412"/>
      <c r="O1" s="412"/>
      <c r="P1" s="412"/>
      <c r="Q1" s="399"/>
      <c r="R1" s="399"/>
      <c r="S1" s="399"/>
      <c r="T1" s="399"/>
      <c r="U1" s="399"/>
      <c r="V1" s="399"/>
      <c r="W1" s="399"/>
      <c r="X1" s="399"/>
      <c r="Y1" s="399"/>
      <c r="Z1" s="399"/>
      <c r="AA1" s="399"/>
      <c r="AB1" s="399"/>
      <c r="AC1" s="399"/>
      <c r="AD1" s="399"/>
      <c r="AE1" s="399"/>
      <c r="AF1" s="399"/>
      <c r="AG1" s="218"/>
      <c r="AH1" s="218"/>
      <c r="BC1" s="218"/>
    </row>
    <row r="2" spans="1:74" ht="15" customHeight="1">
      <c r="A2" s="82"/>
      <c r="B2" s="172"/>
      <c r="C2" s="172"/>
      <c r="D2" s="172"/>
      <c r="E2" s="172"/>
      <c r="F2" s="74"/>
      <c r="G2" s="82"/>
      <c r="H2" s="82"/>
      <c r="I2" s="287"/>
      <c r="J2" s="283"/>
      <c r="K2" s="282"/>
      <c r="L2" s="82"/>
      <c r="M2" s="95"/>
      <c r="N2" s="95"/>
      <c r="O2" s="96"/>
      <c r="P2" s="133"/>
      <c r="Q2" s="74"/>
      <c r="R2" s="304"/>
      <c r="S2" s="74"/>
      <c r="T2" s="74"/>
      <c r="U2" s="74"/>
      <c r="V2" s="163"/>
      <c r="W2" s="165"/>
      <c r="X2" s="74"/>
      <c r="Y2" s="74"/>
      <c r="Z2" s="74"/>
      <c r="AA2" s="74"/>
      <c r="AB2" s="74"/>
      <c r="AC2" s="74"/>
      <c r="AD2" s="74"/>
      <c r="AE2" s="74"/>
      <c r="AI2" s="409" t="s">
        <v>266</v>
      </c>
      <c r="AJ2" s="409"/>
      <c r="AK2" s="409"/>
      <c r="AL2" s="409"/>
      <c r="AM2" s="409"/>
      <c r="AN2" s="409"/>
      <c r="AO2" s="409"/>
      <c r="AP2" s="409"/>
      <c r="AQ2" s="409"/>
      <c r="AR2" s="409"/>
      <c r="AS2" s="409"/>
      <c r="AT2" s="409"/>
      <c r="AU2" s="409"/>
      <c r="AV2" s="409"/>
      <c r="AW2" s="409"/>
      <c r="AX2" s="409"/>
      <c r="AY2" s="409"/>
      <c r="AZ2" s="409"/>
      <c r="BA2" s="409"/>
      <c r="BD2" s="410" t="s">
        <v>267</v>
      </c>
      <c r="BE2" s="410"/>
      <c r="BF2" s="410"/>
      <c r="BG2" s="410"/>
      <c r="BH2" s="410"/>
      <c r="BI2" s="410"/>
      <c r="BJ2" s="410"/>
      <c r="BK2" s="410"/>
      <c r="BL2" s="410"/>
      <c r="BM2" s="410"/>
      <c r="BN2" s="410"/>
      <c r="BO2" s="410"/>
      <c r="BP2" s="410"/>
      <c r="BQ2" s="410"/>
      <c r="BR2" s="410"/>
      <c r="BS2" s="410"/>
      <c r="BT2" s="410"/>
      <c r="BU2" s="410"/>
      <c r="BV2" s="410"/>
    </row>
    <row r="3" spans="1:74" s="74" customFormat="1" ht="15" customHeight="1">
      <c r="A3" s="82"/>
      <c r="B3" s="172"/>
      <c r="C3" s="172"/>
      <c r="D3" s="172"/>
      <c r="E3" s="172"/>
      <c r="G3" s="82"/>
      <c r="H3" s="82"/>
      <c r="I3" s="107"/>
      <c r="J3" s="82"/>
      <c r="K3" s="107"/>
      <c r="L3" s="82"/>
      <c r="M3" s="95"/>
      <c r="N3" s="95"/>
      <c r="O3" s="96"/>
      <c r="P3" s="133"/>
      <c r="R3" s="413" t="s">
        <v>229</v>
      </c>
      <c r="S3" s="414"/>
      <c r="T3" s="414"/>
      <c r="U3" s="414"/>
      <c r="V3" s="414"/>
      <c r="W3" s="415"/>
      <c r="X3" s="416" t="s">
        <v>230</v>
      </c>
      <c r="Y3" s="417"/>
      <c r="Z3" s="417"/>
      <c r="AA3" s="417"/>
      <c r="AB3" s="417"/>
      <c r="AC3" s="418"/>
      <c r="AD3" s="419" t="s">
        <v>231</v>
      </c>
      <c r="AE3" s="420"/>
      <c r="AF3" s="421"/>
      <c r="AG3" s="255"/>
      <c r="AH3" s="255"/>
      <c r="AI3" s="377" t="s">
        <v>268</v>
      </c>
      <c r="AJ3" s="377"/>
      <c r="AK3" s="377"/>
      <c r="AL3" s="377"/>
      <c r="AM3" s="377"/>
      <c r="AN3" s="377"/>
      <c r="AO3" s="377"/>
      <c r="AP3" s="377"/>
      <c r="AQ3" s="378" t="s">
        <v>269</v>
      </c>
      <c r="AR3" s="378"/>
      <c r="AS3" s="378"/>
      <c r="AT3" s="378"/>
      <c r="AU3" s="378"/>
      <c r="AV3" s="378"/>
      <c r="AW3" s="378"/>
      <c r="AX3" s="378"/>
      <c r="AY3" s="411" t="s">
        <v>270</v>
      </c>
      <c r="AZ3" s="411"/>
      <c r="BA3" s="411"/>
      <c r="BB3" s="221"/>
      <c r="BC3" s="255"/>
      <c r="BD3" s="377" t="s">
        <v>268</v>
      </c>
      <c r="BE3" s="377"/>
      <c r="BF3" s="377"/>
      <c r="BG3" s="377"/>
      <c r="BH3" s="377"/>
      <c r="BI3" s="377"/>
      <c r="BJ3" s="377"/>
      <c r="BK3" s="377"/>
      <c r="BL3" s="378" t="s">
        <v>269</v>
      </c>
      <c r="BM3" s="378"/>
      <c r="BN3" s="378"/>
      <c r="BO3" s="378"/>
      <c r="BP3" s="378"/>
      <c r="BQ3" s="378"/>
      <c r="BR3" s="378"/>
      <c r="BS3" s="378"/>
      <c r="BT3" s="411" t="s">
        <v>270</v>
      </c>
      <c r="BU3" s="411"/>
      <c r="BV3" s="411"/>
    </row>
    <row r="4" spans="1:74" s="8" customFormat="1" ht="46.5" customHeight="1" thickBot="1">
      <c r="A4" s="105" t="s">
        <v>33</v>
      </c>
      <c r="B4" s="105" t="s">
        <v>123</v>
      </c>
      <c r="C4" s="33" t="s">
        <v>1316</v>
      </c>
      <c r="D4" s="33" t="s">
        <v>1317</v>
      </c>
      <c r="E4" s="33" t="s">
        <v>1318</v>
      </c>
      <c r="F4" s="33" t="s">
        <v>30</v>
      </c>
      <c r="G4" s="33" t="s">
        <v>112</v>
      </c>
      <c r="H4" s="33" t="s">
        <v>254</v>
      </c>
      <c r="I4" s="70" t="s">
        <v>97</v>
      </c>
      <c r="J4" s="70" t="s">
        <v>23</v>
      </c>
      <c r="K4" s="70" t="s">
        <v>113</v>
      </c>
      <c r="L4" s="33" t="s">
        <v>114</v>
      </c>
      <c r="M4" s="33" t="s">
        <v>37</v>
      </c>
      <c r="N4" s="33" t="s">
        <v>31</v>
      </c>
      <c r="O4" s="33" t="s">
        <v>125</v>
      </c>
      <c r="P4" s="33" t="s">
        <v>63</v>
      </c>
      <c r="Q4" s="33" t="s">
        <v>117</v>
      </c>
      <c r="R4" s="33" t="s">
        <v>115</v>
      </c>
      <c r="S4" s="33" t="s">
        <v>128</v>
      </c>
      <c r="T4" s="33" t="s">
        <v>129</v>
      </c>
      <c r="U4" s="33" t="s">
        <v>130</v>
      </c>
      <c r="V4" s="75" t="s">
        <v>126</v>
      </c>
      <c r="W4" s="166" t="s">
        <v>127</v>
      </c>
      <c r="X4" s="33" t="s">
        <v>116</v>
      </c>
      <c r="Y4" s="33" t="s">
        <v>135</v>
      </c>
      <c r="Z4" s="33" t="s">
        <v>131</v>
      </c>
      <c r="AA4" s="33" t="s">
        <v>132</v>
      </c>
      <c r="AB4" s="33" t="s">
        <v>133</v>
      </c>
      <c r="AC4" s="33" t="s">
        <v>134</v>
      </c>
      <c r="AD4" s="75" t="s">
        <v>119</v>
      </c>
      <c r="AE4" s="75" t="s">
        <v>35</v>
      </c>
      <c r="AF4" s="76" t="s">
        <v>1276</v>
      </c>
      <c r="AG4" s="306" t="s">
        <v>196</v>
      </c>
      <c r="AH4" s="274" t="s">
        <v>1257</v>
      </c>
      <c r="AI4" s="275" t="s">
        <v>271</v>
      </c>
      <c r="AJ4" s="275" t="s">
        <v>272</v>
      </c>
      <c r="AK4" s="275" t="s">
        <v>273</v>
      </c>
      <c r="AL4" s="275" t="s">
        <v>274</v>
      </c>
      <c r="AM4" s="275" t="s">
        <v>275</v>
      </c>
      <c r="AN4" s="275" t="s">
        <v>276</v>
      </c>
      <c r="AO4" s="275" t="s">
        <v>277</v>
      </c>
      <c r="AP4" s="275" t="s">
        <v>278</v>
      </c>
      <c r="AQ4" s="275" t="s">
        <v>279</v>
      </c>
      <c r="AR4" s="275" t="s">
        <v>280</v>
      </c>
      <c r="AS4" s="275" t="s">
        <v>281</v>
      </c>
      <c r="AT4" s="275" t="s">
        <v>282</v>
      </c>
      <c r="AU4" s="275" t="s">
        <v>283</v>
      </c>
      <c r="AV4" s="275" t="s">
        <v>284</v>
      </c>
      <c r="AW4" s="275" t="s">
        <v>285</v>
      </c>
      <c r="AX4" s="275" t="s">
        <v>286</v>
      </c>
      <c r="AY4" s="275" t="s">
        <v>287</v>
      </c>
      <c r="AZ4" s="275" t="s">
        <v>288</v>
      </c>
      <c r="BA4" s="275" t="s">
        <v>289</v>
      </c>
      <c r="BB4" s="33" t="s">
        <v>167</v>
      </c>
      <c r="BC4" s="274" t="s">
        <v>290</v>
      </c>
      <c r="BD4" s="275" t="s">
        <v>1277</v>
      </c>
      <c r="BE4" s="275" t="s">
        <v>1278</v>
      </c>
      <c r="BF4" s="275" t="s">
        <v>1279</v>
      </c>
      <c r="BG4" s="275" t="s">
        <v>1280</v>
      </c>
      <c r="BH4" s="275" t="s">
        <v>1281</v>
      </c>
      <c r="BI4" s="275" t="s">
        <v>1282</v>
      </c>
      <c r="BJ4" s="275" t="s">
        <v>1283</v>
      </c>
      <c r="BK4" s="275" t="s">
        <v>1284</v>
      </c>
      <c r="BL4" s="275" t="s">
        <v>1285</v>
      </c>
      <c r="BM4" s="275" t="s">
        <v>1286</v>
      </c>
      <c r="BN4" s="275" t="s">
        <v>1287</v>
      </c>
      <c r="BO4" s="275" t="s">
        <v>1288</v>
      </c>
      <c r="BP4" s="275" t="s">
        <v>1289</v>
      </c>
      <c r="BQ4" s="275" t="s">
        <v>1290</v>
      </c>
      <c r="BR4" s="275" t="s">
        <v>1291</v>
      </c>
      <c r="BS4" s="275" t="s">
        <v>1292</v>
      </c>
      <c r="BT4" s="275" t="s">
        <v>1293</v>
      </c>
      <c r="BU4" s="275" t="s">
        <v>1294</v>
      </c>
      <c r="BV4" s="275" t="s">
        <v>1295</v>
      </c>
    </row>
    <row r="5" spans="1:74" s="8" customFormat="1" ht="15" customHeight="1" thickTop="1">
      <c r="A5" s="33">
        <v>1</v>
      </c>
      <c r="B5" s="173" t="s">
        <v>1619</v>
      </c>
      <c r="C5" s="173" t="str">
        <f>VLOOKUP(Ruimtestaat[[#This Row],[Code]],Locaties[[#All],[Code]:[Adres]],4,FALSE)</f>
        <v>Stationslaan 26</v>
      </c>
      <c r="D5" s="173" t="str">
        <f>VLOOKUP(Ruimtestaat[[#This Row],[Code]],Locaties[[#All],[Code]:[Postcode]],5,FALSE)</f>
        <v>3842 LA</v>
      </c>
      <c r="E5" s="173" t="str">
        <f>VLOOKUP(Ruimtestaat[[#This Row],[Code]],Locaties[#All],6,FALSE)</f>
        <v>Harderwijk</v>
      </c>
      <c r="F5" s="21" t="s">
        <v>1620</v>
      </c>
      <c r="G5" s="33" t="s">
        <v>1612</v>
      </c>
      <c r="H5" s="311" t="s">
        <v>1633</v>
      </c>
      <c r="I5" s="312" t="s">
        <v>1615</v>
      </c>
      <c r="J5" s="33">
        <v>16</v>
      </c>
      <c r="K5" s="70" t="str">
        <f>VLOOKUP(Ruimtestaat[[#This Row],[Ruimte code]],Ruimtegroepen[[#All],[Code]:[Ruimte omschrijving]],2,FALSE)</f>
        <v>Leslokalen</v>
      </c>
      <c r="L5" s="33" t="s">
        <v>1817</v>
      </c>
      <c r="M5" s="312" t="s">
        <v>1802</v>
      </c>
      <c r="N5" s="148">
        <v>66</v>
      </c>
      <c r="O5" s="33"/>
      <c r="P5" s="134" t="str">
        <f>VLOOKUP(Ruimtestaat[[#This Row],[Ruimte code]],Ruimtegroepen[],4,FALSE)</f>
        <v>Le</v>
      </c>
      <c r="Q5" s="33">
        <v>40</v>
      </c>
      <c r="R5" s="33" t="s">
        <v>2</v>
      </c>
      <c r="S5" s="33">
        <f>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 s="33">
        <f>IF(S5&gt;0,VLOOKUP($J5,Ruimtegroepen[],3,FALSE)*VLOOKUP($L5,Vloersoorten[],3,FALSE)*VLOOKUP($R5,Frequenties[],3,FALSE)*VLOOKUP($A5,Locaties[],3,FALSE),0)</f>
        <v>0</v>
      </c>
      <c r="U5" s="33">
        <f>Ruimtestaat[[#This Row],[Uitvoeringen werkdagen]]*Ruimtestaat[[#This Row],[Oppervlak (netto)]]</f>
        <v>13200</v>
      </c>
      <c r="V5" s="170">
        <f>IF(T5&gt;0,Ruimtestaat[[#This Row],[Prest. (m2 /jaar) werkdagen]]/Ruimtestaat[[#This Row],[Norm (m2/uur) werkdagen]],0)</f>
        <v>0</v>
      </c>
      <c r="W5" s="171">
        <f>Ruimtestaat[[#This Row],[uren / jaar werkdagen]]*Tariefsopbouw!$E$35</f>
        <v>0</v>
      </c>
      <c r="X5" s="33"/>
      <c r="Y5" s="33">
        <f>IF(Ruimtestaat[[#This Row],[Frequentie weekend]]&gt;0,VALUE(LEFT(X5,1))*Q5,0)</f>
        <v>0</v>
      </c>
      <c r="Z5" s="104">
        <f>IF($Y5&gt;0,VLOOKUP($J5,Ruimtegroepen[],3,FALSE)*VLOOKUP($L5,Vloersoorten[],3,FALSE)*VLOOKUP($X5,Frequenties[],3,FALSE)*VLOOKUP(Ruimtestaat[[#This Row],[Code]],Locaties[],3,FALSE),0)</f>
        <v>0</v>
      </c>
      <c r="AA5" s="104">
        <f>Ruimtestaat[[#This Row],[Uitvoeringen weekend]]*Ruimtestaat[[#This Row],[Oppervlak (netto)]]</f>
        <v>0</v>
      </c>
      <c r="AB5" s="104">
        <f>IF(Z5&gt;0,Ruimtestaat[[#This Row],[Prest. (m2 /jaar) weekend]]/Ruimtestaat[[#This Row],[Norm (m2/uur) weekend]],0)</f>
        <v>0</v>
      </c>
      <c r="AC5" s="171">
        <f>Ruimtestaat[[#This Row],[uren / jaar weekend]]*Tariefsopbouw!$D$40</f>
        <v>0</v>
      </c>
      <c r="AD5" s="170">
        <f>Ruimtestaat[[#This Row],[Prest. (m2 /jaar) weekend]]+Ruimtestaat[[#This Row],[Prest. (m2 /jaar) werkdagen]]</f>
        <v>13200</v>
      </c>
      <c r="AE5" s="170">
        <f>Ruimtestaat[[#This Row],[uren / jaar weekend]]+Ruimtestaat[[#This Row],[uren / jaar werkdagen]]</f>
        <v>0</v>
      </c>
      <c r="AF5" s="76">
        <f>Ruimtestaat[[#This Row],[kosten / jaar weekend]]+Ruimtestaat[[#This Row],[kosten / jaar werkdagen]]</f>
        <v>0</v>
      </c>
      <c r="AG5" s="76"/>
      <c r="AH5" s="272" t="str">
        <f>IF(Ruimtestaat[[#This Row],[Frequentie werkdagen]]="","",_xlfn.CONCAT(Ruimtestaat[[#This Row],[Ruimte code]],"-",Ruimtestaat[[#This Row],[Frequentie werkdagen]]," ",Ruimtestaat[[#This Row],[Vloer code]]))</f>
        <v>16-5w p</v>
      </c>
      <c r="AI5" s="310" t="str">
        <f>_xlfn.IFNA(VLOOKUP($AH5,Programma!$F$3:$G$1107,2,0),"")</f>
        <v>_</v>
      </c>
      <c r="AJ5" s="310" t="str">
        <f>_xlfn.IFNA(VLOOKUP($AH5,Programma!$F$3:$H$1107,3,0),"")</f>
        <v>_</v>
      </c>
      <c r="AK5" s="310" t="str">
        <f>_xlfn.IFNA(VLOOKUP($AH5,Programma!$F$3:$I$1107,4,0),"")</f>
        <v>4w</v>
      </c>
      <c r="AL5" s="310" t="str">
        <f>_xlfn.IFNA(VLOOKUP($AH5,Programma!$F$3:$J$1107,5,0),"")</f>
        <v>1w</v>
      </c>
      <c r="AM5" s="310" t="str">
        <f>_xlfn.IFNA(VLOOKUP($AH5,Programma!$F$3:$K$1107,6,0),"")</f>
        <v>1m</v>
      </c>
      <c r="AN5" s="310" t="str">
        <f>_xlfn.IFNA(VLOOKUP($AH5,Programma!$F$3:$L$1107,7,0),"")</f>
        <v>_</v>
      </c>
      <c r="AO5" s="310" t="str">
        <f>_xlfn.IFNA(VLOOKUP($AH5,Programma!$F$3:$M$1107,8,0),"")</f>
        <v>_</v>
      </c>
      <c r="AP5" s="310" t="str">
        <f>_xlfn.IFNA(VLOOKUP($AH5,Programma!$F$3:$N$1107,9,0),"")</f>
        <v>_</v>
      </c>
      <c r="AQ5" s="310" t="str">
        <f>_xlfn.IFNA(VLOOKUP($AH5,Programma!$F$3:$O$1107,10,0),"")</f>
        <v>5w</v>
      </c>
      <c r="AR5" s="310" t="str">
        <f>_xlfn.IFNA(VLOOKUP($AH5,Programma!$F$3:$P$1107,11,0),"")</f>
        <v>5w</v>
      </c>
      <c r="AS5" s="310" t="str">
        <f>_xlfn.IFNA(VLOOKUP($AH5,Programma!$F$3:$Q$1107,12,0),"")</f>
        <v>1w</v>
      </c>
      <c r="AT5" s="310" t="str">
        <f>_xlfn.IFNA(VLOOKUP($AH5,Programma!$F$3:$R$1107,13,0),"")</f>
        <v>1w</v>
      </c>
      <c r="AU5" s="310" t="str">
        <f>_xlfn.IFNA(VLOOKUP($AH5,Programma!$F$3:$S$1107,14,0),"")</f>
        <v>1m</v>
      </c>
      <c r="AV5" s="310" t="str">
        <f>_xlfn.IFNA(VLOOKUP($AH5,Programma!$F$3:$T$1107,15,0),"")</f>
        <v>2j</v>
      </c>
      <c r="AW5" s="310" t="str">
        <f>_xlfn.IFNA(VLOOKUP($AH5,Programma!$F$3:$U$1107,16,0),"")</f>
        <v>1j</v>
      </c>
      <c r="AX5" s="310" t="str">
        <f>_xlfn.IFNA(VLOOKUP($AH5,Programma!$F$3:$V$1107,17,0),"")</f>
        <v>_</v>
      </c>
      <c r="AY5" s="310" t="str">
        <f>_xlfn.IFNA(VLOOKUP($AH5,Programma!$F$3:$W$1107,18,0),"")</f>
        <v>_</v>
      </c>
      <c r="AZ5" s="310" t="str">
        <f>_xlfn.IFNA(VLOOKUP($AH5,Programma!$F$3:$X$1107,19,0),"")</f>
        <v>_</v>
      </c>
      <c r="BA5" s="310" t="str">
        <f>_xlfn.IFNA(VLOOKUP($AH5,Programma!$F$3:$Y$1107,20,0),"")</f>
        <v>_</v>
      </c>
      <c r="BB5" s="273"/>
      <c r="BC5" s="272" t="str">
        <f>IF(Ruimtestaat[[#This Row],[Frequentie weekend]]="","",_xlfn.CONCAT(Ruimtestaat[[#This Row],[Ruimte code]],"-",Ruimtestaat[[#This Row],[Frequentie weekend]]," ",Ruimtestaat[[#This Row],[Vloer code]]))</f>
        <v/>
      </c>
      <c r="BD5" s="310" t="str">
        <f>_xlfn.IFNA(VLOOKUP($BC5,Programma!$F$3:$G$1107,2,0),"")</f>
        <v/>
      </c>
      <c r="BE5" s="310" t="str">
        <f>_xlfn.IFNA(VLOOKUP($BC5,Programma!$F$3:$H$1107,3,0),"")</f>
        <v/>
      </c>
      <c r="BF5" s="310" t="str">
        <f>_xlfn.IFNA(VLOOKUP($BC5,Programma!$F$3:$I$1107,4,0),"")</f>
        <v/>
      </c>
      <c r="BG5" s="310" t="str">
        <f>_xlfn.IFNA(VLOOKUP($BC5,Programma!$F$3:$J$1107,5,0),"")</f>
        <v/>
      </c>
      <c r="BH5" s="310" t="str">
        <f>_xlfn.IFNA(VLOOKUP($BC5,Programma!$F$3:$K$1107,6,0),"")</f>
        <v/>
      </c>
      <c r="BI5" s="310" t="str">
        <f>_xlfn.IFNA(VLOOKUP($BC5,Programma!$F$3:$L$1107,7,0),"")</f>
        <v/>
      </c>
      <c r="BJ5" s="310" t="str">
        <f>_xlfn.IFNA(VLOOKUP($BC5,Programma!$F$3:$M$1107,8,0),"")</f>
        <v/>
      </c>
      <c r="BK5" s="310" t="str">
        <f>_xlfn.IFNA(VLOOKUP($BC5,Programma!$F$3:$N$1107,9,0),"")</f>
        <v/>
      </c>
      <c r="BL5" s="310" t="str">
        <f>_xlfn.IFNA(VLOOKUP($BC5,Programma!$F$3:$O$1107,10,0),"")</f>
        <v/>
      </c>
      <c r="BM5" s="310" t="str">
        <f>_xlfn.IFNA(VLOOKUP($BC5,Programma!$F$3:$P$1107,11,0),"")</f>
        <v/>
      </c>
      <c r="BN5" s="310" t="str">
        <f>_xlfn.IFNA(VLOOKUP($BC5,Programma!$F$3:$Q$1107,12,0),"")</f>
        <v/>
      </c>
      <c r="BO5" s="310" t="str">
        <f>_xlfn.IFNA(VLOOKUP($BC5,Programma!$F$3:$R$1107,13,0),"")</f>
        <v/>
      </c>
      <c r="BP5" s="310" t="str">
        <f>_xlfn.IFNA(VLOOKUP($BC5,Programma!$F$3:$S$1107,14,0),"")</f>
        <v/>
      </c>
      <c r="BQ5" s="310" t="str">
        <f>_xlfn.IFNA(VLOOKUP($BC5,Programma!$F$3:$T$1107,15,0),"")</f>
        <v/>
      </c>
      <c r="BR5" s="310" t="str">
        <f>_xlfn.IFNA(VLOOKUP($BC5,Programma!$F$3:$U$1107,16,0),"")</f>
        <v/>
      </c>
      <c r="BS5" s="310" t="str">
        <f>_xlfn.IFNA(VLOOKUP($BC5,Programma!$F$3:$V$1107,17,0),"")</f>
        <v/>
      </c>
      <c r="BT5" s="310" t="str">
        <f>_xlfn.IFNA(VLOOKUP($BC5,Programma!$F$3:$W$1107,18,0),"")</f>
        <v/>
      </c>
      <c r="BU5" s="310" t="str">
        <f>_xlfn.IFNA(VLOOKUP($BC5,Programma!$F$3:$X$1107,19,0),"")</f>
        <v/>
      </c>
      <c r="BV5" s="310" t="str">
        <f>_xlfn.IFNA(VLOOKUP($BC5,Programma!$F$3:$Y$1107,20,0),"")</f>
        <v/>
      </c>
    </row>
    <row r="6" spans="1:74" s="8" customFormat="1" ht="15" customHeight="1">
      <c r="A6" s="33">
        <v>1</v>
      </c>
      <c r="B6" s="173" t="s">
        <v>1619</v>
      </c>
      <c r="C6" s="173" t="str">
        <f>VLOOKUP(Ruimtestaat[[#This Row],[Code]],Locaties[[#All],[Code]:[Adres]],4,FALSE)</f>
        <v>Stationslaan 26</v>
      </c>
      <c r="D6" s="173" t="str">
        <f>VLOOKUP(Ruimtestaat[[#This Row],[Code]],Locaties[[#All],[Code]:[Postcode]],5,FALSE)</f>
        <v>3842 LA</v>
      </c>
      <c r="E6" s="173" t="str">
        <f>VLOOKUP(Ruimtestaat[[#This Row],[Code]],Locaties[#All],6,FALSE)</f>
        <v>Harderwijk</v>
      </c>
      <c r="F6" s="21" t="s">
        <v>1620</v>
      </c>
      <c r="G6" s="33" t="s">
        <v>1612</v>
      </c>
      <c r="H6" s="311" t="s">
        <v>1634</v>
      </c>
      <c r="I6" s="312" t="s">
        <v>1615</v>
      </c>
      <c r="J6" s="33">
        <v>16</v>
      </c>
      <c r="K6" s="70" t="str">
        <f>VLOOKUP(Ruimtestaat[[#This Row],[Ruimte code]],Ruimtegroepen[[#All],[Code]:[Ruimte omschrijving]],2,FALSE)</f>
        <v>Leslokalen</v>
      </c>
      <c r="L6" s="33" t="s">
        <v>1817</v>
      </c>
      <c r="M6" s="312" t="s">
        <v>1802</v>
      </c>
      <c r="N6" s="148">
        <v>117</v>
      </c>
      <c r="O6" s="150"/>
      <c r="P6" s="134" t="str">
        <f>VLOOKUP(Ruimtestaat[[#This Row],[Ruimte code]],Ruimtegroepen[],4,FALSE)</f>
        <v>Le</v>
      </c>
      <c r="Q6" s="33">
        <v>40</v>
      </c>
      <c r="R6" s="33" t="s">
        <v>2</v>
      </c>
      <c r="S6" s="33">
        <f>IF(Q6&gt;0,IF(RIGHT(Ruimtestaat[[#This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 s="33">
        <f>IF(S6&gt;0,VLOOKUP($J6,Ruimtegroepen[],3,FALSE)*VLOOKUP($L6,Vloersoorten[],3,FALSE)*VLOOKUP($R6,Frequenties[],3,FALSE)*VLOOKUP($A6,Locaties[],3,FALSE),0)</f>
        <v>0</v>
      </c>
      <c r="U6" s="33">
        <f>Ruimtestaat[[#This Row],[Uitvoeringen werkdagen]]*Ruimtestaat[[#This Row],[Oppervlak (netto)]]</f>
        <v>23400</v>
      </c>
      <c r="V6" s="170">
        <f>IF(T6&gt;0,Ruimtestaat[[#This Row],[Prest. (m2 /jaar) werkdagen]]/Ruimtestaat[[#This Row],[Norm (m2/uur) werkdagen]],0)</f>
        <v>0</v>
      </c>
      <c r="W6" s="171">
        <f>Ruimtestaat[[#This Row],[uren / jaar werkdagen]]*Tariefsopbouw!$E$35</f>
        <v>0</v>
      </c>
      <c r="X6" s="33"/>
      <c r="Y6" s="33">
        <f>IF(Ruimtestaat[[#This Row],[Frequentie weekend]]&gt;0,VALUE(LEFT(X6,1))*Q6,0)</f>
        <v>0</v>
      </c>
      <c r="Z6" s="104">
        <f>IF($Y6&gt;0,VLOOKUP($J6,Ruimtegroepen[],3,FALSE)*VLOOKUP($L6,Vloersoorten[],3,FALSE)*VLOOKUP($X6,Frequenties[],3,FALSE)*VLOOKUP(Ruimtestaat[[#This Row],[Code]],Locaties[],3,FALSE),0)</f>
        <v>0</v>
      </c>
      <c r="AA6" s="104">
        <f>Ruimtestaat[[#This Row],[Uitvoeringen weekend]]*Ruimtestaat[[#This Row],[Oppervlak (netto)]]</f>
        <v>0</v>
      </c>
      <c r="AB6" s="104">
        <f>IF(Z6&gt;0,Ruimtestaat[[#This Row],[Prest. (m2 /jaar) weekend]]/Ruimtestaat[[#This Row],[Norm (m2/uur) weekend]],0)</f>
        <v>0</v>
      </c>
      <c r="AC6" s="171">
        <f>Ruimtestaat[[#This Row],[uren / jaar weekend]]*Tariefsopbouw!$D$40</f>
        <v>0</v>
      </c>
      <c r="AD6" s="170">
        <f>Ruimtestaat[[#This Row],[Prest. (m2 /jaar) weekend]]+Ruimtestaat[[#This Row],[Prest. (m2 /jaar) werkdagen]]</f>
        <v>23400</v>
      </c>
      <c r="AE6" s="170">
        <f>Ruimtestaat[[#This Row],[uren / jaar weekend]]+Ruimtestaat[[#This Row],[uren / jaar werkdagen]]</f>
        <v>0</v>
      </c>
      <c r="AF6" s="76">
        <f>Ruimtestaat[[#This Row],[kosten / jaar weekend]]+Ruimtestaat[[#This Row],[kosten / jaar werkdagen]]</f>
        <v>0</v>
      </c>
      <c r="AG6" s="76"/>
      <c r="AH6" s="272" t="str">
        <f>IF(Ruimtestaat[[#This Row],[Frequentie werkdagen]]="","",_xlfn.CONCAT(Ruimtestaat[[#This Row],[Ruimte code]],"-",Ruimtestaat[[#This Row],[Frequentie werkdagen]]," ",Ruimtestaat[[#This Row],[Vloer code]]))</f>
        <v>16-5w p</v>
      </c>
      <c r="AI6" s="310" t="str">
        <f>_xlfn.IFNA(VLOOKUP($AH6,Programma!$F$3:$G$1107,2,0),"")</f>
        <v>_</v>
      </c>
      <c r="AJ6" s="310" t="str">
        <f>_xlfn.IFNA(VLOOKUP($AH6,Programma!$F$3:$H$1107,3,0),"")</f>
        <v>_</v>
      </c>
      <c r="AK6" s="310" t="str">
        <f>_xlfn.IFNA(VLOOKUP($AH6,Programma!$F$3:$I$1107,4,0),"")</f>
        <v>4w</v>
      </c>
      <c r="AL6" s="310" t="str">
        <f>_xlfn.IFNA(VLOOKUP($AH6,Programma!$F$3:$J$1107,5,0),"")</f>
        <v>1w</v>
      </c>
      <c r="AM6" s="310" t="str">
        <f>_xlfn.IFNA(VLOOKUP($AH6,Programma!$F$3:$K$1107,6,0),"")</f>
        <v>1m</v>
      </c>
      <c r="AN6" s="310" t="str">
        <f>_xlfn.IFNA(VLOOKUP($AH6,Programma!$F$3:$L$1107,7,0),"")</f>
        <v>_</v>
      </c>
      <c r="AO6" s="310" t="str">
        <f>_xlfn.IFNA(VLOOKUP($AH6,Programma!$F$3:$M$1107,8,0),"")</f>
        <v>_</v>
      </c>
      <c r="AP6" s="310" t="str">
        <f>_xlfn.IFNA(VLOOKUP($AH6,Programma!$F$3:$N$1107,9,0),"")</f>
        <v>_</v>
      </c>
      <c r="AQ6" s="310" t="str">
        <f>_xlfn.IFNA(VLOOKUP($AH6,Programma!$F$3:$O$1107,10,0),"")</f>
        <v>5w</v>
      </c>
      <c r="AR6" s="310" t="str">
        <f>_xlfn.IFNA(VLOOKUP($AH6,Programma!$F$3:$P$1107,11,0),"")</f>
        <v>5w</v>
      </c>
      <c r="AS6" s="310" t="str">
        <f>_xlfn.IFNA(VLOOKUP($AH6,Programma!$F$3:$Q$1107,12,0),"")</f>
        <v>1w</v>
      </c>
      <c r="AT6" s="310" t="str">
        <f>_xlfn.IFNA(VLOOKUP($AH6,Programma!$F$3:$R$1107,13,0),"")</f>
        <v>1w</v>
      </c>
      <c r="AU6" s="310" t="str">
        <f>_xlfn.IFNA(VLOOKUP($AH6,Programma!$F$3:$S$1107,14,0),"")</f>
        <v>1m</v>
      </c>
      <c r="AV6" s="310" t="str">
        <f>_xlfn.IFNA(VLOOKUP($AH6,Programma!$F$3:$T$1107,15,0),"")</f>
        <v>2j</v>
      </c>
      <c r="AW6" s="310" t="str">
        <f>_xlfn.IFNA(VLOOKUP($AH6,Programma!$F$3:$U$1107,16,0),"")</f>
        <v>1j</v>
      </c>
      <c r="AX6" s="310" t="str">
        <f>_xlfn.IFNA(VLOOKUP($AH6,Programma!$F$3:$V$1107,17,0),"")</f>
        <v>_</v>
      </c>
      <c r="AY6" s="310" t="str">
        <f>_xlfn.IFNA(VLOOKUP($AH6,Programma!$F$3:$W$1107,18,0),"")</f>
        <v>_</v>
      </c>
      <c r="AZ6" s="310" t="str">
        <f>_xlfn.IFNA(VLOOKUP($AH6,Programma!$F$3:$X$1107,19,0),"")</f>
        <v>_</v>
      </c>
      <c r="BA6" s="310" t="str">
        <f>_xlfn.IFNA(VLOOKUP($AH6,Programma!$F$3:$Y$1107,20,0),"")</f>
        <v>_</v>
      </c>
      <c r="BB6" s="273"/>
      <c r="BC6" s="272" t="str">
        <f>IF(Ruimtestaat[[#This Row],[Frequentie weekend]]="","",_xlfn.CONCAT(Ruimtestaat[[#This Row],[Ruimte code]],"-",Ruimtestaat[[#This Row],[Frequentie weekend]]," ",Ruimtestaat[[#This Row],[Vloer code]]))</f>
        <v/>
      </c>
      <c r="BD6" s="310" t="str">
        <f>_xlfn.IFNA(VLOOKUP($BC6,Programma!$F$3:$G$1107,2,0),"")</f>
        <v/>
      </c>
      <c r="BE6" s="310" t="str">
        <f>_xlfn.IFNA(VLOOKUP($BC6,Programma!$F$3:$H$1107,3,0),"")</f>
        <v/>
      </c>
      <c r="BF6" s="310" t="str">
        <f>_xlfn.IFNA(VLOOKUP($BC6,Programma!$F$3:$I$1107,4,0),"")</f>
        <v/>
      </c>
      <c r="BG6" s="310" t="str">
        <f>_xlfn.IFNA(VLOOKUP($BC6,Programma!$F$3:$J$1107,5,0),"")</f>
        <v/>
      </c>
      <c r="BH6" s="310" t="str">
        <f>_xlfn.IFNA(VLOOKUP($BC6,Programma!$F$3:$K$1107,6,0),"")</f>
        <v/>
      </c>
      <c r="BI6" s="310" t="str">
        <f>_xlfn.IFNA(VLOOKUP($BC6,Programma!$F$3:$L$1107,7,0),"")</f>
        <v/>
      </c>
      <c r="BJ6" s="310" t="str">
        <f>_xlfn.IFNA(VLOOKUP($BC6,Programma!$F$3:$M$1107,8,0),"")</f>
        <v/>
      </c>
      <c r="BK6" s="310" t="str">
        <f>_xlfn.IFNA(VLOOKUP($BC6,Programma!$F$3:$N$1107,9,0),"")</f>
        <v/>
      </c>
      <c r="BL6" s="310" t="str">
        <f>_xlfn.IFNA(VLOOKUP($BC6,Programma!$F$3:$O$1107,10,0),"")</f>
        <v/>
      </c>
      <c r="BM6" s="310" t="str">
        <f>_xlfn.IFNA(VLOOKUP($BC6,Programma!$F$3:$P$1107,11,0),"")</f>
        <v/>
      </c>
      <c r="BN6" s="310" t="str">
        <f>_xlfn.IFNA(VLOOKUP($BC6,Programma!$F$3:$Q$1107,12,0),"")</f>
        <v/>
      </c>
      <c r="BO6" s="310" t="str">
        <f>_xlfn.IFNA(VLOOKUP($BC6,Programma!$F$3:$R$1107,13,0),"")</f>
        <v/>
      </c>
      <c r="BP6" s="310" t="str">
        <f>_xlfn.IFNA(VLOOKUP($BC6,Programma!$F$3:$S$1107,14,0),"")</f>
        <v/>
      </c>
      <c r="BQ6" s="310" t="str">
        <f>_xlfn.IFNA(VLOOKUP($BC6,Programma!$F$3:$T$1107,15,0),"")</f>
        <v/>
      </c>
      <c r="BR6" s="310" t="str">
        <f>_xlfn.IFNA(VLOOKUP($BC6,Programma!$F$3:$U$1107,16,0),"")</f>
        <v/>
      </c>
      <c r="BS6" s="310" t="str">
        <f>_xlfn.IFNA(VLOOKUP($BC6,Programma!$F$3:$V$1107,17,0),"")</f>
        <v/>
      </c>
      <c r="BT6" s="310" t="str">
        <f>_xlfn.IFNA(VLOOKUP($BC6,Programma!$F$3:$W$1107,18,0),"")</f>
        <v/>
      </c>
      <c r="BU6" s="310" t="str">
        <f>_xlfn.IFNA(VLOOKUP($BC6,Programma!$F$3:$X$1107,19,0),"")</f>
        <v/>
      </c>
      <c r="BV6" s="310" t="str">
        <f>_xlfn.IFNA(VLOOKUP($BC6,Programma!$F$3:$Y$1107,20,0),"")</f>
        <v/>
      </c>
    </row>
    <row r="7" spans="1:74" ht="15" customHeight="1">
      <c r="A7" s="33">
        <v>1</v>
      </c>
      <c r="B7" s="173" t="s">
        <v>1619</v>
      </c>
      <c r="C7" s="173" t="str">
        <f>VLOOKUP(Ruimtestaat[[#This Row],[Code]],Locaties[[#All],[Code]:[Adres]],4,FALSE)</f>
        <v>Stationslaan 26</v>
      </c>
      <c r="D7" s="173" t="str">
        <f>VLOOKUP(Ruimtestaat[[#This Row],[Code]],Locaties[[#All],[Code]:[Postcode]],5,FALSE)</f>
        <v>3842 LA</v>
      </c>
      <c r="E7" s="173" t="str">
        <f>VLOOKUP(Ruimtestaat[[#This Row],[Code]],Locaties[#All],6,FALSE)</f>
        <v>Harderwijk</v>
      </c>
      <c r="F7" s="21" t="s">
        <v>1620</v>
      </c>
      <c r="G7" s="33" t="s">
        <v>1612</v>
      </c>
      <c r="H7" s="311" t="s">
        <v>1635</v>
      </c>
      <c r="I7" s="312" t="s">
        <v>1615</v>
      </c>
      <c r="J7" s="21">
        <v>16</v>
      </c>
      <c r="K7" s="69" t="str">
        <f>VLOOKUP(Ruimtestaat[[#This Row],[Ruimte code]],Ruimtegroepen[[#All],[Code]:[Ruimte omschrijving]],2,FALSE)</f>
        <v>Leslokalen</v>
      </c>
      <c r="L7" s="33" t="s">
        <v>1817</v>
      </c>
      <c r="M7" s="312" t="s">
        <v>1802</v>
      </c>
      <c r="N7" s="148">
        <v>69</v>
      </c>
      <c r="O7" s="150"/>
      <c r="P7" s="134" t="str">
        <f>VLOOKUP(Ruimtestaat[[#This Row],[Ruimte code]],Ruimtegroepen[],4,FALSE)</f>
        <v>Le</v>
      </c>
      <c r="Q7" s="33">
        <v>40</v>
      </c>
      <c r="R7" s="33" t="s">
        <v>2</v>
      </c>
      <c r="S7" s="33">
        <f>IF(Q7&gt;0,IF(RIGHT(Ruimtestaat[[#This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 s="33">
        <f>IF(S7&gt;0,VLOOKUP($J7,Ruimtegroepen[],3,FALSE)*VLOOKUP($L7,Vloersoorten[],3,FALSE)*VLOOKUP($R7,Frequenties[],3,FALSE)*VLOOKUP($A7,Locaties[],3,FALSE),0)</f>
        <v>0</v>
      </c>
      <c r="U7" s="33">
        <f>Ruimtestaat[[#This Row],[Uitvoeringen werkdagen]]*Ruimtestaat[[#This Row],[Oppervlak (netto)]]</f>
        <v>13800</v>
      </c>
      <c r="V7" s="170">
        <f>IF(T7&gt;0,Ruimtestaat[[#This Row],[Prest. (m2 /jaar) werkdagen]]/Ruimtestaat[[#This Row],[Norm (m2/uur) werkdagen]],0)</f>
        <v>0</v>
      </c>
      <c r="W7" s="171">
        <f>Ruimtestaat[[#This Row],[uren / jaar werkdagen]]*Tariefsopbouw!$E$35</f>
        <v>0</v>
      </c>
      <c r="X7" s="33"/>
      <c r="Y7" s="33">
        <f>IF(Ruimtestaat[[#This Row],[Frequentie weekend]]&gt;0,VALUE(LEFT(X7,1))*Q7,0)</f>
        <v>0</v>
      </c>
      <c r="Z7" s="104">
        <f>IF($Y7&gt;0,VLOOKUP($J7,Ruimtegroepen[],3,FALSE)*VLOOKUP($L7,Vloersoorten[],3,FALSE)*VLOOKUP($X7,Frequenties[],3,FALSE)*VLOOKUP(Ruimtestaat[[#This Row],[Code]],Locaties[],3,FALSE),0)</f>
        <v>0</v>
      </c>
      <c r="AA7" s="104">
        <f>Ruimtestaat[[#This Row],[Uitvoeringen weekend]]*Ruimtestaat[[#This Row],[Oppervlak (netto)]]</f>
        <v>0</v>
      </c>
      <c r="AB7" s="104">
        <f>IF(Z7&gt;0,Ruimtestaat[[#This Row],[Prest. (m2 /jaar) weekend]]/Ruimtestaat[[#This Row],[Norm (m2/uur) weekend]],0)</f>
        <v>0</v>
      </c>
      <c r="AC7" s="171">
        <f>Ruimtestaat[[#This Row],[uren / jaar weekend]]*Tariefsopbouw!$D$40</f>
        <v>0</v>
      </c>
      <c r="AD7" s="170">
        <f>Ruimtestaat[[#This Row],[Prest. (m2 /jaar) weekend]]+Ruimtestaat[[#This Row],[Prest. (m2 /jaar) werkdagen]]</f>
        <v>13800</v>
      </c>
      <c r="AE7" s="170">
        <f>Ruimtestaat[[#This Row],[uren / jaar weekend]]+Ruimtestaat[[#This Row],[uren / jaar werkdagen]]</f>
        <v>0</v>
      </c>
      <c r="AF7" s="76">
        <f>Ruimtestaat[[#This Row],[kosten / jaar weekend]]+Ruimtestaat[[#This Row],[kosten / jaar werkdagen]]</f>
        <v>0</v>
      </c>
      <c r="AG7" s="76"/>
      <c r="AH7" s="272" t="str">
        <f>IF(Ruimtestaat[[#This Row],[Frequentie werkdagen]]="","",_xlfn.CONCAT(Ruimtestaat[[#This Row],[Ruimte code]],"-",Ruimtestaat[[#This Row],[Frequentie werkdagen]]," ",Ruimtestaat[[#This Row],[Vloer code]]))</f>
        <v>16-5w p</v>
      </c>
      <c r="AI7" s="310" t="str">
        <f>_xlfn.IFNA(VLOOKUP($AH7,Programma!$F$3:$G$1107,2,0),"")</f>
        <v>_</v>
      </c>
      <c r="AJ7" s="310" t="str">
        <f>_xlfn.IFNA(VLOOKUP($AH7,Programma!$F$3:$H$1107,3,0),"")</f>
        <v>_</v>
      </c>
      <c r="AK7" s="310" t="str">
        <f>_xlfn.IFNA(VLOOKUP($AH7,Programma!$F$3:$I$1107,4,0),"")</f>
        <v>4w</v>
      </c>
      <c r="AL7" s="310" t="str">
        <f>_xlfn.IFNA(VLOOKUP($AH7,Programma!$F$3:$J$1107,5,0),"")</f>
        <v>1w</v>
      </c>
      <c r="AM7" s="310" t="str">
        <f>_xlfn.IFNA(VLOOKUP($AH7,Programma!$F$3:$K$1107,6,0),"")</f>
        <v>1m</v>
      </c>
      <c r="AN7" s="310" t="str">
        <f>_xlfn.IFNA(VLOOKUP($AH7,Programma!$F$3:$L$1107,7,0),"")</f>
        <v>_</v>
      </c>
      <c r="AO7" s="310" t="str">
        <f>_xlfn.IFNA(VLOOKUP($AH7,Programma!$F$3:$M$1107,8,0),"")</f>
        <v>_</v>
      </c>
      <c r="AP7" s="310" t="str">
        <f>_xlfn.IFNA(VLOOKUP($AH7,Programma!$F$3:$N$1107,9,0),"")</f>
        <v>_</v>
      </c>
      <c r="AQ7" s="310" t="str">
        <f>_xlfn.IFNA(VLOOKUP($AH7,Programma!$F$3:$O$1107,10,0),"")</f>
        <v>5w</v>
      </c>
      <c r="AR7" s="310" t="str">
        <f>_xlfn.IFNA(VLOOKUP($AH7,Programma!$F$3:$P$1107,11,0),"")</f>
        <v>5w</v>
      </c>
      <c r="AS7" s="310" t="str">
        <f>_xlfn.IFNA(VLOOKUP($AH7,Programma!$F$3:$Q$1107,12,0),"")</f>
        <v>1w</v>
      </c>
      <c r="AT7" s="310" t="str">
        <f>_xlfn.IFNA(VLOOKUP($AH7,Programma!$F$3:$R$1107,13,0),"")</f>
        <v>1w</v>
      </c>
      <c r="AU7" s="310" t="str">
        <f>_xlfn.IFNA(VLOOKUP($AH7,Programma!$F$3:$S$1107,14,0),"")</f>
        <v>1m</v>
      </c>
      <c r="AV7" s="310" t="str">
        <f>_xlfn.IFNA(VLOOKUP($AH7,Programma!$F$3:$T$1107,15,0),"")</f>
        <v>2j</v>
      </c>
      <c r="AW7" s="310" t="str">
        <f>_xlfn.IFNA(VLOOKUP($AH7,Programma!$F$3:$U$1107,16,0),"")</f>
        <v>1j</v>
      </c>
      <c r="AX7" s="310" t="str">
        <f>_xlfn.IFNA(VLOOKUP($AH7,Programma!$F$3:$V$1107,17,0),"")</f>
        <v>_</v>
      </c>
      <c r="AY7" s="310" t="str">
        <f>_xlfn.IFNA(VLOOKUP($AH7,Programma!$F$3:$W$1107,18,0),"")</f>
        <v>_</v>
      </c>
      <c r="AZ7" s="310" t="str">
        <f>_xlfn.IFNA(VLOOKUP($AH7,Programma!$F$3:$X$1107,19,0),"")</f>
        <v>_</v>
      </c>
      <c r="BA7" s="310" t="str">
        <f>_xlfn.IFNA(VLOOKUP($AH7,Programma!$F$3:$Y$1107,20,0),"")</f>
        <v>_</v>
      </c>
      <c r="BB7" s="273"/>
      <c r="BC7" s="272" t="str">
        <f>IF(Ruimtestaat[[#This Row],[Frequentie weekend]]="","",_xlfn.CONCAT(Ruimtestaat[[#This Row],[Ruimte code]],"-",Ruimtestaat[[#This Row],[Frequentie weekend]]," ",Ruimtestaat[[#This Row],[Vloer code]]))</f>
        <v/>
      </c>
      <c r="BD7" s="310" t="str">
        <f>_xlfn.IFNA(VLOOKUP($BC7,Programma!$F$3:$G$1107,2,0),"")</f>
        <v/>
      </c>
      <c r="BE7" s="310" t="str">
        <f>_xlfn.IFNA(VLOOKUP($BC7,Programma!$F$3:$H$1107,3,0),"")</f>
        <v/>
      </c>
      <c r="BF7" s="310" t="str">
        <f>_xlfn.IFNA(VLOOKUP($BC7,Programma!$F$3:$I$1107,4,0),"")</f>
        <v/>
      </c>
      <c r="BG7" s="310" t="str">
        <f>_xlfn.IFNA(VLOOKUP($BC7,Programma!$F$3:$J$1107,5,0),"")</f>
        <v/>
      </c>
      <c r="BH7" s="310" t="str">
        <f>_xlfn.IFNA(VLOOKUP($BC7,Programma!$F$3:$K$1107,6,0),"")</f>
        <v/>
      </c>
      <c r="BI7" s="310" t="str">
        <f>_xlfn.IFNA(VLOOKUP($BC7,Programma!$F$3:$L$1107,7,0),"")</f>
        <v/>
      </c>
      <c r="BJ7" s="310" t="str">
        <f>_xlfn.IFNA(VLOOKUP($BC7,Programma!$F$3:$M$1107,8,0),"")</f>
        <v/>
      </c>
      <c r="BK7" s="310" t="str">
        <f>_xlfn.IFNA(VLOOKUP($BC7,Programma!$F$3:$N$1107,9,0),"")</f>
        <v/>
      </c>
      <c r="BL7" s="310" t="str">
        <f>_xlfn.IFNA(VLOOKUP($BC7,Programma!$F$3:$O$1107,10,0),"")</f>
        <v/>
      </c>
      <c r="BM7" s="310" t="str">
        <f>_xlfn.IFNA(VLOOKUP($BC7,Programma!$F$3:$P$1107,11,0),"")</f>
        <v/>
      </c>
      <c r="BN7" s="310" t="str">
        <f>_xlfn.IFNA(VLOOKUP($BC7,Programma!$F$3:$Q$1107,12,0),"")</f>
        <v/>
      </c>
      <c r="BO7" s="310" t="str">
        <f>_xlfn.IFNA(VLOOKUP($BC7,Programma!$F$3:$R$1107,13,0),"")</f>
        <v/>
      </c>
      <c r="BP7" s="310" t="str">
        <f>_xlfn.IFNA(VLOOKUP($BC7,Programma!$F$3:$S$1107,14,0),"")</f>
        <v/>
      </c>
      <c r="BQ7" s="310" t="str">
        <f>_xlfn.IFNA(VLOOKUP($BC7,Programma!$F$3:$T$1107,15,0),"")</f>
        <v/>
      </c>
      <c r="BR7" s="310" t="str">
        <f>_xlfn.IFNA(VLOOKUP($BC7,Programma!$F$3:$U$1107,16,0),"")</f>
        <v/>
      </c>
      <c r="BS7" s="310" t="str">
        <f>_xlfn.IFNA(VLOOKUP($BC7,Programma!$F$3:$V$1107,17,0),"")</f>
        <v/>
      </c>
      <c r="BT7" s="310" t="str">
        <f>_xlfn.IFNA(VLOOKUP($BC7,Programma!$F$3:$W$1107,18,0),"")</f>
        <v/>
      </c>
      <c r="BU7" s="310" t="str">
        <f>_xlfn.IFNA(VLOOKUP($BC7,Programma!$F$3:$X$1107,19,0),"")</f>
        <v/>
      </c>
      <c r="BV7" s="310" t="str">
        <f>_xlfn.IFNA(VLOOKUP($BC7,Programma!$F$3:$Y$1107,20,0),"")</f>
        <v/>
      </c>
    </row>
    <row r="8" spans="1:74" ht="12" customHeight="1">
      <c r="A8" s="33">
        <v>1</v>
      </c>
      <c r="B8" s="173" t="s">
        <v>1619</v>
      </c>
      <c r="C8" s="173" t="str">
        <f>VLOOKUP(Ruimtestaat[[#This Row],[Code]],Locaties[[#All],[Code]:[Adres]],4,FALSE)</f>
        <v>Stationslaan 26</v>
      </c>
      <c r="D8" s="173" t="str">
        <f>VLOOKUP(Ruimtestaat[[#This Row],[Code]],Locaties[[#All],[Code]:[Postcode]],5,FALSE)</f>
        <v>3842 LA</v>
      </c>
      <c r="E8" s="173" t="str">
        <f>VLOOKUP(Ruimtestaat[[#This Row],[Code]],Locaties[#All],6,FALSE)</f>
        <v>Harderwijk</v>
      </c>
      <c r="F8" s="21" t="s">
        <v>1620</v>
      </c>
      <c r="G8" s="33" t="s">
        <v>1612</v>
      </c>
      <c r="H8" s="311" t="s">
        <v>1636</v>
      </c>
      <c r="I8" s="312" t="s">
        <v>1781</v>
      </c>
      <c r="J8" s="33">
        <v>8</v>
      </c>
      <c r="K8" s="69" t="str">
        <f>VLOOKUP(Ruimtestaat[[#This Row],[Ruimte code]],Ruimtegroepen[[#All],[Code]:[Ruimte omschrijving]],2,FALSE)</f>
        <v>receptie</v>
      </c>
      <c r="L8" s="33" t="s">
        <v>100</v>
      </c>
      <c r="M8" s="312" t="s">
        <v>1803</v>
      </c>
      <c r="N8" s="148">
        <v>63</v>
      </c>
      <c r="O8" s="150"/>
      <c r="P8" s="134" t="str">
        <f>VLOOKUP(Ruimtestaat[[#This Row],[Ruimte code]],Ruimtegroepen[],4,FALSE)</f>
        <v>bu</v>
      </c>
      <c r="Q8" s="33">
        <v>40</v>
      </c>
      <c r="R8" s="33" t="s">
        <v>15</v>
      </c>
      <c r="S8" s="33">
        <f>IF(Q8&gt;0,IF(RIGHT(Ruimtestaat[[#This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8" s="33">
        <f>IF(S8&gt;0,VLOOKUP($J8,Ruimtegroepen[],3,FALSE)*VLOOKUP($L8,Vloersoorten[],3,FALSE)*VLOOKUP($R8,Frequenties[],3,FALSE)*VLOOKUP($A8,Locaties[],3,FALSE),0)</f>
        <v>0</v>
      </c>
      <c r="U8" s="33">
        <f>Ruimtestaat[[#This Row],[Uitvoeringen werkdagen]]*Ruimtestaat[[#This Row],[Oppervlak (netto)]]</f>
        <v>2520</v>
      </c>
      <c r="V8" s="170">
        <f>IF(T8&gt;0,Ruimtestaat[[#This Row],[Prest. (m2 /jaar) werkdagen]]/Ruimtestaat[[#This Row],[Norm (m2/uur) werkdagen]],0)</f>
        <v>0</v>
      </c>
      <c r="W8" s="171">
        <f>Ruimtestaat[[#This Row],[uren / jaar werkdagen]]*Tariefsopbouw!$E$35</f>
        <v>0</v>
      </c>
      <c r="X8" s="33"/>
      <c r="Y8" s="33">
        <f>IF(Ruimtestaat[[#This Row],[Frequentie weekend]]&gt;0,VALUE(LEFT(X8,1))*Q8,0)</f>
        <v>0</v>
      </c>
      <c r="Z8" s="104">
        <f>IF($Y8&gt;0,VLOOKUP($J8,Ruimtegroepen[],3,FALSE)*VLOOKUP($L8,Vloersoorten[],3,FALSE)*VLOOKUP($X8,Frequenties[],3,FALSE)*VLOOKUP(Ruimtestaat[[#This Row],[Code]],Locaties[],3,FALSE),0)</f>
        <v>0</v>
      </c>
      <c r="AA8" s="104">
        <f>Ruimtestaat[[#This Row],[Uitvoeringen weekend]]*Ruimtestaat[[#This Row],[Oppervlak (netto)]]</f>
        <v>0</v>
      </c>
      <c r="AB8" s="104">
        <f>IF(Z8&gt;0,Ruimtestaat[[#This Row],[Prest. (m2 /jaar) weekend]]/Ruimtestaat[[#This Row],[Norm (m2/uur) weekend]],0)</f>
        <v>0</v>
      </c>
      <c r="AC8" s="171">
        <f>Ruimtestaat[[#This Row],[uren / jaar weekend]]*Tariefsopbouw!$D$40</f>
        <v>0</v>
      </c>
      <c r="AD8" s="170">
        <f>Ruimtestaat[[#This Row],[Prest. (m2 /jaar) weekend]]+Ruimtestaat[[#This Row],[Prest. (m2 /jaar) werkdagen]]</f>
        <v>2520</v>
      </c>
      <c r="AE8" s="170">
        <f>Ruimtestaat[[#This Row],[uren / jaar weekend]]+Ruimtestaat[[#This Row],[uren / jaar werkdagen]]</f>
        <v>0</v>
      </c>
      <c r="AF8" s="76">
        <f>Ruimtestaat[[#This Row],[kosten / jaar weekend]]+Ruimtestaat[[#This Row],[kosten / jaar werkdagen]]</f>
        <v>0</v>
      </c>
      <c r="AG8" s="76"/>
      <c r="AH8" s="272" t="str">
        <f>IF(Ruimtestaat[[#This Row],[Frequentie werkdagen]]="","",_xlfn.CONCAT(Ruimtestaat[[#This Row],[Ruimte code]],"-",Ruimtestaat[[#This Row],[Frequentie werkdagen]]," ",Ruimtestaat[[#This Row],[Vloer code]]))</f>
        <v>8-1w T</v>
      </c>
      <c r="AI8" s="310" t="str">
        <f>_xlfn.IFNA(VLOOKUP($AH8,Programma!$F$3:$G$1107,2,0),"")</f>
        <v>_</v>
      </c>
      <c r="AJ8" s="310" t="str">
        <f>_xlfn.IFNA(VLOOKUP($AH8,Programma!$F$3:$H$1107,3,0),"")</f>
        <v>1w</v>
      </c>
      <c r="AK8" s="310" t="str">
        <f>_xlfn.IFNA(VLOOKUP($AH8,Programma!$F$3:$I$1107,4,0),"")</f>
        <v>_</v>
      </c>
      <c r="AL8" s="310" t="str">
        <f>_xlfn.IFNA(VLOOKUP($AH8,Programma!$F$3:$J$1107,5,0),"")</f>
        <v>_</v>
      </c>
      <c r="AM8" s="310" t="str">
        <f>_xlfn.IFNA(VLOOKUP($AH8,Programma!$F$3:$K$1107,6,0),"")</f>
        <v>_</v>
      </c>
      <c r="AN8" s="310" t="str">
        <f>_xlfn.IFNA(VLOOKUP($AH8,Programma!$F$3:$L$1107,7,0),"")</f>
        <v>_</v>
      </c>
      <c r="AO8" s="310" t="str">
        <f>_xlfn.IFNA(VLOOKUP($AH8,Programma!$F$3:$M$1107,8,0),"")</f>
        <v>_</v>
      </c>
      <c r="AP8" s="310" t="str">
        <f>_xlfn.IFNA(VLOOKUP($AH8,Programma!$F$3:$N$1107,9,0),"")</f>
        <v>_</v>
      </c>
      <c r="AQ8" s="310" t="str">
        <f>_xlfn.IFNA(VLOOKUP($AH8,Programma!$F$3:$O$1107,10,0),"")</f>
        <v>1w</v>
      </c>
      <c r="AR8" s="310" t="str">
        <f>_xlfn.IFNA(VLOOKUP($AH8,Programma!$F$3:$P$1107,11,0),"")</f>
        <v>1w</v>
      </c>
      <c r="AS8" s="310" t="str">
        <f>_xlfn.IFNA(VLOOKUP($AH8,Programma!$F$3:$Q$1107,12,0),"")</f>
        <v>1w</v>
      </c>
      <c r="AT8" s="310" t="str">
        <f>_xlfn.IFNA(VLOOKUP($AH8,Programma!$F$3:$R$1107,13,0),"")</f>
        <v>1w</v>
      </c>
      <c r="AU8" s="310" t="str">
        <f>_xlfn.IFNA(VLOOKUP($AH8,Programma!$F$3:$S$1107,14,0),"")</f>
        <v>1m</v>
      </c>
      <c r="AV8" s="310" t="str">
        <f>_xlfn.IFNA(VLOOKUP($AH8,Programma!$F$3:$T$1107,15,0),"")</f>
        <v>2j</v>
      </c>
      <c r="AW8" s="310" t="str">
        <f>_xlfn.IFNA(VLOOKUP($AH8,Programma!$F$3:$U$1107,16,0),"")</f>
        <v>1j</v>
      </c>
      <c r="AX8" s="310" t="str">
        <f>_xlfn.IFNA(VLOOKUP($AH8,Programma!$F$3:$V$1107,17,0),"")</f>
        <v>_</v>
      </c>
      <c r="AY8" s="310" t="str">
        <f>_xlfn.IFNA(VLOOKUP($AH8,Programma!$F$3:$W$1107,18,0),"")</f>
        <v>_</v>
      </c>
      <c r="AZ8" s="310" t="str">
        <f>_xlfn.IFNA(VLOOKUP($AH8,Programma!$F$3:$X$1107,19,0),"")</f>
        <v>_</v>
      </c>
      <c r="BA8" s="310" t="str">
        <f>_xlfn.IFNA(VLOOKUP($AH8,Programma!$F$3:$Y$1107,20,0),"")</f>
        <v>_</v>
      </c>
      <c r="BB8" s="273"/>
      <c r="BC8" s="272" t="str">
        <f>IF(Ruimtestaat[[#This Row],[Frequentie weekend]]="","",_xlfn.CONCAT(Ruimtestaat[[#This Row],[Ruimte code]],"-",Ruimtestaat[[#This Row],[Frequentie weekend]]," ",Ruimtestaat[[#This Row],[Vloer code]]))</f>
        <v/>
      </c>
      <c r="BD8" s="310" t="str">
        <f>_xlfn.IFNA(VLOOKUP($BC8,Programma!$F$3:$G$1107,2,0),"")</f>
        <v/>
      </c>
      <c r="BE8" s="310" t="str">
        <f>_xlfn.IFNA(VLOOKUP($BC8,Programma!$F$3:$H$1107,3,0),"")</f>
        <v/>
      </c>
      <c r="BF8" s="310" t="str">
        <f>_xlfn.IFNA(VLOOKUP($BC8,Programma!$F$3:$I$1107,4,0),"")</f>
        <v/>
      </c>
      <c r="BG8" s="310" t="str">
        <f>_xlfn.IFNA(VLOOKUP($BC8,Programma!$F$3:$J$1107,5,0),"")</f>
        <v/>
      </c>
      <c r="BH8" s="310" t="str">
        <f>_xlfn.IFNA(VLOOKUP($BC8,Programma!$F$3:$K$1107,6,0),"")</f>
        <v/>
      </c>
      <c r="BI8" s="310" t="str">
        <f>_xlfn.IFNA(VLOOKUP($BC8,Programma!$F$3:$L$1107,7,0),"")</f>
        <v/>
      </c>
      <c r="BJ8" s="310" t="str">
        <f>_xlfn.IFNA(VLOOKUP($BC8,Programma!$F$3:$M$1107,8,0),"")</f>
        <v/>
      </c>
      <c r="BK8" s="310" t="str">
        <f>_xlfn.IFNA(VLOOKUP($BC8,Programma!$F$3:$N$1107,9,0),"")</f>
        <v/>
      </c>
      <c r="BL8" s="310" t="str">
        <f>_xlfn.IFNA(VLOOKUP($BC8,Programma!$F$3:$O$1107,10,0),"")</f>
        <v/>
      </c>
      <c r="BM8" s="310" t="str">
        <f>_xlfn.IFNA(VLOOKUP($BC8,Programma!$F$3:$P$1107,11,0),"")</f>
        <v/>
      </c>
      <c r="BN8" s="310" t="str">
        <f>_xlfn.IFNA(VLOOKUP($BC8,Programma!$F$3:$Q$1107,12,0),"")</f>
        <v/>
      </c>
      <c r="BO8" s="310" t="str">
        <f>_xlfn.IFNA(VLOOKUP($BC8,Programma!$F$3:$R$1107,13,0),"")</f>
        <v/>
      </c>
      <c r="BP8" s="310" t="str">
        <f>_xlfn.IFNA(VLOOKUP($BC8,Programma!$F$3:$S$1107,14,0),"")</f>
        <v/>
      </c>
      <c r="BQ8" s="310" t="str">
        <f>_xlfn.IFNA(VLOOKUP($BC8,Programma!$F$3:$T$1107,15,0),"")</f>
        <v/>
      </c>
      <c r="BR8" s="310" t="str">
        <f>_xlfn.IFNA(VLOOKUP($BC8,Programma!$F$3:$U$1107,16,0),"")</f>
        <v/>
      </c>
      <c r="BS8" s="310" t="str">
        <f>_xlfn.IFNA(VLOOKUP($BC8,Programma!$F$3:$V$1107,17,0),"")</f>
        <v/>
      </c>
      <c r="BT8" s="310" t="str">
        <f>_xlfn.IFNA(VLOOKUP($BC8,Programma!$F$3:$W$1107,18,0),"")</f>
        <v/>
      </c>
      <c r="BU8" s="310" t="str">
        <f>_xlfn.IFNA(VLOOKUP($BC8,Programma!$F$3:$X$1107,19,0),"")</f>
        <v/>
      </c>
      <c r="BV8" s="310" t="str">
        <f>_xlfn.IFNA(VLOOKUP($BC8,Programma!$F$3:$Y$1107,20,0),"")</f>
        <v/>
      </c>
    </row>
    <row r="9" spans="1:74" ht="15" customHeight="1">
      <c r="A9" s="33">
        <v>1</v>
      </c>
      <c r="B9" s="173" t="s">
        <v>1619</v>
      </c>
      <c r="C9" s="173" t="str">
        <f>VLOOKUP(Ruimtestaat[[#This Row],[Code]],Locaties[[#All],[Code]:[Adres]],4,FALSE)</f>
        <v>Stationslaan 26</v>
      </c>
      <c r="D9" s="173" t="str">
        <f>VLOOKUP(Ruimtestaat[[#This Row],[Code]],Locaties[[#All],[Code]:[Postcode]],5,FALSE)</f>
        <v>3842 LA</v>
      </c>
      <c r="E9" s="173" t="str">
        <f>VLOOKUP(Ruimtestaat[[#This Row],[Code]],Locaties[#All],6,FALSE)</f>
        <v>Harderwijk</v>
      </c>
      <c r="F9" s="21" t="s">
        <v>1620</v>
      </c>
      <c r="G9" s="33" t="s">
        <v>1612</v>
      </c>
      <c r="H9" s="311" t="s">
        <v>1637</v>
      </c>
      <c r="I9" s="312" t="s">
        <v>1615</v>
      </c>
      <c r="J9" s="21">
        <v>16</v>
      </c>
      <c r="K9" s="69" t="str">
        <f>VLOOKUP(Ruimtestaat[[#This Row],[Ruimte code]],Ruimtegroepen[[#All],[Code]:[Ruimte omschrijving]],2,FALSE)</f>
        <v>Leslokalen</v>
      </c>
      <c r="L9" s="33" t="s">
        <v>101</v>
      </c>
      <c r="M9" s="312" t="s">
        <v>1804</v>
      </c>
      <c r="N9" s="148">
        <v>65</v>
      </c>
      <c r="O9" s="33"/>
      <c r="P9" s="134" t="str">
        <f>VLOOKUP(Ruimtestaat[[#This Row],[Ruimte code]],Ruimtegroepen[],4,FALSE)</f>
        <v>Le</v>
      </c>
      <c r="Q9" s="33">
        <v>40</v>
      </c>
      <c r="R9" s="33" t="s">
        <v>2</v>
      </c>
      <c r="S9" s="33">
        <f>IF(Q9&gt;0,IF(RIGHT(Ruimtestaat[[#This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 s="33">
        <f>IF(S9&gt;0,VLOOKUP($J9,Ruimtegroepen[],3,FALSE)*VLOOKUP($L9,Vloersoorten[],3,FALSE)*VLOOKUP($R9,Frequenties[],3,FALSE)*VLOOKUP($A9,Locaties[],3,FALSE),0)</f>
        <v>0</v>
      </c>
      <c r="U9" s="33">
        <f>Ruimtestaat[[#This Row],[Uitvoeringen werkdagen]]*Ruimtestaat[[#This Row],[Oppervlak (netto)]]</f>
        <v>13000</v>
      </c>
      <c r="V9" s="170">
        <f>IF(T9&gt;0,Ruimtestaat[[#This Row],[Prest. (m2 /jaar) werkdagen]]/Ruimtestaat[[#This Row],[Norm (m2/uur) werkdagen]],0)</f>
        <v>0</v>
      </c>
      <c r="W9" s="171">
        <f>Ruimtestaat[[#This Row],[uren / jaar werkdagen]]*Tariefsopbouw!$E$35</f>
        <v>0</v>
      </c>
      <c r="X9" s="33"/>
      <c r="Y9" s="33">
        <f>IF(Ruimtestaat[[#This Row],[Frequentie weekend]]&gt;0,VALUE(LEFT(X9,1))*Q9,0)</f>
        <v>0</v>
      </c>
      <c r="Z9" s="104">
        <f>IF($Y9&gt;0,VLOOKUP($J9,Ruimtegroepen[],3,FALSE)*VLOOKUP($L9,Vloersoorten[],3,FALSE)*VLOOKUP($X9,Frequenties[],3,FALSE)*VLOOKUP(Ruimtestaat[[#This Row],[Code]],Locaties[],3,FALSE),0)</f>
        <v>0</v>
      </c>
      <c r="AA9" s="104">
        <f>Ruimtestaat[[#This Row],[Uitvoeringen weekend]]*Ruimtestaat[[#This Row],[Oppervlak (netto)]]</f>
        <v>0</v>
      </c>
      <c r="AB9" s="104">
        <f>IF(Z9&gt;0,Ruimtestaat[[#This Row],[Prest. (m2 /jaar) weekend]]/Ruimtestaat[[#This Row],[Norm (m2/uur) weekend]],0)</f>
        <v>0</v>
      </c>
      <c r="AC9" s="171">
        <f>Ruimtestaat[[#This Row],[uren / jaar weekend]]*Tariefsopbouw!$D$40</f>
        <v>0</v>
      </c>
      <c r="AD9" s="170">
        <f>Ruimtestaat[[#This Row],[Prest. (m2 /jaar) weekend]]+Ruimtestaat[[#This Row],[Prest. (m2 /jaar) werkdagen]]</f>
        <v>13000</v>
      </c>
      <c r="AE9" s="170">
        <f>Ruimtestaat[[#This Row],[uren / jaar weekend]]+Ruimtestaat[[#This Row],[uren / jaar werkdagen]]</f>
        <v>0</v>
      </c>
      <c r="AF9" s="76">
        <f>Ruimtestaat[[#This Row],[kosten / jaar weekend]]+Ruimtestaat[[#This Row],[kosten / jaar werkdagen]]</f>
        <v>0</v>
      </c>
      <c r="AG9" s="76"/>
      <c r="AH9" s="272" t="str">
        <f>IF(Ruimtestaat[[#This Row],[Frequentie werkdagen]]="","",_xlfn.CONCAT(Ruimtestaat[[#This Row],[Ruimte code]],"-",Ruimtestaat[[#This Row],[Frequentie werkdagen]]," ",Ruimtestaat[[#This Row],[Vloer code]]))</f>
        <v>16-5w L</v>
      </c>
      <c r="AI9" s="310" t="str">
        <f>_xlfn.IFNA(VLOOKUP($AH9,Programma!$F$3:$G$1107,2,0),"")</f>
        <v>_</v>
      </c>
      <c r="AJ9" s="310" t="str">
        <f>_xlfn.IFNA(VLOOKUP($AH9,Programma!$F$3:$H$1107,3,0),"")</f>
        <v>_</v>
      </c>
      <c r="AK9" s="310" t="str">
        <f>_xlfn.IFNA(VLOOKUP($AH9,Programma!$F$3:$I$1107,4,0),"")</f>
        <v>4w</v>
      </c>
      <c r="AL9" s="310" t="str">
        <f>_xlfn.IFNA(VLOOKUP($AH9,Programma!$F$3:$J$1107,5,0),"")</f>
        <v>1w</v>
      </c>
      <c r="AM9" s="310" t="str">
        <f>_xlfn.IFNA(VLOOKUP($AH9,Programma!$F$3:$K$1107,6,0),"")</f>
        <v>_</v>
      </c>
      <c r="AN9" s="310" t="str">
        <f>_xlfn.IFNA(VLOOKUP($AH9,Programma!$F$3:$L$1107,7,0),"")</f>
        <v>_</v>
      </c>
      <c r="AO9" s="310" t="str">
        <f>_xlfn.IFNA(VLOOKUP($AH9,Programma!$F$3:$M$1107,8,0),"")</f>
        <v>_</v>
      </c>
      <c r="AP9" s="310" t="str">
        <f>_xlfn.IFNA(VLOOKUP($AH9,Programma!$F$3:$N$1107,9,0),"")</f>
        <v>_</v>
      </c>
      <c r="AQ9" s="310" t="str">
        <f>_xlfn.IFNA(VLOOKUP($AH9,Programma!$F$3:$O$1107,10,0),"")</f>
        <v>5w</v>
      </c>
      <c r="AR9" s="310" t="str">
        <f>_xlfn.IFNA(VLOOKUP($AH9,Programma!$F$3:$P$1107,11,0),"")</f>
        <v>5w</v>
      </c>
      <c r="AS9" s="310" t="str">
        <f>_xlfn.IFNA(VLOOKUP($AH9,Programma!$F$3:$Q$1107,12,0),"")</f>
        <v>1w</v>
      </c>
      <c r="AT9" s="310" t="str">
        <f>_xlfn.IFNA(VLOOKUP($AH9,Programma!$F$3:$R$1107,13,0),"")</f>
        <v>1w</v>
      </c>
      <c r="AU9" s="310" t="str">
        <f>_xlfn.IFNA(VLOOKUP($AH9,Programma!$F$3:$S$1107,14,0),"")</f>
        <v>1m</v>
      </c>
      <c r="AV9" s="310" t="str">
        <f>_xlfn.IFNA(VLOOKUP($AH9,Programma!$F$3:$T$1107,15,0),"")</f>
        <v>2j</v>
      </c>
      <c r="AW9" s="310" t="str">
        <f>_xlfn.IFNA(VLOOKUP($AH9,Programma!$F$3:$U$1107,16,0),"")</f>
        <v>1j</v>
      </c>
      <c r="AX9" s="310" t="str">
        <f>_xlfn.IFNA(VLOOKUP($AH9,Programma!$F$3:$V$1107,17,0),"")</f>
        <v>_</v>
      </c>
      <c r="AY9" s="310" t="str">
        <f>_xlfn.IFNA(VLOOKUP($AH9,Programma!$F$3:$W$1107,18,0),"")</f>
        <v>_</v>
      </c>
      <c r="AZ9" s="310" t="str">
        <f>_xlfn.IFNA(VLOOKUP($AH9,Programma!$F$3:$X$1107,19,0),"")</f>
        <v>_</v>
      </c>
      <c r="BA9" s="310" t="str">
        <f>_xlfn.IFNA(VLOOKUP($AH9,Programma!$F$3:$Y$1107,20,0),"")</f>
        <v>_</v>
      </c>
      <c r="BB9" s="273"/>
      <c r="BC9" s="272" t="str">
        <f>IF(Ruimtestaat[[#This Row],[Frequentie weekend]]="","",_xlfn.CONCAT(Ruimtestaat[[#This Row],[Ruimte code]],"-",Ruimtestaat[[#This Row],[Frequentie weekend]]," ",Ruimtestaat[[#This Row],[Vloer code]]))</f>
        <v/>
      </c>
      <c r="BD9" s="310" t="str">
        <f>_xlfn.IFNA(VLOOKUP($BC9,Programma!$F$3:$G$1107,2,0),"")</f>
        <v/>
      </c>
      <c r="BE9" s="310" t="str">
        <f>_xlfn.IFNA(VLOOKUP($BC9,Programma!$F$3:$H$1107,3,0),"")</f>
        <v/>
      </c>
      <c r="BF9" s="310" t="str">
        <f>_xlfn.IFNA(VLOOKUP($BC9,Programma!$F$3:$I$1107,4,0),"")</f>
        <v/>
      </c>
      <c r="BG9" s="310" t="str">
        <f>_xlfn.IFNA(VLOOKUP($BC9,Programma!$F$3:$J$1107,5,0),"")</f>
        <v/>
      </c>
      <c r="BH9" s="310" t="str">
        <f>_xlfn.IFNA(VLOOKUP($BC9,Programma!$F$3:$K$1107,6,0),"")</f>
        <v/>
      </c>
      <c r="BI9" s="310" t="str">
        <f>_xlfn.IFNA(VLOOKUP($BC9,Programma!$F$3:$L$1107,7,0),"")</f>
        <v/>
      </c>
      <c r="BJ9" s="310" t="str">
        <f>_xlfn.IFNA(VLOOKUP($BC9,Programma!$F$3:$M$1107,8,0),"")</f>
        <v/>
      </c>
      <c r="BK9" s="310" t="str">
        <f>_xlfn.IFNA(VLOOKUP($BC9,Programma!$F$3:$N$1107,9,0),"")</f>
        <v/>
      </c>
      <c r="BL9" s="310" t="str">
        <f>_xlfn.IFNA(VLOOKUP($BC9,Programma!$F$3:$O$1107,10,0),"")</f>
        <v/>
      </c>
      <c r="BM9" s="310" t="str">
        <f>_xlfn.IFNA(VLOOKUP($BC9,Programma!$F$3:$P$1107,11,0),"")</f>
        <v/>
      </c>
      <c r="BN9" s="310" t="str">
        <f>_xlfn.IFNA(VLOOKUP($BC9,Programma!$F$3:$Q$1107,12,0),"")</f>
        <v/>
      </c>
      <c r="BO9" s="310" t="str">
        <f>_xlfn.IFNA(VLOOKUP($BC9,Programma!$F$3:$R$1107,13,0),"")</f>
        <v/>
      </c>
      <c r="BP9" s="310" t="str">
        <f>_xlfn.IFNA(VLOOKUP($BC9,Programma!$F$3:$S$1107,14,0),"")</f>
        <v/>
      </c>
      <c r="BQ9" s="310" t="str">
        <f>_xlfn.IFNA(VLOOKUP($BC9,Programma!$F$3:$T$1107,15,0),"")</f>
        <v/>
      </c>
      <c r="BR9" s="310" t="str">
        <f>_xlfn.IFNA(VLOOKUP($BC9,Programma!$F$3:$U$1107,16,0),"")</f>
        <v/>
      </c>
      <c r="BS9" s="310" t="str">
        <f>_xlfn.IFNA(VLOOKUP($BC9,Programma!$F$3:$V$1107,17,0),"")</f>
        <v/>
      </c>
      <c r="BT9" s="310" t="str">
        <f>_xlfn.IFNA(VLOOKUP($BC9,Programma!$F$3:$W$1107,18,0),"")</f>
        <v/>
      </c>
      <c r="BU9" s="310" t="str">
        <f>_xlfn.IFNA(VLOOKUP($BC9,Programma!$F$3:$X$1107,19,0),"")</f>
        <v/>
      </c>
      <c r="BV9" s="310" t="str">
        <f>_xlfn.IFNA(VLOOKUP($BC9,Programma!$F$3:$Y$1107,20,0),"")</f>
        <v/>
      </c>
    </row>
    <row r="10" spans="1:74" ht="15" customHeight="1">
      <c r="A10" s="33">
        <v>1</v>
      </c>
      <c r="B10" s="173" t="s">
        <v>1619</v>
      </c>
      <c r="C10" s="173" t="str">
        <f>VLOOKUP(Ruimtestaat[[#This Row],[Code]],Locaties[[#All],[Code]:[Adres]],4,FALSE)</f>
        <v>Stationslaan 26</v>
      </c>
      <c r="D10" s="173" t="str">
        <f>VLOOKUP(Ruimtestaat[[#This Row],[Code]],Locaties[[#All],[Code]:[Postcode]],5,FALSE)</f>
        <v>3842 LA</v>
      </c>
      <c r="E10" s="173" t="str">
        <f>VLOOKUP(Ruimtestaat[[#This Row],[Code]],Locaties[#All],6,FALSE)</f>
        <v>Harderwijk</v>
      </c>
      <c r="F10" s="21" t="s">
        <v>1620</v>
      </c>
      <c r="G10" s="33" t="s">
        <v>1612</v>
      </c>
      <c r="H10" s="311" t="s">
        <v>1638</v>
      </c>
      <c r="I10" s="312" t="s">
        <v>1615</v>
      </c>
      <c r="J10" s="21">
        <v>16</v>
      </c>
      <c r="K10" s="69" t="str">
        <f>VLOOKUP(Ruimtestaat[[#This Row],[Ruimte code]],Ruimtegroepen[[#All],[Code]:[Ruimte omschrijving]],2,FALSE)</f>
        <v>Leslokalen</v>
      </c>
      <c r="L10" s="33" t="s">
        <v>101</v>
      </c>
      <c r="M10" s="312" t="s">
        <v>1804</v>
      </c>
      <c r="N10" s="148">
        <v>37</v>
      </c>
      <c r="O10" s="150"/>
      <c r="P10" s="134" t="str">
        <f>VLOOKUP(Ruimtestaat[[#This Row],[Ruimte code]],Ruimtegroepen[],4,FALSE)</f>
        <v>Le</v>
      </c>
      <c r="Q10" s="33">
        <v>40</v>
      </c>
      <c r="R10" s="33" t="s">
        <v>2</v>
      </c>
      <c r="S10" s="33">
        <f>IF(Q10&gt;0,IF(RIGHT(Ruimtestaat[[#This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 s="33">
        <f>IF(S10&gt;0,VLOOKUP($J10,Ruimtegroepen[],3,FALSE)*VLOOKUP($L10,Vloersoorten[],3,FALSE)*VLOOKUP($R10,Frequenties[],3,FALSE)*VLOOKUP($A10,Locaties[],3,FALSE),0)</f>
        <v>0</v>
      </c>
      <c r="U10" s="33">
        <f>Ruimtestaat[[#This Row],[Uitvoeringen werkdagen]]*Ruimtestaat[[#This Row],[Oppervlak (netto)]]</f>
        <v>7400</v>
      </c>
      <c r="V10" s="170">
        <f>IF(T10&gt;0,Ruimtestaat[[#This Row],[Prest. (m2 /jaar) werkdagen]]/Ruimtestaat[[#This Row],[Norm (m2/uur) werkdagen]],0)</f>
        <v>0</v>
      </c>
      <c r="W10" s="171">
        <f>Ruimtestaat[[#This Row],[uren / jaar werkdagen]]*Tariefsopbouw!$E$35</f>
        <v>0</v>
      </c>
      <c r="X10" s="33"/>
      <c r="Y10" s="33">
        <f>IF(Ruimtestaat[[#This Row],[Frequentie weekend]]&gt;0,VALUE(LEFT(X10,1))*Q10,0)</f>
        <v>0</v>
      </c>
      <c r="Z10" s="104">
        <f>IF($Y10&gt;0,VLOOKUP($J10,Ruimtegroepen[],3,FALSE)*VLOOKUP($L10,Vloersoorten[],3,FALSE)*VLOOKUP($X10,Frequenties[],3,FALSE)*VLOOKUP(Ruimtestaat[[#This Row],[Code]],Locaties[],3,FALSE),0)</f>
        <v>0</v>
      </c>
      <c r="AA10" s="104">
        <f>Ruimtestaat[[#This Row],[Uitvoeringen weekend]]*Ruimtestaat[[#This Row],[Oppervlak (netto)]]</f>
        <v>0</v>
      </c>
      <c r="AB10" s="104">
        <f>IF(Z10&gt;0,Ruimtestaat[[#This Row],[Prest. (m2 /jaar) weekend]]/Ruimtestaat[[#This Row],[Norm (m2/uur) weekend]],0)</f>
        <v>0</v>
      </c>
      <c r="AC10" s="171">
        <f>Ruimtestaat[[#This Row],[uren / jaar weekend]]*Tariefsopbouw!$D$40</f>
        <v>0</v>
      </c>
      <c r="AD10" s="170">
        <f>Ruimtestaat[[#This Row],[Prest. (m2 /jaar) weekend]]+Ruimtestaat[[#This Row],[Prest. (m2 /jaar) werkdagen]]</f>
        <v>7400</v>
      </c>
      <c r="AE10" s="170">
        <f>Ruimtestaat[[#This Row],[uren / jaar weekend]]+Ruimtestaat[[#This Row],[uren / jaar werkdagen]]</f>
        <v>0</v>
      </c>
      <c r="AF10" s="76">
        <f>Ruimtestaat[[#This Row],[kosten / jaar weekend]]+Ruimtestaat[[#This Row],[kosten / jaar werkdagen]]</f>
        <v>0</v>
      </c>
      <c r="AG10" s="76"/>
      <c r="AH10" s="272" t="str">
        <f>IF(Ruimtestaat[[#This Row],[Frequentie werkdagen]]="","",_xlfn.CONCAT(Ruimtestaat[[#This Row],[Ruimte code]],"-",Ruimtestaat[[#This Row],[Frequentie werkdagen]]," ",Ruimtestaat[[#This Row],[Vloer code]]))</f>
        <v>16-5w L</v>
      </c>
      <c r="AI10" s="310" t="str">
        <f>_xlfn.IFNA(VLOOKUP($AH10,Programma!$F$3:$G$1107,2,0),"")</f>
        <v>_</v>
      </c>
      <c r="AJ10" s="310" t="str">
        <f>_xlfn.IFNA(VLOOKUP($AH10,Programma!$F$3:$H$1107,3,0),"")</f>
        <v>_</v>
      </c>
      <c r="AK10" s="310" t="str">
        <f>_xlfn.IFNA(VLOOKUP($AH10,Programma!$F$3:$I$1107,4,0),"")</f>
        <v>4w</v>
      </c>
      <c r="AL10" s="310" t="str">
        <f>_xlfn.IFNA(VLOOKUP($AH10,Programma!$F$3:$J$1107,5,0),"")</f>
        <v>1w</v>
      </c>
      <c r="AM10" s="310" t="str">
        <f>_xlfn.IFNA(VLOOKUP($AH10,Programma!$F$3:$K$1107,6,0),"")</f>
        <v>_</v>
      </c>
      <c r="AN10" s="310" t="str">
        <f>_xlfn.IFNA(VLOOKUP($AH10,Programma!$F$3:$L$1107,7,0),"")</f>
        <v>_</v>
      </c>
      <c r="AO10" s="310" t="str">
        <f>_xlfn.IFNA(VLOOKUP($AH10,Programma!$F$3:$M$1107,8,0),"")</f>
        <v>_</v>
      </c>
      <c r="AP10" s="310" t="str">
        <f>_xlfn.IFNA(VLOOKUP($AH10,Programma!$F$3:$N$1107,9,0),"")</f>
        <v>_</v>
      </c>
      <c r="AQ10" s="310" t="str">
        <f>_xlfn.IFNA(VLOOKUP($AH10,Programma!$F$3:$O$1107,10,0),"")</f>
        <v>5w</v>
      </c>
      <c r="AR10" s="310" t="str">
        <f>_xlfn.IFNA(VLOOKUP($AH10,Programma!$F$3:$P$1107,11,0),"")</f>
        <v>5w</v>
      </c>
      <c r="AS10" s="310" t="str">
        <f>_xlfn.IFNA(VLOOKUP($AH10,Programma!$F$3:$Q$1107,12,0),"")</f>
        <v>1w</v>
      </c>
      <c r="AT10" s="310" t="str">
        <f>_xlfn.IFNA(VLOOKUP($AH10,Programma!$F$3:$R$1107,13,0),"")</f>
        <v>1w</v>
      </c>
      <c r="AU10" s="310" t="str">
        <f>_xlfn.IFNA(VLOOKUP($AH10,Programma!$F$3:$S$1107,14,0),"")</f>
        <v>1m</v>
      </c>
      <c r="AV10" s="310" t="str">
        <f>_xlfn.IFNA(VLOOKUP($AH10,Programma!$F$3:$T$1107,15,0),"")</f>
        <v>2j</v>
      </c>
      <c r="AW10" s="310" t="str">
        <f>_xlfn.IFNA(VLOOKUP($AH10,Programma!$F$3:$U$1107,16,0),"")</f>
        <v>1j</v>
      </c>
      <c r="AX10" s="310" t="str">
        <f>_xlfn.IFNA(VLOOKUP($AH10,Programma!$F$3:$V$1107,17,0),"")</f>
        <v>_</v>
      </c>
      <c r="AY10" s="310" t="str">
        <f>_xlfn.IFNA(VLOOKUP($AH10,Programma!$F$3:$W$1107,18,0),"")</f>
        <v>_</v>
      </c>
      <c r="AZ10" s="310" t="str">
        <f>_xlfn.IFNA(VLOOKUP($AH10,Programma!$F$3:$X$1107,19,0),"")</f>
        <v>_</v>
      </c>
      <c r="BA10" s="310" t="str">
        <f>_xlfn.IFNA(VLOOKUP($AH10,Programma!$F$3:$Y$1107,20,0),"")</f>
        <v>_</v>
      </c>
      <c r="BB10" s="273"/>
      <c r="BC10" s="272" t="str">
        <f>IF(Ruimtestaat[[#This Row],[Frequentie weekend]]="","",_xlfn.CONCAT(Ruimtestaat[[#This Row],[Ruimte code]],"-",Ruimtestaat[[#This Row],[Frequentie weekend]]," ",Ruimtestaat[[#This Row],[Vloer code]]))</f>
        <v/>
      </c>
      <c r="BD10" s="310" t="str">
        <f>_xlfn.IFNA(VLOOKUP($BC10,Programma!$F$3:$G$1107,2,0),"")</f>
        <v/>
      </c>
      <c r="BE10" s="310" t="str">
        <f>_xlfn.IFNA(VLOOKUP($BC10,Programma!$F$3:$H$1107,3,0),"")</f>
        <v/>
      </c>
      <c r="BF10" s="310" t="str">
        <f>_xlfn.IFNA(VLOOKUP($BC10,Programma!$F$3:$I$1107,4,0),"")</f>
        <v/>
      </c>
      <c r="BG10" s="310" t="str">
        <f>_xlfn.IFNA(VLOOKUP($BC10,Programma!$F$3:$J$1107,5,0),"")</f>
        <v/>
      </c>
      <c r="BH10" s="310" t="str">
        <f>_xlfn.IFNA(VLOOKUP($BC10,Programma!$F$3:$K$1107,6,0),"")</f>
        <v/>
      </c>
      <c r="BI10" s="310" t="str">
        <f>_xlfn.IFNA(VLOOKUP($BC10,Programma!$F$3:$L$1107,7,0),"")</f>
        <v/>
      </c>
      <c r="BJ10" s="310" t="str">
        <f>_xlfn.IFNA(VLOOKUP($BC10,Programma!$F$3:$M$1107,8,0),"")</f>
        <v/>
      </c>
      <c r="BK10" s="310" t="str">
        <f>_xlfn.IFNA(VLOOKUP($BC10,Programma!$F$3:$N$1107,9,0),"")</f>
        <v/>
      </c>
      <c r="BL10" s="310" t="str">
        <f>_xlfn.IFNA(VLOOKUP($BC10,Programma!$F$3:$O$1107,10,0),"")</f>
        <v/>
      </c>
      <c r="BM10" s="310" t="str">
        <f>_xlfn.IFNA(VLOOKUP($BC10,Programma!$F$3:$P$1107,11,0),"")</f>
        <v/>
      </c>
      <c r="BN10" s="310" t="str">
        <f>_xlfn.IFNA(VLOOKUP($BC10,Programma!$F$3:$Q$1107,12,0),"")</f>
        <v/>
      </c>
      <c r="BO10" s="310" t="str">
        <f>_xlfn.IFNA(VLOOKUP($BC10,Programma!$F$3:$R$1107,13,0),"")</f>
        <v/>
      </c>
      <c r="BP10" s="310" t="str">
        <f>_xlfn.IFNA(VLOOKUP($BC10,Programma!$F$3:$S$1107,14,0),"")</f>
        <v/>
      </c>
      <c r="BQ10" s="310" t="str">
        <f>_xlfn.IFNA(VLOOKUP($BC10,Programma!$F$3:$T$1107,15,0),"")</f>
        <v/>
      </c>
      <c r="BR10" s="310" t="str">
        <f>_xlfn.IFNA(VLOOKUP($BC10,Programma!$F$3:$U$1107,16,0),"")</f>
        <v/>
      </c>
      <c r="BS10" s="310" t="str">
        <f>_xlfn.IFNA(VLOOKUP($BC10,Programma!$F$3:$V$1107,17,0),"")</f>
        <v/>
      </c>
      <c r="BT10" s="310" t="str">
        <f>_xlfn.IFNA(VLOOKUP($BC10,Programma!$F$3:$W$1107,18,0),"")</f>
        <v/>
      </c>
      <c r="BU10" s="310" t="str">
        <f>_xlfn.IFNA(VLOOKUP($BC10,Programma!$F$3:$X$1107,19,0),"")</f>
        <v/>
      </c>
      <c r="BV10" s="310" t="str">
        <f>_xlfn.IFNA(VLOOKUP($BC10,Programma!$F$3:$Y$1107,20,0),"")</f>
        <v/>
      </c>
    </row>
    <row r="11" spans="1:74" ht="15" customHeight="1">
      <c r="A11" s="33">
        <v>1</v>
      </c>
      <c r="B11" s="173" t="s">
        <v>1619</v>
      </c>
      <c r="C11" s="173" t="str">
        <f>VLOOKUP(Ruimtestaat[[#This Row],[Code]],Locaties[[#All],[Code]:[Adres]],4,FALSE)</f>
        <v>Stationslaan 26</v>
      </c>
      <c r="D11" s="173" t="str">
        <f>VLOOKUP(Ruimtestaat[[#This Row],[Code]],Locaties[[#All],[Code]:[Postcode]],5,FALSE)</f>
        <v>3842 LA</v>
      </c>
      <c r="E11" s="173" t="str">
        <f>VLOOKUP(Ruimtestaat[[#This Row],[Code]],Locaties[#All],6,FALSE)</f>
        <v>Harderwijk</v>
      </c>
      <c r="F11" s="21" t="s">
        <v>1620</v>
      </c>
      <c r="G11" s="33" t="s">
        <v>1612</v>
      </c>
      <c r="H11" s="311"/>
      <c r="I11" s="312" t="s">
        <v>1782</v>
      </c>
      <c r="J11" s="21">
        <v>1</v>
      </c>
      <c r="K11" s="69" t="str">
        <f>VLOOKUP(Ruimtestaat[[#This Row],[Ruimte code]],Ruimtegroepen[[#All],[Code]:[Ruimte omschrijving]],2,FALSE)</f>
        <v>Magazijnen/bergingen</v>
      </c>
      <c r="L11" s="33" t="s">
        <v>101</v>
      </c>
      <c r="M11" s="312" t="s">
        <v>1804</v>
      </c>
      <c r="N11" s="148">
        <v>17</v>
      </c>
      <c r="O11" s="150"/>
      <c r="P11" s="134" t="str">
        <f>VLOOKUP(Ruimtestaat[[#This Row],[Ruimte code]],Ruimtegroepen[],4,FALSE)</f>
        <v>Ve</v>
      </c>
      <c r="Q11" s="33">
        <v>40</v>
      </c>
      <c r="R11" s="33" t="s">
        <v>16</v>
      </c>
      <c r="S11" s="33">
        <f>IF(Q11&gt;0,IF(RIGHT(Ruimtestaat[[#This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1" s="33">
        <f>IF(S11&gt;0,VLOOKUP($J11,Ruimtegroepen[],3,FALSE)*VLOOKUP($L11,Vloersoorten[],3,FALSE)*VLOOKUP($R11,Frequenties[],3,FALSE)*VLOOKUP($A11,Locaties[],3,FALSE),0)</f>
        <v>0</v>
      </c>
      <c r="U11" s="33">
        <f>Ruimtestaat[[#This Row],[Uitvoeringen werkdagen]]*Ruimtestaat[[#This Row],[Oppervlak (netto)]]</f>
        <v>204</v>
      </c>
      <c r="V11" s="170">
        <f>IF(T11&gt;0,Ruimtestaat[[#This Row],[Prest. (m2 /jaar) werkdagen]]/Ruimtestaat[[#This Row],[Norm (m2/uur) werkdagen]],0)</f>
        <v>0</v>
      </c>
      <c r="W11" s="171">
        <f>Ruimtestaat[[#This Row],[uren / jaar werkdagen]]*Tariefsopbouw!$E$35</f>
        <v>0</v>
      </c>
      <c r="X11" s="33"/>
      <c r="Y11" s="33">
        <f>IF(Ruimtestaat[[#This Row],[Frequentie weekend]]&gt;0,VALUE(LEFT(X11,1))*Q11,0)</f>
        <v>0</v>
      </c>
      <c r="Z11" s="104">
        <f>IF($Y11&gt;0,VLOOKUP($J11,Ruimtegroepen[],3,FALSE)*VLOOKUP($L11,Vloersoorten[],3,FALSE)*VLOOKUP($X11,Frequenties[],3,FALSE)*VLOOKUP(Ruimtestaat[[#This Row],[Code]],Locaties[],3,FALSE),0)</f>
        <v>0</v>
      </c>
      <c r="AA11" s="104">
        <f>Ruimtestaat[[#This Row],[Uitvoeringen weekend]]*Ruimtestaat[[#This Row],[Oppervlak (netto)]]</f>
        <v>0</v>
      </c>
      <c r="AB11" s="104">
        <f>IF(Z11&gt;0,Ruimtestaat[[#This Row],[Prest. (m2 /jaar) weekend]]/Ruimtestaat[[#This Row],[Norm (m2/uur) weekend]],0)</f>
        <v>0</v>
      </c>
      <c r="AC11" s="171">
        <f>Ruimtestaat[[#This Row],[uren / jaar weekend]]*Tariefsopbouw!$D$40</f>
        <v>0</v>
      </c>
      <c r="AD11" s="170">
        <f>Ruimtestaat[[#This Row],[Prest. (m2 /jaar) weekend]]+Ruimtestaat[[#This Row],[Prest. (m2 /jaar) werkdagen]]</f>
        <v>204</v>
      </c>
      <c r="AE11" s="170">
        <f>Ruimtestaat[[#This Row],[uren / jaar weekend]]+Ruimtestaat[[#This Row],[uren / jaar werkdagen]]</f>
        <v>0</v>
      </c>
      <c r="AF11" s="76">
        <f>Ruimtestaat[[#This Row],[kosten / jaar weekend]]+Ruimtestaat[[#This Row],[kosten / jaar werkdagen]]</f>
        <v>0</v>
      </c>
      <c r="AG11" s="76"/>
      <c r="AH11" s="272" t="str">
        <f>IF(Ruimtestaat[[#This Row],[Frequentie werkdagen]]="","",_xlfn.CONCAT(Ruimtestaat[[#This Row],[Ruimte code]],"-",Ruimtestaat[[#This Row],[Frequentie werkdagen]]," ",Ruimtestaat[[#This Row],[Vloer code]]))</f>
        <v>1-1m L</v>
      </c>
      <c r="AI11" s="310" t="str">
        <f>_xlfn.IFNA(VLOOKUP($AH11,Programma!$F$3:$G$1107,2,0),"")</f>
        <v>_</v>
      </c>
      <c r="AJ11" s="310" t="str">
        <f>_xlfn.IFNA(VLOOKUP($AH11,Programma!$F$3:$H$1107,3,0),"")</f>
        <v>_</v>
      </c>
      <c r="AK11" s="310" t="str">
        <f>_xlfn.IFNA(VLOOKUP($AH11,Programma!$F$3:$I$1107,4,0),"")</f>
        <v>1m</v>
      </c>
      <c r="AL11" s="310" t="str">
        <f>_xlfn.IFNA(VLOOKUP($AH11,Programma!$F$3:$J$1107,5,0),"")</f>
        <v>1m</v>
      </c>
      <c r="AM11" s="310" t="str">
        <f>_xlfn.IFNA(VLOOKUP($AH11,Programma!$F$3:$K$1107,6,0),"")</f>
        <v>_</v>
      </c>
      <c r="AN11" s="310" t="str">
        <f>_xlfn.IFNA(VLOOKUP($AH11,Programma!$F$3:$L$1107,7,0),"")</f>
        <v>_</v>
      </c>
      <c r="AO11" s="310" t="str">
        <f>_xlfn.IFNA(VLOOKUP($AH11,Programma!$F$3:$M$1107,8,0),"")</f>
        <v>_</v>
      </c>
      <c r="AP11" s="310" t="str">
        <f>_xlfn.IFNA(VLOOKUP($AH11,Programma!$F$3:$N$1107,9,0),"")</f>
        <v>_</v>
      </c>
      <c r="AQ11" s="310" t="str">
        <f>_xlfn.IFNA(VLOOKUP($AH11,Programma!$F$3:$O$1107,10,0),"")</f>
        <v>_</v>
      </c>
      <c r="AR11" s="310" t="str">
        <f>_xlfn.IFNA(VLOOKUP($AH11,Programma!$F$3:$P$1107,11,0),"")</f>
        <v>_</v>
      </c>
      <c r="AS11" s="310" t="str">
        <f>_xlfn.IFNA(VLOOKUP($AH11,Programma!$F$3:$Q$1107,12,0),"")</f>
        <v>_</v>
      </c>
      <c r="AT11" s="310" t="str">
        <f>_xlfn.IFNA(VLOOKUP($AH11,Programma!$F$3:$R$1107,13,0),"")</f>
        <v>_</v>
      </c>
      <c r="AU11" s="310" t="str">
        <f>_xlfn.IFNA(VLOOKUP($AH11,Programma!$F$3:$S$1107,14,0),"")</f>
        <v>1m</v>
      </c>
      <c r="AV11" s="310" t="str">
        <f>_xlfn.IFNA(VLOOKUP($AH11,Programma!$F$3:$T$1107,15,0),"")</f>
        <v>4j</v>
      </c>
      <c r="AW11" s="310" t="str">
        <f>_xlfn.IFNA(VLOOKUP($AH11,Programma!$F$3:$U$1107,16,0),"")</f>
        <v>4j</v>
      </c>
      <c r="AX11" s="310" t="str">
        <f>_xlfn.IFNA(VLOOKUP($AH11,Programma!$F$3:$V$1107,17,0),"")</f>
        <v>_</v>
      </c>
      <c r="AY11" s="310" t="str">
        <f>_xlfn.IFNA(VLOOKUP($AH11,Programma!$F$3:$W$1107,18,0),"")</f>
        <v>_</v>
      </c>
      <c r="AZ11" s="310" t="str">
        <f>_xlfn.IFNA(VLOOKUP($AH11,Programma!$F$3:$X$1107,19,0),"")</f>
        <v>_</v>
      </c>
      <c r="BA11" s="310" t="str">
        <f>_xlfn.IFNA(VLOOKUP($AH11,Programma!$F$3:$Y$1107,20,0),"")</f>
        <v>_</v>
      </c>
      <c r="BB11" s="273"/>
      <c r="BC11" s="272" t="str">
        <f>IF(Ruimtestaat[[#This Row],[Frequentie weekend]]="","",_xlfn.CONCAT(Ruimtestaat[[#This Row],[Ruimte code]],"-",Ruimtestaat[[#This Row],[Frequentie weekend]]," ",Ruimtestaat[[#This Row],[Vloer code]]))</f>
        <v/>
      </c>
      <c r="BD11" s="310" t="str">
        <f>_xlfn.IFNA(VLOOKUP($BC11,Programma!$F$3:$G$1107,2,0),"")</f>
        <v/>
      </c>
      <c r="BE11" s="310" t="str">
        <f>_xlfn.IFNA(VLOOKUP($BC11,Programma!$F$3:$H$1107,3,0),"")</f>
        <v/>
      </c>
      <c r="BF11" s="310" t="str">
        <f>_xlfn.IFNA(VLOOKUP($BC11,Programma!$F$3:$I$1107,4,0),"")</f>
        <v/>
      </c>
      <c r="BG11" s="310" t="str">
        <f>_xlfn.IFNA(VLOOKUP($BC11,Programma!$F$3:$J$1107,5,0),"")</f>
        <v/>
      </c>
      <c r="BH11" s="310" t="str">
        <f>_xlfn.IFNA(VLOOKUP($BC11,Programma!$F$3:$K$1107,6,0),"")</f>
        <v/>
      </c>
      <c r="BI11" s="310" t="str">
        <f>_xlfn.IFNA(VLOOKUP($BC11,Programma!$F$3:$L$1107,7,0),"")</f>
        <v/>
      </c>
      <c r="BJ11" s="310" t="str">
        <f>_xlfn.IFNA(VLOOKUP($BC11,Programma!$F$3:$M$1107,8,0),"")</f>
        <v/>
      </c>
      <c r="BK11" s="310" t="str">
        <f>_xlfn.IFNA(VLOOKUP($BC11,Programma!$F$3:$N$1107,9,0),"")</f>
        <v/>
      </c>
      <c r="BL11" s="310" t="str">
        <f>_xlfn.IFNA(VLOOKUP($BC11,Programma!$F$3:$O$1107,10,0),"")</f>
        <v/>
      </c>
      <c r="BM11" s="310" t="str">
        <f>_xlfn.IFNA(VLOOKUP($BC11,Programma!$F$3:$P$1107,11,0),"")</f>
        <v/>
      </c>
      <c r="BN11" s="310" t="str">
        <f>_xlfn.IFNA(VLOOKUP($BC11,Programma!$F$3:$Q$1107,12,0),"")</f>
        <v/>
      </c>
      <c r="BO11" s="310" t="str">
        <f>_xlfn.IFNA(VLOOKUP($BC11,Programma!$F$3:$R$1107,13,0),"")</f>
        <v/>
      </c>
      <c r="BP11" s="310" t="str">
        <f>_xlfn.IFNA(VLOOKUP($BC11,Programma!$F$3:$S$1107,14,0),"")</f>
        <v/>
      </c>
      <c r="BQ11" s="310" t="str">
        <f>_xlfn.IFNA(VLOOKUP($BC11,Programma!$F$3:$T$1107,15,0),"")</f>
        <v/>
      </c>
      <c r="BR11" s="310" t="str">
        <f>_xlfn.IFNA(VLOOKUP($BC11,Programma!$F$3:$U$1107,16,0),"")</f>
        <v/>
      </c>
      <c r="BS11" s="310" t="str">
        <f>_xlfn.IFNA(VLOOKUP($BC11,Programma!$F$3:$V$1107,17,0),"")</f>
        <v/>
      </c>
      <c r="BT11" s="310" t="str">
        <f>_xlfn.IFNA(VLOOKUP($BC11,Programma!$F$3:$W$1107,18,0),"")</f>
        <v/>
      </c>
      <c r="BU11" s="310" t="str">
        <f>_xlfn.IFNA(VLOOKUP($BC11,Programma!$F$3:$X$1107,19,0),"")</f>
        <v/>
      </c>
      <c r="BV11" s="310" t="str">
        <f>_xlfn.IFNA(VLOOKUP($BC11,Programma!$F$3:$Y$1107,20,0),"")</f>
        <v/>
      </c>
    </row>
    <row r="12" spans="1:74" ht="15" customHeight="1">
      <c r="A12" s="33">
        <v>1</v>
      </c>
      <c r="B12" s="173" t="s">
        <v>1619</v>
      </c>
      <c r="C12" s="173" t="str">
        <f>VLOOKUP(Ruimtestaat[[#This Row],[Code]],Locaties[[#All],[Code]:[Adres]],4,FALSE)</f>
        <v>Stationslaan 26</v>
      </c>
      <c r="D12" s="173" t="str">
        <f>VLOOKUP(Ruimtestaat[[#This Row],[Code]],Locaties[[#All],[Code]:[Postcode]],5,FALSE)</f>
        <v>3842 LA</v>
      </c>
      <c r="E12" s="173" t="str">
        <f>VLOOKUP(Ruimtestaat[[#This Row],[Code]],Locaties[#All],6,FALSE)</f>
        <v>Harderwijk</v>
      </c>
      <c r="F12" s="21" t="s">
        <v>1620</v>
      </c>
      <c r="G12" s="33" t="s">
        <v>1612</v>
      </c>
      <c r="H12" s="311" t="s">
        <v>1639</v>
      </c>
      <c r="I12" s="312" t="s">
        <v>1615</v>
      </c>
      <c r="J12" s="21">
        <v>16</v>
      </c>
      <c r="K12" s="69" t="str">
        <f>VLOOKUP(Ruimtestaat[[#This Row],[Ruimte code]],Ruimtegroepen[[#All],[Code]:[Ruimte omschrijving]],2,FALSE)</f>
        <v>Leslokalen</v>
      </c>
      <c r="L12" s="33" t="s">
        <v>101</v>
      </c>
      <c r="M12" s="312" t="s">
        <v>1804</v>
      </c>
      <c r="N12" s="148">
        <v>65</v>
      </c>
      <c r="O12" s="33"/>
      <c r="P12" s="134" t="str">
        <f>VLOOKUP(Ruimtestaat[[#This Row],[Ruimte code]],Ruimtegroepen[],4,FALSE)</f>
        <v>Le</v>
      </c>
      <c r="Q12" s="33">
        <v>40</v>
      </c>
      <c r="R12" s="33" t="s">
        <v>2</v>
      </c>
      <c r="S12" s="33">
        <f>IF(Q12&gt;0,IF(RIGHT(Ruimtestaat[[#This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 s="33">
        <f>IF(S12&gt;0,VLOOKUP($J12,Ruimtegroepen[],3,FALSE)*VLOOKUP($L12,Vloersoorten[],3,FALSE)*VLOOKUP($R12,Frequenties[],3,FALSE)*VLOOKUP($A12,Locaties[],3,FALSE),0)</f>
        <v>0</v>
      </c>
      <c r="U12" s="33">
        <f>Ruimtestaat[[#This Row],[Uitvoeringen werkdagen]]*Ruimtestaat[[#This Row],[Oppervlak (netto)]]</f>
        <v>13000</v>
      </c>
      <c r="V12" s="170">
        <f>IF(T12&gt;0,Ruimtestaat[[#This Row],[Prest. (m2 /jaar) werkdagen]]/Ruimtestaat[[#This Row],[Norm (m2/uur) werkdagen]],0)</f>
        <v>0</v>
      </c>
      <c r="W12" s="171">
        <f>Ruimtestaat[[#This Row],[uren / jaar werkdagen]]*Tariefsopbouw!$E$35</f>
        <v>0</v>
      </c>
      <c r="X12" s="33"/>
      <c r="Y12" s="33">
        <f>IF(Ruimtestaat[[#This Row],[Frequentie weekend]]&gt;0,VALUE(LEFT(X12,1))*Q12,0)</f>
        <v>0</v>
      </c>
      <c r="Z12" s="104">
        <f>IF($Y12&gt;0,VLOOKUP($J12,Ruimtegroepen[],3,FALSE)*VLOOKUP($L12,Vloersoorten[],3,FALSE)*VLOOKUP($X12,Frequenties[],3,FALSE)*VLOOKUP(Ruimtestaat[[#This Row],[Code]],Locaties[],3,FALSE),0)</f>
        <v>0</v>
      </c>
      <c r="AA12" s="104">
        <f>Ruimtestaat[[#This Row],[Uitvoeringen weekend]]*Ruimtestaat[[#This Row],[Oppervlak (netto)]]</f>
        <v>0</v>
      </c>
      <c r="AB12" s="104">
        <f>IF(Z12&gt;0,Ruimtestaat[[#This Row],[Prest. (m2 /jaar) weekend]]/Ruimtestaat[[#This Row],[Norm (m2/uur) weekend]],0)</f>
        <v>0</v>
      </c>
      <c r="AC12" s="171">
        <f>Ruimtestaat[[#This Row],[uren / jaar weekend]]*Tariefsopbouw!$D$40</f>
        <v>0</v>
      </c>
      <c r="AD12" s="170">
        <f>Ruimtestaat[[#This Row],[Prest. (m2 /jaar) weekend]]+Ruimtestaat[[#This Row],[Prest. (m2 /jaar) werkdagen]]</f>
        <v>13000</v>
      </c>
      <c r="AE12" s="170">
        <f>Ruimtestaat[[#This Row],[uren / jaar weekend]]+Ruimtestaat[[#This Row],[uren / jaar werkdagen]]</f>
        <v>0</v>
      </c>
      <c r="AF12" s="76">
        <f>Ruimtestaat[[#This Row],[kosten / jaar weekend]]+Ruimtestaat[[#This Row],[kosten / jaar werkdagen]]</f>
        <v>0</v>
      </c>
      <c r="AG12" s="76"/>
      <c r="AH12" s="272" t="str">
        <f>IF(Ruimtestaat[[#This Row],[Frequentie werkdagen]]="","",_xlfn.CONCAT(Ruimtestaat[[#This Row],[Ruimte code]],"-",Ruimtestaat[[#This Row],[Frequentie werkdagen]]," ",Ruimtestaat[[#This Row],[Vloer code]]))</f>
        <v>16-5w L</v>
      </c>
      <c r="AI12" s="310" t="str">
        <f>_xlfn.IFNA(VLOOKUP($AH12,Programma!$F$3:$G$1107,2,0),"")</f>
        <v>_</v>
      </c>
      <c r="AJ12" s="310" t="str">
        <f>_xlfn.IFNA(VLOOKUP($AH12,Programma!$F$3:$H$1107,3,0),"")</f>
        <v>_</v>
      </c>
      <c r="AK12" s="310" t="str">
        <f>_xlfn.IFNA(VLOOKUP($AH12,Programma!$F$3:$I$1107,4,0),"")</f>
        <v>4w</v>
      </c>
      <c r="AL12" s="310" t="str">
        <f>_xlfn.IFNA(VLOOKUP($AH12,Programma!$F$3:$J$1107,5,0),"")</f>
        <v>1w</v>
      </c>
      <c r="AM12" s="310" t="str">
        <f>_xlfn.IFNA(VLOOKUP($AH12,Programma!$F$3:$K$1107,6,0),"")</f>
        <v>_</v>
      </c>
      <c r="AN12" s="310" t="str">
        <f>_xlfn.IFNA(VLOOKUP($AH12,Programma!$F$3:$L$1107,7,0),"")</f>
        <v>_</v>
      </c>
      <c r="AO12" s="310" t="str">
        <f>_xlfn.IFNA(VLOOKUP($AH12,Programma!$F$3:$M$1107,8,0),"")</f>
        <v>_</v>
      </c>
      <c r="AP12" s="310" t="str">
        <f>_xlfn.IFNA(VLOOKUP($AH12,Programma!$F$3:$N$1107,9,0),"")</f>
        <v>_</v>
      </c>
      <c r="AQ12" s="310" t="str">
        <f>_xlfn.IFNA(VLOOKUP($AH12,Programma!$F$3:$O$1107,10,0),"")</f>
        <v>5w</v>
      </c>
      <c r="AR12" s="310" t="str">
        <f>_xlfn.IFNA(VLOOKUP($AH12,Programma!$F$3:$P$1107,11,0),"")</f>
        <v>5w</v>
      </c>
      <c r="AS12" s="310" t="str">
        <f>_xlfn.IFNA(VLOOKUP($AH12,Programma!$F$3:$Q$1107,12,0),"")</f>
        <v>1w</v>
      </c>
      <c r="AT12" s="310" t="str">
        <f>_xlfn.IFNA(VLOOKUP($AH12,Programma!$F$3:$R$1107,13,0),"")</f>
        <v>1w</v>
      </c>
      <c r="AU12" s="310" t="str">
        <f>_xlfn.IFNA(VLOOKUP($AH12,Programma!$F$3:$S$1107,14,0),"")</f>
        <v>1m</v>
      </c>
      <c r="AV12" s="310" t="str">
        <f>_xlfn.IFNA(VLOOKUP($AH12,Programma!$F$3:$T$1107,15,0),"")</f>
        <v>2j</v>
      </c>
      <c r="AW12" s="310" t="str">
        <f>_xlfn.IFNA(VLOOKUP($AH12,Programma!$F$3:$U$1107,16,0),"")</f>
        <v>1j</v>
      </c>
      <c r="AX12" s="310" t="str">
        <f>_xlfn.IFNA(VLOOKUP($AH12,Programma!$F$3:$V$1107,17,0),"")</f>
        <v>_</v>
      </c>
      <c r="AY12" s="310" t="str">
        <f>_xlfn.IFNA(VLOOKUP($AH12,Programma!$F$3:$W$1107,18,0),"")</f>
        <v>_</v>
      </c>
      <c r="AZ12" s="310" t="str">
        <f>_xlfn.IFNA(VLOOKUP($AH12,Programma!$F$3:$X$1107,19,0),"")</f>
        <v>_</v>
      </c>
      <c r="BA12" s="310" t="str">
        <f>_xlfn.IFNA(VLOOKUP($AH12,Programma!$F$3:$Y$1107,20,0),"")</f>
        <v>_</v>
      </c>
      <c r="BB12" s="273"/>
      <c r="BC12" s="272" t="str">
        <f>IF(Ruimtestaat[[#This Row],[Frequentie weekend]]="","",_xlfn.CONCAT(Ruimtestaat[[#This Row],[Ruimte code]],"-",Ruimtestaat[[#This Row],[Frequentie weekend]]," ",Ruimtestaat[[#This Row],[Vloer code]]))</f>
        <v/>
      </c>
      <c r="BD12" s="310" t="str">
        <f>_xlfn.IFNA(VLOOKUP($BC12,Programma!$F$3:$G$1107,2,0),"")</f>
        <v/>
      </c>
      <c r="BE12" s="310" t="str">
        <f>_xlfn.IFNA(VLOOKUP($BC12,Programma!$F$3:$H$1107,3,0),"")</f>
        <v/>
      </c>
      <c r="BF12" s="310" t="str">
        <f>_xlfn.IFNA(VLOOKUP($BC12,Programma!$F$3:$I$1107,4,0),"")</f>
        <v/>
      </c>
      <c r="BG12" s="310" t="str">
        <f>_xlfn.IFNA(VLOOKUP($BC12,Programma!$F$3:$J$1107,5,0),"")</f>
        <v/>
      </c>
      <c r="BH12" s="310" t="str">
        <f>_xlfn.IFNA(VLOOKUP($BC12,Programma!$F$3:$K$1107,6,0),"")</f>
        <v/>
      </c>
      <c r="BI12" s="310" t="str">
        <f>_xlfn.IFNA(VLOOKUP($BC12,Programma!$F$3:$L$1107,7,0),"")</f>
        <v/>
      </c>
      <c r="BJ12" s="310" t="str">
        <f>_xlfn.IFNA(VLOOKUP($BC12,Programma!$F$3:$M$1107,8,0),"")</f>
        <v/>
      </c>
      <c r="BK12" s="310" t="str">
        <f>_xlfn.IFNA(VLOOKUP($BC12,Programma!$F$3:$N$1107,9,0),"")</f>
        <v/>
      </c>
      <c r="BL12" s="310" t="str">
        <f>_xlfn.IFNA(VLOOKUP($BC12,Programma!$F$3:$O$1107,10,0),"")</f>
        <v/>
      </c>
      <c r="BM12" s="310" t="str">
        <f>_xlfn.IFNA(VLOOKUP($BC12,Programma!$F$3:$P$1107,11,0),"")</f>
        <v/>
      </c>
      <c r="BN12" s="310" t="str">
        <f>_xlfn.IFNA(VLOOKUP($BC12,Programma!$F$3:$Q$1107,12,0),"")</f>
        <v/>
      </c>
      <c r="BO12" s="310" t="str">
        <f>_xlfn.IFNA(VLOOKUP($BC12,Programma!$F$3:$R$1107,13,0),"")</f>
        <v/>
      </c>
      <c r="BP12" s="310" t="str">
        <f>_xlfn.IFNA(VLOOKUP($BC12,Programma!$F$3:$S$1107,14,0),"")</f>
        <v/>
      </c>
      <c r="BQ12" s="310" t="str">
        <f>_xlfn.IFNA(VLOOKUP($BC12,Programma!$F$3:$T$1107,15,0),"")</f>
        <v/>
      </c>
      <c r="BR12" s="310" t="str">
        <f>_xlfn.IFNA(VLOOKUP($BC12,Programma!$F$3:$U$1107,16,0),"")</f>
        <v/>
      </c>
      <c r="BS12" s="310" t="str">
        <f>_xlfn.IFNA(VLOOKUP($BC12,Programma!$F$3:$V$1107,17,0),"")</f>
        <v/>
      </c>
      <c r="BT12" s="310" t="str">
        <f>_xlfn.IFNA(VLOOKUP($BC12,Programma!$F$3:$W$1107,18,0),"")</f>
        <v/>
      </c>
      <c r="BU12" s="310" t="str">
        <f>_xlfn.IFNA(VLOOKUP($BC12,Programma!$F$3:$X$1107,19,0),"")</f>
        <v/>
      </c>
      <c r="BV12" s="310" t="str">
        <f>_xlfn.IFNA(VLOOKUP($BC12,Programma!$F$3:$Y$1107,20,0),"")</f>
        <v/>
      </c>
    </row>
    <row r="13" spans="1:74" ht="15" customHeight="1">
      <c r="A13" s="33">
        <v>1</v>
      </c>
      <c r="B13" s="173" t="s">
        <v>1619</v>
      </c>
      <c r="C13" s="173" t="str">
        <f>VLOOKUP(Ruimtestaat[[#This Row],[Code]],Locaties[[#All],[Code]:[Adres]],4,FALSE)</f>
        <v>Stationslaan 26</v>
      </c>
      <c r="D13" s="173" t="str">
        <f>VLOOKUP(Ruimtestaat[[#This Row],[Code]],Locaties[[#All],[Code]:[Postcode]],5,FALSE)</f>
        <v>3842 LA</v>
      </c>
      <c r="E13" s="173" t="str">
        <f>VLOOKUP(Ruimtestaat[[#This Row],[Code]],Locaties[#All],6,FALSE)</f>
        <v>Harderwijk</v>
      </c>
      <c r="F13" s="21" t="s">
        <v>1620</v>
      </c>
      <c r="G13" s="33" t="s">
        <v>1612</v>
      </c>
      <c r="H13" s="311" t="s">
        <v>1640</v>
      </c>
      <c r="I13" s="312" t="s">
        <v>1783</v>
      </c>
      <c r="J13" s="21">
        <v>2</v>
      </c>
      <c r="K13" s="69" t="str">
        <f>VLOOKUP(Ruimtestaat[[#This Row],[Ruimte code]],Ruimtegroepen[[#All],[Code]:[Ruimte omschrijving]],2,FALSE)</f>
        <v>Kantoren</v>
      </c>
      <c r="L13" s="33" t="s">
        <v>100</v>
      </c>
      <c r="M13" s="312" t="s">
        <v>1803</v>
      </c>
      <c r="N13" s="148">
        <v>22</v>
      </c>
      <c r="O13" s="150"/>
      <c r="P13" s="134" t="str">
        <f>VLOOKUP(Ruimtestaat[[#This Row],[Ruimte code]],Ruimtegroepen[],4,FALSE)</f>
        <v>Bu</v>
      </c>
      <c r="Q13" s="33">
        <v>40</v>
      </c>
      <c r="R13" s="33" t="s">
        <v>15</v>
      </c>
      <c r="S13" s="33">
        <f>IF(Q13&gt;0,IF(RIGHT(Ruimtestaat[[#This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3" s="33">
        <f>IF(S13&gt;0,VLOOKUP($J13,Ruimtegroepen[],3,FALSE)*VLOOKUP($L13,Vloersoorten[],3,FALSE)*VLOOKUP($R13,Frequenties[],3,FALSE)*VLOOKUP($A13,Locaties[],3,FALSE),0)</f>
        <v>0</v>
      </c>
      <c r="U13" s="33">
        <f>Ruimtestaat[[#This Row],[Uitvoeringen werkdagen]]*Ruimtestaat[[#This Row],[Oppervlak (netto)]]</f>
        <v>880</v>
      </c>
      <c r="V13" s="170">
        <f>IF(T13&gt;0,Ruimtestaat[[#This Row],[Prest. (m2 /jaar) werkdagen]]/Ruimtestaat[[#This Row],[Norm (m2/uur) werkdagen]],0)</f>
        <v>0</v>
      </c>
      <c r="W13" s="171">
        <f>Ruimtestaat[[#This Row],[uren / jaar werkdagen]]*Tariefsopbouw!$E$35</f>
        <v>0</v>
      </c>
      <c r="X13" s="33"/>
      <c r="Y13" s="33">
        <f>IF(Ruimtestaat[[#This Row],[Frequentie weekend]]&gt;0,VALUE(LEFT(X13,1))*Q13,0)</f>
        <v>0</v>
      </c>
      <c r="Z13" s="104">
        <f>IF($Y13&gt;0,VLOOKUP($J13,Ruimtegroepen[],3,FALSE)*VLOOKUP($L13,Vloersoorten[],3,FALSE)*VLOOKUP($X13,Frequenties[],3,FALSE)*VLOOKUP(Ruimtestaat[[#This Row],[Code]],Locaties[],3,FALSE),0)</f>
        <v>0</v>
      </c>
      <c r="AA13" s="104">
        <f>Ruimtestaat[[#This Row],[Uitvoeringen weekend]]*Ruimtestaat[[#This Row],[Oppervlak (netto)]]</f>
        <v>0</v>
      </c>
      <c r="AB13" s="104">
        <f>IF(Z13&gt;0,Ruimtestaat[[#This Row],[Prest. (m2 /jaar) weekend]]/Ruimtestaat[[#This Row],[Norm (m2/uur) weekend]],0)</f>
        <v>0</v>
      </c>
      <c r="AC13" s="171">
        <f>Ruimtestaat[[#This Row],[uren / jaar weekend]]*Tariefsopbouw!$D$40</f>
        <v>0</v>
      </c>
      <c r="AD13" s="170">
        <f>Ruimtestaat[[#This Row],[Prest. (m2 /jaar) weekend]]+Ruimtestaat[[#This Row],[Prest. (m2 /jaar) werkdagen]]</f>
        <v>880</v>
      </c>
      <c r="AE13" s="170">
        <f>Ruimtestaat[[#This Row],[uren / jaar weekend]]+Ruimtestaat[[#This Row],[uren / jaar werkdagen]]</f>
        <v>0</v>
      </c>
      <c r="AF13" s="76">
        <f>Ruimtestaat[[#This Row],[kosten / jaar weekend]]+Ruimtestaat[[#This Row],[kosten / jaar werkdagen]]</f>
        <v>0</v>
      </c>
      <c r="AG13" s="76"/>
      <c r="AH13" s="272" t="str">
        <f>IF(Ruimtestaat[[#This Row],[Frequentie werkdagen]]="","",_xlfn.CONCAT(Ruimtestaat[[#This Row],[Ruimte code]],"-",Ruimtestaat[[#This Row],[Frequentie werkdagen]]," ",Ruimtestaat[[#This Row],[Vloer code]]))</f>
        <v>2-1w T</v>
      </c>
      <c r="AI13" s="310" t="str">
        <f>_xlfn.IFNA(VLOOKUP($AH13,Programma!$F$3:$G$1107,2,0),"")</f>
        <v>_</v>
      </c>
      <c r="AJ13" s="310" t="str">
        <f>_xlfn.IFNA(VLOOKUP($AH13,Programma!$F$3:$H$1107,3,0),"")</f>
        <v>1w</v>
      </c>
      <c r="AK13" s="310" t="str">
        <f>_xlfn.IFNA(VLOOKUP($AH13,Programma!$F$3:$I$1107,4,0),"")</f>
        <v>_</v>
      </c>
      <c r="AL13" s="310" t="str">
        <f>_xlfn.IFNA(VLOOKUP($AH13,Programma!$F$3:$J$1107,5,0),"")</f>
        <v>_</v>
      </c>
      <c r="AM13" s="310" t="str">
        <f>_xlfn.IFNA(VLOOKUP($AH13,Programma!$F$3:$K$1107,6,0),"")</f>
        <v>_</v>
      </c>
      <c r="AN13" s="310" t="str">
        <f>_xlfn.IFNA(VLOOKUP($AH13,Programma!$F$3:$L$1107,7,0),"")</f>
        <v>_</v>
      </c>
      <c r="AO13" s="310" t="str">
        <f>_xlfn.IFNA(VLOOKUP($AH13,Programma!$F$3:$M$1107,8,0),"")</f>
        <v>_</v>
      </c>
      <c r="AP13" s="310" t="str">
        <f>_xlfn.IFNA(VLOOKUP($AH13,Programma!$F$3:$N$1107,9,0),"")</f>
        <v>_</v>
      </c>
      <c r="AQ13" s="310" t="str">
        <f>_xlfn.IFNA(VLOOKUP($AH13,Programma!$F$3:$O$1107,10,0),"")</f>
        <v>1w</v>
      </c>
      <c r="AR13" s="310" t="str">
        <f>_xlfn.IFNA(VLOOKUP($AH13,Programma!$F$3:$P$1107,11,0),"")</f>
        <v>1w</v>
      </c>
      <c r="AS13" s="310" t="str">
        <f>_xlfn.IFNA(VLOOKUP($AH13,Programma!$F$3:$Q$1107,12,0),"")</f>
        <v>1w</v>
      </c>
      <c r="AT13" s="310" t="str">
        <f>_xlfn.IFNA(VLOOKUP($AH13,Programma!$F$3:$R$1107,13,0),"")</f>
        <v>1w</v>
      </c>
      <c r="AU13" s="310" t="str">
        <f>_xlfn.IFNA(VLOOKUP($AH13,Programma!$F$3:$S$1107,14,0),"")</f>
        <v>1m</v>
      </c>
      <c r="AV13" s="310" t="str">
        <f>_xlfn.IFNA(VLOOKUP($AH13,Programma!$F$3:$T$1107,15,0),"")</f>
        <v>2j</v>
      </c>
      <c r="AW13" s="310" t="str">
        <f>_xlfn.IFNA(VLOOKUP($AH13,Programma!$F$3:$U$1107,16,0),"")</f>
        <v>1j</v>
      </c>
      <c r="AX13" s="310" t="str">
        <f>_xlfn.IFNA(VLOOKUP($AH13,Programma!$F$3:$V$1107,17,0),"")</f>
        <v>_</v>
      </c>
      <c r="AY13" s="310" t="str">
        <f>_xlfn.IFNA(VLOOKUP($AH13,Programma!$F$3:$W$1107,18,0),"")</f>
        <v>_</v>
      </c>
      <c r="AZ13" s="310" t="str">
        <f>_xlfn.IFNA(VLOOKUP($AH13,Programma!$F$3:$X$1107,19,0),"")</f>
        <v>_</v>
      </c>
      <c r="BA13" s="310" t="str">
        <f>_xlfn.IFNA(VLOOKUP($AH13,Programma!$F$3:$Y$1107,20,0),"")</f>
        <v>_</v>
      </c>
      <c r="BB13" s="273"/>
      <c r="BC13" s="272" t="str">
        <f>IF(Ruimtestaat[[#This Row],[Frequentie weekend]]="","",_xlfn.CONCAT(Ruimtestaat[[#This Row],[Ruimte code]],"-",Ruimtestaat[[#This Row],[Frequentie weekend]]," ",Ruimtestaat[[#This Row],[Vloer code]]))</f>
        <v/>
      </c>
      <c r="BD13" s="310" t="str">
        <f>_xlfn.IFNA(VLOOKUP($BC13,Programma!$F$3:$G$1107,2,0),"")</f>
        <v/>
      </c>
      <c r="BE13" s="310" t="str">
        <f>_xlfn.IFNA(VLOOKUP($BC13,Programma!$F$3:$H$1107,3,0),"")</f>
        <v/>
      </c>
      <c r="BF13" s="310" t="str">
        <f>_xlfn.IFNA(VLOOKUP($BC13,Programma!$F$3:$I$1107,4,0),"")</f>
        <v/>
      </c>
      <c r="BG13" s="310" t="str">
        <f>_xlfn.IFNA(VLOOKUP($BC13,Programma!$F$3:$J$1107,5,0),"")</f>
        <v/>
      </c>
      <c r="BH13" s="310" t="str">
        <f>_xlfn.IFNA(VLOOKUP($BC13,Programma!$F$3:$K$1107,6,0),"")</f>
        <v/>
      </c>
      <c r="BI13" s="310" t="str">
        <f>_xlfn.IFNA(VLOOKUP($BC13,Programma!$F$3:$L$1107,7,0),"")</f>
        <v/>
      </c>
      <c r="BJ13" s="310" t="str">
        <f>_xlfn.IFNA(VLOOKUP($BC13,Programma!$F$3:$M$1107,8,0),"")</f>
        <v/>
      </c>
      <c r="BK13" s="310" t="str">
        <f>_xlfn.IFNA(VLOOKUP($BC13,Programma!$F$3:$N$1107,9,0),"")</f>
        <v/>
      </c>
      <c r="BL13" s="310" t="str">
        <f>_xlfn.IFNA(VLOOKUP($BC13,Programma!$F$3:$O$1107,10,0),"")</f>
        <v/>
      </c>
      <c r="BM13" s="310" t="str">
        <f>_xlfn.IFNA(VLOOKUP($BC13,Programma!$F$3:$P$1107,11,0),"")</f>
        <v/>
      </c>
      <c r="BN13" s="310" t="str">
        <f>_xlfn.IFNA(VLOOKUP($BC13,Programma!$F$3:$Q$1107,12,0),"")</f>
        <v/>
      </c>
      <c r="BO13" s="310" t="str">
        <f>_xlfn.IFNA(VLOOKUP($BC13,Programma!$F$3:$R$1107,13,0),"")</f>
        <v/>
      </c>
      <c r="BP13" s="310" t="str">
        <f>_xlfn.IFNA(VLOOKUP($BC13,Programma!$F$3:$S$1107,14,0),"")</f>
        <v/>
      </c>
      <c r="BQ13" s="310" t="str">
        <f>_xlfn.IFNA(VLOOKUP($BC13,Programma!$F$3:$T$1107,15,0),"")</f>
        <v/>
      </c>
      <c r="BR13" s="310" t="str">
        <f>_xlfn.IFNA(VLOOKUP($BC13,Programma!$F$3:$U$1107,16,0),"")</f>
        <v/>
      </c>
      <c r="BS13" s="310" t="str">
        <f>_xlfn.IFNA(VLOOKUP($BC13,Programma!$F$3:$V$1107,17,0),"")</f>
        <v/>
      </c>
      <c r="BT13" s="310" t="str">
        <f>_xlfn.IFNA(VLOOKUP($BC13,Programma!$F$3:$W$1107,18,0),"")</f>
        <v/>
      </c>
      <c r="BU13" s="310" t="str">
        <f>_xlfn.IFNA(VLOOKUP($BC13,Programma!$F$3:$X$1107,19,0),"")</f>
        <v/>
      </c>
      <c r="BV13" s="310" t="str">
        <f>_xlfn.IFNA(VLOOKUP($BC13,Programma!$F$3:$Y$1107,20,0),"")</f>
        <v/>
      </c>
    </row>
    <row r="14" spans="1:74" ht="15" customHeight="1">
      <c r="A14" s="33">
        <v>1</v>
      </c>
      <c r="B14" s="173" t="s">
        <v>1619</v>
      </c>
      <c r="C14" s="173" t="str">
        <f>VLOOKUP(Ruimtestaat[[#This Row],[Code]],Locaties[[#All],[Code]:[Adres]],4,FALSE)</f>
        <v>Stationslaan 26</v>
      </c>
      <c r="D14" s="173" t="str">
        <f>VLOOKUP(Ruimtestaat[[#This Row],[Code]],Locaties[[#All],[Code]:[Postcode]],5,FALSE)</f>
        <v>3842 LA</v>
      </c>
      <c r="E14" s="173" t="str">
        <f>VLOOKUP(Ruimtestaat[[#This Row],[Code]],Locaties[#All],6,FALSE)</f>
        <v>Harderwijk</v>
      </c>
      <c r="F14" s="21" t="s">
        <v>1620</v>
      </c>
      <c r="G14" s="33" t="s">
        <v>1612</v>
      </c>
      <c r="H14" s="311"/>
      <c r="I14" s="312" t="s">
        <v>1784</v>
      </c>
      <c r="J14" s="21">
        <v>7</v>
      </c>
      <c r="K14" s="69" t="str">
        <f>VLOOKUP(Ruimtestaat[[#This Row],[Ruimte code]],Ruimtegroepen[[#All],[Code]:[Ruimte omschrijving]],2,FALSE)</f>
        <v>Entree</v>
      </c>
      <c r="L14" s="33" t="s">
        <v>101</v>
      </c>
      <c r="M14" s="312" t="s">
        <v>1804</v>
      </c>
      <c r="N14" s="148">
        <v>21</v>
      </c>
      <c r="O14" s="150"/>
      <c r="P14" s="134" t="str">
        <f>VLOOKUP(Ruimtestaat[[#This Row],[Ruimte code]],Ruimtegroepen[],4,FALSE)</f>
        <v>Ve</v>
      </c>
      <c r="Q14" s="33">
        <v>40</v>
      </c>
      <c r="R14" s="33" t="s">
        <v>2</v>
      </c>
      <c r="S14" s="33">
        <f>IF(Q14&gt;0,IF(RIGHT(Ruimtestaat[[#This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 s="33">
        <f>IF(S14&gt;0,VLOOKUP($J14,Ruimtegroepen[],3,FALSE)*VLOOKUP($L14,Vloersoorten[],3,FALSE)*VLOOKUP($R14,Frequenties[],3,FALSE)*VLOOKUP($A14,Locaties[],3,FALSE),0)</f>
        <v>0</v>
      </c>
      <c r="U14" s="33">
        <f>Ruimtestaat[[#This Row],[Uitvoeringen werkdagen]]*Ruimtestaat[[#This Row],[Oppervlak (netto)]]</f>
        <v>4200</v>
      </c>
      <c r="V14" s="170">
        <f>IF(T14&gt;0,Ruimtestaat[[#This Row],[Prest. (m2 /jaar) werkdagen]]/Ruimtestaat[[#This Row],[Norm (m2/uur) werkdagen]],0)</f>
        <v>0</v>
      </c>
      <c r="W14" s="171">
        <f>Ruimtestaat[[#This Row],[uren / jaar werkdagen]]*Tariefsopbouw!$E$35</f>
        <v>0</v>
      </c>
      <c r="X14" s="33"/>
      <c r="Y14" s="33">
        <f>IF(Ruimtestaat[[#This Row],[Frequentie weekend]]&gt;0,VALUE(LEFT(X14,1))*Q14,0)</f>
        <v>0</v>
      </c>
      <c r="Z14" s="104">
        <f>IF($Y14&gt;0,VLOOKUP($J14,Ruimtegroepen[],3,FALSE)*VLOOKUP($L14,Vloersoorten[],3,FALSE)*VLOOKUP($X14,Frequenties[],3,FALSE)*VLOOKUP(Ruimtestaat[[#This Row],[Code]],Locaties[],3,FALSE),0)</f>
        <v>0</v>
      </c>
      <c r="AA14" s="104">
        <f>Ruimtestaat[[#This Row],[Uitvoeringen weekend]]*Ruimtestaat[[#This Row],[Oppervlak (netto)]]</f>
        <v>0</v>
      </c>
      <c r="AB14" s="104">
        <f>IF(Z14&gt;0,Ruimtestaat[[#This Row],[Prest. (m2 /jaar) weekend]]/Ruimtestaat[[#This Row],[Norm (m2/uur) weekend]],0)</f>
        <v>0</v>
      </c>
      <c r="AC14" s="171">
        <f>Ruimtestaat[[#This Row],[uren / jaar weekend]]*Tariefsopbouw!$D$40</f>
        <v>0</v>
      </c>
      <c r="AD14" s="170">
        <f>Ruimtestaat[[#This Row],[Prest. (m2 /jaar) weekend]]+Ruimtestaat[[#This Row],[Prest. (m2 /jaar) werkdagen]]</f>
        <v>4200</v>
      </c>
      <c r="AE14" s="170">
        <f>Ruimtestaat[[#This Row],[uren / jaar weekend]]+Ruimtestaat[[#This Row],[uren / jaar werkdagen]]</f>
        <v>0</v>
      </c>
      <c r="AF14" s="76">
        <f>Ruimtestaat[[#This Row],[kosten / jaar weekend]]+Ruimtestaat[[#This Row],[kosten / jaar werkdagen]]</f>
        <v>0</v>
      </c>
      <c r="AG14" s="76"/>
      <c r="AH14" s="272" t="str">
        <f>IF(Ruimtestaat[[#This Row],[Frequentie werkdagen]]="","",_xlfn.CONCAT(Ruimtestaat[[#This Row],[Ruimte code]],"-",Ruimtestaat[[#This Row],[Frequentie werkdagen]]," ",Ruimtestaat[[#This Row],[Vloer code]]))</f>
        <v>7-5w L</v>
      </c>
      <c r="AI14" s="310" t="str">
        <f>_xlfn.IFNA(VLOOKUP($AH14,Programma!$F$3:$G$1107,2,0),"")</f>
        <v>_</v>
      </c>
      <c r="AJ14" s="310" t="str">
        <f>_xlfn.IFNA(VLOOKUP($AH14,Programma!$F$3:$H$1107,3,0),"")</f>
        <v>_</v>
      </c>
      <c r="AK14" s="310" t="str">
        <f>_xlfn.IFNA(VLOOKUP($AH14,Programma!$F$3:$I$1107,4,0),"")</f>
        <v>_</v>
      </c>
      <c r="AL14" s="310" t="str">
        <f>_xlfn.IFNA(VLOOKUP($AH14,Programma!$F$3:$J$1107,5,0),"")</f>
        <v>5w</v>
      </c>
      <c r="AM14" s="310" t="str">
        <f>_xlfn.IFNA(VLOOKUP($AH14,Programma!$F$3:$K$1107,6,0),"")</f>
        <v>_</v>
      </c>
      <c r="AN14" s="310" t="str">
        <f>_xlfn.IFNA(VLOOKUP($AH14,Programma!$F$3:$L$1107,7,0),"")</f>
        <v>_</v>
      </c>
      <c r="AO14" s="310" t="str">
        <f>_xlfn.IFNA(VLOOKUP($AH14,Programma!$F$3:$M$1107,8,0),"")</f>
        <v>_</v>
      </c>
      <c r="AP14" s="310" t="str">
        <f>_xlfn.IFNA(VLOOKUP($AH14,Programma!$F$3:$N$1107,9,0),"")</f>
        <v>_</v>
      </c>
      <c r="AQ14" s="310" t="str">
        <f>_xlfn.IFNA(VLOOKUP($AH14,Programma!$F$3:$O$1107,10,0),"")</f>
        <v>5w</v>
      </c>
      <c r="AR14" s="310" t="str">
        <f>_xlfn.IFNA(VLOOKUP($AH14,Programma!$F$3:$P$1107,11,0),"")</f>
        <v>5w</v>
      </c>
      <c r="AS14" s="310" t="str">
        <f>_xlfn.IFNA(VLOOKUP($AH14,Programma!$F$3:$Q$1107,12,0),"")</f>
        <v>1w</v>
      </c>
      <c r="AT14" s="310" t="str">
        <f>_xlfn.IFNA(VLOOKUP($AH14,Programma!$F$3:$R$1107,13,0),"")</f>
        <v>1w</v>
      </c>
      <c r="AU14" s="310" t="str">
        <f>_xlfn.IFNA(VLOOKUP($AH14,Programma!$F$3:$S$1107,14,0),"")</f>
        <v>1m</v>
      </c>
      <c r="AV14" s="310" t="str">
        <f>_xlfn.IFNA(VLOOKUP($AH14,Programma!$F$3:$T$1107,15,0),"")</f>
        <v>2j</v>
      </c>
      <c r="AW14" s="310" t="str">
        <f>_xlfn.IFNA(VLOOKUP($AH14,Programma!$F$3:$U$1107,16,0),"")</f>
        <v>1j</v>
      </c>
      <c r="AX14" s="310" t="str">
        <f>_xlfn.IFNA(VLOOKUP($AH14,Programma!$F$3:$V$1107,17,0),"")</f>
        <v>_</v>
      </c>
      <c r="AY14" s="310" t="str">
        <f>_xlfn.IFNA(VLOOKUP($AH14,Programma!$F$3:$W$1107,18,0),"")</f>
        <v>_</v>
      </c>
      <c r="AZ14" s="310" t="str">
        <f>_xlfn.IFNA(VLOOKUP($AH14,Programma!$F$3:$X$1107,19,0),"")</f>
        <v>_</v>
      </c>
      <c r="BA14" s="310" t="str">
        <f>_xlfn.IFNA(VLOOKUP($AH14,Programma!$F$3:$Y$1107,20,0),"")</f>
        <v>_</v>
      </c>
      <c r="BB14" s="273"/>
      <c r="BC14" s="272" t="str">
        <f>IF(Ruimtestaat[[#This Row],[Frequentie weekend]]="","",_xlfn.CONCAT(Ruimtestaat[[#This Row],[Ruimte code]],"-",Ruimtestaat[[#This Row],[Frequentie weekend]]," ",Ruimtestaat[[#This Row],[Vloer code]]))</f>
        <v/>
      </c>
      <c r="BD14" s="310" t="str">
        <f>_xlfn.IFNA(VLOOKUP($BC14,Programma!$F$3:$G$1107,2,0),"")</f>
        <v/>
      </c>
      <c r="BE14" s="310" t="str">
        <f>_xlfn.IFNA(VLOOKUP($BC14,Programma!$F$3:$H$1107,3,0),"")</f>
        <v/>
      </c>
      <c r="BF14" s="310" t="str">
        <f>_xlfn.IFNA(VLOOKUP($BC14,Programma!$F$3:$I$1107,4,0),"")</f>
        <v/>
      </c>
      <c r="BG14" s="310" t="str">
        <f>_xlfn.IFNA(VLOOKUP($BC14,Programma!$F$3:$J$1107,5,0),"")</f>
        <v/>
      </c>
      <c r="BH14" s="310" t="str">
        <f>_xlfn.IFNA(VLOOKUP($BC14,Programma!$F$3:$K$1107,6,0),"")</f>
        <v/>
      </c>
      <c r="BI14" s="310" t="str">
        <f>_xlfn.IFNA(VLOOKUP($BC14,Programma!$F$3:$L$1107,7,0),"")</f>
        <v/>
      </c>
      <c r="BJ14" s="310" t="str">
        <f>_xlfn.IFNA(VLOOKUP($BC14,Programma!$F$3:$M$1107,8,0),"")</f>
        <v/>
      </c>
      <c r="BK14" s="310" t="str">
        <f>_xlfn.IFNA(VLOOKUP($BC14,Programma!$F$3:$N$1107,9,0),"")</f>
        <v/>
      </c>
      <c r="BL14" s="310" t="str">
        <f>_xlfn.IFNA(VLOOKUP($BC14,Programma!$F$3:$O$1107,10,0),"")</f>
        <v/>
      </c>
      <c r="BM14" s="310" t="str">
        <f>_xlfn.IFNA(VLOOKUP($BC14,Programma!$F$3:$P$1107,11,0),"")</f>
        <v/>
      </c>
      <c r="BN14" s="310" t="str">
        <f>_xlfn.IFNA(VLOOKUP($BC14,Programma!$F$3:$Q$1107,12,0),"")</f>
        <v/>
      </c>
      <c r="BO14" s="310" t="str">
        <f>_xlfn.IFNA(VLOOKUP($BC14,Programma!$F$3:$R$1107,13,0),"")</f>
        <v/>
      </c>
      <c r="BP14" s="310" t="str">
        <f>_xlfn.IFNA(VLOOKUP($BC14,Programma!$F$3:$S$1107,14,0),"")</f>
        <v/>
      </c>
      <c r="BQ14" s="310" t="str">
        <f>_xlfn.IFNA(VLOOKUP($BC14,Programma!$F$3:$T$1107,15,0),"")</f>
        <v/>
      </c>
      <c r="BR14" s="310" t="str">
        <f>_xlfn.IFNA(VLOOKUP($BC14,Programma!$F$3:$U$1107,16,0),"")</f>
        <v/>
      </c>
      <c r="BS14" s="310" t="str">
        <f>_xlfn.IFNA(VLOOKUP($BC14,Programma!$F$3:$V$1107,17,0),"")</f>
        <v/>
      </c>
      <c r="BT14" s="310" t="str">
        <f>_xlfn.IFNA(VLOOKUP($BC14,Programma!$F$3:$W$1107,18,0),"")</f>
        <v/>
      </c>
      <c r="BU14" s="310" t="str">
        <f>_xlfn.IFNA(VLOOKUP($BC14,Programma!$F$3:$X$1107,19,0),"")</f>
        <v/>
      </c>
      <c r="BV14" s="310" t="str">
        <f>_xlfn.IFNA(VLOOKUP($BC14,Programma!$F$3:$Y$1107,20,0),"")</f>
        <v/>
      </c>
    </row>
    <row r="15" spans="1:74" ht="15" customHeight="1">
      <c r="A15" s="33">
        <v>1</v>
      </c>
      <c r="B15" s="173" t="s">
        <v>1619</v>
      </c>
      <c r="C15" s="173" t="str">
        <f>VLOOKUP(Ruimtestaat[[#This Row],[Code]],Locaties[[#All],[Code]:[Adres]],4,FALSE)</f>
        <v>Stationslaan 26</v>
      </c>
      <c r="D15" s="173" t="str">
        <f>VLOOKUP(Ruimtestaat[[#This Row],[Code]],Locaties[[#All],[Code]:[Postcode]],5,FALSE)</f>
        <v>3842 LA</v>
      </c>
      <c r="E15" s="173" t="str">
        <f>VLOOKUP(Ruimtestaat[[#This Row],[Code]],Locaties[#All],6,FALSE)</f>
        <v>Harderwijk</v>
      </c>
      <c r="F15" s="21" t="s">
        <v>1620</v>
      </c>
      <c r="G15" s="33" t="s">
        <v>1612</v>
      </c>
      <c r="H15" s="311" t="s">
        <v>1641</v>
      </c>
      <c r="I15" s="312" t="s">
        <v>1783</v>
      </c>
      <c r="J15" s="21">
        <v>2</v>
      </c>
      <c r="K15" s="69" t="str">
        <f>VLOOKUP(Ruimtestaat[[#This Row],[Ruimte code]],Ruimtegroepen[[#All],[Code]:[Ruimte omschrijving]],2,FALSE)</f>
        <v>Kantoren</v>
      </c>
      <c r="L15" s="33" t="s">
        <v>101</v>
      </c>
      <c r="M15" s="312" t="s">
        <v>1804</v>
      </c>
      <c r="N15" s="148">
        <v>22</v>
      </c>
      <c r="O15" s="33"/>
      <c r="P15" s="134" t="str">
        <f>VLOOKUP(Ruimtestaat[[#This Row],[Ruimte code]],Ruimtegroepen[],4,FALSE)</f>
        <v>Bu</v>
      </c>
      <c r="Q15" s="33">
        <v>40</v>
      </c>
      <c r="R15" s="33" t="s">
        <v>15</v>
      </c>
      <c r="S15" s="33">
        <f>IF(Q15&gt;0,IF(RIGHT(Ruimtestaat[[#This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5" s="33">
        <f>IF(S15&gt;0,VLOOKUP($J15,Ruimtegroepen[],3,FALSE)*VLOOKUP($L15,Vloersoorten[],3,FALSE)*VLOOKUP($R15,Frequenties[],3,FALSE)*VLOOKUP($A15,Locaties[],3,FALSE),0)</f>
        <v>0</v>
      </c>
      <c r="U15" s="33">
        <f>Ruimtestaat[[#This Row],[Uitvoeringen werkdagen]]*Ruimtestaat[[#This Row],[Oppervlak (netto)]]</f>
        <v>880</v>
      </c>
      <c r="V15" s="170">
        <f>IF(T15&gt;0,Ruimtestaat[[#This Row],[Prest. (m2 /jaar) werkdagen]]/Ruimtestaat[[#This Row],[Norm (m2/uur) werkdagen]],0)</f>
        <v>0</v>
      </c>
      <c r="W15" s="171">
        <f>Ruimtestaat[[#This Row],[uren / jaar werkdagen]]*Tariefsopbouw!$E$35</f>
        <v>0</v>
      </c>
      <c r="X15" s="33"/>
      <c r="Y15" s="33">
        <f>IF(Ruimtestaat[[#This Row],[Frequentie weekend]]&gt;0,VALUE(LEFT(X15,1))*Q15,0)</f>
        <v>0</v>
      </c>
      <c r="Z15" s="104">
        <f>IF($Y15&gt;0,VLOOKUP($J15,Ruimtegroepen[],3,FALSE)*VLOOKUP($L15,Vloersoorten[],3,FALSE)*VLOOKUP($X15,Frequenties[],3,FALSE)*VLOOKUP(Ruimtestaat[[#This Row],[Code]],Locaties[],3,FALSE),0)</f>
        <v>0</v>
      </c>
      <c r="AA15" s="104">
        <f>Ruimtestaat[[#This Row],[Uitvoeringen weekend]]*Ruimtestaat[[#This Row],[Oppervlak (netto)]]</f>
        <v>0</v>
      </c>
      <c r="AB15" s="104">
        <f>IF(Z15&gt;0,Ruimtestaat[[#This Row],[Prest. (m2 /jaar) weekend]]/Ruimtestaat[[#This Row],[Norm (m2/uur) weekend]],0)</f>
        <v>0</v>
      </c>
      <c r="AC15" s="171">
        <f>Ruimtestaat[[#This Row],[uren / jaar weekend]]*Tariefsopbouw!$D$40</f>
        <v>0</v>
      </c>
      <c r="AD15" s="170">
        <f>Ruimtestaat[[#This Row],[Prest. (m2 /jaar) weekend]]+Ruimtestaat[[#This Row],[Prest. (m2 /jaar) werkdagen]]</f>
        <v>880</v>
      </c>
      <c r="AE15" s="170">
        <f>Ruimtestaat[[#This Row],[uren / jaar weekend]]+Ruimtestaat[[#This Row],[uren / jaar werkdagen]]</f>
        <v>0</v>
      </c>
      <c r="AF15" s="76">
        <f>Ruimtestaat[[#This Row],[kosten / jaar weekend]]+Ruimtestaat[[#This Row],[kosten / jaar werkdagen]]</f>
        <v>0</v>
      </c>
      <c r="AG15" s="76"/>
      <c r="AH15" s="272" t="str">
        <f>IF(Ruimtestaat[[#This Row],[Frequentie werkdagen]]="","",_xlfn.CONCAT(Ruimtestaat[[#This Row],[Ruimte code]],"-",Ruimtestaat[[#This Row],[Frequentie werkdagen]]," ",Ruimtestaat[[#This Row],[Vloer code]]))</f>
        <v>2-1w L</v>
      </c>
      <c r="AI15" s="310" t="str">
        <f>_xlfn.IFNA(VLOOKUP($AH15,Programma!$F$3:$G$1107,2,0),"")</f>
        <v>_</v>
      </c>
      <c r="AJ15" s="310" t="str">
        <f>_xlfn.IFNA(VLOOKUP($AH15,Programma!$F$3:$H$1107,3,0),"")</f>
        <v>_</v>
      </c>
      <c r="AK15" s="310" t="str">
        <f>_xlfn.IFNA(VLOOKUP($AH15,Programma!$F$3:$I$1107,4,0),"")</f>
        <v>_</v>
      </c>
      <c r="AL15" s="310" t="str">
        <f>_xlfn.IFNA(VLOOKUP($AH15,Programma!$F$3:$J$1107,5,0),"")</f>
        <v>1w</v>
      </c>
      <c r="AM15" s="310" t="str">
        <f>_xlfn.IFNA(VLOOKUP($AH15,Programma!$F$3:$K$1107,6,0),"")</f>
        <v>_</v>
      </c>
      <c r="AN15" s="310" t="str">
        <f>_xlfn.IFNA(VLOOKUP($AH15,Programma!$F$3:$L$1107,7,0),"")</f>
        <v>_</v>
      </c>
      <c r="AO15" s="310" t="str">
        <f>_xlfn.IFNA(VLOOKUP($AH15,Programma!$F$3:$M$1107,8,0),"")</f>
        <v>_</v>
      </c>
      <c r="AP15" s="310" t="str">
        <f>_xlfn.IFNA(VLOOKUP($AH15,Programma!$F$3:$N$1107,9,0),"")</f>
        <v>_</v>
      </c>
      <c r="AQ15" s="310" t="str">
        <f>_xlfn.IFNA(VLOOKUP($AH15,Programma!$F$3:$O$1107,10,0),"")</f>
        <v>1w</v>
      </c>
      <c r="AR15" s="310" t="str">
        <f>_xlfn.IFNA(VLOOKUP($AH15,Programma!$F$3:$P$1107,11,0),"")</f>
        <v>1w</v>
      </c>
      <c r="AS15" s="310" t="str">
        <f>_xlfn.IFNA(VLOOKUP($AH15,Programma!$F$3:$Q$1107,12,0),"")</f>
        <v>1w</v>
      </c>
      <c r="AT15" s="310" t="str">
        <f>_xlfn.IFNA(VLOOKUP($AH15,Programma!$F$3:$R$1107,13,0),"")</f>
        <v>1w</v>
      </c>
      <c r="AU15" s="310" t="str">
        <f>_xlfn.IFNA(VLOOKUP($AH15,Programma!$F$3:$S$1107,14,0),"")</f>
        <v>1m</v>
      </c>
      <c r="AV15" s="310" t="str">
        <f>_xlfn.IFNA(VLOOKUP($AH15,Programma!$F$3:$T$1107,15,0),"")</f>
        <v>2j</v>
      </c>
      <c r="AW15" s="310" t="str">
        <f>_xlfn.IFNA(VLOOKUP($AH15,Programma!$F$3:$U$1107,16,0),"")</f>
        <v>1j</v>
      </c>
      <c r="AX15" s="310" t="str">
        <f>_xlfn.IFNA(VLOOKUP($AH15,Programma!$F$3:$V$1107,17,0),"")</f>
        <v>_</v>
      </c>
      <c r="AY15" s="310" t="str">
        <f>_xlfn.IFNA(VLOOKUP($AH15,Programma!$F$3:$W$1107,18,0),"")</f>
        <v>_</v>
      </c>
      <c r="AZ15" s="310" t="str">
        <f>_xlfn.IFNA(VLOOKUP($AH15,Programma!$F$3:$X$1107,19,0),"")</f>
        <v>_</v>
      </c>
      <c r="BA15" s="310" t="str">
        <f>_xlfn.IFNA(VLOOKUP($AH15,Programma!$F$3:$Y$1107,20,0),"")</f>
        <v>_</v>
      </c>
      <c r="BB15" s="273"/>
      <c r="BC15" s="272" t="str">
        <f>IF(Ruimtestaat[[#This Row],[Frequentie weekend]]="","",_xlfn.CONCAT(Ruimtestaat[[#This Row],[Ruimte code]],"-",Ruimtestaat[[#This Row],[Frequentie weekend]]," ",Ruimtestaat[[#This Row],[Vloer code]]))</f>
        <v/>
      </c>
      <c r="BD15" s="310" t="str">
        <f>_xlfn.IFNA(VLOOKUP($BC15,Programma!$F$3:$G$1107,2,0),"")</f>
        <v/>
      </c>
      <c r="BE15" s="310" t="str">
        <f>_xlfn.IFNA(VLOOKUP($BC15,Programma!$F$3:$H$1107,3,0),"")</f>
        <v/>
      </c>
      <c r="BF15" s="310" t="str">
        <f>_xlfn.IFNA(VLOOKUP($BC15,Programma!$F$3:$I$1107,4,0),"")</f>
        <v/>
      </c>
      <c r="BG15" s="310" t="str">
        <f>_xlfn.IFNA(VLOOKUP($BC15,Programma!$F$3:$J$1107,5,0),"")</f>
        <v/>
      </c>
      <c r="BH15" s="310" t="str">
        <f>_xlfn.IFNA(VLOOKUP($BC15,Programma!$F$3:$K$1107,6,0),"")</f>
        <v/>
      </c>
      <c r="BI15" s="310" t="str">
        <f>_xlfn.IFNA(VLOOKUP($BC15,Programma!$F$3:$L$1107,7,0),"")</f>
        <v/>
      </c>
      <c r="BJ15" s="310" t="str">
        <f>_xlfn.IFNA(VLOOKUP($BC15,Programma!$F$3:$M$1107,8,0),"")</f>
        <v/>
      </c>
      <c r="BK15" s="310" t="str">
        <f>_xlfn.IFNA(VLOOKUP($BC15,Programma!$F$3:$N$1107,9,0),"")</f>
        <v/>
      </c>
      <c r="BL15" s="310" t="str">
        <f>_xlfn.IFNA(VLOOKUP($BC15,Programma!$F$3:$O$1107,10,0),"")</f>
        <v/>
      </c>
      <c r="BM15" s="310" t="str">
        <f>_xlfn.IFNA(VLOOKUP($BC15,Programma!$F$3:$P$1107,11,0),"")</f>
        <v/>
      </c>
      <c r="BN15" s="310" t="str">
        <f>_xlfn.IFNA(VLOOKUP($BC15,Programma!$F$3:$Q$1107,12,0),"")</f>
        <v/>
      </c>
      <c r="BO15" s="310" t="str">
        <f>_xlfn.IFNA(VLOOKUP($BC15,Programma!$F$3:$R$1107,13,0),"")</f>
        <v/>
      </c>
      <c r="BP15" s="310" t="str">
        <f>_xlfn.IFNA(VLOOKUP($BC15,Programma!$F$3:$S$1107,14,0),"")</f>
        <v/>
      </c>
      <c r="BQ15" s="310" t="str">
        <f>_xlfn.IFNA(VLOOKUP($BC15,Programma!$F$3:$T$1107,15,0),"")</f>
        <v/>
      </c>
      <c r="BR15" s="310" t="str">
        <f>_xlfn.IFNA(VLOOKUP($BC15,Programma!$F$3:$U$1107,16,0),"")</f>
        <v/>
      </c>
      <c r="BS15" s="310" t="str">
        <f>_xlfn.IFNA(VLOOKUP($BC15,Programma!$F$3:$V$1107,17,0),"")</f>
        <v/>
      </c>
      <c r="BT15" s="310" t="str">
        <f>_xlfn.IFNA(VLOOKUP($BC15,Programma!$F$3:$W$1107,18,0),"")</f>
        <v/>
      </c>
      <c r="BU15" s="310" t="str">
        <f>_xlfn.IFNA(VLOOKUP($BC15,Programma!$F$3:$X$1107,19,0),"")</f>
        <v/>
      </c>
      <c r="BV15" s="310" t="str">
        <f>_xlfn.IFNA(VLOOKUP($BC15,Programma!$F$3:$Y$1107,20,0),"")</f>
        <v/>
      </c>
    </row>
    <row r="16" spans="1:74" ht="15" customHeight="1">
      <c r="A16" s="33">
        <v>1</v>
      </c>
      <c r="B16" s="173" t="s">
        <v>1619</v>
      </c>
      <c r="C16" s="173" t="str">
        <f>VLOOKUP(Ruimtestaat[[#This Row],[Code]],Locaties[[#All],[Code]:[Adres]],4,FALSE)</f>
        <v>Stationslaan 26</v>
      </c>
      <c r="D16" s="173" t="str">
        <f>VLOOKUP(Ruimtestaat[[#This Row],[Code]],Locaties[[#All],[Code]:[Postcode]],5,FALSE)</f>
        <v>3842 LA</v>
      </c>
      <c r="E16" s="173" t="str">
        <f>VLOOKUP(Ruimtestaat[[#This Row],[Code]],Locaties[#All],6,FALSE)</f>
        <v>Harderwijk</v>
      </c>
      <c r="F16" s="21" t="s">
        <v>1620</v>
      </c>
      <c r="G16" s="33" t="s">
        <v>1612</v>
      </c>
      <c r="H16" s="311" t="s">
        <v>1642</v>
      </c>
      <c r="I16" s="312" t="s">
        <v>1615</v>
      </c>
      <c r="J16" s="21">
        <v>16</v>
      </c>
      <c r="K16" s="69" t="str">
        <f>VLOOKUP(Ruimtestaat[[#This Row],[Ruimte code]],Ruimtegroepen[[#All],[Code]:[Ruimte omschrijving]],2,FALSE)</f>
        <v>Leslokalen</v>
      </c>
      <c r="L16" s="33" t="s">
        <v>101</v>
      </c>
      <c r="M16" s="312" t="s">
        <v>1804</v>
      </c>
      <c r="N16" s="148">
        <v>88</v>
      </c>
      <c r="O16" s="150"/>
      <c r="P16" s="134" t="str">
        <f>VLOOKUP(Ruimtestaat[[#This Row],[Ruimte code]],Ruimtegroepen[],4,FALSE)</f>
        <v>Le</v>
      </c>
      <c r="Q16" s="33">
        <v>40</v>
      </c>
      <c r="R16" s="33" t="s">
        <v>2</v>
      </c>
      <c r="S16" s="33">
        <f>IF(Q16&gt;0,IF(RIGHT(Ruimtestaat[[#This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 s="33">
        <f>IF(S16&gt;0,VLOOKUP($J16,Ruimtegroepen[],3,FALSE)*VLOOKUP($L16,Vloersoorten[],3,FALSE)*VLOOKUP($R16,Frequenties[],3,FALSE)*VLOOKUP($A16,Locaties[],3,FALSE),0)</f>
        <v>0</v>
      </c>
      <c r="U16" s="33">
        <f>Ruimtestaat[[#This Row],[Uitvoeringen werkdagen]]*Ruimtestaat[[#This Row],[Oppervlak (netto)]]</f>
        <v>17600</v>
      </c>
      <c r="V16" s="170">
        <f>IF(T16&gt;0,Ruimtestaat[[#This Row],[Prest. (m2 /jaar) werkdagen]]/Ruimtestaat[[#This Row],[Norm (m2/uur) werkdagen]],0)</f>
        <v>0</v>
      </c>
      <c r="W16" s="171">
        <f>Ruimtestaat[[#This Row],[uren / jaar werkdagen]]*Tariefsopbouw!$E$35</f>
        <v>0</v>
      </c>
      <c r="X16" s="33"/>
      <c r="Y16" s="33">
        <f>IF(Ruimtestaat[[#This Row],[Frequentie weekend]]&gt;0,VALUE(LEFT(X16,1))*Q16,0)</f>
        <v>0</v>
      </c>
      <c r="Z16" s="104">
        <f>IF($Y16&gt;0,VLOOKUP($J16,Ruimtegroepen[],3,FALSE)*VLOOKUP($L16,Vloersoorten[],3,FALSE)*VLOOKUP($X16,Frequenties[],3,FALSE)*VLOOKUP(Ruimtestaat[[#This Row],[Code]],Locaties[],3,FALSE),0)</f>
        <v>0</v>
      </c>
      <c r="AA16" s="104">
        <f>Ruimtestaat[[#This Row],[Uitvoeringen weekend]]*Ruimtestaat[[#This Row],[Oppervlak (netto)]]</f>
        <v>0</v>
      </c>
      <c r="AB16" s="104">
        <f>IF(Z16&gt;0,Ruimtestaat[[#This Row],[Prest. (m2 /jaar) weekend]]/Ruimtestaat[[#This Row],[Norm (m2/uur) weekend]],0)</f>
        <v>0</v>
      </c>
      <c r="AC16" s="171">
        <f>Ruimtestaat[[#This Row],[uren / jaar weekend]]*Tariefsopbouw!$D$40</f>
        <v>0</v>
      </c>
      <c r="AD16" s="170">
        <f>Ruimtestaat[[#This Row],[Prest. (m2 /jaar) weekend]]+Ruimtestaat[[#This Row],[Prest. (m2 /jaar) werkdagen]]</f>
        <v>17600</v>
      </c>
      <c r="AE16" s="170">
        <f>Ruimtestaat[[#This Row],[uren / jaar weekend]]+Ruimtestaat[[#This Row],[uren / jaar werkdagen]]</f>
        <v>0</v>
      </c>
      <c r="AF16" s="76">
        <f>Ruimtestaat[[#This Row],[kosten / jaar weekend]]+Ruimtestaat[[#This Row],[kosten / jaar werkdagen]]</f>
        <v>0</v>
      </c>
      <c r="AG16" s="76"/>
      <c r="AH16" s="272" t="str">
        <f>IF(Ruimtestaat[[#This Row],[Frequentie werkdagen]]="","",_xlfn.CONCAT(Ruimtestaat[[#This Row],[Ruimte code]],"-",Ruimtestaat[[#This Row],[Frequentie werkdagen]]," ",Ruimtestaat[[#This Row],[Vloer code]]))</f>
        <v>16-5w L</v>
      </c>
      <c r="AI16" s="310" t="str">
        <f>_xlfn.IFNA(VLOOKUP($AH16,Programma!$F$3:$G$1107,2,0),"")</f>
        <v>_</v>
      </c>
      <c r="AJ16" s="310" t="str">
        <f>_xlfn.IFNA(VLOOKUP($AH16,Programma!$F$3:$H$1107,3,0),"")</f>
        <v>_</v>
      </c>
      <c r="AK16" s="310" t="str">
        <f>_xlfn.IFNA(VLOOKUP($AH16,Programma!$F$3:$I$1107,4,0),"")</f>
        <v>4w</v>
      </c>
      <c r="AL16" s="310" t="str">
        <f>_xlfn.IFNA(VLOOKUP($AH16,Programma!$F$3:$J$1107,5,0),"")</f>
        <v>1w</v>
      </c>
      <c r="AM16" s="310" t="str">
        <f>_xlfn.IFNA(VLOOKUP($AH16,Programma!$F$3:$K$1107,6,0),"")</f>
        <v>_</v>
      </c>
      <c r="AN16" s="310" t="str">
        <f>_xlfn.IFNA(VLOOKUP($AH16,Programma!$F$3:$L$1107,7,0),"")</f>
        <v>_</v>
      </c>
      <c r="AO16" s="310" t="str">
        <f>_xlfn.IFNA(VLOOKUP($AH16,Programma!$F$3:$M$1107,8,0),"")</f>
        <v>_</v>
      </c>
      <c r="AP16" s="310" t="str">
        <f>_xlfn.IFNA(VLOOKUP($AH16,Programma!$F$3:$N$1107,9,0),"")</f>
        <v>_</v>
      </c>
      <c r="AQ16" s="310" t="str">
        <f>_xlfn.IFNA(VLOOKUP($AH16,Programma!$F$3:$O$1107,10,0),"")</f>
        <v>5w</v>
      </c>
      <c r="AR16" s="310" t="str">
        <f>_xlfn.IFNA(VLOOKUP($AH16,Programma!$F$3:$P$1107,11,0),"")</f>
        <v>5w</v>
      </c>
      <c r="AS16" s="310" t="str">
        <f>_xlfn.IFNA(VLOOKUP($AH16,Programma!$F$3:$Q$1107,12,0),"")</f>
        <v>1w</v>
      </c>
      <c r="AT16" s="310" t="str">
        <f>_xlfn.IFNA(VLOOKUP($AH16,Programma!$F$3:$R$1107,13,0),"")</f>
        <v>1w</v>
      </c>
      <c r="AU16" s="310" t="str">
        <f>_xlfn.IFNA(VLOOKUP($AH16,Programma!$F$3:$S$1107,14,0),"")</f>
        <v>1m</v>
      </c>
      <c r="AV16" s="310" t="str">
        <f>_xlfn.IFNA(VLOOKUP($AH16,Programma!$F$3:$T$1107,15,0),"")</f>
        <v>2j</v>
      </c>
      <c r="AW16" s="310" t="str">
        <f>_xlfn.IFNA(VLOOKUP($AH16,Programma!$F$3:$U$1107,16,0),"")</f>
        <v>1j</v>
      </c>
      <c r="AX16" s="310" t="str">
        <f>_xlfn.IFNA(VLOOKUP($AH16,Programma!$F$3:$V$1107,17,0),"")</f>
        <v>_</v>
      </c>
      <c r="AY16" s="310" t="str">
        <f>_xlfn.IFNA(VLOOKUP($AH16,Programma!$F$3:$W$1107,18,0),"")</f>
        <v>_</v>
      </c>
      <c r="AZ16" s="310" t="str">
        <f>_xlfn.IFNA(VLOOKUP($AH16,Programma!$F$3:$X$1107,19,0),"")</f>
        <v>_</v>
      </c>
      <c r="BA16" s="310" t="str">
        <f>_xlfn.IFNA(VLOOKUP($AH16,Programma!$F$3:$Y$1107,20,0),"")</f>
        <v>_</v>
      </c>
      <c r="BB16" s="273"/>
      <c r="BC16" s="272" t="str">
        <f>IF(Ruimtestaat[[#This Row],[Frequentie weekend]]="","",_xlfn.CONCAT(Ruimtestaat[[#This Row],[Ruimte code]],"-",Ruimtestaat[[#This Row],[Frequentie weekend]]," ",Ruimtestaat[[#This Row],[Vloer code]]))</f>
        <v/>
      </c>
      <c r="BD16" s="310" t="str">
        <f>_xlfn.IFNA(VLOOKUP($BC16,Programma!$F$3:$G$1107,2,0),"")</f>
        <v/>
      </c>
      <c r="BE16" s="310" t="str">
        <f>_xlfn.IFNA(VLOOKUP($BC16,Programma!$F$3:$H$1107,3,0),"")</f>
        <v/>
      </c>
      <c r="BF16" s="310" t="str">
        <f>_xlfn.IFNA(VLOOKUP($BC16,Programma!$F$3:$I$1107,4,0),"")</f>
        <v/>
      </c>
      <c r="BG16" s="310" t="str">
        <f>_xlfn.IFNA(VLOOKUP($BC16,Programma!$F$3:$J$1107,5,0),"")</f>
        <v/>
      </c>
      <c r="BH16" s="310" t="str">
        <f>_xlfn.IFNA(VLOOKUP($BC16,Programma!$F$3:$K$1107,6,0),"")</f>
        <v/>
      </c>
      <c r="BI16" s="310" t="str">
        <f>_xlfn.IFNA(VLOOKUP($BC16,Programma!$F$3:$L$1107,7,0),"")</f>
        <v/>
      </c>
      <c r="BJ16" s="310" t="str">
        <f>_xlfn.IFNA(VLOOKUP($BC16,Programma!$F$3:$M$1107,8,0),"")</f>
        <v/>
      </c>
      <c r="BK16" s="310" t="str">
        <f>_xlfn.IFNA(VLOOKUP($BC16,Programma!$F$3:$N$1107,9,0),"")</f>
        <v/>
      </c>
      <c r="BL16" s="310" t="str">
        <f>_xlfn.IFNA(VLOOKUP($BC16,Programma!$F$3:$O$1107,10,0),"")</f>
        <v/>
      </c>
      <c r="BM16" s="310" t="str">
        <f>_xlfn.IFNA(VLOOKUP($BC16,Programma!$F$3:$P$1107,11,0),"")</f>
        <v/>
      </c>
      <c r="BN16" s="310" t="str">
        <f>_xlfn.IFNA(VLOOKUP($BC16,Programma!$F$3:$Q$1107,12,0),"")</f>
        <v/>
      </c>
      <c r="BO16" s="310" t="str">
        <f>_xlfn.IFNA(VLOOKUP($BC16,Programma!$F$3:$R$1107,13,0),"")</f>
        <v/>
      </c>
      <c r="BP16" s="310" t="str">
        <f>_xlfn.IFNA(VLOOKUP($BC16,Programma!$F$3:$S$1107,14,0),"")</f>
        <v/>
      </c>
      <c r="BQ16" s="310" t="str">
        <f>_xlfn.IFNA(VLOOKUP($BC16,Programma!$F$3:$T$1107,15,0),"")</f>
        <v/>
      </c>
      <c r="BR16" s="310" t="str">
        <f>_xlfn.IFNA(VLOOKUP($BC16,Programma!$F$3:$U$1107,16,0),"")</f>
        <v/>
      </c>
      <c r="BS16" s="310" t="str">
        <f>_xlfn.IFNA(VLOOKUP($BC16,Programma!$F$3:$V$1107,17,0),"")</f>
        <v/>
      </c>
      <c r="BT16" s="310" t="str">
        <f>_xlfn.IFNA(VLOOKUP($BC16,Programma!$F$3:$W$1107,18,0),"")</f>
        <v/>
      </c>
      <c r="BU16" s="310" t="str">
        <f>_xlfn.IFNA(VLOOKUP($BC16,Programma!$F$3:$X$1107,19,0),"")</f>
        <v/>
      </c>
      <c r="BV16" s="310" t="str">
        <f>_xlfn.IFNA(VLOOKUP($BC16,Programma!$F$3:$Y$1107,20,0),"")</f>
        <v/>
      </c>
    </row>
    <row r="17" spans="1:74" ht="15" customHeight="1">
      <c r="A17" s="33">
        <v>1</v>
      </c>
      <c r="B17" s="173" t="s">
        <v>1619</v>
      </c>
      <c r="C17" s="173" t="str">
        <f>VLOOKUP(Ruimtestaat[[#This Row],[Code]],Locaties[[#All],[Code]:[Adres]],4,FALSE)</f>
        <v>Stationslaan 26</v>
      </c>
      <c r="D17" s="173" t="str">
        <f>VLOOKUP(Ruimtestaat[[#This Row],[Code]],Locaties[[#All],[Code]:[Postcode]],5,FALSE)</f>
        <v>3842 LA</v>
      </c>
      <c r="E17" s="173" t="str">
        <f>VLOOKUP(Ruimtestaat[[#This Row],[Code]],Locaties[#All],6,FALSE)</f>
        <v>Harderwijk</v>
      </c>
      <c r="F17" s="21" t="s">
        <v>1620</v>
      </c>
      <c r="G17" s="33" t="s">
        <v>1612</v>
      </c>
      <c r="H17" s="311" t="s">
        <v>1643</v>
      </c>
      <c r="I17" s="312" t="s">
        <v>1782</v>
      </c>
      <c r="J17" s="21">
        <v>1</v>
      </c>
      <c r="K17" s="69" t="str">
        <f>VLOOKUP(Ruimtestaat[[#This Row],[Ruimte code]],Ruimtegroepen[[#All],[Code]:[Ruimte omschrijving]],2,FALSE)</f>
        <v>Magazijnen/bergingen</v>
      </c>
      <c r="L17" s="33" t="s">
        <v>101</v>
      </c>
      <c r="M17" s="312" t="s">
        <v>1804</v>
      </c>
      <c r="N17" s="148">
        <v>31</v>
      </c>
      <c r="O17" s="150"/>
      <c r="P17" s="134" t="str">
        <f>VLOOKUP(Ruimtestaat[[#This Row],[Ruimte code]],Ruimtegroepen[],4,FALSE)</f>
        <v>Ve</v>
      </c>
      <c r="Q17" s="33">
        <v>40</v>
      </c>
      <c r="R17" s="33" t="s">
        <v>16</v>
      </c>
      <c r="S17" s="33">
        <f>IF(Q17&gt;0,IF(RIGHT(Ruimtestaat[[#This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7" s="33">
        <f>IF(S17&gt;0,VLOOKUP($J17,Ruimtegroepen[],3,FALSE)*VLOOKUP($L17,Vloersoorten[],3,FALSE)*VLOOKUP($R17,Frequenties[],3,FALSE)*VLOOKUP($A17,Locaties[],3,FALSE),0)</f>
        <v>0</v>
      </c>
      <c r="U17" s="33">
        <f>Ruimtestaat[[#This Row],[Uitvoeringen werkdagen]]*Ruimtestaat[[#This Row],[Oppervlak (netto)]]</f>
        <v>372</v>
      </c>
      <c r="V17" s="170">
        <f>IF(T17&gt;0,Ruimtestaat[[#This Row],[Prest. (m2 /jaar) werkdagen]]/Ruimtestaat[[#This Row],[Norm (m2/uur) werkdagen]],0)</f>
        <v>0</v>
      </c>
      <c r="W17" s="171">
        <f>Ruimtestaat[[#This Row],[uren / jaar werkdagen]]*Tariefsopbouw!$E$35</f>
        <v>0</v>
      </c>
      <c r="X17" s="33"/>
      <c r="Y17" s="33">
        <f>IF(Ruimtestaat[[#This Row],[Frequentie weekend]]&gt;0,VALUE(LEFT(X17,1))*Q17,0)</f>
        <v>0</v>
      </c>
      <c r="Z17" s="104">
        <f>IF($Y17&gt;0,VLOOKUP($J17,Ruimtegroepen[],3,FALSE)*VLOOKUP($L17,Vloersoorten[],3,FALSE)*VLOOKUP($X17,Frequenties[],3,FALSE)*VLOOKUP(Ruimtestaat[[#This Row],[Code]],Locaties[],3,FALSE),0)</f>
        <v>0</v>
      </c>
      <c r="AA17" s="104">
        <f>Ruimtestaat[[#This Row],[Uitvoeringen weekend]]*Ruimtestaat[[#This Row],[Oppervlak (netto)]]</f>
        <v>0</v>
      </c>
      <c r="AB17" s="104">
        <f>IF(Z17&gt;0,Ruimtestaat[[#This Row],[Prest. (m2 /jaar) weekend]]/Ruimtestaat[[#This Row],[Norm (m2/uur) weekend]],0)</f>
        <v>0</v>
      </c>
      <c r="AC17" s="171">
        <f>Ruimtestaat[[#This Row],[uren / jaar weekend]]*Tariefsopbouw!$D$40</f>
        <v>0</v>
      </c>
      <c r="AD17" s="170">
        <f>Ruimtestaat[[#This Row],[Prest. (m2 /jaar) weekend]]+Ruimtestaat[[#This Row],[Prest. (m2 /jaar) werkdagen]]</f>
        <v>372</v>
      </c>
      <c r="AE17" s="170">
        <f>Ruimtestaat[[#This Row],[uren / jaar weekend]]+Ruimtestaat[[#This Row],[uren / jaar werkdagen]]</f>
        <v>0</v>
      </c>
      <c r="AF17" s="76">
        <f>Ruimtestaat[[#This Row],[kosten / jaar weekend]]+Ruimtestaat[[#This Row],[kosten / jaar werkdagen]]</f>
        <v>0</v>
      </c>
      <c r="AG17" s="76"/>
      <c r="AH17" s="272" t="str">
        <f>IF(Ruimtestaat[[#This Row],[Frequentie werkdagen]]="","",_xlfn.CONCAT(Ruimtestaat[[#This Row],[Ruimte code]],"-",Ruimtestaat[[#This Row],[Frequentie werkdagen]]," ",Ruimtestaat[[#This Row],[Vloer code]]))</f>
        <v>1-1m L</v>
      </c>
      <c r="AI17" s="310" t="str">
        <f>_xlfn.IFNA(VLOOKUP($AH17,Programma!$F$3:$G$1107,2,0),"")</f>
        <v>_</v>
      </c>
      <c r="AJ17" s="310" t="str">
        <f>_xlfn.IFNA(VLOOKUP($AH17,Programma!$F$3:$H$1107,3,0),"")</f>
        <v>_</v>
      </c>
      <c r="AK17" s="310" t="str">
        <f>_xlfn.IFNA(VLOOKUP($AH17,Programma!$F$3:$I$1107,4,0),"")</f>
        <v>1m</v>
      </c>
      <c r="AL17" s="310" t="str">
        <f>_xlfn.IFNA(VLOOKUP($AH17,Programma!$F$3:$J$1107,5,0),"")</f>
        <v>1m</v>
      </c>
      <c r="AM17" s="310" t="str">
        <f>_xlfn.IFNA(VLOOKUP($AH17,Programma!$F$3:$K$1107,6,0),"")</f>
        <v>_</v>
      </c>
      <c r="AN17" s="310" t="str">
        <f>_xlfn.IFNA(VLOOKUP($AH17,Programma!$F$3:$L$1107,7,0),"")</f>
        <v>_</v>
      </c>
      <c r="AO17" s="310" t="str">
        <f>_xlfn.IFNA(VLOOKUP($AH17,Programma!$F$3:$M$1107,8,0),"")</f>
        <v>_</v>
      </c>
      <c r="AP17" s="310" t="str">
        <f>_xlfn.IFNA(VLOOKUP($AH17,Programma!$F$3:$N$1107,9,0),"")</f>
        <v>_</v>
      </c>
      <c r="AQ17" s="310" t="str">
        <f>_xlfn.IFNA(VLOOKUP($AH17,Programma!$F$3:$O$1107,10,0),"")</f>
        <v>_</v>
      </c>
      <c r="AR17" s="310" t="str">
        <f>_xlfn.IFNA(VLOOKUP($AH17,Programma!$F$3:$P$1107,11,0),"")</f>
        <v>_</v>
      </c>
      <c r="AS17" s="310" t="str">
        <f>_xlfn.IFNA(VLOOKUP($AH17,Programma!$F$3:$Q$1107,12,0),"")</f>
        <v>_</v>
      </c>
      <c r="AT17" s="310" t="str">
        <f>_xlfn.IFNA(VLOOKUP($AH17,Programma!$F$3:$R$1107,13,0),"")</f>
        <v>_</v>
      </c>
      <c r="AU17" s="310" t="str">
        <f>_xlfn.IFNA(VLOOKUP($AH17,Programma!$F$3:$S$1107,14,0),"")</f>
        <v>1m</v>
      </c>
      <c r="AV17" s="310" t="str">
        <f>_xlfn.IFNA(VLOOKUP($AH17,Programma!$F$3:$T$1107,15,0),"")</f>
        <v>4j</v>
      </c>
      <c r="AW17" s="310" t="str">
        <f>_xlfn.IFNA(VLOOKUP($AH17,Programma!$F$3:$U$1107,16,0),"")</f>
        <v>4j</v>
      </c>
      <c r="AX17" s="310" t="str">
        <f>_xlfn.IFNA(VLOOKUP($AH17,Programma!$F$3:$V$1107,17,0),"")</f>
        <v>_</v>
      </c>
      <c r="AY17" s="310" t="str">
        <f>_xlfn.IFNA(VLOOKUP($AH17,Programma!$F$3:$W$1107,18,0),"")</f>
        <v>_</v>
      </c>
      <c r="AZ17" s="310" t="str">
        <f>_xlfn.IFNA(VLOOKUP($AH17,Programma!$F$3:$X$1107,19,0),"")</f>
        <v>_</v>
      </c>
      <c r="BA17" s="310" t="str">
        <f>_xlfn.IFNA(VLOOKUP($AH17,Programma!$F$3:$Y$1107,20,0),"")</f>
        <v>_</v>
      </c>
      <c r="BB17" s="273"/>
      <c r="BC17" s="272" t="str">
        <f>IF(Ruimtestaat[[#This Row],[Frequentie weekend]]="","",_xlfn.CONCAT(Ruimtestaat[[#This Row],[Ruimte code]],"-",Ruimtestaat[[#This Row],[Frequentie weekend]]," ",Ruimtestaat[[#This Row],[Vloer code]]))</f>
        <v/>
      </c>
      <c r="BD17" s="310" t="str">
        <f>_xlfn.IFNA(VLOOKUP($BC17,Programma!$F$3:$G$1107,2,0),"")</f>
        <v/>
      </c>
      <c r="BE17" s="310" t="str">
        <f>_xlfn.IFNA(VLOOKUP($BC17,Programma!$F$3:$H$1107,3,0),"")</f>
        <v/>
      </c>
      <c r="BF17" s="310" t="str">
        <f>_xlfn.IFNA(VLOOKUP($BC17,Programma!$F$3:$I$1107,4,0),"")</f>
        <v/>
      </c>
      <c r="BG17" s="310" t="str">
        <f>_xlfn.IFNA(VLOOKUP($BC17,Programma!$F$3:$J$1107,5,0),"")</f>
        <v/>
      </c>
      <c r="BH17" s="310" t="str">
        <f>_xlfn.IFNA(VLOOKUP($BC17,Programma!$F$3:$K$1107,6,0),"")</f>
        <v/>
      </c>
      <c r="BI17" s="310" t="str">
        <f>_xlfn.IFNA(VLOOKUP($BC17,Programma!$F$3:$L$1107,7,0),"")</f>
        <v/>
      </c>
      <c r="BJ17" s="310" t="str">
        <f>_xlfn.IFNA(VLOOKUP($BC17,Programma!$F$3:$M$1107,8,0),"")</f>
        <v/>
      </c>
      <c r="BK17" s="310" t="str">
        <f>_xlfn.IFNA(VLOOKUP($BC17,Programma!$F$3:$N$1107,9,0),"")</f>
        <v/>
      </c>
      <c r="BL17" s="310" t="str">
        <f>_xlfn.IFNA(VLOOKUP($BC17,Programma!$F$3:$O$1107,10,0),"")</f>
        <v/>
      </c>
      <c r="BM17" s="310" t="str">
        <f>_xlfn.IFNA(VLOOKUP($BC17,Programma!$F$3:$P$1107,11,0),"")</f>
        <v/>
      </c>
      <c r="BN17" s="310" t="str">
        <f>_xlfn.IFNA(VLOOKUP($BC17,Programma!$F$3:$Q$1107,12,0),"")</f>
        <v/>
      </c>
      <c r="BO17" s="310" t="str">
        <f>_xlfn.IFNA(VLOOKUP($BC17,Programma!$F$3:$R$1107,13,0),"")</f>
        <v/>
      </c>
      <c r="BP17" s="310" t="str">
        <f>_xlfn.IFNA(VLOOKUP($BC17,Programma!$F$3:$S$1107,14,0),"")</f>
        <v/>
      </c>
      <c r="BQ17" s="310" t="str">
        <f>_xlfn.IFNA(VLOOKUP($BC17,Programma!$F$3:$T$1107,15,0),"")</f>
        <v/>
      </c>
      <c r="BR17" s="310" t="str">
        <f>_xlfn.IFNA(VLOOKUP($BC17,Programma!$F$3:$U$1107,16,0),"")</f>
        <v/>
      </c>
      <c r="BS17" s="310" t="str">
        <f>_xlfn.IFNA(VLOOKUP($BC17,Programma!$F$3:$V$1107,17,0),"")</f>
        <v/>
      </c>
      <c r="BT17" s="310" t="str">
        <f>_xlfn.IFNA(VLOOKUP($BC17,Programma!$F$3:$W$1107,18,0),"")</f>
        <v/>
      </c>
      <c r="BU17" s="310" t="str">
        <f>_xlfn.IFNA(VLOOKUP($BC17,Programma!$F$3:$X$1107,19,0),"")</f>
        <v/>
      </c>
      <c r="BV17" s="310" t="str">
        <f>_xlfn.IFNA(VLOOKUP($BC17,Programma!$F$3:$Y$1107,20,0),"")</f>
        <v/>
      </c>
    </row>
    <row r="18" spans="1:74" ht="15" customHeight="1">
      <c r="A18" s="33">
        <v>1</v>
      </c>
      <c r="B18" s="173" t="s">
        <v>1619</v>
      </c>
      <c r="C18" s="173" t="str">
        <f>VLOOKUP(Ruimtestaat[[#This Row],[Code]],Locaties[[#All],[Code]:[Adres]],4,FALSE)</f>
        <v>Stationslaan 26</v>
      </c>
      <c r="D18" s="173" t="str">
        <f>VLOOKUP(Ruimtestaat[[#This Row],[Code]],Locaties[[#All],[Code]:[Postcode]],5,FALSE)</f>
        <v>3842 LA</v>
      </c>
      <c r="E18" s="173" t="str">
        <f>VLOOKUP(Ruimtestaat[[#This Row],[Code]],Locaties[#All],6,FALSE)</f>
        <v>Harderwijk</v>
      </c>
      <c r="F18" s="21" t="s">
        <v>1620</v>
      </c>
      <c r="G18" s="33" t="s">
        <v>1612</v>
      </c>
      <c r="H18" s="311" t="s">
        <v>1643</v>
      </c>
      <c r="I18" s="312" t="s">
        <v>1615</v>
      </c>
      <c r="J18" s="21">
        <v>16</v>
      </c>
      <c r="K18" s="69" t="str">
        <f>VLOOKUP(Ruimtestaat[[#This Row],[Ruimte code]],Ruimtegroepen[[#All],[Code]:[Ruimte omschrijving]],2,FALSE)</f>
        <v>Leslokalen</v>
      </c>
      <c r="L18" s="33" t="s">
        <v>1817</v>
      </c>
      <c r="M18" s="312" t="s">
        <v>1802</v>
      </c>
      <c r="N18" s="148">
        <v>65</v>
      </c>
      <c r="O18" s="33"/>
      <c r="P18" s="134" t="str">
        <f>VLOOKUP(Ruimtestaat[[#This Row],[Ruimte code]],Ruimtegroepen[],4,FALSE)</f>
        <v>Le</v>
      </c>
      <c r="Q18" s="33">
        <v>40</v>
      </c>
      <c r="R18" s="33" t="s">
        <v>2</v>
      </c>
      <c r="S18" s="33">
        <f>IF(Q18&gt;0,IF(RIGHT(Ruimtestaat[[#This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 s="33">
        <f>IF(S18&gt;0,VLOOKUP($J18,Ruimtegroepen[],3,FALSE)*VLOOKUP($L18,Vloersoorten[],3,FALSE)*VLOOKUP($R18,Frequenties[],3,FALSE)*VLOOKUP($A18,Locaties[],3,FALSE),0)</f>
        <v>0</v>
      </c>
      <c r="U18" s="33">
        <f>Ruimtestaat[[#This Row],[Uitvoeringen werkdagen]]*Ruimtestaat[[#This Row],[Oppervlak (netto)]]</f>
        <v>13000</v>
      </c>
      <c r="V18" s="170">
        <f>IF(T18&gt;0,Ruimtestaat[[#This Row],[Prest. (m2 /jaar) werkdagen]]/Ruimtestaat[[#This Row],[Norm (m2/uur) werkdagen]],0)</f>
        <v>0</v>
      </c>
      <c r="W18" s="171">
        <f>Ruimtestaat[[#This Row],[uren / jaar werkdagen]]*Tariefsopbouw!$E$35</f>
        <v>0</v>
      </c>
      <c r="X18" s="33"/>
      <c r="Y18" s="33">
        <f>IF(Ruimtestaat[[#This Row],[Frequentie weekend]]&gt;0,VALUE(LEFT(X18,1))*Q18,0)</f>
        <v>0</v>
      </c>
      <c r="Z18" s="104">
        <f>IF($Y18&gt;0,VLOOKUP($J18,Ruimtegroepen[],3,FALSE)*VLOOKUP($L18,Vloersoorten[],3,FALSE)*VLOOKUP($X18,Frequenties[],3,FALSE)*VLOOKUP(Ruimtestaat[[#This Row],[Code]],Locaties[],3,FALSE),0)</f>
        <v>0</v>
      </c>
      <c r="AA18" s="104">
        <f>Ruimtestaat[[#This Row],[Uitvoeringen weekend]]*Ruimtestaat[[#This Row],[Oppervlak (netto)]]</f>
        <v>0</v>
      </c>
      <c r="AB18" s="104">
        <f>IF(Z18&gt;0,Ruimtestaat[[#This Row],[Prest. (m2 /jaar) weekend]]/Ruimtestaat[[#This Row],[Norm (m2/uur) weekend]],0)</f>
        <v>0</v>
      </c>
      <c r="AC18" s="171">
        <f>Ruimtestaat[[#This Row],[uren / jaar weekend]]*Tariefsopbouw!$D$40</f>
        <v>0</v>
      </c>
      <c r="AD18" s="170">
        <f>Ruimtestaat[[#This Row],[Prest. (m2 /jaar) weekend]]+Ruimtestaat[[#This Row],[Prest. (m2 /jaar) werkdagen]]</f>
        <v>13000</v>
      </c>
      <c r="AE18" s="170">
        <f>Ruimtestaat[[#This Row],[uren / jaar weekend]]+Ruimtestaat[[#This Row],[uren / jaar werkdagen]]</f>
        <v>0</v>
      </c>
      <c r="AF18" s="76">
        <f>Ruimtestaat[[#This Row],[kosten / jaar weekend]]+Ruimtestaat[[#This Row],[kosten / jaar werkdagen]]</f>
        <v>0</v>
      </c>
      <c r="AG18" s="76"/>
      <c r="AH18" s="272" t="str">
        <f>IF(Ruimtestaat[[#This Row],[Frequentie werkdagen]]="","",_xlfn.CONCAT(Ruimtestaat[[#This Row],[Ruimte code]],"-",Ruimtestaat[[#This Row],[Frequentie werkdagen]]," ",Ruimtestaat[[#This Row],[Vloer code]]))</f>
        <v>16-5w p</v>
      </c>
      <c r="AI18" s="310" t="str">
        <f>_xlfn.IFNA(VLOOKUP($AH18,Programma!$F$3:$G$1107,2,0),"")</f>
        <v>_</v>
      </c>
      <c r="AJ18" s="310" t="str">
        <f>_xlfn.IFNA(VLOOKUP($AH18,Programma!$F$3:$H$1107,3,0),"")</f>
        <v>_</v>
      </c>
      <c r="AK18" s="310" t="str">
        <f>_xlfn.IFNA(VLOOKUP($AH18,Programma!$F$3:$I$1107,4,0),"")</f>
        <v>4w</v>
      </c>
      <c r="AL18" s="310" t="str">
        <f>_xlfn.IFNA(VLOOKUP($AH18,Programma!$F$3:$J$1107,5,0),"")</f>
        <v>1w</v>
      </c>
      <c r="AM18" s="310" t="str">
        <f>_xlfn.IFNA(VLOOKUP($AH18,Programma!$F$3:$K$1107,6,0),"")</f>
        <v>1m</v>
      </c>
      <c r="AN18" s="310" t="str">
        <f>_xlfn.IFNA(VLOOKUP($AH18,Programma!$F$3:$L$1107,7,0),"")</f>
        <v>_</v>
      </c>
      <c r="AO18" s="310" t="str">
        <f>_xlfn.IFNA(VLOOKUP($AH18,Programma!$F$3:$M$1107,8,0),"")</f>
        <v>_</v>
      </c>
      <c r="AP18" s="310" t="str">
        <f>_xlfn.IFNA(VLOOKUP($AH18,Programma!$F$3:$N$1107,9,0),"")</f>
        <v>_</v>
      </c>
      <c r="AQ18" s="310" t="str">
        <f>_xlfn.IFNA(VLOOKUP($AH18,Programma!$F$3:$O$1107,10,0),"")</f>
        <v>5w</v>
      </c>
      <c r="AR18" s="310" t="str">
        <f>_xlfn.IFNA(VLOOKUP($AH18,Programma!$F$3:$P$1107,11,0),"")</f>
        <v>5w</v>
      </c>
      <c r="AS18" s="310" t="str">
        <f>_xlfn.IFNA(VLOOKUP($AH18,Programma!$F$3:$Q$1107,12,0),"")</f>
        <v>1w</v>
      </c>
      <c r="AT18" s="310" t="str">
        <f>_xlfn.IFNA(VLOOKUP($AH18,Programma!$F$3:$R$1107,13,0),"")</f>
        <v>1w</v>
      </c>
      <c r="AU18" s="310" t="str">
        <f>_xlfn.IFNA(VLOOKUP($AH18,Programma!$F$3:$S$1107,14,0),"")</f>
        <v>1m</v>
      </c>
      <c r="AV18" s="310" t="str">
        <f>_xlfn.IFNA(VLOOKUP($AH18,Programma!$F$3:$T$1107,15,0),"")</f>
        <v>2j</v>
      </c>
      <c r="AW18" s="310" t="str">
        <f>_xlfn.IFNA(VLOOKUP($AH18,Programma!$F$3:$U$1107,16,0),"")</f>
        <v>1j</v>
      </c>
      <c r="AX18" s="310" t="str">
        <f>_xlfn.IFNA(VLOOKUP($AH18,Programma!$F$3:$V$1107,17,0),"")</f>
        <v>_</v>
      </c>
      <c r="AY18" s="310" t="str">
        <f>_xlfn.IFNA(VLOOKUP($AH18,Programma!$F$3:$W$1107,18,0),"")</f>
        <v>_</v>
      </c>
      <c r="AZ18" s="310" t="str">
        <f>_xlfn.IFNA(VLOOKUP($AH18,Programma!$F$3:$X$1107,19,0),"")</f>
        <v>_</v>
      </c>
      <c r="BA18" s="310" t="str">
        <f>_xlfn.IFNA(VLOOKUP($AH18,Programma!$F$3:$Y$1107,20,0),"")</f>
        <v>_</v>
      </c>
      <c r="BB18" s="273"/>
      <c r="BC18" s="272" t="str">
        <f>IF(Ruimtestaat[[#This Row],[Frequentie weekend]]="","",_xlfn.CONCAT(Ruimtestaat[[#This Row],[Ruimte code]],"-",Ruimtestaat[[#This Row],[Frequentie weekend]]," ",Ruimtestaat[[#This Row],[Vloer code]]))</f>
        <v/>
      </c>
      <c r="BD18" s="310" t="str">
        <f>_xlfn.IFNA(VLOOKUP($BC18,Programma!$F$3:$G$1107,2,0),"")</f>
        <v/>
      </c>
      <c r="BE18" s="310" t="str">
        <f>_xlfn.IFNA(VLOOKUP($BC18,Programma!$F$3:$H$1107,3,0),"")</f>
        <v/>
      </c>
      <c r="BF18" s="310" t="str">
        <f>_xlfn.IFNA(VLOOKUP($BC18,Programma!$F$3:$I$1107,4,0),"")</f>
        <v/>
      </c>
      <c r="BG18" s="310" t="str">
        <f>_xlfn.IFNA(VLOOKUP($BC18,Programma!$F$3:$J$1107,5,0),"")</f>
        <v/>
      </c>
      <c r="BH18" s="310" t="str">
        <f>_xlfn.IFNA(VLOOKUP($BC18,Programma!$F$3:$K$1107,6,0),"")</f>
        <v/>
      </c>
      <c r="BI18" s="310" t="str">
        <f>_xlfn.IFNA(VLOOKUP($BC18,Programma!$F$3:$L$1107,7,0),"")</f>
        <v/>
      </c>
      <c r="BJ18" s="310" t="str">
        <f>_xlfn.IFNA(VLOOKUP($BC18,Programma!$F$3:$M$1107,8,0),"")</f>
        <v/>
      </c>
      <c r="BK18" s="310" t="str">
        <f>_xlfn.IFNA(VLOOKUP($BC18,Programma!$F$3:$N$1107,9,0),"")</f>
        <v/>
      </c>
      <c r="BL18" s="310" t="str">
        <f>_xlfn.IFNA(VLOOKUP($BC18,Programma!$F$3:$O$1107,10,0),"")</f>
        <v/>
      </c>
      <c r="BM18" s="310" t="str">
        <f>_xlfn.IFNA(VLOOKUP($BC18,Programma!$F$3:$P$1107,11,0),"")</f>
        <v/>
      </c>
      <c r="BN18" s="310" t="str">
        <f>_xlfn.IFNA(VLOOKUP($BC18,Programma!$F$3:$Q$1107,12,0),"")</f>
        <v/>
      </c>
      <c r="BO18" s="310" t="str">
        <f>_xlfn.IFNA(VLOOKUP($BC18,Programma!$F$3:$R$1107,13,0),"")</f>
        <v/>
      </c>
      <c r="BP18" s="310" t="str">
        <f>_xlfn.IFNA(VLOOKUP($BC18,Programma!$F$3:$S$1107,14,0),"")</f>
        <v/>
      </c>
      <c r="BQ18" s="310" t="str">
        <f>_xlfn.IFNA(VLOOKUP($BC18,Programma!$F$3:$T$1107,15,0),"")</f>
        <v/>
      </c>
      <c r="BR18" s="310" t="str">
        <f>_xlfn.IFNA(VLOOKUP($BC18,Programma!$F$3:$U$1107,16,0),"")</f>
        <v/>
      </c>
      <c r="BS18" s="310" t="str">
        <f>_xlfn.IFNA(VLOOKUP($BC18,Programma!$F$3:$V$1107,17,0),"")</f>
        <v/>
      </c>
      <c r="BT18" s="310" t="str">
        <f>_xlfn.IFNA(VLOOKUP($BC18,Programma!$F$3:$W$1107,18,0),"")</f>
        <v/>
      </c>
      <c r="BU18" s="310" t="str">
        <f>_xlfn.IFNA(VLOOKUP($BC18,Programma!$F$3:$X$1107,19,0),"")</f>
        <v/>
      </c>
      <c r="BV18" s="310" t="str">
        <f>_xlfn.IFNA(VLOOKUP($BC18,Programma!$F$3:$Y$1107,20,0),"")</f>
        <v/>
      </c>
    </row>
    <row r="19" spans="1:74" ht="15" customHeight="1">
      <c r="A19" s="33">
        <v>1</v>
      </c>
      <c r="B19" s="173" t="s">
        <v>1619</v>
      </c>
      <c r="C19" s="173" t="str">
        <f>VLOOKUP(Ruimtestaat[[#This Row],[Code]],Locaties[[#All],[Code]:[Adres]],4,FALSE)</f>
        <v>Stationslaan 26</v>
      </c>
      <c r="D19" s="173" t="str">
        <f>VLOOKUP(Ruimtestaat[[#This Row],[Code]],Locaties[[#All],[Code]:[Postcode]],5,FALSE)</f>
        <v>3842 LA</v>
      </c>
      <c r="E19" s="173" t="str">
        <f>VLOOKUP(Ruimtestaat[[#This Row],[Code]],Locaties[#All],6,FALSE)</f>
        <v>Harderwijk</v>
      </c>
      <c r="F19" s="21" t="s">
        <v>1620</v>
      </c>
      <c r="G19" s="33" t="s">
        <v>1612</v>
      </c>
      <c r="H19" s="311" t="s">
        <v>1644</v>
      </c>
      <c r="I19" s="312" t="s">
        <v>1615</v>
      </c>
      <c r="J19" s="21">
        <v>16</v>
      </c>
      <c r="K19" s="69" t="str">
        <f>VLOOKUP(Ruimtestaat[[#This Row],[Ruimte code]],Ruimtegroepen[[#All],[Code]:[Ruimte omschrijving]],2,FALSE)</f>
        <v>Leslokalen</v>
      </c>
      <c r="L19" s="33" t="s">
        <v>101</v>
      </c>
      <c r="M19" s="312" t="s">
        <v>1804</v>
      </c>
      <c r="N19" s="148">
        <v>63.5</v>
      </c>
      <c r="O19" s="150"/>
      <c r="P19" s="134" t="str">
        <f>VLOOKUP(Ruimtestaat[[#This Row],[Ruimte code]],Ruimtegroepen[],4,FALSE)</f>
        <v>Le</v>
      </c>
      <c r="Q19" s="33">
        <v>40</v>
      </c>
      <c r="R19" s="33" t="s">
        <v>2</v>
      </c>
      <c r="S19" s="33">
        <f>IF(Q19&gt;0,IF(RIGHT(Ruimtestaat[[#This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 s="33">
        <f>IF(S19&gt;0,VLOOKUP($J19,Ruimtegroepen[],3,FALSE)*VLOOKUP($L19,Vloersoorten[],3,FALSE)*VLOOKUP($R19,Frequenties[],3,FALSE)*VLOOKUP($A19,Locaties[],3,FALSE),0)</f>
        <v>0</v>
      </c>
      <c r="U19" s="33">
        <f>Ruimtestaat[[#This Row],[Uitvoeringen werkdagen]]*Ruimtestaat[[#This Row],[Oppervlak (netto)]]</f>
        <v>12700</v>
      </c>
      <c r="V19" s="170">
        <f>IF(T19&gt;0,Ruimtestaat[[#This Row],[Prest. (m2 /jaar) werkdagen]]/Ruimtestaat[[#This Row],[Norm (m2/uur) werkdagen]],0)</f>
        <v>0</v>
      </c>
      <c r="W19" s="171">
        <f>Ruimtestaat[[#This Row],[uren / jaar werkdagen]]*Tariefsopbouw!$E$35</f>
        <v>0</v>
      </c>
      <c r="X19" s="33"/>
      <c r="Y19" s="33">
        <f>IF(Ruimtestaat[[#This Row],[Frequentie weekend]]&gt;0,VALUE(LEFT(X19,1))*Q19,0)</f>
        <v>0</v>
      </c>
      <c r="Z19" s="104">
        <f>IF($Y19&gt;0,VLOOKUP($J19,Ruimtegroepen[],3,FALSE)*VLOOKUP($L19,Vloersoorten[],3,FALSE)*VLOOKUP($X19,Frequenties[],3,FALSE)*VLOOKUP(Ruimtestaat[[#This Row],[Code]],Locaties[],3,FALSE),0)</f>
        <v>0</v>
      </c>
      <c r="AA19" s="104">
        <f>Ruimtestaat[[#This Row],[Uitvoeringen weekend]]*Ruimtestaat[[#This Row],[Oppervlak (netto)]]</f>
        <v>0</v>
      </c>
      <c r="AB19" s="104">
        <f>IF(Z19&gt;0,Ruimtestaat[[#This Row],[Prest. (m2 /jaar) weekend]]/Ruimtestaat[[#This Row],[Norm (m2/uur) weekend]],0)</f>
        <v>0</v>
      </c>
      <c r="AC19" s="171">
        <f>Ruimtestaat[[#This Row],[uren / jaar weekend]]*Tariefsopbouw!$D$40</f>
        <v>0</v>
      </c>
      <c r="AD19" s="170">
        <f>Ruimtestaat[[#This Row],[Prest. (m2 /jaar) weekend]]+Ruimtestaat[[#This Row],[Prest. (m2 /jaar) werkdagen]]</f>
        <v>12700</v>
      </c>
      <c r="AE19" s="170">
        <f>Ruimtestaat[[#This Row],[uren / jaar weekend]]+Ruimtestaat[[#This Row],[uren / jaar werkdagen]]</f>
        <v>0</v>
      </c>
      <c r="AF19" s="76">
        <f>Ruimtestaat[[#This Row],[kosten / jaar weekend]]+Ruimtestaat[[#This Row],[kosten / jaar werkdagen]]</f>
        <v>0</v>
      </c>
      <c r="AG19" s="76"/>
      <c r="AH19" s="272" t="str">
        <f>IF(Ruimtestaat[[#This Row],[Frequentie werkdagen]]="","",_xlfn.CONCAT(Ruimtestaat[[#This Row],[Ruimte code]],"-",Ruimtestaat[[#This Row],[Frequentie werkdagen]]," ",Ruimtestaat[[#This Row],[Vloer code]]))</f>
        <v>16-5w L</v>
      </c>
      <c r="AI19" s="310" t="str">
        <f>_xlfn.IFNA(VLOOKUP($AH19,Programma!$F$3:$G$1107,2,0),"")</f>
        <v>_</v>
      </c>
      <c r="AJ19" s="310" t="str">
        <f>_xlfn.IFNA(VLOOKUP($AH19,Programma!$F$3:$H$1107,3,0),"")</f>
        <v>_</v>
      </c>
      <c r="AK19" s="310" t="str">
        <f>_xlfn.IFNA(VLOOKUP($AH19,Programma!$F$3:$I$1107,4,0),"")</f>
        <v>4w</v>
      </c>
      <c r="AL19" s="310" t="str">
        <f>_xlfn.IFNA(VLOOKUP($AH19,Programma!$F$3:$J$1107,5,0),"")</f>
        <v>1w</v>
      </c>
      <c r="AM19" s="310" t="str">
        <f>_xlfn.IFNA(VLOOKUP($AH19,Programma!$F$3:$K$1107,6,0),"")</f>
        <v>_</v>
      </c>
      <c r="AN19" s="310" t="str">
        <f>_xlfn.IFNA(VLOOKUP($AH19,Programma!$F$3:$L$1107,7,0),"")</f>
        <v>_</v>
      </c>
      <c r="AO19" s="310" t="str">
        <f>_xlfn.IFNA(VLOOKUP($AH19,Programma!$F$3:$M$1107,8,0),"")</f>
        <v>_</v>
      </c>
      <c r="AP19" s="310" t="str">
        <f>_xlfn.IFNA(VLOOKUP($AH19,Programma!$F$3:$N$1107,9,0),"")</f>
        <v>_</v>
      </c>
      <c r="AQ19" s="310" t="str">
        <f>_xlfn.IFNA(VLOOKUP($AH19,Programma!$F$3:$O$1107,10,0),"")</f>
        <v>5w</v>
      </c>
      <c r="AR19" s="310" t="str">
        <f>_xlfn.IFNA(VLOOKUP($AH19,Programma!$F$3:$P$1107,11,0),"")</f>
        <v>5w</v>
      </c>
      <c r="AS19" s="310" t="str">
        <f>_xlfn.IFNA(VLOOKUP($AH19,Programma!$F$3:$Q$1107,12,0),"")</f>
        <v>1w</v>
      </c>
      <c r="AT19" s="310" t="str">
        <f>_xlfn.IFNA(VLOOKUP($AH19,Programma!$F$3:$R$1107,13,0),"")</f>
        <v>1w</v>
      </c>
      <c r="AU19" s="310" t="str">
        <f>_xlfn.IFNA(VLOOKUP($AH19,Programma!$F$3:$S$1107,14,0),"")</f>
        <v>1m</v>
      </c>
      <c r="AV19" s="310" t="str">
        <f>_xlfn.IFNA(VLOOKUP($AH19,Programma!$F$3:$T$1107,15,0),"")</f>
        <v>2j</v>
      </c>
      <c r="AW19" s="310" t="str">
        <f>_xlfn.IFNA(VLOOKUP($AH19,Programma!$F$3:$U$1107,16,0),"")</f>
        <v>1j</v>
      </c>
      <c r="AX19" s="310" t="str">
        <f>_xlfn.IFNA(VLOOKUP($AH19,Programma!$F$3:$V$1107,17,0),"")</f>
        <v>_</v>
      </c>
      <c r="AY19" s="310" t="str">
        <f>_xlfn.IFNA(VLOOKUP($AH19,Programma!$F$3:$W$1107,18,0),"")</f>
        <v>_</v>
      </c>
      <c r="AZ19" s="310" t="str">
        <f>_xlfn.IFNA(VLOOKUP($AH19,Programma!$F$3:$X$1107,19,0),"")</f>
        <v>_</v>
      </c>
      <c r="BA19" s="310" t="str">
        <f>_xlfn.IFNA(VLOOKUP($AH19,Programma!$F$3:$Y$1107,20,0),"")</f>
        <v>_</v>
      </c>
      <c r="BB19" s="273"/>
      <c r="BC19" s="272" t="str">
        <f>IF(Ruimtestaat[[#This Row],[Frequentie weekend]]="","",_xlfn.CONCAT(Ruimtestaat[[#This Row],[Ruimte code]],"-",Ruimtestaat[[#This Row],[Frequentie weekend]]," ",Ruimtestaat[[#This Row],[Vloer code]]))</f>
        <v/>
      </c>
      <c r="BD19" s="310" t="str">
        <f>_xlfn.IFNA(VLOOKUP($BC19,Programma!$F$3:$G$1107,2,0),"")</f>
        <v/>
      </c>
      <c r="BE19" s="310" t="str">
        <f>_xlfn.IFNA(VLOOKUP($BC19,Programma!$F$3:$H$1107,3,0),"")</f>
        <v/>
      </c>
      <c r="BF19" s="310" t="str">
        <f>_xlfn.IFNA(VLOOKUP($BC19,Programma!$F$3:$I$1107,4,0),"")</f>
        <v/>
      </c>
      <c r="BG19" s="310" t="str">
        <f>_xlfn.IFNA(VLOOKUP($BC19,Programma!$F$3:$J$1107,5,0),"")</f>
        <v/>
      </c>
      <c r="BH19" s="310" t="str">
        <f>_xlfn.IFNA(VLOOKUP($BC19,Programma!$F$3:$K$1107,6,0),"")</f>
        <v/>
      </c>
      <c r="BI19" s="310" t="str">
        <f>_xlfn.IFNA(VLOOKUP($BC19,Programma!$F$3:$L$1107,7,0),"")</f>
        <v/>
      </c>
      <c r="BJ19" s="310" t="str">
        <f>_xlfn.IFNA(VLOOKUP($BC19,Programma!$F$3:$M$1107,8,0),"")</f>
        <v/>
      </c>
      <c r="BK19" s="310" t="str">
        <f>_xlfn.IFNA(VLOOKUP($BC19,Programma!$F$3:$N$1107,9,0),"")</f>
        <v/>
      </c>
      <c r="BL19" s="310" t="str">
        <f>_xlfn.IFNA(VLOOKUP($BC19,Programma!$F$3:$O$1107,10,0),"")</f>
        <v/>
      </c>
      <c r="BM19" s="310" t="str">
        <f>_xlfn.IFNA(VLOOKUP($BC19,Programma!$F$3:$P$1107,11,0),"")</f>
        <v/>
      </c>
      <c r="BN19" s="310" t="str">
        <f>_xlfn.IFNA(VLOOKUP($BC19,Programma!$F$3:$Q$1107,12,0),"")</f>
        <v/>
      </c>
      <c r="BO19" s="310" t="str">
        <f>_xlfn.IFNA(VLOOKUP($BC19,Programma!$F$3:$R$1107,13,0),"")</f>
        <v/>
      </c>
      <c r="BP19" s="310" t="str">
        <f>_xlfn.IFNA(VLOOKUP($BC19,Programma!$F$3:$S$1107,14,0),"")</f>
        <v/>
      </c>
      <c r="BQ19" s="310" t="str">
        <f>_xlfn.IFNA(VLOOKUP($BC19,Programma!$F$3:$T$1107,15,0),"")</f>
        <v/>
      </c>
      <c r="BR19" s="310" t="str">
        <f>_xlfn.IFNA(VLOOKUP($BC19,Programma!$F$3:$U$1107,16,0),"")</f>
        <v/>
      </c>
      <c r="BS19" s="310" t="str">
        <f>_xlfn.IFNA(VLOOKUP($BC19,Programma!$F$3:$V$1107,17,0),"")</f>
        <v/>
      </c>
      <c r="BT19" s="310" t="str">
        <f>_xlfn.IFNA(VLOOKUP($BC19,Programma!$F$3:$W$1107,18,0),"")</f>
        <v/>
      </c>
      <c r="BU19" s="310" t="str">
        <f>_xlfn.IFNA(VLOOKUP($BC19,Programma!$F$3:$X$1107,19,0),"")</f>
        <v/>
      </c>
      <c r="BV19" s="310" t="str">
        <f>_xlfn.IFNA(VLOOKUP($BC19,Programma!$F$3:$Y$1107,20,0),"")</f>
        <v/>
      </c>
    </row>
    <row r="20" spans="1:74" ht="15" customHeight="1">
      <c r="A20" s="33">
        <v>1</v>
      </c>
      <c r="B20" s="173" t="s">
        <v>1619</v>
      </c>
      <c r="C20" s="173" t="str">
        <f>VLOOKUP(Ruimtestaat[[#This Row],[Code]],Locaties[[#All],[Code]:[Adres]],4,FALSE)</f>
        <v>Stationslaan 26</v>
      </c>
      <c r="D20" s="173" t="str">
        <f>VLOOKUP(Ruimtestaat[[#This Row],[Code]],Locaties[[#All],[Code]:[Postcode]],5,FALSE)</f>
        <v>3842 LA</v>
      </c>
      <c r="E20" s="173" t="str">
        <f>VLOOKUP(Ruimtestaat[[#This Row],[Code]],Locaties[#All],6,FALSE)</f>
        <v>Harderwijk</v>
      </c>
      <c r="F20" s="21" t="s">
        <v>1620</v>
      </c>
      <c r="G20" s="33" t="s">
        <v>1612</v>
      </c>
      <c r="H20" s="311" t="s">
        <v>1645</v>
      </c>
      <c r="I20" s="312" t="s">
        <v>1785</v>
      </c>
      <c r="J20" s="21">
        <v>10</v>
      </c>
      <c r="K20" s="69" t="str">
        <f>VLOOKUP(Ruimtestaat[[#This Row],[Ruimte code]],Ruimtegroepen[[#All],[Code]:[Ruimte omschrijving]],2,FALSE)</f>
        <v>Trappenhuizen/lift</v>
      </c>
      <c r="L20" s="33" t="s">
        <v>102</v>
      </c>
      <c r="M20" s="312" t="s">
        <v>1805</v>
      </c>
      <c r="N20" s="148">
        <v>83</v>
      </c>
      <c r="O20" s="150"/>
      <c r="P20" s="134" t="str">
        <f>VLOOKUP(Ruimtestaat[[#This Row],[Ruimte code]],Ruimtegroepen[],4,FALSE)</f>
        <v>Ve</v>
      </c>
      <c r="Q20" s="33">
        <v>40</v>
      </c>
      <c r="R20" s="33" t="s">
        <v>2</v>
      </c>
      <c r="S20" s="33">
        <f>IF(Q20&gt;0,IF(RIGHT(Ruimtestaat[[#This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 s="33">
        <f>IF(S20&gt;0,VLOOKUP($J20,Ruimtegroepen[],3,FALSE)*VLOOKUP($L20,Vloersoorten[],3,FALSE)*VLOOKUP($R20,Frequenties[],3,FALSE)*VLOOKUP($A20,Locaties[],3,FALSE),0)</f>
        <v>0</v>
      </c>
      <c r="U20" s="33">
        <f>Ruimtestaat[[#This Row],[Uitvoeringen werkdagen]]*Ruimtestaat[[#This Row],[Oppervlak (netto)]]</f>
        <v>16600</v>
      </c>
      <c r="V20" s="170">
        <f>IF(T20&gt;0,Ruimtestaat[[#This Row],[Prest. (m2 /jaar) werkdagen]]/Ruimtestaat[[#This Row],[Norm (m2/uur) werkdagen]],0)</f>
        <v>0</v>
      </c>
      <c r="W20" s="171">
        <f>Ruimtestaat[[#This Row],[uren / jaar werkdagen]]*Tariefsopbouw!$E$35</f>
        <v>0</v>
      </c>
      <c r="X20" s="33"/>
      <c r="Y20" s="33">
        <f>IF(Ruimtestaat[[#This Row],[Frequentie weekend]]&gt;0,VALUE(LEFT(X20,1))*Q20,0)</f>
        <v>0</v>
      </c>
      <c r="Z20" s="104">
        <f>IF($Y20&gt;0,VLOOKUP($J20,Ruimtegroepen[],3,FALSE)*VLOOKUP($L20,Vloersoorten[],3,FALSE)*VLOOKUP($X20,Frequenties[],3,FALSE)*VLOOKUP(Ruimtestaat[[#This Row],[Code]],Locaties[],3,FALSE),0)</f>
        <v>0</v>
      </c>
      <c r="AA20" s="104">
        <f>Ruimtestaat[[#This Row],[Uitvoeringen weekend]]*Ruimtestaat[[#This Row],[Oppervlak (netto)]]</f>
        <v>0</v>
      </c>
      <c r="AB20" s="104">
        <f>IF(Z20&gt;0,Ruimtestaat[[#This Row],[Prest. (m2 /jaar) weekend]]/Ruimtestaat[[#This Row],[Norm (m2/uur) weekend]],0)</f>
        <v>0</v>
      </c>
      <c r="AC20" s="171">
        <f>Ruimtestaat[[#This Row],[uren / jaar weekend]]*Tariefsopbouw!$D$40</f>
        <v>0</v>
      </c>
      <c r="AD20" s="170">
        <f>Ruimtestaat[[#This Row],[Prest. (m2 /jaar) weekend]]+Ruimtestaat[[#This Row],[Prest. (m2 /jaar) werkdagen]]</f>
        <v>16600</v>
      </c>
      <c r="AE20" s="170">
        <f>Ruimtestaat[[#This Row],[uren / jaar weekend]]+Ruimtestaat[[#This Row],[uren / jaar werkdagen]]</f>
        <v>0</v>
      </c>
      <c r="AF20" s="76">
        <f>Ruimtestaat[[#This Row],[kosten / jaar weekend]]+Ruimtestaat[[#This Row],[kosten / jaar werkdagen]]</f>
        <v>0</v>
      </c>
      <c r="AG20" s="76"/>
      <c r="AH20" s="272" t="str">
        <f>IF(Ruimtestaat[[#This Row],[Frequentie werkdagen]]="","",_xlfn.CONCAT(Ruimtestaat[[#This Row],[Ruimte code]],"-",Ruimtestaat[[#This Row],[Frequentie werkdagen]]," ",Ruimtestaat[[#This Row],[Vloer code]]))</f>
        <v>10-5w S</v>
      </c>
      <c r="AI20" s="310" t="str">
        <f>_xlfn.IFNA(VLOOKUP($AH20,Programma!$F$3:$G$1107,2,0),"")</f>
        <v>_</v>
      </c>
      <c r="AJ20" s="310" t="str">
        <f>_xlfn.IFNA(VLOOKUP($AH20,Programma!$F$3:$H$1107,3,0),"")</f>
        <v>_</v>
      </c>
      <c r="AK20" s="310" t="str">
        <f>_xlfn.IFNA(VLOOKUP($AH20,Programma!$F$3:$I$1107,4,0),"")</f>
        <v>4w</v>
      </c>
      <c r="AL20" s="310" t="str">
        <f>_xlfn.IFNA(VLOOKUP($AH20,Programma!$F$3:$J$1107,5,0),"")</f>
        <v>1w</v>
      </c>
      <c r="AM20" s="310" t="str">
        <f>_xlfn.IFNA(VLOOKUP($AH20,Programma!$F$3:$K$1107,6,0),"")</f>
        <v>4j</v>
      </c>
      <c r="AN20" s="310" t="str">
        <f>_xlfn.IFNA(VLOOKUP($AH20,Programma!$F$3:$L$1107,7,0),"")</f>
        <v>_</v>
      </c>
      <c r="AO20" s="310" t="str">
        <f>_xlfn.IFNA(VLOOKUP($AH20,Programma!$F$3:$M$1107,8,0),"")</f>
        <v>_</v>
      </c>
      <c r="AP20" s="310" t="str">
        <f>_xlfn.IFNA(VLOOKUP($AH20,Programma!$F$3:$N$1107,9,0),"")</f>
        <v>_</v>
      </c>
      <c r="AQ20" s="310" t="str">
        <f>_xlfn.IFNA(VLOOKUP($AH20,Programma!$F$3:$O$1107,10,0),"")</f>
        <v>5w</v>
      </c>
      <c r="AR20" s="310" t="str">
        <f>_xlfn.IFNA(VLOOKUP($AH20,Programma!$F$3:$P$1107,11,0),"")</f>
        <v>5w</v>
      </c>
      <c r="AS20" s="310" t="str">
        <f>_xlfn.IFNA(VLOOKUP($AH20,Programma!$F$3:$Q$1107,12,0),"")</f>
        <v>1w</v>
      </c>
      <c r="AT20" s="310" t="str">
        <f>_xlfn.IFNA(VLOOKUP($AH20,Programma!$F$3:$R$1107,13,0),"")</f>
        <v>1w</v>
      </c>
      <c r="AU20" s="310" t="str">
        <f>_xlfn.IFNA(VLOOKUP($AH20,Programma!$F$3:$S$1107,14,0),"")</f>
        <v>1m</v>
      </c>
      <c r="AV20" s="310" t="str">
        <f>_xlfn.IFNA(VLOOKUP($AH20,Programma!$F$3:$T$1107,15,0),"")</f>
        <v>2j</v>
      </c>
      <c r="AW20" s="310" t="str">
        <f>_xlfn.IFNA(VLOOKUP($AH20,Programma!$F$3:$U$1107,16,0),"")</f>
        <v>1j</v>
      </c>
      <c r="AX20" s="310" t="str">
        <f>_xlfn.IFNA(VLOOKUP($AH20,Programma!$F$3:$V$1107,17,0),"")</f>
        <v>_</v>
      </c>
      <c r="AY20" s="310" t="str">
        <f>_xlfn.IFNA(VLOOKUP($AH20,Programma!$F$3:$W$1107,18,0),"")</f>
        <v>_</v>
      </c>
      <c r="AZ20" s="310" t="str">
        <f>_xlfn.IFNA(VLOOKUP($AH20,Programma!$F$3:$X$1107,19,0),"")</f>
        <v>_</v>
      </c>
      <c r="BA20" s="310" t="str">
        <f>_xlfn.IFNA(VLOOKUP($AH20,Programma!$F$3:$Y$1107,20,0),"")</f>
        <v>_</v>
      </c>
      <c r="BB20" s="273"/>
      <c r="BC20" s="272" t="str">
        <f>IF(Ruimtestaat[[#This Row],[Frequentie weekend]]="","",_xlfn.CONCAT(Ruimtestaat[[#This Row],[Ruimte code]],"-",Ruimtestaat[[#This Row],[Frequentie weekend]]," ",Ruimtestaat[[#This Row],[Vloer code]]))</f>
        <v/>
      </c>
      <c r="BD20" s="310" t="str">
        <f>_xlfn.IFNA(VLOOKUP($BC20,Programma!$F$3:$G$1107,2,0),"")</f>
        <v/>
      </c>
      <c r="BE20" s="310" t="str">
        <f>_xlfn.IFNA(VLOOKUP($BC20,Programma!$F$3:$H$1107,3,0),"")</f>
        <v/>
      </c>
      <c r="BF20" s="310" t="str">
        <f>_xlfn.IFNA(VLOOKUP($BC20,Programma!$F$3:$I$1107,4,0),"")</f>
        <v/>
      </c>
      <c r="BG20" s="310" t="str">
        <f>_xlfn.IFNA(VLOOKUP($BC20,Programma!$F$3:$J$1107,5,0),"")</f>
        <v/>
      </c>
      <c r="BH20" s="310" t="str">
        <f>_xlfn.IFNA(VLOOKUP($BC20,Programma!$F$3:$K$1107,6,0),"")</f>
        <v/>
      </c>
      <c r="BI20" s="310" t="str">
        <f>_xlfn.IFNA(VLOOKUP($BC20,Programma!$F$3:$L$1107,7,0),"")</f>
        <v/>
      </c>
      <c r="BJ20" s="310" t="str">
        <f>_xlfn.IFNA(VLOOKUP($BC20,Programma!$F$3:$M$1107,8,0),"")</f>
        <v/>
      </c>
      <c r="BK20" s="310" t="str">
        <f>_xlfn.IFNA(VLOOKUP($BC20,Programma!$F$3:$N$1107,9,0),"")</f>
        <v/>
      </c>
      <c r="BL20" s="310" t="str">
        <f>_xlfn.IFNA(VLOOKUP($BC20,Programma!$F$3:$O$1107,10,0),"")</f>
        <v/>
      </c>
      <c r="BM20" s="310" t="str">
        <f>_xlfn.IFNA(VLOOKUP($BC20,Programma!$F$3:$P$1107,11,0),"")</f>
        <v/>
      </c>
      <c r="BN20" s="310" t="str">
        <f>_xlfn.IFNA(VLOOKUP($BC20,Programma!$F$3:$Q$1107,12,0),"")</f>
        <v/>
      </c>
      <c r="BO20" s="310" t="str">
        <f>_xlfn.IFNA(VLOOKUP($BC20,Programma!$F$3:$R$1107,13,0),"")</f>
        <v/>
      </c>
      <c r="BP20" s="310" t="str">
        <f>_xlfn.IFNA(VLOOKUP($BC20,Programma!$F$3:$S$1107,14,0),"")</f>
        <v/>
      </c>
      <c r="BQ20" s="310" t="str">
        <f>_xlfn.IFNA(VLOOKUP($BC20,Programma!$F$3:$T$1107,15,0),"")</f>
        <v/>
      </c>
      <c r="BR20" s="310" t="str">
        <f>_xlfn.IFNA(VLOOKUP($BC20,Programma!$F$3:$U$1107,16,0),"")</f>
        <v/>
      </c>
      <c r="BS20" s="310" t="str">
        <f>_xlfn.IFNA(VLOOKUP($BC20,Programma!$F$3:$V$1107,17,0),"")</f>
        <v/>
      </c>
      <c r="BT20" s="310" t="str">
        <f>_xlfn.IFNA(VLOOKUP($BC20,Programma!$F$3:$W$1107,18,0),"")</f>
        <v/>
      </c>
      <c r="BU20" s="310" t="str">
        <f>_xlfn.IFNA(VLOOKUP($BC20,Programma!$F$3:$X$1107,19,0),"")</f>
        <v/>
      </c>
      <c r="BV20" s="310" t="str">
        <f>_xlfn.IFNA(VLOOKUP($BC20,Programma!$F$3:$Y$1107,20,0),"")</f>
        <v/>
      </c>
    </row>
    <row r="21" spans="1:74" ht="15" customHeight="1">
      <c r="A21" s="33">
        <v>1</v>
      </c>
      <c r="B21" s="173" t="s">
        <v>1619</v>
      </c>
      <c r="C21" s="173" t="str">
        <f>VLOOKUP(Ruimtestaat[[#This Row],[Code]],Locaties[[#All],[Code]:[Adres]],4,FALSE)</f>
        <v>Stationslaan 26</v>
      </c>
      <c r="D21" s="173" t="str">
        <f>VLOOKUP(Ruimtestaat[[#This Row],[Code]],Locaties[[#All],[Code]:[Postcode]],5,FALSE)</f>
        <v>3842 LA</v>
      </c>
      <c r="E21" s="173" t="str">
        <f>VLOOKUP(Ruimtestaat[[#This Row],[Code]],Locaties[#All],6,FALSE)</f>
        <v>Harderwijk</v>
      </c>
      <c r="F21" s="21" t="s">
        <v>1620</v>
      </c>
      <c r="G21" s="33" t="s">
        <v>1612</v>
      </c>
      <c r="H21" s="311" t="s">
        <v>1646</v>
      </c>
      <c r="I21" s="312" t="s">
        <v>1785</v>
      </c>
      <c r="J21" s="21">
        <v>10</v>
      </c>
      <c r="K21" s="69" t="str">
        <f>VLOOKUP(Ruimtestaat[[#This Row],[Ruimte code]],Ruimtegroepen[[#All],[Code]:[Ruimte omschrijving]],2,FALSE)</f>
        <v>Trappenhuizen/lift</v>
      </c>
      <c r="L21" s="33" t="s">
        <v>102</v>
      </c>
      <c r="M21" s="312" t="s">
        <v>1805</v>
      </c>
      <c r="N21" s="148">
        <v>83</v>
      </c>
      <c r="O21" s="33"/>
      <c r="P21" s="134" t="str">
        <f>VLOOKUP(Ruimtestaat[[#This Row],[Ruimte code]],Ruimtegroepen[],4,FALSE)</f>
        <v>Ve</v>
      </c>
      <c r="Q21" s="33">
        <v>40</v>
      </c>
      <c r="R21" s="33" t="s">
        <v>2</v>
      </c>
      <c r="S21" s="33">
        <f>IF(Q21&gt;0,IF(RIGHT(Ruimtestaat[[#This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 s="33">
        <f>IF(S21&gt;0,VLOOKUP($J21,Ruimtegroepen[],3,FALSE)*VLOOKUP($L21,Vloersoorten[],3,FALSE)*VLOOKUP($R21,Frequenties[],3,FALSE)*VLOOKUP($A21,Locaties[],3,FALSE),0)</f>
        <v>0</v>
      </c>
      <c r="U21" s="33">
        <f>Ruimtestaat[[#This Row],[Uitvoeringen werkdagen]]*Ruimtestaat[[#This Row],[Oppervlak (netto)]]</f>
        <v>16600</v>
      </c>
      <c r="V21" s="170">
        <f>IF(T21&gt;0,Ruimtestaat[[#This Row],[Prest. (m2 /jaar) werkdagen]]/Ruimtestaat[[#This Row],[Norm (m2/uur) werkdagen]],0)</f>
        <v>0</v>
      </c>
      <c r="W21" s="171">
        <f>Ruimtestaat[[#This Row],[uren / jaar werkdagen]]*Tariefsopbouw!$E$35</f>
        <v>0</v>
      </c>
      <c r="X21" s="33"/>
      <c r="Y21" s="33">
        <f>IF(Ruimtestaat[[#This Row],[Frequentie weekend]]&gt;0,VALUE(LEFT(X21,1))*Q21,0)</f>
        <v>0</v>
      </c>
      <c r="Z21" s="104">
        <f>IF($Y21&gt;0,VLOOKUP($J21,Ruimtegroepen[],3,FALSE)*VLOOKUP($L21,Vloersoorten[],3,FALSE)*VLOOKUP($X21,Frequenties[],3,FALSE)*VLOOKUP(Ruimtestaat[[#This Row],[Code]],Locaties[],3,FALSE),0)</f>
        <v>0</v>
      </c>
      <c r="AA21" s="104">
        <f>Ruimtestaat[[#This Row],[Uitvoeringen weekend]]*Ruimtestaat[[#This Row],[Oppervlak (netto)]]</f>
        <v>0</v>
      </c>
      <c r="AB21" s="104">
        <f>IF(Z21&gt;0,Ruimtestaat[[#This Row],[Prest. (m2 /jaar) weekend]]/Ruimtestaat[[#This Row],[Norm (m2/uur) weekend]],0)</f>
        <v>0</v>
      </c>
      <c r="AC21" s="171">
        <f>Ruimtestaat[[#This Row],[uren / jaar weekend]]*Tariefsopbouw!$D$40</f>
        <v>0</v>
      </c>
      <c r="AD21" s="170">
        <f>Ruimtestaat[[#This Row],[Prest. (m2 /jaar) weekend]]+Ruimtestaat[[#This Row],[Prest. (m2 /jaar) werkdagen]]</f>
        <v>16600</v>
      </c>
      <c r="AE21" s="170">
        <f>Ruimtestaat[[#This Row],[uren / jaar weekend]]+Ruimtestaat[[#This Row],[uren / jaar werkdagen]]</f>
        <v>0</v>
      </c>
      <c r="AF21" s="76">
        <f>Ruimtestaat[[#This Row],[kosten / jaar weekend]]+Ruimtestaat[[#This Row],[kosten / jaar werkdagen]]</f>
        <v>0</v>
      </c>
      <c r="AG21" s="76"/>
      <c r="AH21" s="272" t="str">
        <f>IF(Ruimtestaat[[#This Row],[Frequentie werkdagen]]="","",_xlfn.CONCAT(Ruimtestaat[[#This Row],[Ruimte code]],"-",Ruimtestaat[[#This Row],[Frequentie werkdagen]]," ",Ruimtestaat[[#This Row],[Vloer code]]))</f>
        <v>10-5w S</v>
      </c>
      <c r="AI21" s="310" t="str">
        <f>_xlfn.IFNA(VLOOKUP($AH21,Programma!$F$3:$G$1107,2,0),"")</f>
        <v>_</v>
      </c>
      <c r="AJ21" s="310" t="str">
        <f>_xlfn.IFNA(VLOOKUP($AH21,Programma!$F$3:$H$1107,3,0),"")</f>
        <v>_</v>
      </c>
      <c r="AK21" s="310" t="str">
        <f>_xlfn.IFNA(VLOOKUP($AH21,Programma!$F$3:$I$1107,4,0),"")</f>
        <v>4w</v>
      </c>
      <c r="AL21" s="310" t="str">
        <f>_xlfn.IFNA(VLOOKUP($AH21,Programma!$F$3:$J$1107,5,0),"")</f>
        <v>1w</v>
      </c>
      <c r="AM21" s="310" t="str">
        <f>_xlfn.IFNA(VLOOKUP($AH21,Programma!$F$3:$K$1107,6,0),"")</f>
        <v>4j</v>
      </c>
      <c r="AN21" s="310" t="str">
        <f>_xlfn.IFNA(VLOOKUP($AH21,Programma!$F$3:$L$1107,7,0),"")</f>
        <v>_</v>
      </c>
      <c r="AO21" s="310" t="str">
        <f>_xlfn.IFNA(VLOOKUP($AH21,Programma!$F$3:$M$1107,8,0),"")</f>
        <v>_</v>
      </c>
      <c r="AP21" s="310" t="str">
        <f>_xlfn.IFNA(VLOOKUP($AH21,Programma!$F$3:$N$1107,9,0),"")</f>
        <v>_</v>
      </c>
      <c r="AQ21" s="310" t="str">
        <f>_xlfn.IFNA(VLOOKUP($AH21,Programma!$F$3:$O$1107,10,0),"")</f>
        <v>5w</v>
      </c>
      <c r="AR21" s="310" t="str">
        <f>_xlfn.IFNA(VLOOKUP($AH21,Programma!$F$3:$P$1107,11,0),"")</f>
        <v>5w</v>
      </c>
      <c r="AS21" s="310" t="str">
        <f>_xlfn.IFNA(VLOOKUP($AH21,Programma!$F$3:$Q$1107,12,0),"")</f>
        <v>1w</v>
      </c>
      <c r="AT21" s="310" t="str">
        <f>_xlfn.IFNA(VLOOKUP($AH21,Programma!$F$3:$R$1107,13,0),"")</f>
        <v>1w</v>
      </c>
      <c r="AU21" s="310" t="str">
        <f>_xlfn.IFNA(VLOOKUP($AH21,Programma!$F$3:$S$1107,14,0),"")</f>
        <v>1m</v>
      </c>
      <c r="AV21" s="310" t="str">
        <f>_xlfn.IFNA(VLOOKUP($AH21,Programma!$F$3:$T$1107,15,0),"")</f>
        <v>2j</v>
      </c>
      <c r="AW21" s="310" t="str">
        <f>_xlfn.IFNA(VLOOKUP($AH21,Programma!$F$3:$U$1107,16,0),"")</f>
        <v>1j</v>
      </c>
      <c r="AX21" s="310" t="str">
        <f>_xlfn.IFNA(VLOOKUP($AH21,Programma!$F$3:$V$1107,17,0),"")</f>
        <v>_</v>
      </c>
      <c r="AY21" s="310" t="str">
        <f>_xlfn.IFNA(VLOOKUP($AH21,Programma!$F$3:$W$1107,18,0),"")</f>
        <v>_</v>
      </c>
      <c r="AZ21" s="310" t="str">
        <f>_xlfn.IFNA(VLOOKUP($AH21,Programma!$F$3:$X$1107,19,0),"")</f>
        <v>_</v>
      </c>
      <c r="BA21" s="310" t="str">
        <f>_xlfn.IFNA(VLOOKUP($AH21,Programma!$F$3:$Y$1107,20,0),"")</f>
        <v>_</v>
      </c>
      <c r="BB21" s="273"/>
      <c r="BC21" s="272" t="str">
        <f>IF(Ruimtestaat[[#This Row],[Frequentie weekend]]="","",_xlfn.CONCAT(Ruimtestaat[[#This Row],[Ruimte code]],"-",Ruimtestaat[[#This Row],[Frequentie weekend]]," ",Ruimtestaat[[#This Row],[Vloer code]]))</f>
        <v/>
      </c>
      <c r="BD21" s="310" t="str">
        <f>_xlfn.IFNA(VLOOKUP($BC21,Programma!$F$3:$G$1107,2,0),"")</f>
        <v/>
      </c>
      <c r="BE21" s="310" t="str">
        <f>_xlfn.IFNA(VLOOKUP($BC21,Programma!$F$3:$H$1107,3,0),"")</f>
        <v/>
      </c>
      <c r="BF21" s="310" t="str">
        <f>_xlfn.IFNA(VLOOKUP($BC21,Programma!$F$3:$I$1107,4,0),"")</f>
        <v/>
      </c>
      <c r="BG21" s="310" t="str">
        <f>_xlfn.IFNA(VLOOKUP($BC21,Programma!$F$3:$J$1107,5,0),"")</f>
        <v/>
      </c>
      <c r="BH21" s="310" t="str">
        <f>_xlfn.IFNA(VLOOKUP($BC21,Programma!$F$3:$K$1107,6,0),"")</f>
        <v/>
      </c>
      <c r="BI21" s="310" t="str">
        <f>_xlfn.IFNA(VLOOKUP($BC21,Programma!$F$3:$L$1107,7,0),"")</f>
        <v/>
      </c>
      <c r="BJ21" s="310" t="str">
        <f>_xlfn.IFNA(VLOOKUP($BC21,Programma!$F$3:$M$1107,8,0),"")</f>
        <v/>
      </c>
      <c r="BK21" s="310" t="str">
        <f>_xlfn.IFNA(VLOOKUP($BC21,Programma!$F$3:$N$1107,9,0),"")</f>
        <v/>
      </c>
      <c r="BL21" s="310" t="str">
        <f>_xlfn.IFNA(VLOOKUP($BC21,Programma!$F$3:$O$1107,10,0),"")</f>
        <v/>
      </c>
      <c r="BM21" s="310" t="str">
        <f>_xlfn.IFNA(VLOOKUP($BC21,Programma!$F$3:$P$1107,11,0),"")</f>
        <v/>
      </c>
      <c r="BN21" s="310" t="str">
        <f>_xlfn.IFNA(VLOOKUP($BC21,Programma!$F$3:$Q$1107,12,0),"")</f>
        <v/>
      </c>
      <c r="BO21" s="310" t="str">
        <f>_xlfn.IFNA(VLOOKUP($BC21,Programma!$F$3:$R$1107,13,0),"")</f>
        <v/>
      </c>
      <c r="BP21" s="310" t="str">
        <f>_xlfn.IFNA(VLOOKUP($BC21,Programma!$F$3:$S$1107,14,0),"")</f>
        <v/>
      </c>
      <c r="BQ21" s="310" t="str">
        <f>_xlfn.IFNA(VLOOKUP($BC21,Programma!$F$3:$T$1107,15,0),"")</f>
        <v/>
      </c>
      <c r="BR21" s="310" t="str">
        <f>_xlfn.IFNA(VLOOKUP($BC21,Programma!$F$3:$U$1107,16,0),"")</f>
        <v/>
      </c>
      <c r="BS21" s="310" t="str">
        <f>_xlfn.IFNA(VLOOKUP($BC21,Programma!$F$3:$V$1107,17,0),"")</f>
        <v/>
      </c>
      <c r="BT21" s="310" t="str">
        <f>_xlfn.IFNA(VLOOKUP($BC21,Programma!$F$3:$W$1107,18,0),"")</f>
        <v/>
      </c>
      <c r="BU21" s="310" t="str">
        <f>_xlfn.IFNA(VLOOKUP($BC21,Programma!$F$3:$X$1107,19,0),"")</f>
        <v/>
      </c>
      <c r="BV21" s="310" t="str">
        <f>_xlfn.IFNA(VLOOKUP($BC21,Programma!$F$3:$Y$1107,20,0),"")</f>
        <v/>
      </c>
    </row>
    <row r="22" spans="1:74" ht="15" customHeight="1">
      <c r="A22" s="33">
        <v>1</v>
      </c>
      <c r="B22" s="173" t="s">
        <v>1619</v>
      </c>
      <c r="C22" s="173" t="str">
        <f>VLOOKUP(Ruimtestaat[[#This Row],[Code]],Locaties[[#All],[Code]:[Adres]],4,FALSE)</f>
        <v>Stationslaan 26</v>
      </c>
      <c r="D22" s="173" t="str">
        <f>VLOOKUP(Ruimtestaat[[#This Row],[Code]],Locaties[[#All],[Code]:[Postcode]],5,FALSE)</f>
        <v>3842 LA</v>
      </c>
      <c r="E22" s="173" t="str">
        <f>VLOOKUP(Ruimtestaat[[#This Row],[Code]],Locaties[#All],6,FALSE)</f>
        <v>Harderwijk</v>
      </c>
      <c r="F22" s="21" t="s">
        <v>1620</v>
      </c>
      <c r="G22" s="33" t="s">
        <v>1612</v>
      </c>
      <c r="H22" s="311" t="s">
        <v>1647</v>
      </c>
      <c r="I22" s="312" t="s">
        <v>1766</v>
      </c>
      <c r="J22" s="21">
        <v>6</v>
      </c>
      <c r="K22" s="69" t="str">
        <f>VLOOKUP(Ruimtestaat[[#This Row],[Ruimte code]],Ruimtegroepen[[#All],[Code]:[Ruimte omschrijving]],2,FALSE)</f>
        <v>Gangen/hallen</v>
      </c>
      <c r="L22" s="33" t="s">
        <v>102</v>
      </c>
      <c r="M22" s="312" t="s">
        <v>1805</v>
      </c>
      <c r="N22" s="148">
        <v>68</v>
      </c>
      <c r="O22" s="150"/>
      <c r="P22" s="134" t="str">
        <f>VLOOKUP(Ruimtestaat[[#This Row],[Ruimte code]],Ruimtegroepen[],4,FALSE)</f>
        <v>Ve</v>
      </c>
      <c r="Q22" s="33">
        <v>40</v>
      </c>
      <c r="R22" s="33" t="s">
        <v>2</v>
      </c>
      <c r="S22" s="33">
        <f>IF(Q22&gt;0,IF(RIGHT(Ruimtestaat[[#This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 s="33">
        <f>IF(S22&gt;0,VLOOKUP($J22,Ruimtegroepen[],3,FALSE)*VLOOKUP($L22,Vloersoorten[],3,FALSE)*VLOOKUP($R22,Frequenties[],3,FALSE)*VLOOKUP($A22,Locaties[],3,FALSE),0)</f>
        <v>0</v>
      </c>
      <c r="U22" s="33">
        <f>Ruimtestaat[[#This Row],[Uitvoeringen werkdagen]]*Ruimtestaat[[#This Row],[Oppervlak (netto)]]</f>
        <v>13600</v>
      </c>
      <c r="V22" s="170">
        <f>IF(T22&gt;0,Ruimtestaat[[#This Row],[Prest. (m2 /jaar) werkdagen]]/Ruimtestaat[[#This Row],[Norm (m2/uur) werkdagen]],0)</f>
        <v>0</v>
      </c>
      <c r="W22" s="171">
        <f>Ruimtestaat[[#This Row],[uren / jaar werkdagen]]*Tariefsopbouw!$E$35</f>
        <v>0</v>
      </c>
      <c r="X22" s="33"/>
      <c r="Y22" s="33">
        <f>IF(Ruimtestaat[[#This Row],[Frequentie weekend]]&gt;0,VALUE(LEFT(X22,1))*Q22,0)</f>
        <v>0</v>
      </c>
      <c r="Z22" s="104">
        <f>IF($Y22&gt;0,VLOOKUP($J22,Ruimtegroepen[],3,FALSE)*VLOOKUP($L22,Vloersoorten[],3,FALSE)*VLOOKUP($X22,Frequenties[],3,FALSE)*VLOOKUP(Ruimtestaat[[#This Row],[Code]],Locaties[],3,FALSE),0)</f>
        <v>0</v>
      </c>
      <c r="AA22" s="104">
        <f>Ruimtestaat[[#This Row],[Uitvoeringen weekend]]*Ruimtestaat[[#This Row],[Oppervlak (netto)]]</f>
        <v>0</v>
      </c>
      <c r="AB22" s="104">
        <f>IF(Z22&gt;0,Ruimtestaat[[#This Row],[Prest. (m2 /jaar) weekend]]/Ruimtestaat[[#This Row],[Norm (m2/uur) weekend]],0)</f>
        <v>0</v>
      </c>
      <c r="AC22" s="171">
        <f>Ruimtestaat[[#This Row],[uren / jaar weekend]]*Tariefsopbouw!$D$40</f>
        <v>0</v>
      </c>
      <c r="AD22" s="170">
        <f>Ruimtestaat[[#This Row],[Prest. (m2 /jaar) weekend]]+Ruimtestaat[[#This Row],[Prest. (m2 /jaar) werkdagen]]</f>
        <v>13600</v>
      </c>
      <c r="AE22" s="170">
        <f>Ruimtestaat[[#This Row],[uren / jaar weekend]]+Ruimtestaat[[#This Row],[uren / jaar werkdagen]]</f>
        <v>0</v>
      </c>
      <c r="AF22" s="76">
        <f>Ruimtestaat[[#This Row],[kosten / jaar weekend]]+Ruimtestaat[[#This Row],[kosten / jaar werkdagen]]</f>
        <v>0</v>
      </c>
      <c r="AG22" s="76"/>
      <c r="AH22" s="272" t="str">
        <f>IF(Ruimtestaat[[#This Row],[Frequentie werkdagen]]="","",_xlfn.CONCAT(Ruimtestaat[[#This Row],[Ruimte code]],"-",Ruimtestaat[[#This Row],[Frequentie werkdagen]]," ",Ruimtestaat[[#This Row],[Vloer code]]))</f>
        <v>6-5w S</v>
      </c>
      <c r="AI22" s="310" t="str">
        <f>_xlfn.IFNA(VLOOKUP($AH22,Programma!$F$3:$G$1107,2,0),"")</f>
        <v>_</v>
      </c>
      <c r="AJ22" s="310" t="str">
        <f>_xlfn.IFNA(VLOOKUP($AH22,Programma!$F$3:$H$1107,3,0),"")</f>
        <v>_</v>
      </c>
      <c r="AK22" s="310" t="str">
        <f>_xlfn.IFNA(VLOOKUP($AH22,Programma!$F$3:$I$1107,4,0),"")</f>
        <v>5w</v>
      </c>
      <c r="AL22" s="310" t="str">
        <f>_xlfn.IFNA(VLOOKUP($AH22,Programma!$F$3:$J$1107,5,0),"")</f>
        <v>_</v>
      </c>
      <c r="AM22" s="310" t="str">
        <f>_xlfn.IFNA(VLOOKUP($AH22,Programma!$F$3:$K$1107,6,0),"")</f>
        <v>5w</v>
      </c>
      <c r="AN22" s="310" t="str">
        <f>_xlfn.IFNA(VLOOKUP($AH22,Programma!$F$3:$L$1107,7,0),"")</f>
        <v>_</v>
      </c>
      <c r="AO22" s="310" t="str">
        <f>_xlfn.IFNA(VLOOKUP($AH22,Programma!$F$3:$M$1107,8,0),"")</f>
        <v>_</v>
      </c>
      <c r="AP22" s="310" t="str">
        <f>_xlfn.IFNA(VLOOKUP($AH22,Programma!$F$3:$N$1107,9,0),"")</f>
        <v>_</v>
      </c>
      <c r="AQ22" s="310" t="str">
        <f>_xlfn.IFNA(VLOOKUP($AH22,Programma!$F$3:$O$1107,10,0),"")</f>
        <v>5w</v>
      </c>
      <c r="AR22" s="310" t="str">
        <f>_xlfn.IFNA(VLOOKUP($AH22,Programma!$F$3:$P$1107,11,0),"")</f>
        <v>5w</v>
      </c>
      <c r="AS22" s="310" t="str">
        <f>_xlfn.IFNA(VLOOKUP($AH22,Programma!$F$3:$Q$1107,12,0),"")</f>
        <v>1w</v>
      </c>
      <c r="AT22" s="310" t="str">
        <f>_xlfn.IFNA(VLOOKUP($AH22,Programma!$F$3:$R$1107,13,0),"")</f>
        <v>1w</v>
      </c>
      <c r="AU22" s="310" t="str">
        <f>_xlfn.IFNA(VLOOKUP($AH22,Programma!$F$3:$S$1107,14,0),"")</f>
        <v>1m</v>
      </c>
      <c r="AV22" s="310" t="str">
        <f>_xlfn.IFNA(VLOOKUP($AH22,Programma!$F$3:$T$1107,15,0),"")</f>
        <v>2j</v>
      </c>
      <c r="AW22" s="310" t="str">
        <f>_xlfn.IFNA(VLOOKUP($AH22,Programma!$F$3:$U$1107,16,0),"")</f>
        <v>1j</v>
      </c>
      <c r="AX22" s="310" t="str">
        <f>_xlfn.IFNA(VLOOKUP($AH22,Programma!$F$3:$V$1107,17,0),"")</f>
        <v>_</v>
      </c>
      <c r="AY22" s="310" t="str">
        <f>_xlfn.IFNA(VLOOKUP($AH22,Programma!$F$3:$W$1107,18,0),"")</f>
        <v>_</v>
      </c>
      <c r="AZ22" s="310" t="str">
        <f>_xlfn.IFNA(VLOOKUP($AH22,Programma!$F$3:$X$1107,19,0),"")</f>
        <v>_</v>
      </c>
      <c r="BA22" s="310" t="str">
        <f>_xlfn.IFNA(VLOOKUP($AH22,Programma!$F$3:$Y$1107,20,0),"")</f>
        <v>_</v>
      </c>
      <c r="BB22" s="273"/>
      <c r="BC22" s="272" t="str">
        <f>IF(Ruimtestaat[[#This Row],[Frequentie weekend]]="","",_xlfn.CONCAT(Ruimtestaat[[#This Row],[Ruimte code]],"-",Ruimtestaat[[#This Row],[Frequentie weekend]]," ",Ruimtestaat[[#This Row],[Vloer code]]))</f>
        <v/>
      </c>
      <c r="BD22" s="310" t="str">
        <f>_xlfn.IFNA(VLOOKUP($BC22,Programma!$F$3:$G$1107,2,0),"")</f>
        <v/>
      </c>
      <c r="BE22" s="310" t="str">
        <f>_xlfn.IFNA(VLOOKUP($BC22,Programma!$F$3:$H$1107,3,0),"")</f>
        <v/>
      </c>
      <c r="BF22" s="310" t="str">
        <f>_xlfn.IFNA(VLOOKUP($BC22,Programma!$F$3:$I$1107,4,0),"")</f>
        <v/>
      </c>
      <c r="BG22" s="310" t="str">
        <f>_xlfn.IFNA(VLOOKUP($BC22,Programma!$F$3:$J$1107,5,0),"")</f>
        <v/>
      </c>
      <c r="BH22" s="310" t="str">
        <f>_xlfn.IFNA(VLOOKUP($BC22,Programma!$F$3:$K$1107,6,0),"")</f>
        <v/>
      </c>
      <c r="BI22" s="310" t="str">
        <f>_xlfn.IFNA(VLOOKUP($BC22,Programma!$F$3:$L$1107,7,0),"")</f>
        <v/>
      </c>
      <c r="BJ22" s="310" t="str">
        <f>_xlfn.IFNA(VLOOKUP($BC22,Programma!$F$3:$M$1107,8,0),"")</f>
        <v/>
      </c>
      <c r="BK22" s="310" t="str">
        <f>_xlfn.IFNA(VLOOKUP($BC22,Programma!$F$3:$N$1107,9,0),"")</f>
        <v/>
      </c>
      <c r="BL22" s="310" t="str">
        <f>_xlfn.IFNA(VLOOKUP($BC22,Programma!$F$3:$O$1107,10,0),"")</f>
        <v/>
      </c>
      <c r="BM22" s="310" t="str">
        <f>_xlfn.IFNA(VLOOKUP($BC22,Programma!$F$3:$P$1107,11,0),"")</f>
        <v/>
      </c>
      <c r="BN22" s="310" t="str">
        <f>_xlfn.IFNA(VLOOKUP($BC22,Programma!$F$3:$Q$1107,12,0),"")</f>
        <v/>
      </c>
      <c r="BO22" s="310" t="str">
        <f>_xlfn.IFNA(VLOOKUP($BC22,Programma!$F$3:$R$1107,13,0),"")</f>
        <v/>
      </c>
      <c r="BP22" s="310" t="str">
        <f>_xlfn.IFNA(VLOOKUP($BC22,Programma!$F$3:$S$1107,14,0),"")</f>
        <v/>
      </c>
      <c r="BQ22" s="310" t="str">
        <f>_xlfn.IFNA(VLOOKUP($BC22,Programma!$F$3:$T$1107,15,0),"")</f>
        <v/>
      </c>
      <c r="BR22" s="310" t="str">
        <f>_xlfn.IFNA(VLOOKUP($BC22,Programma!$F$3:$U$1107,16,0),"")</f>
        <v/>
      </c>
      <c r="BS22" s="310" t="str">
        <f>_xlfn.IFNA(VLOOKUP($BC22,Programma!$F$3:$V$1107,17,0),"")</f>
        <v/>
      </c>
      <c r="BT22" s="310" t="str">
        <f>_xlfn.IFNA(VLOOKUP($BC22,Programma!$F$3:$W$1107,18,0),"")</f>
        <v/>
      </c>
      <c r="BU22" s="310" t="str">
        <f>_xlfn.IFNA(VLOOKUP($BC22,Programma!$F$3:$X$1107,19,0),"")</f>
        <v/>
      </c>
      <c r="BV22" s="310" t="str">
        <f>_xlfn.IFNA(VLOOKUP($BC22,Programma!$F$3:$Y$1107,20,0),"")</f>
        <v/>
      </c>
    </row>
    <row r="23" spans="1:74" ht="15" customHeight="1">
      <c r="A23" s="33">
        <v>1</v>
      </c>
      <c r="B23" s="173" t="s">
        <v>1619</v>
      </c>
      <c r="C23" s="173" t="str">
        <f>VLOOKUP(Ruimtestaat[[#This Row],[Code]],Locaties[[#All],[Code]:[Adres]],4,FALSE)</f>
        <v>Stationslaan 26</v>
      </c>
      <c r="D23" s="173" t="str">
        <f>VLOOKUP(Ruimtestaat[[#This Row],[Code]],Locaties[[#All],[Code]:[Postcode]],5,FALSE)</f>
        <v>3842 LA</v>
      </c>
      <c r="E23" s="173" t="str">
        <f>VLOOKUP(Ruimtestaat[[#This Row],[Code]],Locaties[#All],6,FALSE)</f>
        <v>Harderwijk</v>
      </c>
      <c r="F23" s="21" t="s">
        <v>1620</v>
      </c>
      <c r="G23" s="33" t="s">
        <v>1612</v>
      </c>
      <c r="H23" s="311" t="s">
        <v>1648</v>
      </c>
      <c r="I23" s="312" t="s">
        <v>1766</v>
      </c>
      <c r="J23" s="21">
        <v>6</v>
      </c>
      <c r="K23" s="69" t="str">
        <f>VLOOKUP(Ruimtestaat[[#This Row],[Ruimte code]],Ruimtegroepen[[#All],[Code]:[Ruimte omschrijving]],2,FALSE)</f>
        <v>Gangen/hallen</v>
      </c>
      <c r="L23" s="33" t="s">
        <v>102</v>
      </c>
      <c r="M23" s="312" t="s">
        <v>1805</v>
      </c>
      <c r="N23" s="148">
        <v>45</v>
      </c>
      <c r="O23" s="150"/>
      <c r="P23" s="134" t="str">
        <f>VLOOKUP(Ruimtestaat[[#This Row],[Ruimte code]],Ruimtegroepen[],4,FALSE)</f>
        <v>Ve</v>
      </c>
      <c r="Q23" s="33">
        <v>40</v>
      </c>
      <c r="R23" s="33" t="s">
        <v>2</v>
      </c>
      <c r="S23" s="33">
        <f>IF(Q23&gt;0,IF(RIGHT(Ruimtestaat[[#This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 s="33">
        <f>IF(S23&gt;0,VLOOKUP($J23,Ruimtegroepen[],3,FALSE)*VLOOKUP($L23,Vloersoorten[],3,FALSE)*VLOOKUP($R23,Frequenties[],3,FALSE)*VLOOKUP($A23,Locaties[],3,FALSE),0)</f>
        <v>0</v>
      </c>
      <c r="U23" s="33">
        <f>Ruimtestaat[[#This Row],[Uitvoeringen werkdagen]]*Ruimtestaat[[#This Row],[Oppervlak (netto)]]</f>
        <v>9000</v>
      </c>
      <c r="V23" s="170">
        <f>IF(T23&gt;0,Ruimtestaat[[#This Row],[Prest. (m2 /jaar) werkdagen]]/Ruimtestaat[[#This Row],[Norm (m2/uur) werkdagen]],0)</f>
        <v>0</v>
      </c>
      <c r="W23" s="171">
        <f>Ruimtestaat[[#This Row],[uren / jaar werkdagen]]*Tariefsopbouw!$E$35</f>
        <v>0</v>
      </c>
      <c r="X23" s="33"/>
      <c r="Y23" s="33">
        <f>IF(Ruimtestaat[[#This Row],[Frequentie weekend]]&gt;0,VALUE(LEFT(X23,1))*Q23,0)</f>
        <v>0</v>
      </c>
      <c r="Z23" s="104">
        <f>IF($Y23&gt;0,VLOOKUP($J23,Ruimtegroepen[],3,FALSE)*VLOOKUP($L23,Vloersoorten[],3,FALSE)*VLOOKUP($X23,Frequenties[],3,FALSE)*VLOOKUP(Ruimtestaat[[#This Row],[Code]],Locaties[],3,FALSE),0)</f>
        <v>0</v>
      </c>
      <c r="AA23" s="104">
        <f>Ruimtestaat[[#This Row],[Uitvoeringen weekend]]*Ruimtestaat[[#This Row],[Oppervlak (netto)]]</f>
        <v>0</v>
      </c>
      <c r="AB23" s="104">
        <f>IF(Z23&gt;0,Ruimtestaat[[#This Row],[Prest. (m2 /jaar) weekend]]/Ruimtestaat[[#This Row],[Norm (m2/uur) weekend]],0)</f>
        <v>0</v>
      </c>
      <c r="AC23" s="171">
        <f>Ruimtestaat[[#This Row],[uren / jaar weekend]]*Tariefsopbouw!$D$40</f>
        <v>0</v>
      </c>
      <c r="AD23" s="170">
        <f>Ruimtestaat[[#This Row],[Prest. (m2 /jaar) weekend]]+Ruimtestaat[[#This Row],[Prest. (m2 /jaar) werkdagen]]</f>
        <v>9000</v>
      </c>
      <c r="AE23" s="170">
        <f>Ruimtestaat[[#This Row],[uren / jaar weekend]]+Ruimtestaat[[#This Row],[uren / jaar werkdagen]]</f>
        <v>0</v>
      </c>
      <c r="AF23" s="76">
        <f>Ruimtestaat[[#This Row],[kosten / jaar weekend]]+Ruimtestaat[[#This Row],[kosten / jaar werkdagen]]</f>
        <v>0</v>
      </c>
      <c r="AG23" s="76"/>
      <c r="AH23" s="272" t="str">
        <f>IF(Ruimtestaat[[#This Row],[Frequentie werkdagen]]="","",_xlfn.CONCAT(Ruimtestaat[[#This Row],[Ruimte code]],"-",Ruimtestaat[[#This Row],[Frequentie werkdagen]]," ",Ruimtestaat[[#This Row],[Vloer code]]))</f>
        <v>6-5w S</v>
      </c>
      <c r="AI23" s="310" t="str">
        <f>_xlfn.IFNA(VLOOKUP($AH23,Programma!$F$3:$G$1107,2,0),"")</f>
        <v>_</v>
      </c>
      <c r="AJ23" s="310" t="str">
        <f>_xlfn.IFNA(VLOOKUP($AH23,Programma!$F$3:$H$1107,3,0),"")</f>
        <v>_</v>
      </c>
      <c r="AK23" s="310" t="str">
        <f>_xlfn.IFNA(VLOOKUP($AH23,Programma!$F$3:$I$1107,4,0),"")</f>
        <v>5w</v>
      </c>
      <c r="AL23" s="310" t="str">
        <f>_xlfn.IFNA(VLOOKUP($AH23,Programma!$F$3:$J$1107,5,0),"")</f>
        <v>_</v>
      </c>
      <c r="AM23" s="310" t="str">
        <f>_xlfn.IFNA(VLOOKUP($AH23,Programma!$F$3:$K$1107,6,0),"")</f>
        <v>5w</v>
      </c>
      <c r="AN23" s="310" t="str">
        <f>_xlfn.IFNA(VLOOKUP($AH23,Programma!$F$3:$L$1107,7,0),"")</f>
        <v>_</v>
      </c>
      <c r="AO23" s="310" t="str">
        <f>_xlfn.IFNA(VLOOKUP($AH23,Programma!$F$3:$M$1107,8,0),"")</f>
        <v>_</v>
      </c>
      <c r="AP23" s="310" t="str">
        <f>_xlfn.IFNA(VLOOKUP($AH23,Programma!$F$3:$N$1107,9,0),"")</f>
        <v>_</v>
      </c>
      <c r="AQ23" s="310" t="str">
        <f>_xlfn.IFNA(VLOOKUP($AH23,Programma!$F$3:$O$1107,10,0),"")</f>
        <v>5w</v>
      </c>
      <c r="AR23" s="310" t="str">
        <f>_xlfn.IFNA(VLOOKUP($AH23,Programma!$F$3:$P$1107,11,0),"")</f>
        <v>5w</v>
      </c>
      <c r="AS23" s="310" t="str">
        <f>_xlfn.IFNA(VLOOKUP($AH23,Programma!$F$3:$Q$1107,12,0),"")</f>
        <v>1w</v>
      </c>
      <c r="AT23" s="310" t="str">
        <f>_xlfn.IFNA(VLOOKUP($AH23,Programma!$F$3:$R$1107,13,0),"")</f>
        <v>1w</v>
      </c>
      <c r="AU23" s="310" t="str">
        <f>_xlfn.IFNA(VLOOKUP($AH23,Programma!$F$3:$S$1107,14,0),"")</f>
        <v>1m</v>
      </c>
      <c r="AV23" s="310" t="str">
        <f>_xlfn.IFNA(VLOOKUP($AH23,Programma!$F$3:$T$1107,15,0),"")</f>
        <v>2j</v>
      </c>
      <c r="AW23" s="310" t="str">
        <f>_xlfn.IFNA(VLOOKUP($AH23,Programma!$F$3:$U$1107,16,0),"")</f>
        <v>1j</v>
      </c>
      <c r="AX23" s="310" t="str">
        <f>_xlfn.IFNA(VLOOKUP($AH23,Programma!$F$3:$V$1107,17,0),"")</f>
        <v>_</v>
      </c>
      <c r="AY23" s="310" t="str">
        <f>_xlfn.IFNA(VLOOKUP($AH23,Programma!$F$3:$W$1107,18,0),"")</f>
        <v>_</v>
      </c>
      <c r="AZ23" s="310" t="str">
        <f>_xlfn.IFNA(VLOOKUP($AH23,Programma!$F$3:$X$1107,19,0),"")</f>
        <v>_</v>
      </c>
      <c r="BA23" s="310" t="str">
        <f>_xlfn.IFNA(VLOOKUP($AH23,Programma!$F$3:$Y$1107,20,0),"")</f>
        <v>_</v>
      </c>
      <c r="BB23" s="273"/>
      <c r="BC23" s="272" t="str">
        <f>IF(Ruimtestaat[[#This Row],[Frequentie weekend]]="","",_xlfn.CONCAT(Ruimtestaat[[#This Row],[Ruimte code]],"-",Ruimtestaat[[#This Row],[Frequentie weekend]]," ",Ruimtestaat[[#This Row],[Vloer code]]))</f>
        <v/>
      </c>
      <c r="BD23" s="310" t="str">
        <f>_xlfn.IFNA(VLOOKUP($BC23,Programma!$F$3:$G$1107,2,0),"")</f>
        <v/>
      </c>
      <c r="BE23" s="310" t="str">
        <f>_xlfn.IFNA(VLOOKUP($BC23,Programma!$F$3:$H$1107,3,0),"")</f>
        <v/>
      </c>
      <c r="BF23" s="310" t="str">
        <f>_xlfn.IFNA(VLOOKUP($BC23,Programma!$F$3:$I$1107,4,0),"")</f>
        <v/>
      </c>
      <c r="BG23" s="310" t="str">
        <f>_xlfn.IFNA(VLOOKUP($BC23,Programma!$F$3:$J$1107,5,0),"")</f>
        <v/>
      </c>
      <c r="BH23" s="310" t="str">
        <f>_xlfn.IFNA(VLOOKUP($BC23,Programma!$F$3:$K$1107,6,0),"")</f>
        <v/>
      </c>
      <c r="BI23" s="310" t="str">
        <f>_xlfn.IFNA(VLOOKUP($BC23,Programma!$F$3:$L$1107,7,0),"")</f>
        <v/>
      </c>
      <c r="BJ23" s="310" t="str">
        <f>_xlfn.IFNA(VLOOKUP($BC23,Programma!$F$3:$M$1107,8,0),"")</f>
        <v/>
      </c>
      <c r="BK23" s="310" t="str">
        <f>_xlfn.IFNA(VLOOKUP($BC23,Programma!$F$3:$N$1107,9,0),"")</f>
        <v/>
      </c>
      <c r="BL23" s="310" t="str">
        <f>_xlfn.IFNA(VLOOKUP($BC23,Programma!$F$3:$O$1107,10,0),"")</f>
        <v/>
      </c>
      <c r="BM23" s="310" t="str">
        <f>_xlfn.IFNA(VLOOKUP($BC23,Programma!$F$3:$P$1107,11,0),"")</f>
        <v/>
      </c>
      <c r="BN23" s="310" t="str">
        <f>_xlfn.IFNA(VLOOKUP($BC23,Programma!$F$3:$Q$1107,12,0),"")</f>
        <v/>
      </c>
      <c r="BO23" s="310" t="str">
        <f>_xlfn.IFNA(VLOOKUP($BC23,Programma!$F$3:$R$1107,13,0),"")</f>
        <v/>
      </c>
      <c r="BP23" s="310" t="str">
        <f>_xlfn.IFNA(VLOOKUP($BC23,Programma!$F$3:$S$1107,14,0),"")</f>
        <v/>
      </c>
      <c r="BQ23" s="310" t="str">
        <f>_xlfn.IFNA(VLOOKUP($BC23,Programma!$F$3:$T$1107,15,0),"")</f>
        <v/>
      </c>
      <c r="BR23" s="310" t="str">
        <f>_xlfn.IFNA(VLOOKUP($BC23,Programma!$F$3:$U$1107,16,0),"")</f>
        <v/>
      </c>
      <c r="BS23" s="310" t="str">
        <f>_xlfn.IFNA(VLOOKUP($BC23,Programma!$F$3:$V$1107,17,0),"")</f>
        <v/>
      </c>
      <c r="BT23" s="310" t="str">
        <f>_xlfn.IFNA(VLOOKUP($BC23,Programma!$F$3:$W$1107,18,0),"")</f>
        <v/>
      </c>
      <c r="BU23" s="310" t="str">
        <f>_xlfn.IFNA(VLOOKUP($BC23,Programma!$F$3:$X$1107,19,0),"")</f>
        <v/>
      </c>
      <c r="BV23" s="310" t="str">
        <f>_xlfn.IFNA(VLOOKUP($BC23,Programma!$F$3:$Y$1107,20,0),"")</f>
        <v/>
      </c>
    </row>
    <row r="24" spans="1:74" ht="15" customHeight="1">
      <c r="A24" s="33">
        <v>1</v>
      </c>
      <c r="B24" s="173" t="s">
        <v>1619</v>
      </c>
      <c r="C24" s="173" t="str">
        <f>VLOOKUP(Ruimtestaat[[#This Row],[Code]],Locaties[[#All],[Code]:[Adres]],4,FALSE)</f>
        <v>Stationslaan 26</v>
      </c>
      <c r="D24" s="173" t="str">
        <f>VLOOKUP(Ruimtestaat[[#This Row],[Code]],Locaties[[#All],[Code]:[Postcode]],5,FALSE)</f>
        <v>3842 LA</v>
      </c>
      <c r="E24" s="173" t="str">
        <f>VLOOKUP(Ruimtestaat[[#This Row],[Code]],Locaties[#All],6,FALSE)</f>
        <v>Harderwijk</v>
      </c>
      <c r="F24" s="21" t="s">
        <v>1620</v>
      </c>
      <c r="G24" s="33" t="s">
        <v>1612</v>
      </c>
      <c r="H24" s="311" t="s">
        <v>1649</v>
      </c>
      <c r="I24" s="312" t="s">
        <v>1766</v>
      </c>
      <c r="J24" s="21">
        <v>6</v>
      </c>
      <c r="K24" s="69" t="str">
        <f>VLOOKUP(Ruimtestaat[[#This Row],[Ruimte code]],Ruimtegroepen[[#All],[Code]:[Ruimte omschrijving]],2,FALSE)</f>
        <v>Gangen/hallen</v>
      </c>
      <c r="L24" s="33" t="s">
        <v>102</v>
      </c>
      <c r="M24" s="312" t="s">
        <v>1805</v>
      </c>
      <c r="N24" s="148">
        <v>68</v>
      </c>
      <c r="O24" s="33"/>
      <c r="P24" s="134" t="str">
        <f>VLOOKUP(Ruimtestaat[[#This Row],[Ruimte code]],Ruimtegroepen[],4,FALSE)</f>
        <v>Ve</v>
      </c>
      <c r="Q24" s="33">
        <v>40</v>
      </c>
      <c r="R24" s="33" t="s">
        <v>2</v>
      </c>
      <c r="S24" s="33">
        <f>IF(Q24&gt;0,IF(RIGHT(Ruimtestaat[[#This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 s="33">
        <f>IF(S24&gt;0,VLOOKUP($J24,Ruimtegroepen[],3,FALSE)*VLOOKUP($L24,Vloersoorten[],3,FALSE)*VLOOKUP($R24,Frequenties[],3,FALSE)*VLOOKUP($A24,Locaties[],3,FALSE),0)</f>
        <v>0</v>
      </c>
      <c r="U24" s="33">
        <f>Ruimtestaat[[#This Row],[Uitvoeringen werkdagen]]*Ruimtestaat[[#This Row],[Oppervlak (netto)]]</f>
        <v>13600</v>
      </c>
      <c r="V24" s="170">
        <f>IF(T24&gt;0,Ruimtestaat[[#This Row],[Prest. (m2 /jaar) werkdagen]]/Ruimtestaat[[#This Row],[Norm (m2/uur) werkdagen]],0)</f>
        <v>0</v>
      </c>
      <c r="W24" s="171">
        <f>Ruimtestaat[[#This Row],[uren / jaar werkdagen]]*Tariefsopbouw!$E$35</f>
        <v>0</v>
      </c>
      <c r="X24" s="33"/>
      <c r="Y24" s="33">
        <f>IF(Ruimtestaat[[#This Row],[Frequentie weekend]]&gt;0,VALUE(LEFT(X24,1))*Q24,0)</f>
        <v>0</v>
      </c>
      <c r="Z24" s="104">
        <f>IF($Y24&gt;0,VLOOKUP($J24,Ruimtegroepen[],3,FALSE)*VLOOKUP($L24,Vloersoorten[],3,FALSE)*VLOOKUP($X24,Frequenties[],3,FALSE)*VLOOKUP(Ruimtestaat[[#This Row],[Code]],Locaties[],3,FALSE),0)</f>
        <v>0</v>
      </c>
      <c r="AA24" s="104">
        <f>Ruimtestaat[[#This Row],[Uitvoeringen weekend]]*Ruimtestaat[[#This Row],[Oppervlak (netto)]]</f>
        <v>0</v>
      </c>
      <c r="AB24" s="104">
        <f>IF(Z24&gt;0,Ruimtestaat[[#This Row],[Prest. (m2 /jaar) weekend]]/Ruimtestaat[[#This Row],[Norm (m2/uur) weekend]],0)</f>
        <v>0</v>
      </c>
      <c r="AC24" s="171">
        <f>Ruimtestaat[[#This Row],[uren / jaar weekend]]*Tariefsopbouw!$D$40</f>
        <v>0</v>
      </c>
      <c r="AD24" s="170">
        <f>Ruimtestaat[[#This Row],[Prest. (m2 /jaar) weekend]]+Ruimtestaat[[#This Row],[Prest. (m2 /jaar) werkdagen]]</f>
        <v>13600</v>
      </c>
      <c r="AE24" s="170">
        <f>Ruimtestaat[[#This Row],[uren / jaar weekend]]+Ruimtestaat[[#This Row],[uren / jaar werkdagen]]</f>
        <v>0</v>
      </c>
      <c r="AF24" s="76">
        <f>Ruimtestaat[[#This Row],[kosten / jaar weekend]]+Ruimtestaat[[#This Row],[kosten / jaar werkdagen]]</f>
        <v>0</v>
      </c>
      <c r="AG24" s="76"/>
      <c r="AH24" s="272" t="str">
        <f>IF(Ruimtestaat[[#This Row],[Frequentie werkdagen]]="","",_xlfn.CONCAT(Ruimtestaat[[#This Row],[Ruimte code]],"-",Ruimtestaat[[#This Row],[Frequentie werkdagen]]," ",Ruimtestaat[[#This Row],[Vloer code]]))</f>
        <v>6-5w S</v>
      </c>
      <c r="AI24" s="310" t="str">
        <f>_xlfn.IFNA(VLOOKUP($AH24,Programma!$F$3:$G$1107,2,0),"")</f>
        <v>_</v>
      </c>
      <c r="AJ24" s="310" t="str">
        <f>_xlfn.IFNA(VLOOKUP($AH24,Programma!$F$3:$H$1107,3,0),"")</f>
        <v>_</v>
      </c>
      <c r="AK24" s="310" t="str">
        <f>_xlfn.IFNA(VLOOKUP($AH24,Programma!$F$3:$I$1107,4,0),"")</f>
        <v>5w</v>
      </c>
      <c r="AL24" s="310" t="str">
        <f>_xlfn.IFNA(VLOOKUP($AH24,Programma!$F$3:$J$1107,5,0),"")</f>
        <v>_</v>
      </c>
      <c r="AM24" s="310" t="str">
        <f>_xlfn.IFNA(VLOOKUP($AH24,Programma!$F$3:$K$1107,6,0),"")</f>
        <v>5w</v>
      </c>
      <c r="AN24" s="310" t="str">
        <f>_xlfn.IFNA(VLOOKUP($AH24,Programma!$F$3:$L$1107,7,0),"")</f>
        <v>_</v>
      </c>
      <c r="AO24" s="310" t="str">
        <f>_xlfn.IFNA(VLOOKUP($AH24,Programma!$F$3:$M$1107,8,0),"")</f>
        <v>_</v>
      </c>
      <c r="AP24" s="310" t="str">
        <f>_xlfn.IFNA(VLOOKUP($AH24,Programma!$F$3:$N$1107,9,0),"")</f>
        <v>_</v>
      </c>
      <c r="AQ24" s="310" t="str">
        <f>_xlfn.IFNA(VLOOKUP($AH24,Programma!$F$3:$O$1107,10,0),"")</f>
        <v>5w</v>
      </c>
      <c r="AR24" s="310" t="str">
        <f>_xlfn.IFNA(VLOOKUP($AH24,Programma!$F$3:$P$1107,11,0),"")</f>
        <v>5w</v>
      </c>
      <c r="AS24" s="310" t="str">
        <f>_xlfn.IFNA(VLOOKUP($AH24,Programma!$F$3:$Q$1107,12,0),"")</f>
        <v>1w</v>
      </c>
      <c r="AT24" s="310" t="str">
        <f>_xlfn.IFNA(VLOOKUP($AH24,Programma!$F$3:$R$1107,13,0),"")</f>
        <v>1w</v>
      </c>
      <c r="AU24" s="310" t="str">
        <f>_xlfn.IFNA(VLOOKUP($AH24,Programma!$F$3:$S$1107,14,0),"")</f>
        <v>1m</v>
      </c>
      <c r="AV24" s="310" t="str">
        <f>_xlfn.IFNA(VLOOKUP($AH24,Programma!$F$3:$T$1107,15,0),"")</f>
        <v>2j</v>
      </c>
      <c r="AW24" s="310" t="str">
        <f>_xlfn.IFNA(VLOOKUP($AH24,Programma!$F$3:$U$1107,16,0),"")</f>
        <v>1j</v>
      </c>
      <c r="AX24" s="310" t="str">
        <f>_xlfn.IFNA(VLOOKUP($AH24,Programma!$F$3:$V$1107,17,0),"")</f>
        <v>_</v>
      </c>
      <c r="AY24" s="310" t="str">
        <f>_xlfn.IFNA(VLOOKUP($AH24,Programma!$F$3:$W$1107,18,0),"")</f>
        <v>_</v>
      </c>
      <c r="AZ24" s="310" t="str">
        <f>_xlfn.IFNA(VLOOKUP($AH24,Programma!$F$3:$X$1107,19,0),"")</f>
        <v>_</v>
      </c>
      <c r="BA24" s="310" t="str">
        <f>_xlfn.IFNA(VLOOKUP($AH24,Programma!$F$3:$Y$1107,20,0),"")</f>
        <v>_</v>
      </c>
      <c r="BB24" s="273"/>
      <c r="BC24" s="272" t="str">
        <f>IF(Ruimtestaat[[#This Row],[Frequentie weekend]]="","",_xlfn.CONCAT(Ruimtestaat[[#This Row],[Ruimte code]],"-",Ruimtestaat[[#This Row],[Frequentie weekend]]," ",Ruimtestaat[[#This Row],[Vloer code]]))</f>
        <v/>
      </c>
      <c r="BD24" s="310" t="str">
        <f>_xlfn.IFNA(VLOOKUP($BC24,Programma!$F$3:$G$1107,2,0),"")</f>
        <v/>
      </c>
      <c r="BE24" s="310" t="str">
        <f>_xlfn.IFNA(VLOOKUP($BC24,Programma!$F$3:$H$1107,3,0),"")</f>
        <v/>
      </c>
      <c r="BF24" s="310" t="str">
        <f>_xlfn.IFNA(VLOOKUP($BC24,Programma!$F$3:$I$1107,4,0),"")</f>
        <v/>
      </c>
      <c r="BG24" s="310" t="str">
        <f>_xlfn.IFNA(VLOOKUP($BC24,Programma!$F$3:$J$1107,5,0),"")</f>
        <v/>
      </c>
      <c r="BH24" s="310" t="str">
        <f>_xlfn.IFNA(VLOOKUP($BC24,Programma!$F$3:$K$1107,6,0),"")</f>
        <v/>
      </c>
      <c r="BI24" s="310" t="str">
        <f>_xlfn.IFNA(VLOOKUP($BC24,Programma!$F$3:$L$1107,7,0),"")</f>
        <v/>
      </c>
      <c r="BJ24" s="310" t="str">
        <f>_xlfn.IFNA(VLOOKUP($BC24,Programma!$F$3:$M$1107,8,0),"")</f>
        <v/>
      </c>
      <c r="BK24" s="310" t="str">
        <f>_xlfn.IFNA(VLOOKUP($BC24,Programma!$F$3:$N$1107,9,0),"")</f>
        <v/>
      </c>
      <c r="BL24" s="310" t="str">
        <f>_xlfn.IFNA(VLOOKUP($BC24,Programma!$F$3:$O$1107,10,0),"")</f>
        <v/>
      </c>
      <c r="BM24" s="310" t="str">
        <f>_xlfn.IFNA(VLOOKUP($BC24,Programma!$F$3:$P$1107,11,0),"")</f>
        <v/>
      </c>
      <c r="BN24" s="310" t="str">
        <f>_xlfn.IFNA(VLOOKUP($BC24,Programma!$F$3:$Q$1107,12,0),"")</f>
        <v/>
      </c>
      <c r="BO24" s="310" t="str">
        <f>_xlfn.IFNA(VLOOKUP($BC24,Programma!$F$3:$R$1107,13,0),"")</f>
        <v/>
      </c>
      <c r="BP24" s="310" t="str">
        <f>_xlfn.IFNA(VLOOKUP($BC24,Programma!$F$3:$S$1107,14,0),"")</f>
        <v/>
      </c>
      <c r="BQ24" s="310" t="str">
        <f>_xlfn.IFNA(VLOOKUP($BC24,Programma!$F$3:$T$1107,15,0),"")</f>
        <v/>
      </c>
      <c r="BR24" s="310" t="str">
        <f>_xlfn.IFNA(VLOOKUP($BC24,Programma!$F$3:$U$1107,16,0),"")</f>
        <v/>
      </c>
      <c r="BS24" s="310" t="str">
        <f>_xlfn.IFNA(VLOOKUP($BC24,Programma!$F$3:$V$1107,17,0),"")</f>
        <v/>
      </c>
      <c r="BT24" s="310" t="str">
        <f>_xlfn.IFNA(VLOOKUP($BC24,Programma!$F$3:$W$1107,18,0),"")</f>
        <v/>
      </c>
      <c r="BU24" s="310" t="str">
        <f>_xlfn.IFNA(VLOOKUP($BC24,Programma!$F$3:$X$1107,19,0),"")</f>
        <v/>
      </c>
      <c r="BV24" s="310" t="str">
        <f>_xlfn.IFNA(VLOOKUP($BC24,Programma!$F$3:$Y$1107,20,0),"")</f>
        <v/>
      </c>
    </row>
    <row r="25" spans="1:74" ht="15" customHeight="1">
      <c r="A25" s="33">
        <v>1</v>
      </c>
      <c r="B25" s="173" t="s">
        <v>1619</v>
      </c>
      <c r="C25" s="173" t="str">
        <f>VLOOKUP(Ruimtestaat[[#This Row],[Code]],Locaties[[#All],[Code]:[Adres]],4,FALSE)</f>
        <v>Stationslaan 26</v>
      </c>
      <c r="D25" s="173" t="str">
        <f>VLOOKUP(Ruimtestaat[[#This Row],[Code]],Locaties[[#All],[Code]:[Postcode]],5,FALSE)</f>
        <v>3842 LA</v>
      </c>
      <c r="E25" s="173" t="str">
        <f>VLOOKUP(Ruimtestaat[[#This Row],[Code]],Locaties[#All],6,FALSE)</f>
        <v>Harderwijk</v>
      </c>
      <c r="F25" s="21" t="s">
        <v>1620</v>
      </c>
      <c r="G25" s="33" t="s">
        <v>1612</v>
      </c>
      <c r="H25" s="311" t="s">
        <v>1650</v>
      </c>
      <c r="I25" s="312" t="s">
        <v>1730</v>
      </c>
      <c r="J25" s="21">
        <v>5</v>
      </c>
      <c r="K25" s="69" t="str">
        <f>VLOOKUP(Ruimtestaat[[#This Row],[Ruimte code]],Ruimtegroepen[[#All],[Code]:[Ruimte omschrijving]],2,FALSE)</f>
        <v>Sanitair</v>
      </c>
      <c r="L25" s="33" t="s">
        <v>102</v>
      </c>
      <c r="M25" s="312" t="s">
        <v>1805</v>
      </c>
      <c r="N25" s="148">
        <v>15</v>
      </c>
      <c r="O25" s="150"/>
      <c r="P25" s="134" t="str">
        <f>VLOOKUP(Ruimtestaat[[#This Row],[Ruimte code]],Ruimtegroepen[],4,FALSE)</f>
        <v>Sa</v>
      </c>
      <c r="Q25" s="33">
        <v>40</v>
      </c>
      <c r="R25" s="33" t="s">
        <v>2</v>
      </c>
      <c r="S25" s="33">
        <f>IF(Q25&gt;0,IF(RIGHT(Ruimtestaat[[#This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 s="33">
        <f>IF(S25&gt;0,VLOOKUP($J25,Ruimtegroepen[],3,FALSE)*VLOOKUP($L25,Vloersoorten[],3,FALSE)*VLOOKUP($R25,Frequenties[],3,FALSE)*VLOOKUP($A25,Locaties[],3,FALSE),0)</f>
        <v>0</v>
      </c>
      <c r="U25" s="33">
        <f>Ruimtestaat[[#This Row],[Uitvoeringen werkdagen]]*Ruimtestaat[[#This Row],[Oppervlak (netto)]]</f>
        <v>3000</v>
      </c>
      <c r="V25" s="170">
        <f>IF(T25&gt;0,Ruimtestaat[[#This Row],[Prest. (m2 /jaar) werkdagen]]/Ruimtestaat[[#This Row],[Norm (m2/uur) werkdagen]],0)</f>
        <v>0</v>
      </c>
      <c r="W25" s="171">
        <f>Ruimtestaat[[#This Row],[uren / jaar werkdagen]]*Tariefsopbouw!$E$35</f>
        <v>0</v>
      </c>
      <c r="X25" s="33"/>
      <c r="Y25" s="33">
        <f>IF(Ruimtestaat[[#This Row],[Frequentie weekend]]&gt;0,VALUE(LEFT(X25,1))*Q25,0)</f>
        <v>0</v>
      </c>
      <c r="Z25" s="104">
        <f>IF($Y25&gt;0,VLOOKUP($J25,Ruimtegroepen[],3,FALSE)*VLOOKUP($L25,Vloersoorten[],3,FALSE)*VLOOKUP($X25,Frequenties[],3,FALSE)*VLOOKUP(Ruimtestaat[[#This Row],[Code]],Locaties[],3,FALSE),0)</f>
        <v>0</v>
      </c>
      <c r="AA25" s="104">
        <f>Ruimtestaat[[#This Row],[Uitvoeringen weekend]]*Ruimtestaat[[#This Row],[Oppervlak (netto)]]</f>
        <v>0</v>
      </c>
      <c r="AB25" s="104">
        <f>IF(Z25&gt;0,Ruimtestaat[[#This Row],[Prest. (m2 /jaar) weekend]]/Ruimtestaat[[#This Row],[Norm (m2/uur) weekend]],0)</f>
        <v>0</v>
      </c>
      <c r="AC25" s="171">
        <f>Ruimtestaat[[#This Row],[uren / jaar weekend]]*Tariefsopbouw!$D$40</f>
        <v>0</v>
      </c>
      <c r="AD25" s="170">
        <f>Ruimtestaat[[#This Row],[Prest. (m2 /jaar) weekend]]+Ruimtestaat[[#This Row],[Prest. (m2 /jaar) werkdagen]]</f>
        <v>3000</v>
      </c>
      <c r="AE25" s="170">
        <f>Ruimtestaat[[#This Row],[uren / jaar weekend]]+Ruimtestaat[[#This Row],[uren / jaar werkdagen]]</f>
        <v>0</v>
      </c>
      <c r="AF25" s="76">
        <f>Ruimtestaat[[#This Row],[kosten / jaar weekend]]+Ruimtestaat[[#This Row],[kosten / jaar werkdagen]]</f>
        <v>0</v>
      </c>
      <c r="AG25" s="76"/>
      <c r="AH25" s="272" t="str">
        <f>IF(Ruimtestaat[[#This Row],[Frequentie werkdagen]]="","",_xlfn.CONCAT(Ruimtestaat[[#This Row],[Ruimte code]],"-",Ruimtestaat[[#This Row],[Frequentie werkdagen]]," ",Ruimtestaat[[#This Row],[Vloer code]]))</f>
        <v>5-5w S</v>
      </c>
      <c r="AI25" s="310" t="str">
        <f>_xlfn.IFNA(VLOOKUP($AH25,Programma!$F$3:$G$1107,2,0),"")</f>
        <v>_</v>
      </c>
      <c r="AJ25" s="310" t="str">
        <f>_xlfn.IFNA(VLOOKUP($AH25,Programma!$F$3:$H$1107,3,0),"")</f>
        <v>_</v>
      </c>
      <c r="AK25" s="310" t="str">
        <f>_xlfn.IFNA(VLOOKUP($AH25,Programma!$F$3:$I$1107,4,0),"")</f>
        <v>_</v>
      </c>
      <c r="AL25" s="310" t="str">
        <f>_xlfn.IFNA(VLOOKUP($AH25,Programma!$F$3:$J$1107,5,0),"")</f>
        <v>4w</v>
      </c>
      <c r="AM25" s="310" t="str">
        <f>_xlfn.IFNA(VLOOKUP($AH25,Programma!$F$3:$K$1107,6,0),"")</f>
        <v>1w</v>
      </c>
      <c r="AN25" s="310" t="str">
        <f>_xlfn.IFNA(VLOOKUP($AH25,Programma!$F$3:$L$1107,7,0),"")</f>
        <v>_</v>
      </c>
      <c r="AO25" s="310" t="str">
        <f>_xlfn.IFNA(VLOOKUP($AH25,Programma!$F$3:$M$1107,8,0),"")</f>
        <v>_</v>
      </c>
      <c r="AP25" s="310" t="str">
        <f>_xlfn.IFNA(VLOOKUP($AH25,Programma!$F$3:$N$1107,9,0),"")</f>
        <v>_</v>
      </c>
      <c r="AQ25" s="310" t="str">
        <f>_xlfn.IFNA(VLOOKUP($AH25,Programma!$F$3:$O$1107,10,0),"")</f>
        <v>_</v>
      </c>
      <c r="AR25" s="310" t="str">
        <f>_xlfn.IFNA(VLOOKUP($AH25,Programma!$F$3:$P$1107,11,0),"")</f>
        <v>_</v>
      </c>
      <c r="AS25" s="310" t="str">
        <f>_xlfn.IFNA(VLOOKUP($AH25,Programma!$F$3:$Q$1107,12,0),"")</f>
        <v>_</v>
      </c>
      <c r="AT25" s="310" t="str">
        <f>_xlfn.IFNA(VLOOKUP($AH25,Programma!$F$3:$R$1107,13,0),"")</f>
        <v>_</v>
      </c>
      <c r="AU25" s="310" t="str">
        <f>_xlfn.IFNA(VLOOKUP($AH25,Programma!$F$3:$S$1107,14,0),"")</f>
        <v>_</v>
      </c>
      <c r="AV25" s="310" t="str">
        <f>_xlfn.IFNA(VLOOKUP($AH25,Programma!$F$3:$T$1107,15,0),"")</f>
        <v>_</v>
      </c>
      <c r="AW25" s="310" t="str">
        <f>_xlfn.IFNA(VLOOKUP($AH25,Programma!$F$3:$U$1107,16,0),"")</f>
        <v>_</v>
      </c>
      <c r="AX25" s="310" t="str">
        <f>_xlfn.IFNA(VLOOKUP($AH25,Programma!$F$3:$V$1107,17,0),"")</f>
        <v>_</v>
      </c>
      <c r="AY25" s="310" t="str">
        <f>_xlfn.IFNA(VLOOKUP($AH25,Programma!$F$3:$W$1107,18,0),"")</f>
        <v>4w</v>
      </c>
      <c r="AZ25" s="310" t="str">
        <f>_xlfn.IFNA(VLOOKUP($AH25,Programma!$F$3:$X$1107,19,0),"")</f>
        <v>1w</v>
      </c>
      <c r="BA25" s="310" t="str">
        <f>_xlfn.IFNA(VLOOKUP($AH25,Programma!$F$3:$Y$1107,20,0),"")</f>
        <v>_</v>
      </c>
      <c r="BB25" s="273"/>
      <c r="BC25" s="272" t="str">
        <f>IF(Ruimtestaat[[#This Row],[Frequentie weekend]]="","",_xlfn.CONCAT(Ruimtestaat[[#This Row],[Ruimte code]],"-",Ruimtestaat[[#This Row],[Frequentie weekend]]," ",Ruimtestaat[[#This Row],[Vloer code]]))</f>
        <v/>
      </c>
      <c r="BD25" s="310" t="str">
        <f>_xlfn.IFNA(VLOOKUP($BC25,Programma!$F$3:$G$1107,2,0),"")</f>
        <v/>
      </c>
      <c r="BE25" s="310" t="str">
        <f>_xlfn.IFNA(VLOOKUP($BC25,Programma!$F$3:$H$1107,3,0),"")</f>
        <v/>
      </c>
      <c r="BF25" s="310" t="str">
        <f>_xlfn.IFNA(VLOOKUP($BC25,Programma!$F$3:$I$1107,4,0),"")</f>
        <v/>
      </c>
      <c r="BG25" s="310" t="str">
        <f>_xlfn.IFNA(VLOOKUP($BC25,Programma!$F$3:$J$1107,5,0),"")</f>
        <v/>
      </c>
      <c r="BH25" s="310" t="str">
        <f>_xlfn.IFNA(VLOOKUP($BC25,Programma!$F$3:$K$1107,6,0),"")</f>
        <v/>
      </c>
      <c r="BI25" s="310" t="str">
        <f>_xlfn.IFNA(VLOOKUP($BC25,Programma!$F$3:$L$1107,7,0),"")</f>
        <v/>
      </c>
      <c r="BJ25" s="310" t="str">
        <f>_xlfn.IFNA(VLOOKUP($BC25,Programma!$F$3:$M$1107,8,0),"")</f>
        <v/>
      </c>
      <c r="BK25" s="310" t="str">
        <f>_xlfn.IFNA(VLOOKUP($BC25,Programma!$F$3:$N$1107,9,0),"")</f>
        <v/>
      </c>
      <c r="BL25" s="310" t="str">
        <f>_xlfn.IFNA(VLOOKUP($BC25,Programma!$F$3:$O$1107,10,0),"")</f>
        <v/>
      </c>
      <c r="BM25" s="310" t="str">
        <f>_xlfn.IFNA(VLOOKUP($BC25,Programma!$F$3:$P$1107,11,0),"")</f>
        <v/>
      </c>
      <c r="BN25" s="310" t="str">
        <f>_xlfn.IFNA(VLOOKUP($BC25,Programma!$F$3:$Q$1107,12,0),"")</f>
        <v/>
      </c>
      <c r="BO25" s="310" t="str">
        <f>_xlfn.IFNA(VLOOKUP($BC25,Programma!$F$3:$R$1107,13,0),"")</f>
        <v/>
      </c>
      <c r="BP25" s="310" t="str">
        <f>_xlfn.IFNA(VLOOKUP($BC25,Programma!$F$3:$S$1107,14,0),"")</f>
        <v/>
      </c>
      <c r="BQ25" s="310" t="str">
        <f>_xlfn.IFNA(VLOOKUP($BC25,Programma!$F$3:$T$1107,15,0),"")</f>
        <v/>
      </c>
      <c r="BR25" s="310" t="str">
        <f>_xlfn.IFNA(VLOOKUP($BC25,Programma!$F$3:$U$1107,16,0),"")</f>
        <v/>
      </c>
      <c r="BS25" s="310" t="str">
        <f>_xlfn.IFNA(VLOOKUP($BC25,Programma!$F$3:$V$1107,17,0),"")</f>
        <v/>
      </c>
      <c r="BT25" s="310" t="str">
        <f>_xlfn.IFNA(VLOOKUP($BC25,Programma!$F$3:$W$1107,18,0),"")</f>
        <v/>
      </c>
      <c r="BU25" s="310" t="str">
        <f>_xlfn.IFNA(VLOOKUP($BC25,Programma!$F$3:$X$1107,19,0),"")</f>
        <v/>
      </c>
      <c r="BV25" s="310" t="str">
        <f>_xlfn.IFNA(VLOOKUP($BC25,Programma!$F$3:$Y$1107,20,0),"")</f>
        <v/>
      </c>
    </row>
    <row r="26" spans="1:74" ht="15" customHeight="1">
      <c r="A26" s="33">
        <v>1</v>
      </c>
      <c r="B26" s="173" t="s">
        <v>1619</v>
      </c>
      <c r="C26" s="173" t="str">
        <f>VLOOKUP(Ruimtestaat[[#This Row],[Code]],Locaties[[#All],[Code]:[Adres]],4,FALSE)</f>
        <v>Stationslaan 26</v>
      </c>
      <c r="D26" s="173" t="str">
        <f>VLOOKUP(Ruimtestaat[[#This Row],[Code]],Locaties[[#All],[Code]:[Postcode]],5,FALSE)</f>
        <v>3842 LA</v>
      </c>
      <c r="E26" s="173" t="str">
        <f>VLOOKUP(Ruimtestaat[[#This Row],[Code]],Locaties[#All],6,FALSE)</f>
        <v>Harderwijk</v>
      </c>
      <c r="F26" s="21" t="s">
        <v>1620</v>
      </c>
      <c r="G26" s="33" t="s">
        <v>1612</v>
      </c>
      <c r="H26" s="311" t="s">
        <v>1650</v>
      </c>
      <c r="I26" s="312" t="s">
        <v>1730</v>
      </c>
      <c r="J26" s="21">
        <v>5</v>
      </c>
      <c r="K26" s="69" t="str">
        <f>VLOOKUP(Ruimtestaat[[#This Row],[Ruimte code]],Ruimtegroepen[[#All],[Code]:[Ruimte omschrijving]],2,FALSE)</f>
        <v>Sanitair</v>
      </c>
      <c r="L26" s="33" t="s">
        <v>102</v>
      </c>
      <c r="M26" s="312" t="s">
        <v>1805</v>
      </c>
      <c r="N26" s="148">
        <v>15</v>
      </c>
      <c r="O26" s="150"/>
      <c r="P26" s="134" t="str">
        <f>VLOOKUP(Ruimtestaat[[#This Row],[Ruimte code]],Ruimtegroepen[],4,FALSE)</f>
        <v>Sa</v>
      </c>
      <c r="Q26" s="33">
        <v>40</v>
      </c>
      <c r="R26" s="33" t="s">
        <v>2</v>
      </c>
      <c r="S26" s="33">
        <f>IF(Q26&gt;0,IF(RIGHT(Ruimtestaat[[#This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 s="33">
        <f>IF(S26&gt;0,VLOOKUP($J26,Ruimtegroepen[],3,FALSE)*VLOOKUP($L26,Vloersoorten[],3,FALSE)*VLOOKUP($R26,Frequenties[],3,FALSE)*VLOOKUP($A26,Locaties[],3,FALSE),0)</f>
        <v>0</v>
      </c>
      <c r="U26" s="33">
        <f>Ruimtestaat[[#This Row],[Uitvoeringen werkdagen]]*Ruimtestaat[[#This Row],[Oppervlak (netto)]]</f>
        <v>3000</v>
      </c>
      <c r="V26" s="170">
        <f>IF(T26&gt;0,Ruimtestaat[[#This Row],[Prest. (m2 /jaar) werkdagen]]/Ruimtestaat[[#This Row],[Norm (m2/uur) werkdagen]],0)</f>
        <v>0</v>
      </c>
      <c r="W26" s="171">
        <f>Ruimtestaat[[#This Row],[uren / jaar werkdagen]]*Tariefsopbouw!$E$35</f>
        <v>0</v>
      </c>
      <c r="X26" s="33"/>
      <c r="Y26" s="33">
        <f>IF(Ruimtestaat[[#This Row],[Frequentie weekend]]&gt;0,VALUE(LEFT(X26,1))*Q26,0)</f>
        <v>0</v>
      </c>
      <c r="Z26" s="104">
        <f>IF($Y26&gt;0,VLOOKUP($J26,Ruimtegroepen[],3,FALSE)*VLOOKUP($L26,Vloersoorten[],3,FALSE)*VLOOKUP($X26,Frequenties[],3,FALSE)*VLOOKUP(Ruimtestaat[[#This Row],[Code]],Locaties[],3,FALSE),0)</f>
        <v>0</v>
      </c>
      <c r="AA26" s="104">
        <f>Ruimtestaat[[#This Row],[Uitvoeringen weekend]]*Ruimtestaat[[#This Row],[Oppervlak (netto)]]</f>
        <v>0</v>
      </c>
      <c r="AB26" s="104">
        <f>IF(Z26&gt;0,Ruimtestaat[[#This Row],[Prest. (m2 /jaar) weekend]]/Ruimtestaat[[#This Row],[Norm (m2/uur) weekend]],0)</f>
        <v>0</v>
      </c>
      <c r="AC26" s="171">
        <f>Ruimtestaat[[#This Row],[uren / jaar weekend]]*Tariefsopbouw!$D$40</f>
        <v>0</v>
      </c>
      <c r="AD26" s="170">
        <f>Ruimtestaat[[#This Row],[Prest. (m2 /jaar) weekend]]+Ruimtestaat[[#This Row],[Prest. (m2 /jaar) werkdagen]]</f>
        <v>3000</v>
      </c>
      <c r="AE26" s="170">
        <f>Ruimtestaat[[#This Row],[uren / jaar weekend]]+Ruimtestaat[[#This Row],[uren / jaar werkdagen]]</f>
        <v>0</v>
      </c>
      <c r="AF26" s="76">
        <f>Ruimtestaat[[#This Row],[kosten / jaar weekend]]+Ruimtestaat[[#This Row],[kosten / jaar werkdagen]]</f>
        <v>0</v>
      </c>
      <c r="AG26" s="76"/>
      <c r="AH26" s="272" t="str">
        <f>IF(Ruimtestaat[[#This Row],[Frequentie werkdagen]]="","",_xlfn.CONCAT(Ruimtestaat[[#This Row],[Ruimte code]],"-",Ruimtestaat[[#This Row],[Frequentie werkdagen]]," ",Ruimtestaat[[#This Row],[Vloer code]]))</f>
        <v>5-5w S</v>
      </c>
      <c r="AI26" s="310" t="str">
        <f>_xlfn.IFNA(VLOOKUP($AH26,Programma!$F$3:$G$1107,2,0),"")</f>
        <v>_</v>
      </c>
      <c r="AJ26" s="310" t="str">
        <f>_xlfn.IFNA(VLOOKUP($AH26,Programma!$F$3:$H$1107,3,0),"")</f>
        <v>_</v>
      </c>
      <c r="AK26" s="310" t="str">
        <f>_xlfn.IFNA(VLOOKUP($AH26,Programma!$F$3:$I$1107,4,0),"")</f>
        <v>_</v>
      </c>
      <c r="AL26" s="310" t="str">
        <f>_xlfn.IFNA(VLOOKUP($AH26,Programma!$F$3:$J$1107,5,0),"")</f>
        <v>4w</v>
      </c>
      <c r="AM26" s="310" t="str">
        <f>_xlfn.IFNA(VLOOKUP($AH26,Programma!$F$3:$K$1107,6,0),"")</f>
        <v>1w</v>
      </c>
      <c r="AN26" s="310" t="str">
        <f>_xlfn.IFNA(VLOOKUP($AH26,Programma!$F$3:$L$1107,7,0),"")</f>
        <v>_</v>
      </c>
      <c r="AO26" s="310" t="str">
        <f>_xlfn.IFNA(VLOOKUP($AH26,Programma!$F$3:$M$1107,8,0),"")</f>
        <v>_</v>
      </c>
      <c r="AP26" s="310" t="str">
        <f>_xlfn.IFNA(VLOOKUP($AH26,Programma!$F$3:$N$1107,9,0),"")</f>
        <v>_</v>
      </c>
      <c r="AQ26" s="310" t="str">
        <f>_xlfn.IFNA(VLOOKUP($AH26,Programma!$F$3:$O$1107,10,0),"")</f>
        <v>_</v>
      </c>
      <c r="AR26" s="310" t="str">
        <f>_xlfn.IFNA(VLOOKUP($AH26,Programma!$F$3:$P$1107,11,0),"")</f>
        <v>_</v>
      </c>
      <c r="AS26" s="310" t="str">
        <f>_xlfn.IFNA(VLOOKUP($AH26,Programma!$F$3:$Q$1107,12,0),"")</f>
        <v>_</v>
      </c>
      <c r="AT26" s="310" t="str">
        <f>_xlfn.IFNA(VLOOKUP($AH26,Programma!$F$3:$R$1107,13,0),"")</f>
        <v>_</v>
      </c>
      <c r="AU26" s="310" t="str">
        <f>_xlfn.IFNA(VLOOKUP($AH26,Programma!$F$3:$S$1107,14,0),"")</f>
        <v>_</v>
      </c>
      <c r="AV26" s="310" t="str">
        <f>_xlfn.IFNA(VLOOKUP($AH26,Programma!$F$3:$T$1107,15,0),"")</f>
        <v>_</v>
      </c>
      <c r="AW26" s="310" t="str">
        <f>_xlfn.IFNA(VLOOKUP($AH26,Programma!$F$3:$U$1107,16,0),"")</f>
        <v>_</v>
      </c>
      <c r="AX26" s="310" t="str">
        <f>_xlfn.IFNA(VLOOKUP($AH26,Programma!$F$3:$V$1107,17,0),"")</f>
        <v>_</v>
      </c>
      <c r="AY26" s="310" t="str">
        <f>_xlfn.IFNA(VLOOKUP($AH26,Programma!$F$3:$W$1107,18,0),"")</f>
        <v>4w</v>
      </c>
      <c r="AZ26" s="310" t="str">
        <f>_xlfn.IFNA(VLOOKUP($AH26,Programma!$F$3:$X$1107,19,0),"")</f>
        <v>1w</v>
      </c>
      <c r="BA26" s="310" t="str">
        <f>_xlfn.IFNA(VLOOKUP($AH26,Programma!$F$3:$Y$1107,20,0),"")</f>
        <v>_</v>
      </c>
      <c r="BB26" s="273"/>
      <c r="BC26" s="272" t="str">
        <f>IF(Ruimtestaat[[#This Row],[Frequentie weekend]]="","",_xlfn.CONCAT(Ruimtestaat[[#This Row],[Ruimte code]],"-",Ruimtestaat[[#This Row],[Frequentie weekend]]," ",Ruimtestaat[[#This Row],[Vloer code]]))</f>
        <v/>
      </c>
      <c r="BD26" s="310" t="str">
        <f>_xlfn.IFNA(VLOOKUP($BC26,Programma!$F$3:$G$1107,2,0),"")</f>
        <v/>
      </c>
      <c r="BE26" s="310" t="str">
        <f>_xlfn.IFNA(VLOOKUP($BC26,Programma!$F$3:$H$1107,3,0),"")</f>
        <v/>
      </c>
      <c r="BF26" s="310" t="str">
        <f>_xlfn.IFNA(VLOOKUP($BC26,Programma!$F$3:$I$1107,4,0),"")</f>
        <v/>
      </c>
      <c r="BG26" s="310" t="str">
        <f>_xlfn.IFNA(VLOOKUP($BC26,Programma!$F$3:$J$1107,5,0),"")</f>
        <v/>
      </c>
      <c r="BH26" s="310" t="str">
        <f>_xlfn.IFNA(VLOOKUP($BC26,Programma!$F$3:$K$1107,6,0),"")</f>
        <v/>
      </c>
      <c r="BI26" s="310" t="str">
        <f>_xlfn.IFNA(VLOOKUP($BC26,Programma!$F$3:$L$1107,7,0),"")</f>
        <v/>
      </c>
      <c r="BJ26" s="310" t="str">
        <f>_xlfn.IFNA(VLOOKUP($BC26,Programma!$F$3:$M$1107,8,0),"")</f>
        <v/>
      </c>
      <c r="BK26" s="310" t="str">
        <f>_xlfn.IFNA(VLOOKUP($BC26,Programma!$F$3:$N$1107,9,0),"")</f>
        <v/>
      </c>
      <c r="BL26" s="310" t="str">
        <f>_xlfn.IFNA(VLOOKUP($BC26,Programma!$F$3:$O$1107,10,0),"")</f>
        <v/>
      </c>
      <c r="BM26" s="310" t="str">
        <f>_xlfn.IFNA(VLOOKUP($BC26,Programma!$F$3:$P$1107,11,0),"")</f>
        <v/>
      </c>
      <c r="BN26" s="310" t="str">
        <f>_xlfn.IFNA(VLOOKUP($BC26,Programma!$F$3:$Q$1107,12,0),"")</f>
        <v/>
      </c>
      <c r="BO26" s="310" t="str">
        <f>_xlfn.IFNA(VLOOKUP($BC26,Programma!$F$3:$R$1107,13,0),"")</f>
        <v/>
      </c>
      <c r="BP26" s="310" t="str">
        <f>_xlfn.IFNA(VLOOKUP($BC26,Programma!$F$3:$S$1107,14,0),"")</f>
        <v/>
      </c>
      <c r="BQ26" s="310" t="str">
        <f>_xlfn.IFNA(VLOOKUP($BC26,Programma!$F$3:$T$1107,15,0),"")</f>
        <v/>
      </c>
      <c r="BR26" s="310" t="str">
        <f>_xlfn.IFNA(VLOOKUP($BC26,Programma!$F$3:$U$1107,16,0),"")</f>
        <v/>
      </c>
      <c r="BS26" s="310" t="str">
        <f>_xlfn.IFNA(VLOOKUP($BC26,Programma!$F$3:$V$1107,17,0),"")</f>
        <v/>
      </c>
      <c r="BT26" s="310" t="str">
        <f>_xlfn.IFNA(VLOOKUP($BC26,Programma!$F$3:$W$1107,18,0),"")</f>
        <v/>
      </c>
      <c r="BU26" s="310" t="str">
        <f>_xlfn.IFNA(VLOOKUP($BC26,Programma!$F$3:$X$1107,19,0),"")</f>
        <v/>
      </c>
      <c r="BV26" s="310" t="str">
        <f>_xlfn.IFNA(VLOOKUP($BC26,Programma!$F$3:$Y$1107,20,0),"")</f>
        <v/>
      </c>
    </row>
    <row r="27" spans="1:74" ht="15" customHeight="1">
      <c r="A27" s="33">
        <v>1</v>
      </c>
      <c r="B27" s="173" t="s">
        <v>1619</v>
      </c>
      <c r="C27" s="173" t="str">
        <f>VLOOKUP(Ruimtestaat[[#This Row],[Code]],Locaties[[#All],[Code]:[Adres]],4,FALSE)</f>
        <v>Stationslaan 26</v>
      </c>
      <c r="D27" s="173" t="str">
        <f>VLOOKUP(Ruimtestaat[[#This Row],[Code]],Locaties[[#All],[Code]:[Postcode]],5,FALSE)</f>
        <v>3842 LA</v>
      </c>
      <c r="E27" s="173" t="str">
        <f>VLOOKUP(Ruimtestaat[[#This Row],[Code]],Locaties[#All],6,FALSE)</f>
        <v>Harderwijk</v>
      </c>
      <c r="F27" s="21" t="s">
        <v>1621</v>
      </c>
      <c r="G27" s="33" t="s">
        <v>1613</v>
      </c>
      <c r="H27" s="311" t="s">
        <v>1651</v>
      </c>
      <c r="I27" s="312" t="s">
        <v>1615</v>
      </c>
      <c r="J27" s="21">
        <v>16</v>
      </c>
      <c r="K27" s="69" t="str">
        <f>VLOOKUP(Ruimtestaat[[#This Row],[Ruimte code]],Ruimtegroepen[[#All],[Code]:[Ruimte omschrijving]],2,FALSE)</f>
        <v>Leslokalen</v>
      </c>
      <c r="L27" s="33" t="s">
        <v>100</v>
      </c>
      <c r="M27" s="312" t="s">
        <v>1803</v>
      </c>
      <c r="N27" s="148">
        <v>63</v>
      </c>
      <c r="O27" s="33"/>
      <c r="P27" s="134" t="str">
        <f>VLOOKUP(Ruimtestaat[[#This Row],[Ruimte code]],Ruimtegroepen[],4,FALSE)</f>
        <v>Le</v>
      </c>
      <c r="Q27" s="33">
        <v>40</v>
      </c>
      <c r="R27" s="33" t="s">
        <v>2</v>
      </c>
      <c r="S27" s="33">
        <f>IF(Q27&gt;0,IF(RIGHT(Ruimtestaat[[#This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 s="33">
        <f>IF(S27&gt;0,VLOOKUP($J27,Ruimtegroepen[],3,FALSE)*VLOOKUP($L27,Vloersoorten[],3,FALSE)*VLOOKUP($R27,Frequenties[],3,FALSE)*VLOOKUP($A27,Locaties[],3,FALSE),0)</f>
        <v>0</v>
      </c>
      <c r="U27" s="33">
        <f>Ruimtestaat[[#This Row],[Uitvoeringen werkdagen]]*Ruimtestaat[[#This Row],[Oppervlak (netto)]]</f>
        <v>12600</v>
      </c>
      <c r="V27" s="170">
        <f>IF(T27&gt;0,Ruimtestaat[[#This Row],[Prest. (m2 /jaar) werkdagen]]/Ruimtestaat[[#This Row],[Norm (m2/uur) werkdagen]],0)</f>
        <v>0</v>
      </c>
      <c r="W27" s="171">
        <f>Ruimtestaat[[#This Row],[uren / jaar werkdagen]]*Tariefsopbouw!$E$35</f>
        <v>0</v>
      </c>
      <c r="X27" s="33"/>
      <c r="Y27" s="33">
        <f>IF(Ruimtestaat[[#This Row],[Frequentie weekend]]&gt;0,VALUE(LEFT(X27,1))*Q27,0)</f>
        <v>0</v>
      </c>
      <c r="Z27" s="104">
        <f>IF($Y27&gt;0,VLOOKUP($J27,Ruimtegroepen[],3,FALSE)*VLOOKUP($L27,Vloersoorten[],3,FALSE)*VLOOKUP($X27,Frequenties[],3,FALSE)*VLOOKUP(Ruimtestaat[[#This Row],[Code]],Locaties[],3,FALSE),0)</f>
        <v>0</v>
      </c>
      <c r="AA27" s="104">
        <f>Ruimtestaat[[#This Row],[Uitvoeringen weekend]]*Ruimtestaat[[#This Row],[Oppervlak (netto)]]</f>
        <v>0</v>
      </c>
      <c r="AB27" s="104">
        <f>IF(Z27&gt;0,Ruimtestaat[[#This Row],[Prest. (m2 /jaar) weekend]]/Ruimtestaat[[#This Row],[Norm (m2/uur) weekend]],0)</f>
        <v>0</v>
      </c>
      <c r="AC27" s="171">
        <f>Ruimtestaat[[#This Row],[uren / jaar weekend]]*Tariefsopbouw!$D$40</f>
        <v>0</v>
      </c>
      <c r="AD27" s="170">
        <f>Ruimtestaat[[#This Row],[Prest. (m2 /jaar) weekend]]+Ruimtestaat[[#This Row],[Prest. (m2 /jaar) werkdagen]]</f>
        <v>12600</v>
      </c>
      <c r="AE27" s="170">
        <f>Ruimtestaat[[#This Row],[uren / jaar weekend]]+Ruimtestaat[[#This Row],[uren / jaar werkdagen]]</f>
        <v>0</v>
      </c>
      <c r="AF27" s="76">
        <f>Ruimtestaat[[#This Row],[kosten / jaar weekend]]+Ruimtestaat[[#This Row],[kosten / jaar werkdagen]]</f>
        <v>0</v>
      </c>
      <c r="AG27" s="76"/>
      <c r="AH27" s="272" t="str">
        <f>IF(Ruimtestaat[[#This Row],[Frequentie werkdagen]]="","",_xlfn.CONCAT(Ruimtestaat[[#This Row],[Ruimte code]],"-",Ruimtestaat[[#This Row],[Frequentie werkdagen]]," ",Ruimtestaat[[#This Row],[Vloer code]]))</f>
        <v>16-5w T</v>
      </c>
      <c r="AI27" s="310" t="str">
        <f>_xlfn.IFNA(VLOOKUP($AH27,Programma!$F$3:$G$1107,2,0),"")</f>
        <v>3w</v>
      </c>
      <c r="AJ27" s="310" t="str">
        <f>_xlfn.IFNA(VLOOKUP($AH27,Programma!$F$3:$H$1107,3,0),"")</f>
        <v>2w</v>
      </c>
      <c r="AK27" s="310" t="str">
        <f>_xlfn.IFNA(VLOOKUP($AH27,Programma!$F$3:$I$1107,4,0),"")</f>
        <v>_</v>
      </c>
      <c r="AL27" s="310" t="str">
        <f>_xlfn.IFNA(VLOOKUP($AH27,Programma!$F$3:$J$1107,5,0),"")</f>
        <v>_</v>
      </c>
      <c r="AM27" s="310" t="str">
        <f>_xlfn.IFNA(VLOOKUP($AH27,Programma!$F$3:$K$1107,6,0),"")</f>
        <v>_</v>
      </c>
      <c r="AN27" s="310" t="str">
        <f>_xlfn.IFNA(VLOOKUP($AH27,Programma!$F$3:$L$1107,7,0),"")</f>
        <v>_</v>
      </c>
      <c r="AO27" s="310" t="str">
        <f>_xlfn.IFNA(VLOOKUP($AH27,Programma!$F$3:$M$1107,8,0),"")</f>
        <v>_</v>
      </c>
      <c r="AP27" s="310" t="str">
        <f>_xlfn.IFNA(VLOOKUP($AH27,Programma!$F$3:$N$1107,9,0),"")</f>
        <v>_</v>
      </c>
      <c r="AQ27" s="310" t="str">
        <f>_xlfn.IFNA(VLOOKUP($AH27,Programma!$F$3:$O$1107,10,0),"")</f>
        <v>5w</v>
      </c>
      <c r="AR27" s="310" t="str">
        <f>_xlfn.IFNA(VLOOKUP($AH27,Programma!$F$3:$P$1107,11,0),"")</f>
        <v>5w</v>
      </c>
      <c r="AS27" s="310" t="str">
        <f>_xlfn.IFNA(VLOOKUP($AH27,Programma!$F$3:$Q$1107,12,0),"")</f>
        <v>1w</v>
      </c>
      <c r="AT27" s="310" t="str">
        <f>_xlfn.IFNA(VLOOKUP($AH27,Programma!$F$3:$R$1107,13,0),"")</f>
        <v>1w</v>
      </c>
      <c r="AU27" s="310" t="str">
        <f>_xlfn.IFNA(VLOOKUP($AH27,Programma!$F$3:$S$1107,14,0),"")</f>
        <v>1m</v>
      </c>
      <c r="AV27" s="310" t="str">
        <f>_xlfn.IFNA(VLOOKUP($AH27,Programma!$F$3:$T$1107,15,0),"")</f>
        <v>2j</v>
      </c>
      <c r="AW27" s="310" t="str">
        <f>_xlfn.IFNA(VLOOKUP($AH27,Programma!$F$3:$U$1107,16,0),"")</f>
        <v>1j</v>
      </c>
      <c r="AX27" s="310" t="str">
        <f>_xlfn.IFNA(VLOOKUP($AH27,Programma!$F$3:$V$1107,17,0),"")</f>
        <v>_</v>
      </c>
      <c r="AY27" s="310" t="str">
        <f>_xlfn.IFNA(VLOOKUP($AH27,Programma!$F$3:$W$1107,18,0),"")</f>
        <v>_</v>
      </c>
      <c r="AZ27" s="310" t="str">
        <f>_xlfn.IFNA(VLOOKUP($AH27,Programma!$F$3:$X$1107,19,0),"")</f>
        <v>_</v>
      </c>
      <c r="BA27" s="310" t="str">
        <f>_xlfn.IFNA(VLOOKUP($AH27,Programma!$F$3:$Y$1107,20,0),"")</f>
        <v>_</v>
      </c>
      <c r="BB27" s="273"/>
      <c r="BC27" s="272" t="str">
        <f>IF(Ruimtestaat[[#This Row],[Frequentie weekend]]="","",_xlfn.CONCAT(Ruimtestaat[[#This Row],[Ruimte code]],"-",Ruimtestaat[[#This Row],[Frequentie weekend]]," ",Ruimtestaat[[#This Row],[Vloer code]]))</f>
        <v/>
      </c>
      <c r="BD27" s="310" t="str">
        <f>_xlfn.IFNA(VLOOKUP($BC27,Programma!$F$3:$G$1107,2,0),"")</f>
        <v/>
      </c>
      <c r="BE27" s="310" t="str">
        <f>_xlfn.IFNA(VLOOKUP($BC27,Programma!$F$3:$H$1107,3,0),"")</f>
        <v/>
      </c>
      <c r="BF27" s="310" t="str">
        <f>_xlfn.IFNA(VLOOKUP($BC27,Programma!$F$3:$I$1107,4,0),"")</f>
        <v/>
      </c>
      <c r="BG27" s="310" t="str">
        <f>_xlfn.IFNA(VLOOKUP($BC27,Programma!$F$3:$J$1107,5,0),"")</f>
        <v/>
      </c>
      <c r="BH27" s="310" t="str">
        <f>_xlfn.IFNA(VLOOKUP($BC27,Programma!$F$3:$K$1107,6,0),"")</f>
        <v/>
      </c>
      <c r="BI27" s="310" t="str">
        <f>_xlfn.IFNA(VLOOKUP($BC27,Programma!$F$3:$L$1107,7,0),"")</f>
        <v/>
      </c>
      <c r="BJ27" s="310" t="str">
        <f>_xlfn.IFNA(VLOOKUP($BC27,Programma!$F$3:$M$1107,8,0),"")</f>
        <v/>
      </c>
      <c r="BK27" s="310" t="str">
        <f>_xlfn.IFNA(VLOOKUP($BC27,Programma!$F$3:$N$1107,9,0),"")</f>
        <v/>
      </c>
      <c r="BL27" s="310" t="str">
        <f>_xlfn.IFNA(VLOOKUP($BC27,Programma!$F$3:$O$1107,10,0),"")</f>
        <v/>
      </c>
      <c r="BM27" s="310" t="str">
        <f>_xlfn.IFNA(VLOOKUP($BC27,Programma!$F$3:$P$1107,11,0),"")</f>
        <v/>
      </c>
      <c r="BN27" s="310" t="str">
        <f>_xlfn.IFNA(VLOOKUP($BC27,Programma!$F$3:$Q$1107,12,0),"")</f>
        <v/>
      </c>
      <c r="BO27" s="310" t="str">
        <f>_xlfn.IFNA(VLOOKUP($BC27,Programma!$F$3:$R$1107,13,0),"")</f>
        <v/>
      </c>
      <c r="BP27" s="310" t="str">
        <f>_xlfn.IFNA(VLOOKUP($BC27,Programma!$F$3:$S$1107,14,0),"")</f>
        <v/>
      </c>
      <c r="BQ27" s="310" t="str">
        <f>_xlfn.IFNA(VLOOKUP($BC27,Programma!$F$3:$T$1107,15,0),"")</f>
        <v/>
      </c>
      <c r="BR27" s="310" t="str">
        <f>_xlfn.IFNA(VLOOKUP($BC27,Programma!$F$3:$U$1107,16,0),"")</f>
        <v/>
      </c>
      <c r="BS27" s="310" t="str">
        <f>_xlfn.IFNA(VLOOKUP($BC27,Programma!$F$3:$V$1107,17,0),"")</f>
        <v/>
      </c>
      <c r="BT27" s="310" t="str">
        <f>_xlfn.IFNA(VLOOKUP($BC27,Programma!$F$3:$W$1107,18,0),"")</f>
        <v/>
      </c>
      <c r="BU27" s="310" t="str">
        <f>_xlfn.IFNA(VLOOKUP($BC27,Programma!$F$3:$X$1107,19,0),"")</f>
        <v/>
      </c>
      <c r="BV27" s="310" t="str">
        <f>_xlfn.IFNA(VLOOKUP($BC27,Programma!$F$3:$Y$1107,20,0),"")</f>
        <v/>
      </c>
    </row>
    <row r="28" spans="1:74" ht="15" customHeight="1">
      <c r="A28" s="33">
        <v>1</v>
      </c>
      <c r="B28" s="173" t="s">
        <v>1619</v>
      </c>
      <c r="C28" s="173" t="str">
        <f>VLOOKUP(Ruimtestaat[[#This Row],[Code]],Locaties[[#All],[Code]:[Adres]],4,FALSE)</f>
        <v>Stationslaan 26</v>
      </c>
      <c r="D28" s="173" t="str">
        <f>VLOOKUP(Ruimtestaat[[#This Row],[Code]],Locaties[[#All],[Code]:[Postcode]],5,FALSE)</f>
        <v>3842 LA</v>
      </c>
      <c r="E28" s="173" t="str">
        <f>VLOOKUP(Ruimtestaat[[#This Row],[Code]],Locaties[#All],6,FALSE)</f>
        <v>Harderwijk</v>
      </c>
      <c r="F28" s="21" t="s">
        <v>1621</v>
      </c>
      <c r="G28" s="33" t="s">
        <v>1613</v>
      </c>
      <c r="H28" s="311" t="s">
        <v>1652</v>
      </c>
      <c r="I28" s="312" t="s">
        <v>1615</v>
      </c>
      <c r="J28" s="21">
        <v>16</v>
      </c>
      <c r="K28" s="69" t="str">
        <f>VLOOKUP(Ruimtestaat[[#This Row],[Ruimte code]],Ruimtegroepen[[#All],[Code]:[Ruimte omschrijving]],2,FALSE)</f>
        <v>Leslokalen</v>
      </c>
      <c r="L28" s="33" t="s">
        <v>101</v>
      </c>
      <c r="M28" s="312" t="s">
        <v>1804</v>
      </c>
      <c r="N28" s="148">
        <v>63</v>
      </c>
      <c r="O28" s="150"/>
      <c r="P28" s="134" t="str">
        <f>VLOOKUP(Ruimtestaat[[#This Row],[Ruimte code]],Ruimtegroepen[],4,FALSE)</f>
        <v>Le</v>
      </c>
      <c r="Q28" s="33">
        <v>40</v>
      </c>
      <c r="R28" s="33" t="s">
        <v>2</v>
      </c>
      <c r="S28" s="33">
        <f>IF(Q28&gt;0,IF(RIGHT(Ruimtestaat[[#This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 s="33">
        <f>IF(S28&gt;0,VLOOKUP($J28,Ruimtegroepen[],3,FALSE)*VLOOKUP($L28,Vloersoorten[],3,FALSE)*VLOOKUP($R28,Frequenties[],3,FALSE)*VLOOKUP($A28,Locaties[],3,FALSE),0)</f>
        <v>0</v>
      </c>
      <c r="U28" s="33">
        <f>Ruimtestaat[[#This Row],[Uitvoeringen werkdagen]]*Ruimtestaat[[#This Row],[Oppervlak (netto)]]</f>
        <v>12600</v>
      </c>
      <c r="V28" s="170">
        <f>IF(T28&gt;0,Ruimtestaat[[#This Row],[Prest. (m2 /jaar) werkdagen]]/Ruimtestaat[[#This Row],[Norm (m2/uur) werkdagen]],0)</f>
        <v>0</v>
      </c>
      <c r="W28" s="171">
        <f>Ruimtestaat[[#This Row],[uren / jaar werkdagen]]*Tariefsopbouw!$E$35</f>
        <v>0</v>
      </c>
      <c r="X28" s="33"/>
      <c r="Y28" s="33">
        <f>IF(Ruimtestaat[[#This Row],[Frequentie weekend]]&gt;0,VALUE(LEFT(X28,1))*Q28,0)</f>
        <v>0</v>
      </c>
      <c r="Z28" s="104">
        <f>IF($Y28&gt;0,VLOOKUP($J28,Ruimtegroepen[],3,FALSE)*VLOOKUP($L28,Vloersoorten[],3,FALSE)*VLOOKUP($X28,Frequenties[],3,FALSE)*VLOOKUP(Ruimtestaat[[#This Row],[Code]],Locaties[],3,FALSE),0)</f>
        <v>0</v>
      </c>
      <c r="AA28" s="104">
        <f>Ruimtestaat[[#This Row],[Uitvoeringen weekend]]*Ruimtestaat[[#This Row],[Oppervlak (netto)]]</f>
        <v>0</v>
      </c>
      <c r="AB28" s="104">
        <f>IF(Z28&gt;0,Ruimtestaat[[#This Row],[Prest. (m2 /jaar) weekend]]/Ruimtestaat[[#This Row],[Norm (m2/uur) weekend]],0)</f>
        <v>0</v>
      </c>
      <c r="AC28" s="171">
        <f>Ruimtestaat[[#This Row],[uren / jaar weekend]]*Tariefsopbouw!$D$40</f>
        <v>0</v>
      </c>
      <c r="AD28" s="170">
        <f>Ruimtestaat[[#This Row],[Prest. (m2 /jaar) weekend]]+Ruimtestaat[[#This Row],[Prest. (m2 /jaar) werkdagen]]</f>
        <v>12600</v>
      </c>
      <c r="AE28" s="170">
        <f>Ruimtestaat[[#This Row],[uren / jaar weekend]]+Ruimtestaat[[#This Row],[uren / jaar werkdagen]]</f>
        <v>0</v>
      </c>
      <c r="AF28" s="76">
        <f>Ruimtestaat[[#This Row],[kosten / jaar weekend]]+Ruimtestaat[[#This Row],[kosten / jaar werkdagen]]</f>
        <v>0</v>
      </c>
      <c r="AG28" s="76"/>
      <c r="AH28" s="272" t="str">
        <f>IF(Ruimtestaat[[#This Row],[Frequentie werkdagen]]="","",_xlfn.CONCAT(Ruimtestaat[[#This Row],[Ruimte code]],"-",Ruimtestaat[[#This Row],[Frequentie werkdagen]]," ",Ruimtestaat[[#This Row],[Vloer code]]))</f>
        <v>16-5w L</v>
      </c>
      <c r="AI28" s="310" t="str">
        <f>_xlfn.IFNA(VLOOKUP($AH28,Programma!$F$3:$G$1107,2,0),"")</f>
        <v>_</v>
      </c>
      <c r="AJ28" s="310" t="str">
        <f>_xlfn.IFNA(VLOOKUP($AH28,Programma!$F$3:$H$1107,3,0),"")</f>
        <v>_</v>
      </c>
      <c r="AK28" s="310" t="str">
        <f>_xlfn.IFNA(VLOOKUP($AH28,Programma!$F$3:$I$1107,4,0),"")</f>
        <v>4w</v>
      </c>
      <c r="AL28" s="310" t="str">
        <f>_xlfn.IFNA(VLOOKUP($AH28,Programma!$F$3:$J$1107,5,0),"")</f>
        <v>1w</v>
      </c>
      <c r="AM28" s="310" t="str">
        <f>_xlfn.IFNA(VLOOKUP($AH28,Programma!$F$3:$K$1107,6,0),"")</f>
        <v>_</v>
      </c>
      <c r="AN28" s="310" t="str">
        <f>_xlfn.IFNA(VLOOKUP($AH28,Programma!$F$3:$L$1107,7,0),"")</f>
        <v>_</v>
      </c>
      <c r="AO28" s="310" t="str">
        <f>_xlfn.IFNA(VLOOKUP($AH28,Programma!$F$3:$M$1107,8,0),"")</f>
        <v>_</v>
      </c>
      <c r="AP28" s="310" t="str">
        <f>_xlfn.IFNA(VLOOKUP($AH28,Programma!$F$3:$N$1107,9,0),"")</f>
        <v>_</v>
      </c>
      <c r="AQ28" s="310" t="str">
        <f>_xlfn.IFNA(VLOOKUP($AH28,Programma!$F$3:$O$1107,10,0),"")</f>
        <v>5w</v>
      </c>
      <c r="AR28" s="310" t="str">
        <f>_xlfn.IFNA(VLOOKUP($AH28,Programma!$F$3:$P$1107,11,0),"")</f>
        <v>5w</v>
      </c>
      <c r="AS28" s="310" t="str">
        <f>_xlfn.IFNA(VLOOKUP($AH28,Programma!$F$3:$Q$1107,12,0),"")</f>
        <v>1w</v>
      </c>
      <c r="AT28" s="310" t="str">
        <f>_xlfn.IFNA(VLOOKUP($AH28,Programma!$F$3:$R$1107,13,0),"")</f>
        <v>1w</v>
      </c>
      <c r="AU28" s="310" t="str">
        <f>_xlfn.IFNA(VLOOKUP($AH28,Programma!$F$3:$S$1107,14,0),"")</f>
        <v>1m</v>
      </c>
      <c r="AV28" s="310" t="str">
        <f>_xlfn.IFNA(VLOOKUP($AH28,Programma!$F$3:$T$1107,15,0),"")</f>
        <v>2j</v>
      </c>
      <c r="AW28" s="310" t="str">
        <f>_xlfn.IFNA(VLOOKUP($AH28,Programma!$F$3:$U$1107,16,0),"")</f>
        <v>1j</v>
      </c>
      <c r="AX28" s="310" t="str">
        <f>_xlfn.IFNA(VLOOKUP($AH28,Programma!$F$3:$V$1107,17,0),"")</f>
        <v>_</v>
      </c>
      <c r="AY28" s="310" t="str">
        <f>_xlfn.IFNA(VLOOKUP($AH28,Programma!$F$3:$W$1107,18,0),"")</f>
        <v>_</v>
      </c>
      <c r="AZ28" s="310" t="str">
        <f>_xlfn.IFNA(VLOOKUP($AH28,Programma!$F$3:$X$1107,19,0),"")</f>
        <v>_</v>
      </c>
      <c r="BA28" s="310" t="str">
        <f>_xlfn.IFNA(VLOOKUP($AH28,Programma!$F$3:$Y$1107,20,0),"")</f>
        <v>_</v>
      </c>
      <c r="BB28" s="273"/>
      <c r="BC28" s="272" t="str">
        <f>IF(Ruimtestaat[[#This Row],[Frequentie weekend]]="","",_xlfn.CONCAT(Ruimtestaat[[#This Row],[Ruimte code]],"-",Ruimtestaat[[#This Row],[Frequentie weekend]]," ",Ruimtestaat[[#This Row],[Vloer code]]))</f>
        <v/>
      </c>
      <c r="BD28" s="310" t="str">
        <f>_xlfn.IFNA(VLOOKUP($BC28,Programma!$F$3:$G$1107,2,0),"")</f>
        <v/>
      </c>
      <c r="BE28" s="310" t="str">
        <f>_xlfn.IFNA(VLOOKUP($BC28,Programma!$F$3:$H$1107,3,0),"")</f>
        <v/>
      </c>
      <c r="BF28" s="310" t="str">
        <f>_xlfn.IFNA(VLOOKUP($BC28,Programma!$F$3:$I$1107,4,0),"")</f>
        <v/>
      </c>
      <c r="BG28" s="310" t="str">
        <f>_xlfn.IFNA(VLOOKUP($BC28,Programma!$F$3:$J$1107,5,0),"")</f>
        <v/>
      </c>
      <c r="BH28" s="310" t="str">
        <f>_xlfn.IFNA(VLOOKUP($BC28,Programma!$F$3:$K$1107,6,0),"")</f>
        <v/>
      </c>
      <c r="BI28" s="310" t="str">
        <f>_xlfn.IFNA(VLOOKUP($BC28,Programma!$F$3:$L$1107,7,0),"")</f>
        <v/>
      </c>
      <c r="BJ28" s="310" t="str">
        <f>_xlfn.IFNA(VLOOKUP($BC28,Programma!$F$3:$M$1107,8,0),"")</f>
        <v/>
      </c>
      <c r="BK28" s="310" t="str">
        <f>_xlfn.IFNA(VLOOKUP($BC28,Programma!$F$3:$N$1107,9,0),"")</f>
        <v/>
      </c>
      <c r="BL28" s="310" t="str">
        <f>_xlfn.IFNA(VLOOKUP($BC28,Programma!$F$3:$O$1107,10,0),"")</f>
        <v/>
      </c>
      <c r="BM28" s="310" t="str">
        <f>_xlfn.IFNA(VLOOKUP($BC28,Programma!$F$3:$P$1107,11,0),"")</f>
        <v/>
      </c>
      <c r="BN28" s="310" t="str">
        <f>_xlfn.IFNA(VLOOKUP($BC28,Programma!$F$3:$Q$1107,12,0),"")</f>
        <v/>
      </c>
      <c r="BO28" s="310" t="str">
        <f>_xlfn.IFNA(VLOOKUP($BC28,Programma!$F$3:$R$1107,13,0),"")</f>
        <v/>
      </c>
      <c r="BP28" s="310" t="str">
        <f>_xlfn.IFNA(VLOOKUP($BC28,Programma!$F$3:$S$1107,14,0),"")</f>
        <v/>
      </c>
      <c r="BQ28" s="310" t="str">
        <f>_xlfn.IFNA(VLOOKUP($BC28,Programma!$F$3:$T$1107,15,0),"")</f>
        <v/>
      </c>
      <c r="BR28" s="310" t="str">
        <f>_xlfn.IFNA(VLOOKUP($BC28,Programma!$F$3:$U$1107,16,0),"")</f>
        <v/>
      </c>
      <c r="BS28" s="310" t="str">
        <f>_xlfn.IFNA(VLOOKUP($BC28,Programma!$F$3:$V$1107,17,0),"")</f>
        <v/>
      </c>
      <c r="BT28" s="310" t="str">
        <f>_xlfn.IFNA(VLOOKUP($BC28,Programma!$F$3:$W$1107,18,0),"")</f>
        <v/>
      </c>
      <c r="BU28" s="310" t="str">
        <f>_xlfn.IFNA(VLOOKUP($BC28,Programma!$F$3:$X$1107,19,0),"")</f>
        <v/>
      </c>
      <c r="BV28" s="310" t="str">
        <f>_xlfn.IFNA(VLOOKUP($BC28,Programma!$F$3:$Y$1107,20,0),"")</f>
        <v/>
      </c>
    </row>
    <row r="29" spans="1:74" ht="15" customHeight="1">
      <c r="A29" s="33">
        <v>1</v>
      </c>
      <c r="B29" s="173" t="s">
        <v>1619</v>
      </c>
      <c r="C29" s="173" t="str">
        <f>VLOOKUP(Ruimtestaat[[#This Row],[Code]],Locaties[[#All],[Code]:[Adres]],4,FALSE)</f>
        <v>Stationslaan 26</v>
      </c>
      <c r="D29" s="173" t="str">
        <f>VLOOKUP(Ruimtestaat[[#This Row],[Code]],Locaties[[#All],[Code]:[Postcode]],5,FALSE)</f>
        <v>3842 LA</v>
      </c>
      <c r="E29" s="173" t="str">
        <f>VLOOKUP(Ruimtestaat[[#This Row],[Code]],Locaties[#All],6,FALSE)</f>
        <v>Harderwijk</v>
      </c>
      <c r="F29" s="21" t="s">
        <v>1621</v>
      </c>
      <c r="G29" s="33" t="s">
        <v>1613</v>
      </c>
      <c r="H29" s="311" t="s">
        <v>1653</v>
      </c>
      <c r="I29" s="312" t="s">
        <v>1615</v>
      </c>
      <c r="J29" s="21">
        <v>16</v>
      </c>
      <c r="K29" s="69" t="str">
        <f>VLOOKUP(Ruimtestaat[[#This Row],[Ruimte code]],Ruimtegroepen[[#All],[Code]:[Ruimte omschrijving]],2,FALSE)</f>
        <v>Leslokalen</v>
      </c>
      <c r="L29" s="33" t="s">
        <v>101</v>
      </c>
      <c r="M29" s="312" t="s">
        <v>1804</v>
      </c>
      <c r="N29" s="148">
        <v>40</v>
      </c>
      <c r="O29" s="150"/>
      <c r="P29" s="134" t="str">
        <f>VLOOKUP(Ruimtestaat[[#This Row],[Ruimte code]],Ruimtegroepen[],4,FALSE)</f>
        <v>Le</v>
      </c>
      <c r="Q29" s="33">
        <v>40</v>
      </c>
      <c r="R29" s="33" t="s">
        <v>2</v>
      </c>
      <c r="S29" s="33">
        <f>IF(Q29&gt;0,IF(RIGHT(Ruimtestaat[[#This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 s="33">
        <f>IF(S29&gt;0,VLOOKUP($J29,Ruimtegroepen[],3,FALSE)*VLOOKUP($L29,Vloersoorten[],3,FALSE)*VLOOKUP($R29,Frequenties[],3,FALSE)*VLOOKUP($A29,Locaties[],3,FALSE),0)</f>
        <v>0</v>
      </c>
      <c r="U29" s="33">
        <f>Ruimtestaat[[#This Row],[Uitvoeringen werkdagen]]*Ruimtestaat[[#This Row],[Oppervlak (netto)]]</f>
        <v>8000</v>
      </c>
      <c r="V29" s="170">
        <f>IF(T29&gt;0,Ruimtestaat[[#This Row],[Prest. (m2 /jaar) werkdagen]]/Ruimtestaat[[#This Row],[Norm (m2/uur) werkdagen]],0)</f>
        <v>0</v>
      </c>
      <c r="W29" s="171">
        <f>Ruimtestaat[[#This Row],[uren / jaar werkdagen]]*Tariefsopbouw!$E$35</f>
        <v>0</v>
      </c>
      <c r="X29" s="33"/>
      <c r="Y29" s="33">
        <f>IF(Ruimtestaat[[#This Row],[Frequentie weekend]]&gt;0,VALUE(LEFT(X29,1))*Q29,0)</f>
        <v>0</v>
      </c>
      <c r="Z29" s="104">
        <f>IF($Y29&gt;0,VLOOKUP($J29,Ruimtegroepen[],3,FALSE)*VLOOKUP($L29,Vloersoorten[],3,FALSE)*VLOOKUP($X29,Frequenties[],3,FALSE)*VLOOKUP(Ruimtestaat[[#This Row],[Code]],Locaties[],3,FALSE),0)</f>
        <v>0</v>
      </c>
      <c r="AA29" s="104">
        <f>Ruimtestaat[[#This Row],[Uitvoeringen weekend]]*Ruimtestaat[[#This Row],[Oppervlak (netto)]]</f>
        <v>0</v>
      </c>
      <c r="AB29" s="104">
        <f>IF(Z29&gt;0,Ruimtestaat[[#This Row],[Prest. (m2 /jaar) weekend]]/Ruimtestaat[[#This Row],[Norm (m2/uur) weekend]],0)</f>
        <v>0</v>
      </c>
      <c r="AC29" s="171">
        <f>Ruimtestaat[[#This Row],[uren / jaar weekend]]*Tariefsopbouw!$D$40</f>
        <v>0</v>
      </c>
      <c r="AD29" s="170">
        <f>Ruimtestaat[[#This Row],[Prest. (m2 /jaar) weekend]]+Ruimtestaat[[#This Row],[Prest. (m2 /jaar) werkdagen]]</f>
        <v>8000</v>
      </c>
      <c r="AE29" s="170">
        <f>Ruimtestaat[[#This Row],[uren / jaar weekend]]+Ruimtestaat[[#This Row],[uren / jaar werkdagen]]</f>
        <v>0</v>
      </c>
      <c r="AF29" s="76">
        <f>Ruimtestaat[[#This Row],[kosten / jaar weekend]]+Ruimtestaat[[#This Row],[kosten / jaar werkdagen]]</f>
        <v>0</v>
      </c>
      <c r="AG29" s="76"/>
      <c r="AH29" s="272" t="str">
        <f>IF(Ruimtestaat[[#This Row],[Frequentie werkdagen]]="","",_xlfn.CONCAT(Ruimtestaat[[#This Row],[Ruimte code]],"-",Ruimtestaat[[#This Row],[Frequentie werkdagen]]," ",Ruimtestaat[[#This Row],[Vloer code]]))</f>
        <v>16-5w L</v>
      </c>
      <c r="AI29" s="310" t="str">
        <f>_xlfn.IFNA(VLOOKUP($AH29,Programma!$F$3:$G$1107,2,0),"")</f>
        <v>_</v>
      </c>
      <c r="AJ29" s="310" t="str">
        <f>_xlfn.IFNA(VLOOKUP($AH29,Programma!$F$3:$H$1107,3,0),"")</f>
        <v>_</v>
      </c>
      <c r="AK29" s="310" t="str">
        <f>_xlfn.IFNA(VLOOKUP($AH29,Programma!$F$3:$I$1107,4,0),"")</f>
        <v>4w</v>
      </c>
      <c r="AL29" s="310" t="str">
        <f>_xlfn.IFNA(VLOOKUP($AH29,Programma!$F$3:$J$1107,5,0),"")</f>
        <v>1w</v>
      </c>
      <c r="AM29" s="310" t="str">
        <f>_xlfn.IFNA(VLOOKUP($AH29,Programma!$F$3:$K$1107,6,0),"")</f>
        <v>_</v>
      </c>
      <c r="AN29" s="310" t="str">
        <f>_xlfn.IFNA(VLOOKUP($AH29,Programma!$F$3:$L$1107,7,0),"")</f>
        <v>_</v>
      </c>
      <c r="AO29" s="310" t="str">
        <f>_xlfn.IFNA(VLOOKUP($AH29,Programma!$F$3:$M$1107,8,0),"")</f>
        <v>_</v>
      </c>
      <c r="AP29" s="310" t="str">
        <f>_xlfn.IFNA(VLOOKUP($AH29,Programma!$F$3:$N$1107,9,0),"")</f>
        <v>_</v>
      </c>
      <c r="AQ29" s="310" t="str">
        <f>_xlfn.IFNA(VLOOKUP($AH29,Programma!$F$3:$O$1107,10,0),"")</f>
        <v>5w</v>
      </c>
      <c r="AR29" s="310" t="str">
        <f>_xlfn.IFNA(VLOOKUP($AH29,Programma!$F$3:$P$1107,11,0),"")</f>
        <v>5w</v>
      </c>
      <c r="AS29" s="310" t="str">
        <f>_xlfn.IFNA(VLOOKUP($AH29,Programma!$F$3:$Q$1107,12,0),"")</f>
        <v>1w</v>
      </c>
      <c r="AT29" s="310" t="str">
        <f>_xlfn.IFNA(VLOOKUP($AH29,Programma!$F$3:$R$1107,13,0),"")</f>
        <v>1w</v>
      </c>
      <c r="AU29" s="310" t="str">
        <f>_xlfn.IFNA(VLOOKUP($AH29,Programma!$F$3:$S$1107,14,0),"")</f>
        <v>1m</v>
      </c>
      <c r="AV29" s="310" t="str">
        <f>_xlfn.IFNA(VLOOKUP($AH29,Programma!$F$3:$T$1107,15,0),"")</f>
        <v>2j</v>
      </c>
      <c r="AW29" s="310" t="str">
        <f>_xlfn.IFNA(VLOOKUP($AH29,Programma!$F$3:$U$1107,16,0),"")</f>
        <v>1j</v>
      </c>
      <c r="AX29" s="310" t="str">
        <f>_xlfn.IFNA(VLOOKUP($AH29,Programma!$F$3:$V$1107,17,0),"")</f>
        <v>_</v>
      </c>
      <c r="AY29" s="310" t="str">
        <f>_xlfn.IFNA(VLOOKUP($AH29,Programma!$F$3:$W$1107,18,0),"")</f>
        <v>_</v>
      </c>
      <c r="AZ29" s="310" t="str">
        <f>_xlfn.IFNA(VLOOKUP($AH29,Programma!$F$3:$X$1107,19,0),"")</f>
        <v>_</v>
      </c>
      <c r="BA29" s="310" t="str">
        <f>_xlfn.IFNA(VLOOKUP($AH29,Programma!$F$3:$Y$1107,20,0),"")</f>
        <v>_</v>
      </c>
      <c r="BB29" s="273"/>
      <c r="BC29" s="272" t="str">
        <f>IF(Ruimtestaat[[#This Row],[Frequentie weekend]]="","",_xlfn.CONCAT(Ruimtestaat[[#This Row],[Ruimte code]],"-",Ruimtestaat[[#This Row],[Frequentie weekend]]," ",Ruimtestaat[[#This Row],[Vloer code]]))</f>
        <v/>
      </c>
      <c r="BD29" s="310" t="str">
        <f>_xlfn.IFNA(VLOOKUP($BC29,Programma!$F$3:$G$1107,2,0),"")</f>
        <v/>
      </c>
      <c r="BE29" s="310" t="str">
        <f>_xlfn.IFNA(VLOOKUP($BC29,Programma!$F$3:$H$1107,3,0),"")</f>
        <v/>
      </c>
      <c r="BF29" s="310" t="str">
        <f>_xlfn.IFNA(VLOOKUP($BC29,Programma!$F$3:$I$1107,4,0),"")</f>
        <v/>
      </c>
      <c r="BG29" s="310" t="str">
        <f>_xlfn.IFNA(VLOOKUP($BC29,Programma!$F$3:$J$1107,5,0),"")</f>
        <v/>
      </c>
      <c r="BH29" s="310" t="str">
        <f>_xlfn.IFNA(VLOOKUP($BC29,Programma!$F$3:$K$1107,6,0),"")</f>
        <v/>
      </c>
      <c r="BI29" s="310" t="str">
        <f>_xlfn.IFNA(VLOOKUP($BC29,Programma!$F$3:$L$1107,7,0),"")</f>
        <v/>
      </c>
      <c r="BJ29" s="310" t="str">
        <f>_xlfn.IFNA(VLOOKUP($BC29,Programma!$F$3:$M$1107,8,0),"")</f>
        <v/>
      </c>
      <c r="BK29" s="310" t="str">
        <f>_xlfn.IFNA(VLOOKUP($BC29,Programma!$F$3:$N$1107,9,0),"")</f>
        <v/>
      </c>
      <c r="BL29" s="310" t="str">
        <f>_xlfn.IFNA(VLOOKUP($BC29,Programma!$F$3:$O$1107,10,0),"")</f>
        <v/>
      </c>
      <c r="BM29" s="310" t="str">
        <f>_xlfn.IFNA(VLOOKUP($BC29,Programma!$F$3:$P$1107,11,0),"")</f>
        <v/>
      </c>
      <c r="BN29" s="310" t="str">
        <f>_xlfn.IFNA(VLOOKUP($BC29,Programma!$F$3:$Q$1107,12,0),"")</f>
        <v/>
      </c>
      <c r="BO29" s="310" t="str">
        <f>_xlfn.IFNA(VLOOKUP($BC29,Programma!$F$3:$R$1107,13,0),"")</f>
        <v/>
      </c>
      <c r="BP29" s="310" t="str">
        <f>_xlfn.IFNA(VLOOKUP($BC29,Programma!$F$3:$S$1107,14,0),"")</f>
        <v/>
      </c>
      <c r="BQ29" s="310" t="str">
        <f>_xlfn.IFNA(VLOOKUP($BC29,Programma!$F$3:$T$1107,15,0),"")</f>
        <v/>
      </c>
      <c r="BR29" s="310" t="str">
        <f>_xlfn.IFNA(VLOOKUP($BC29,Programma!$F$3:$U$1107,16,0),"")</f>
        <v/>
      </c>
      <c r="BS29" s="310" t="str">
        <f>_xlfn.IFNA(VLOOKUP($BC29,Programma!$F$3:$V$1107,17,0),"")</f>
        <v/>
      </c>
      <c r="BT29" s="310" t="str">
        <f>_xlfn.IFNA(VLOOKUP($BC29,Programma!$F$3:$W$1107,18,0),"")</f>
        <v/>
      </c>
      <c r="BU29" s="310" t="str">
        <f>_xlfn.IFNA(VLOOKUP($BC29,Programma!$F$3:$X$1107,19,0),"")</f>
        <v/>
      </c>
      <c r="BV29" s="310" t="str">
        <f>_xlfn.IFNA(VLOOKUP($BC29,Programma!$F$3:$Y$1107,20,0),"")</f>
        <v/>
      </c>
    </row>
    <row r="30" spans="1:74" ht="15" customHeight="1">
      <c r="A30" s="33">
        <v>1</v>
      </c>
      <c r="B30" s="173" t="s">
        <v>1619</v>
      </c>
      <c r="C30" s="173" t="str">
        <f>VLOOKUP(Ruimtestaat[[#This Row],[Code]],Locaties[[#All],[Code]:[Adres]],4,FALSE)</f>
        <v>Stationslaan 26</v>
      </c>
      <c r="D30" s="173" t="str">
        <f>VLOOKUP(Ruimtestaat[[#This Row],[Code]],Locaties[[#All],[Code]:[Postcode]],5,FALSE)</f>
        <v>3842 LA</v>
      </c>
      <c r="E30" s="173" t="str">
        <f>VLOOKUP(Ruimtestaat[[#This Row],[Code]],Locaties[#All],6,FALSE)</f>
        <v>Harderwijk</v>
      </c>
      <c r="F30" s="21" t="s">
        <v>1621</v>
      </c>
      <c r="G30" s="33" t="s">
        <v>1613</v>
      </c>
      <c r="H30" s="311" t="s">
        <v>1654</v>
      </c>
      <c r="I30" s="312" t="s">
        <v>1615</v>
      </c>
      <c r="J30" s="21">
        <v>16</v>
      </c>
      <c r="K30" s="69" t="str">
        <f>VLOOKUP(Ruimtestaat[[#This Row],[Ruimte code]],Ruimtegroepen[[#All],[Code]:[Ruimte omschrijving]],2,FALSE)</f>
        <v>Leslokalen</v>
      </c>
      <c r="L30" s="33" t="s">
        <v>101</v>
      </c>
      <c r="M30" s="312" t="s">
        <v>1804</v>
      </c>
      <c r="N30" s="148">
        <v>45</v>
      </c>
      <c r="O30" s="33"/>
      <c r="P30" s="134" t="str">
        <f>VLOOKUP(Ruimtestaat[[#This Row],[Ruimte code]],Ruimtegroepen[],4,FALSE)</f>
        <v>Le</v>
      </c>
      <c r="Q30" s="33">
        <v>40</v>
      </c>
      <c r="R30" s="33" t="s">
        <v>2</v>
      </c>
      <c r="S30" s="33">
        <f>IF(Q30&gt;0,IF(RIGHT(Ruimtestaat[[#This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 s="33">
        <f>IF(S30&gt;0,VLOOKUP($J30,Ruimtegroepen[],3,FALSE)*VLOOKUP($L30,Vloersoorten[],3,FALSE)*VLOOKUP($R30,Frequenties[],3,FALSE)*VLOOKUP($A30,Locaties[],3,FALSE),0)</f>
        <v>0</v>
      </c>
      <c r="U30" s="33">
        <f>Ruimtestaat[[#This Row],[Uitvoeringen werkdagen]]*Ruimtestaat[[#This Row],[Oppervlak (netto)]]</f>
        <v>9000</v>
      </c>
      <c r="V30" s="170">
        <f>IF(T30&gt;0,Ruimtestaat[[#This Row],[Prest. (m2 /jaar) werkdagen]]/Ruimtestaat[[#This Row],[Norm (m2/uur) werkdagen]],0)</f>
        <v>0</v>
      </c>
      <c r="W30" s="171">
        <f>Ruimtestaat[[#This Row],[uren / jaar werkdagen]]*Tariefsopbouw!$E$35</f>
        <v>0</v>
      </c>
      <c r="X30" s="33"/>
      <c r="Y30" s="33">
        <f>IF(Ruimtestaat[[#This Row],[Frequentie weekend]]&gt;0,VALUE(LEFT(X30,1))*Q30,0)</f>
        <v>0</v>
      </c>
      <c r="Z30" s="104">
        <f>IF($Y30&gt;0,VLOOKUP($J30,Ruimtegroepen[],3,FALSE)*VLOOKUP($L30,Vloersoorten[],3,FALSE)*VLOOKUP($X30,Frequenties[],3,FALSE)*VLOOKUP(Ruimtestaat[[#This Row],[Code]],Locaties[],3,FALSE),0)</f>
        <v>0</v>
      </c>
      <c r="AA30" s="104">
        <f>Ruimtestaat[[#This Row],[Uitvoeringen weekend]]*Ruimtestaat[[#This Row],[Oppervlak (netto)]]</f>
        <v>0</v>
      </c>
      <c r="AB30" s="104">
        <f>IF(Z30&gt;0,Ruimtestaat[[#This Row],[Prest. (m2 /jaar) weekend]]/Ruimtestaat[[#This Row],[Norm (m2/uur) weekend]],0)</f>
        <v>0</v>
      </c>
      <c r="AC30" s="171">
        <f>Ruimtestaat[[#This Row],[uren / jaar weekend]]*Tariefsopbouw!$D$40</f>
        <v>0</v>
      </c>
      <c r="AD30" s="170">
        <f>Ruimtestaat[[#This Row],[Prest. (m2 /jaar) weekend]]+Ruimtestaat[[#This Row],[Prest. (m2 /jaar) werkdagen]]</f>
        <v>9000</v>
      </c>
      <c r="AE30" s="170">
        <f>Ruimtestaat[[#This Row],[uren / jaar weekend]]+Ruimtestaat[[#This Row],[uren / jaar werkdagen]]</f>
        <v>0</v>
      </c>
      <c r="AF30" s="76">
        <f>Ruimtestaat[[#This Row],[kosten / jaar weekend]]+Ruimtestaat[[#This Row],[kosten / jaar werkdagen]]</f>
        <v>0</v>
      </c>
      <c r="AG30" s="76"/>
      <c r="AH30" s="272" t="str">
        <f>IF(Ruimtestaat[[#This Row],[Frequentie werkdagen]]="","",_xlfn.CONCAT(Ruimtestaat[[#This Row],[Ruimte code]],"-",Ruimtestaat[[#This Row],[Frequentie werkdagen]]," ",Ruimtestaat[[#This Row],[Vloer code]]))</f>
        <v>16-5w L</v>
      </c>
      <c r="AI30" s="310" t="str">
        <f>_xlfn.IFNA(VLOOKUP($AH30,Programma!$F$3:$G$1107,2,0),"")</f>
        <v>_</v>
      </c>
      <c r="AJ30" s="310" t="str">
        <f>_xlfn.IFNA(VLOOKUP($AH30,Programma!$F$3:$H$1107,3,0),"")</f>
        <v>_</v>
      </c>
      <c r="AK30" s="310" t="str">
        <f>_xlfn.IFNA(VLOOKUP($AH30,Programma!$F$3:$I$1107,4,0),"")</f>
        <v>4w</v>
      </c>
      <c r="AL30" s="310" t="str">
        <f>_xlfn.IFNA(VLOOKUP($AH30,Programma!$F$3:$J$1107,5,0),"")</f>
        <v>1w</v>
      </c>
      <c r="AM30" s="310" t="str">
        <f>_xlfn.IFNA(VLOOKUP($AH30,Programma!$F$3:$K$1107,6,0),"")</f>
        <v>_</v>
      </c>
      <c r="AN30" s="310" t="str">
        <f>_xlfn.IFNA(VLOOKUP($AH30,Programma!$F$3:$L$1107,7,0),"")</f>
        <v>_</v>
      </c>
      <c r="AO30" s="310" t="str">
        <f>_xlfn.IFNA(VLOOKUP($AH30,Programma!$F$3:$M$1107,8,0),"")</f>
        <v>_</v>
      </c>
      <c r="AP30" s="310" t="str">
        <f>_xlfn.IFNA(VLOOKUP($AH30,Programma!$F$3:$N$1107,9,0),"")</f>
        <v>_</v>
      </c>
      <c r="AQ30" s="310" t="str">
        <f>_xlfn.IFNA(VLOOKUP($AH30,Programma!$F$3:$O$1107,10,0),"")</f>
        <v>5w</v>
      </c>
      <c r="AR30" s="310" t="str">
        <f>_xlfn.IFNA(VLOOKUP($AH30,Programma!$F$3:$P$1107,11,0),"")</f>
        <v>5w</v>
      </c>
      <c r="AS30" s="310" t="str">
        <f>_xlfn.IFNA(VLOOKUP($AH30,Programma!$F$3:$Q$1107,12,0),"")</f>
        <v>1w</v>
      </c>
      <c r="AT30" s="310" t="str">
        <f>_xlfn.IFNA(VLOOKUP($AH30,Programma!$F$3:$R$1107,13,0),"")</f>
        <v>1w</v>
      </c>
      <c r="AU30" s="310" t="str">
        <f>_xlfn.IFNA(VLOOKUP($AH30,Programma!$F$3:$S$1107,14,0),"")</f>
        <v>1m</v>
      </c>
      <c r="AV30" s="310" t="str">
        <f>_xlfn.IFNA(VLOOKUP($AH30,Programma!$F$3:$T$1107,15,0),"")</f>
        <v>2j</v>
      </c>
      <c r="AW30" s="310" t="str">
        <f>_xlfn.IFNA(VLOOKUP($AH30,Programma!$F$3:$U$1107,16,0),"")</f>
        <v>1j</v>
      </c>
      <c r="AX30" s="310" t="str">
        <f>_xlfn.IFNA(VLOOKUP($AH30,Programma!$F$3:$V$1107,17,0),"")</f>
        <v>_</v>
      </c>
      <c r="AY30" s="310" t="str">
        <f>_xlfn.IFNA(VLOOKUP($AH30,Programma!$F$3:$W$1107,18,0),"")</f>
        <v>_</v>
      </c>
      <c r="AZ30" s="310" t="str">
        <f>_xlfn.IFNA(VLOOKUP($AH30,Programma!$F$3:$X$1107,19,0),"")</f>
        <v>_</v>
      </c>
      <c r="BA30" s="310" t="str">
        <f>_xlfn.IFNA(VLOOKUP($AH30,Programma!$F$3:$Y$1107,20,0),"")</f>
        <v>_</v>
      </c>
      <c r="BB30" s="273"/>
      <c r="BC30" s="272" t="str">
        <f>IF(Ruimtestaat[[#This Row],[Frequentie weekend]]="","",_xlfn.CONCAT(Ruimtestaat[[#This Row],[Ruimte code]],"-",Ruimtestaat[[#This Row],[Frequentie weekend]]," ",Ruimtestaat[[#This Row],[Vloer code]]))</f>
        <v/>
      </c>
      <c r="BD30" s="310" t="str">
        <f>_xlfn.IFNA(VLOOKUP($BC30,Programma!$F$3:$G$1107,2,0),"")</f>
        <v/>
      </c>
      <c r="BE30" s="310" t="str">
        <f>_xlfn.IFNA(VLOOKUP($BC30,Programma!$F$3:$H$1107,3,0),"")</f>
        <v/>
      </c>
      <c r="BF30" s="310" t="str">
        <f>_xlfn.IFNA(VLOOKUP($BC30,Programma!$F$3:$I$1107,4,0),"")</f>
        <v/>
      </c>
      <c r="BG30" s="310" t="str">
        <f>_xlfn.IFNA(VLOOKUP($BC30,Programma!$F$3:$J$1107,5,0),"")</f>
        <v/>
      </c>
      <c r="BH30" s="310" t="str">
        <f>_xlfn.IFNA(VLOOKUP($BC30,Programma!$F$3:$K$1107,6,0),"")</f>
        <v/>
      </c>
      <c r="BI30" s="310" t="str">
        <f>_xlfn.IFNA(VLOOKUP($BC30,Programma!$F$3:$L$1107,7,0),"")</f>
        <v/>
      </c>
      <c r="BJ30" s="310" t="str">
        <f>_xlfn.IFNA(VLOOKUP($BC30,Programma!$F$3:$M$1107,8,0),"")</f>
        <v/>
      </c>
      <c r="BK30" s="310" t="str">
        <f>_xlfn.IFNA(VLOOKUP($BC30,Programma!$F$3:$N$1107,9,0),"")</f>
        <v/>
      </c>
      <c r="BL30" s="310" t="str">
        <f>_xlfn.IFNA(VLOOKUP($BC30,Programma!$F$3:$O$1107,10,0),"")</f>
        <v/>
      </c>
      <c r="BM30" s="310" t="str">
        <f>_xlfn.IFNA(VLOOKUP($BC30,Programma!$F$3:$P$1107,11,0),"")</f>
        <v/>
      </c>
      <c r="BN30" s="310" t="str">
        <f>_xlfn.IFNA(VLOOKUP($BC30,Programma!$F$3:$Q$1107,12,0),"")</f>
        <v/>
      </c>
      <c r="BO30" s="310" t="str">
        <f>_xlfn.IFNA(VLOOKUP($BC30,Programma!$F$3:$R$1107,13,0),"")</f>
        <v/>
      </c>
      <c r="BP30" s="310" t="str">
        <f>_xlfn.IFNA(VLOOKUP($BC30,Programma!$F$3:$S$1107,14,0),"")</f>
        <v/>
      </c>
      <c r="BQ30" s="310" t="str">
        <f>_xlfn.IFNA(VLOOKUP($BC30,Programma!$F$3:$T$1107,15,0),"")</f>
        <v/>
      </c>
      <c r="BR30" s="310" t="str">
        <f>_xlfn.IFNA(VLOOKUP($BC30,Programma!$F$3:$U$1107,16,0),"")</f>
        <v/>
      </c>
      <c r="BS30" s="310" t="str">
        <f>_xlfn.IFNA(VLOOKUP($BC30,Programma!$F$3:$V$1107,17,0),"")</f>
        <v/>
      </c>
      <c r="BT30" s="310" t="str">
        <f>_xlfn.IFNA(VLOOKUP($BC30,Programma!$F$3:$W$1107,18,0),"")</f>
        <v/>
      </c>
      <c r="BU30" s="310" t="str">
        <f>_xlfn.IFNA(VLOOKUP($BC30,Programma!$F$3:$X$1107,19,0),"")</f>
        <v/>
      </c>
      <c r="BV30" s="310" t="str">
        <f>_xlfn.IFNA(VLOOKUP($BC30,Programma!$F$3:$Y$1107,20,0),"")</f>
        <v/>
      </c>
    </row>
    <row r="31" spans="1:74" ht="15" customHeight="1">
      <c r="A31" s="33">
        <v>1</v>
      </c>
      <c r="B31" s="173" t="s">
        <v>1619</v>
      </c>
      <c r="C31" s="173" t="str">
        <f>VLOOKUP(Ruimtestaat[[#This Row],[Code]],Locaties[[#All],[Code]:[Adres]],4,FALSE)</f>
        <v>Stationslaan 26</v>
      </c>
      <c r="D31" s="173" t="str">
        <f>VLOOKUP(Ruimtestaat[[#This Row],[Code]],Locaties[[#All],[Code]:[Postcode]],5,FALSE)</f>
        <v>3842 LA</v>
      </c>
      <c r="E31" s="173" t="str">
        <f>VLOOKUP(Ruimtestaat[[#This Row],[Code]],Locaties[#All],6,FALSE)</f>
        <v>Harderwijk</v>
      </c>
      <c r="F31" s="21" t="s">
        <v>1621</v>
      </c>
      <c r="G31" s="33" t="s">
        <v>1613</v>
      </c>
      <c r="H31" s="311" t="s">
        <v>1655</v>
      </c>
      <c r="I31" s="312" t="s">
        <v>1615</v>
      </c>
      <c r="J31" s="21">
        <v>16</v>
      </c>
      <c r="K31" s="69" t="str">
        <f>VLOOKUP(Ruimtestaat[[#This Row],[Ruimte code]],Ruimtegroepen[[#All],[Code]:[Ruimte omschrijving]],2,FALSE)</f>
        <v>Leslokalen</v>
      </c>
      <c r="L31" s="33" t="s">
        <v>101</v>
      </c>
      <c r="M31" s="312" t="s">
        <v>1804</v>
      </c>
      <c r="N31" s="148">
        <v>45</v>
      </c>
      <c r="O31" s="150"/>
      <c r="P31" s="134" t="str">
        <f>VLOOKUP(Ruimtestaat[[#This Row],[Ruimte code]],Ruimtegroepen[],4,FALSE)</f>
        <v>Le</v>
      </c>
      <c r="Q31" s="33">
        <v>40</v>
      </c>
      <c r="R31" s="33" t="s">
        <v>2</v>
      </c>
      <c r="S31" s="33">
        <f>IF(Q31&gt;0,IF(RIGHT(Ruimtestaat[[#This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 s="33">
        <f>IF(S31&gt;0,VLOOKUP($J31,Ruimtegroepen[],3,FALSE)*VLOOKUP($L31,Vloersoorten[],3,FALSE)*VLOOKUP($R31,Frequenties[],3,FALSE)*VLOOKUP($A31,Locaties[],3,FALSE),0)</f>
        <v>0</v>
      </c>
      <c r="U31" s="33">
        <f>Ruimtestaat[[#This Row],[Uitvoeringen werkdagen]]*Ruimtestaat[[#This Row],[Oppervlak (netto)]]</f>
        <v>9000</v>
      </c>
      <c r="V31" s="170">
        <f>IF(T31&gt;0,Ruimtestaat[[#This Row],[Prest. (m2 /jaar) werkdagen]]/Ruimtestaat[[#This Row],[Norm (m2/uur) werkdagen]],0)</f>
        <v>0</v>
      </c>
      <c r="W31" s="171">
        <f>Ruimtestaat[[#This Row],[uren / jaar werkdagen]]*Tariefsopbouw!$E$35</f>
        <v>0</v>
      </c>
      <c r="X31" s="33"/>
      <c r="Y31" s="33">
        <f>IF(Ruimtestaat[[#This Row],[Frequentie weekend]]&gt;0,VALUE(LEFT(X31,1))*Q31,0)</f>
        <v>0</v>
      </c>
      <c r="Z31" s="104">
        <f>IF($Y31&gt;0,VLOOKUP($J31,Ruimtegroepen[],3,FALSE)*VLOOKUP($L31,Vloersoorten[],3,FALSE)*VLOOKUP($X31,Frequenties[],3,FALSE)*VLOOKUP(Ruimtestaat[[#This Row],[Code]],Locaties[],3,FALSE),0)</f>
        <v>0</v>
      </c>
      <c r="AA31" s="104">
        <f>Ruimtestaat[[#This Row],[Uitvoeringen weekend]]*Ruimtestaat[[#This Row],[Oppervlak (netto)]]</f>
        <v>0</v>
      </c>
      <c r="AB31" s="104">
        <f>IF(Z31&gt;0,Ruimtestaat[[#This Row],[Prest. (m2 /jaar) weekend]]/Ruimtestaat[[#This Row],[Norm (m2/uur) weekend]],0)</f>
        <v>0</v>
      </c>
      <c r="AC31" s="171">
        <f>Ruimtestaat[[#This Row],[uren / jaar weekend]]*Tariefsopbouw!$D$40</f>
        <v>0</v>
      </c>
      <c r="AD31" s="170">
        <f>Ruimtestaat[[#This Row],[Prest. (m2 /jaar) weekend]]+Ruimtestaat[[#This Row],[Prest. (m2 /jaar) werkdagen]]</f>
        <v>9000</v>
      </c>
      <c r="AE31" s="170">
        <f>Ruimtestaat[[#This Row],[uren / jaar weekend]]+Ruimtestaat[[#This Row],[uren / jaar werkdagen]]</f>
        <v>0</v>
      </c>
      <c r="AF31" s="76">
        <f>Ruimtestaat[[#This Row],[kosten / jaar weekend]]+Ruimtestaat[[#This Row],[kosten / jaar werkdagen]]</f>
        <v>0</v>
      </c>
      <c r="AG31" s="76"/>
      <c r="AH31" s="272" t="str">
        <f>IF(Ruimtestaat[[#This Row],[Frequentie werkdagen]]="","",_xlfn.CONCAT(Ruimtestaat[[#This Row],[Ruimte code]],"-",Ruimtestaat[[#This Row],[Frequentie werkdagen]]," ",Ruimtestaat[[#This Row],[Vloer code]]))</f>
        <v>16-5w L</v>
      </c>
      <c r="AI31" s="310" t="str">
        <f>_xlfn.IFNA(VLOOKUP($AH31,Programma!$F$3:$G$1107,2,0),"")</f>
        <v>_</v>
      </c>
      <c r="AJ31" s="310" t="str">
        <f>_xlfn.IFNA(VLOOKUP($AH31,Programma!$F$3:$H$1107,3,0),"")</f>
        <v>_</v>
      </c>
      <c r="AK31" s="310" t="str">
        <f>_xlfn.IFNA(VLOOKUP($AH31,Programma!$F$3:$I$1107,4,0),"")</f>
        <v>4w</v>
      </c>
      <c r="AL31" s="310" t="str">
        <f>_xlfn.IFNA(VLOOKUP($AH31,Programma!$F$3:$J$1107,5,0),"")</f>
        <v>1w</v>
      </c>
      <c r="AM31" s="310" t="str">
        <f>_xlfn.IFNA(VLOOKUP($AH31,Programma!$F$3:$K$1107,6,0),"")</f>
        <v>_</v>
      </c>
      <c r="AN31" s="310" t="str">
        <f>_xlfn.IFNA(VLOOKUP($AH31,Programma!$F$3:$L$1107,7,0),"")</f>
        <v>_</v>
      </c>
      <c r="AO31" s="310" t="str">
        <f>_xlfn.IFNA(VLOOKUP($AH31,Programma!$F$3:$M$1107,8,0),"")</f>
        <v>_</v>
      </c>
      <c r="AP31" s="310" t="str">
        <f>_xlfn.IFNA(VLOOKUP($AH31,Programma!$F$3:$N$1107,9,0),"")</f>
        <v>_</v>
      </c>
      <c r="AQ31" s="310" t="str">
        <f>_xlfn.IFNA(VLOOKUP($AH31,Programma!$F$3:$O$1107,10,0),"")</f>
        <v>5w</v>
      </c>
      <c r="AR31" s="310" t="str">
        <f>_xlfn.IFNA(VLOOKUP($AH31,Programma!$F$3:$P$1107,11,0),"")</f>
        <v>5w</v>
      </c>
      <c r="AS31" s="310" t="str">
        <f>_xlfn.IFNA(VLOOKUP($AH31,Programma!$F$3:$Q$1107,12,0),"")</f>
        <v>1w</v>
      </c>
      <c r="AT31" s="310" t="str">
        <f>_xlfn.IFNA(VLOOKUP($AH31,Programma!$F$3:$R$1107,13,0),"")</f>
        <v>1w</v>
      </c>
      <c r="AU31" s="310" t="str">
        <f>_xlfn.IFNA(VLOOKUP($AH31,Programma!$F$3:$S$1107,14,0),"")</f>
        <v>1m</v>
      </c>
      <c r="AV31" s="310" t="str">
        <f>_xlfn.IFNA(VLOOKUP($AH31,Programma!$F$3:$T$1107,15,0),"")</f>
        <v>2j</v>
      </c>
      <c r="AW31" s="310" t="str">
        <f>_xlfn.IFNA(VLOOKUP($AH31,Programma!$F$3:$U$1107,16,0),"")</f>
        <v>1j</v>
      </c>
      <c r="AX31" s="310" t="str">
        <f>_xlfn.IFNA(VLOOKUP($AH31,Programma!$F$3:$V$1107,17,0),"")</f>
        <v>_</v>
      </c>
      <c r="AY31" s="310" t="str">
        <f>_xlfn.IFNA(VLOOKUP($AH31,Programma!$F$3:$W$1107,18,0),"")</f>
        <v>_</v>
      </c>
      <c r="AZ31" s="310" t="str">
        <f>_xlfn.IFNA(VLOOKUP($AH31,Programma!$F$3:$X$1107,19,0),"")</f>
        <v>_</v>
      </c>
      <c r="BA31" s="310" t="str">
        <f>_xlfn.IFNA(VLOOKUP($AH31,Programma!$F$3:$Y$1107,20,0),"")</f>
        <v>_</v>
      </c>
      <c r="BB31" s="273"/>
      <c r="BC31" s="272" t="str">
        <f>IF(Ruimtestaat[[#This Row],[Frequentie weekend]]="","",_xlfn.CONCAT(Ruimtestaat[[#This Row],[Ruimte code]],"-",Ruimtestaat[[#This Row],[Frequentie weekend]]," ",Ruimtestaat[[#This Row],[Vloer code]]))</f>
        <v/>
      </c>
      <c r="BD31" s="310" t="str">
        <f>_xlfn.IFNA(VLOOKUP($BC31,Programma!$F$3:$G$1107,2,0),"")</f>
        <v/>
      </c>
      <c r="BE31" s="310" t="str">
        <f>_xlfn.IFNA(VLOOKUP($BC31,Programma!$F$3:$H$1107,3,0),"")</f>
        <v/>
      </c>
      <c r="BF31" s="310" t="str">
        <f>_xlfn.IFNA(VLOOKUP($BC31,Programma!$F$3:$I$1107,4,0),"")</f>
        <v/>
      </c>
      <c r="BG31" s="310" t="str">
        <f>_xlfn.IFNA(VLOOKUP($BC31,Programma!$F$3:$J$1107,5,0),"")</f>
        <v/>
      </c>
      <c r="BH31" s="310" t="str">
        <f>_xlfn.IFNA(VLOOKUP($BC31,Programma!$F$3:$K$1107,6,0),"")</f>
        <v/>
      </c>
      <c r="BI31" s="310" t="str">
        <f>_xlfn.IFNA(VLOOKUP($BC31,Programma!$F$3:$L$1107,7,0),"")</f>
        <v/>
      </c>
      <c r="BJ31" s="310" t="str">
        <f>_xlfn.IFNA(VLOOKUP($BC31,Programma!$F$3:$M$1107,8,0),"")</f>
        <v/>
      </c>
      <c r="BK31" s="310" t="str">
        <f>_xlfn.IFNA(VLOOKUP($BC31,Programma!$F$3:$N$1107,9,0),"")</f>
        <v/>
      </c>
      <c r="BL31" s="310" t="str">
        <f>_xlfn.IFNA(VLOOKUP($BC31,Programma!$F$3:$O$1107,10,0),"")</f>
        <v/>
      </c>
      <c r="BM31" s="310" t="str">
        <f>_xlfn.IFNA(VLOOKUP($BC31,Programma!$F$3:$P$1107,11,0),"")</f>
        <v/>
      </c>
      <c r="BN31" s="310" t="str">
        <f>_xlfn.IFNA(VLOOKUP($BC31,Programma!$F$3:$Q$1107,12,0),"")</f>
        <v/>
      </c>
      <c r="BO31" s="310" t="str">
        <f>_xlfn.IFNA(VLOOKUP($BC31,Programma!$F$3:$R$1107,13,0),"")</f>
        <v/>
      </c>
      <c r="BP31" s="310" t="str">
        <f>_xlfn.IFNA(VLOOKUP($BC31,Programma!$F$3:$S$1107,14,0),"")</f>
        <v/>
      </c>
      <c r="BQ31" s="310" t="str">
        <f>_xlfn.IFNA(VLOOKUP($BC31,Programma!$F$3:$T$1107,15,0),"")</f>
        <v/>
      </c>
      <c r="BR31" s="310" t="str">
        <f>_xlfn.IFNA(VLOOKUP($BC31,Programma!$F$3:$U$1107,16,0),"")</f>
        <v/>
      </c>
      <c r="BS31" s="310" t="str">
        <f>_xlfn.IFNA(VLOOKUP($BC31,Programma!$F$3:$V$1107,17,0),"")</f>
        <v/>
      </c>
      <c r="BT31" s="310" t="str">
        <f>_xlfn.IFNA(VLOOKUP($BC31,Programma!$F$3:$W$1107,18,0),"")</f>
        <v/>
      </c>
      <c r="BU31" s="310" t="str">
        <f>_xlfn.IFNA(VLOOKUP($BC31,Programma!$F$3:$X$1107,19,0),"")</f>
        <v/>
      </c>
      <c r="BV31" s="310" t="str">
        <f>_xlfn.IFNA(VLOOKUP($BC31,Programma!$F$3:$Y$1107,20,0),"")</f>
        <v/>
      </c>
    </row>
    <row r="32" spans="1:74" ht="15" customHeight="1">
      <c r="A32" s="33">
        <v>1</v>
      </c>
      <c r="B32" s="173" t="s">
        <v>1619</v>
      </c>
      <c r="C32" s="173" t="str">
        <f>VLOOKUP(Ruimtestaat[[#This Row],[Code]],Locaties[[#All],[Code]:[Adres]],4,FALSE)</f>
        <v>Stationslaan 26</v>
      </c>
      <c r="D32" s="173" t="str">
        <f>VLOOKUP(Ruimtestaat[[#This Row],[Code]],Locaties[[#All],[Code]:[Postcode]],5,FALSE)</f>
        <v>3842 LA</v>
      </c>
      <c r="E32" s="173" t="str">
        <f>VLOOKUP(Ruimtestaat[[#This Row],[Code]],Locaties[#All],6,FALSE)</f>
        <v>Harderwijk</v>
      </c>
      <c r="F32" s="21" t="s">
        <v>1621</v>
      </c>
      <c r="G32" s="33" t="s">
        <v>1613</v>
      </c>
      <c r="H32" s="311" t="s">
        <v>1656</v>
      </c>
      <c r="I32" s="312" t="s">
        <v>1615</v>
      </c>
      <c r="J32" s="21">
        <v>16</v>
      </c>
      <c r="K32" s="69" t="str">
        <f>VLOOKUP(Ruimtestaat[[#This Row],[Ruimte code]],Ruimtegroepen[[#All],[Code]:[Ruimte omschrijving]],2,FALSE)</f>
        <v>Leslokalen</v>
      </c>
      <c r="L32" s="33" t="s">
        <v>100</v>
      </c>
      <c r="M32" s="312" t="s">
        <v>1803</v>
      </c>
      <c r="N32" s="148">
        <v>15</v>
      </c>
      <c r="O32" s="150"/>
      <c r="P32" s="134" t="str">
        <f>VLOOKUP(Ruimtestaat[[#This Row],[Ruimte code]],Ruimtegroepen[],4,FALSE)</f>
        <v>Le</v>
      </c>
      <c r="Q32" s="33">
        <v>40</v>
      </c>
      <c r="R32" s="33" t="s">
        <v>2</v>
      </c>
      <c r="S32" s="33">
        <f>IF(Q32&gt;0,IF(RIGHT(Ruimtestaat[[#This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 s="33">
        <f>IF(S32&gt;0,VLOOKUP($J32,Ruimtegroepen[],3,FALSE)*VLOOKUP($L32,Vloersoorten[],3,FALSE)*VLOOKUP($R32,Frequenties[],3,FALSE)*VLOOKUP($A32,Locaties[],3,FALSE),0)</f>
        <v>0</v>
      </c>
      <c r="U32" s="33">
        <f>Ruimtestaat[[#This Row],[Uitvoeringen werkdagen]]*Ruimtestaat[[#This Row],[Oppervlak (netto)]]</f>
        <v>3000</v>
      </c>
      <c r="V32" s="170">
        <f>IF(T32&gt;0,Ruimtestaat[[#This Row],[Prest. (m2 /jaar) werkdagen]]/Ruimtestaat[[#This Row],[Norm (m2/uur) werkdagen]],0)</f>
        <v>0</v>
      </c>
      <c r="W32" s="171">
        <f>Ruimtestaat[[#This Row],[uren / jaar werkdagen]]*Tariefsopbouw!$E$35</f>
        <v>0</v>
      </c>
      <c r="X32" s="33"/>
      <c r="Y32" s="33">
        <f>IF(Ruimtestaat[[#This Row],[Frequentie weekend]]&gt;0,VALUE(LEFT(X32,1))*Q32,0)</f>
        <v>0</v>
      </c>
      <c r="Z32" s="104">
        <f>IF($Y32&gt;0,VLOOKUP($J32,Ruimtegroepen[],3,FALSE)*VLOOKUP($L32,Vloersoorten[],3,FALSE)*VLOOKUP($X32,Frequenties[],3,FALSE)*VLOOKUP(Ruimtestaat[[#This Row],[Code]],Locaties[],3,FALSE),0)</f>
        <v>0</v>
      </c>
      <c r="AA32" s="104">
        <f>Ruimtestaat[[#This Row],[Uitvoeringen weekend]]*Ruimtestaat[[#This Row],[Oppervlak (netto)]]</f>
        <v>0</v>
      </c>
      <c r="AB32" s="104">
        <f>IF(Z32&gt;0,Ruimtestaat[[#This Row],[Prest. (m2 /jaar) weekend]]/Ruimtestaat[[#This Row],[Norm (m2/uur) weekend]],0)</f>
        <v>0</v>
      </c>
      <c r="AC32" s="171">
        <f>Ruimtestaat[[#This Row],[uren / jaar weekend]]*Tariefsopbouw!$D$40</f>
        <v>0</v>
      </c>
      <c r="AD32" s="170">
        <f>Ruimtestaat[[#This Row],[Prest. (m2 /jaar) weekend]]+Ruimtestaat[[#This Row],[Prest. (m2 /jaar) werkdagen]]</f>
        <v>3000</v>
      </c>
      <c r="AE32" s="170">
        <f>Ruimtestaat[[#This Row],[uren / jaar weekend]]+Ruimtestaat[[#This Row],[uren / jaar werkdagen]]</f>
        <v>0</v>
      </c>
      <c r="AF32" s="76">
        <f>Ruimtestaat[[#This Row],[kosten / jaar weekend]]+Ruimtestaat[[#This Row],[kosten / jaar werkdagen]]</f>
        <v>0</v>
      </c>
      <c r="AG32" s="76"/>
      <c r="AH32" s="272" t="str">
        <f>IF(Ruimtestaat[[#This Row],[Frequentie werkdagen]]="","",_xlfn.CONCAT(Ruimtestaat[[#This Row],[Ruimte code]],"-",Ruimtestaat[[#This Row],[Frequentie werkdagen]]," ",Ruimtestaat[[#This Row],[Vloer code]]))</f>
        <v>16-5w T</v>
      </c>
      <c r="AI32" s="310" t="str">
        <f>_xlfn.IFNA(VLOOKUP($AH32,Programma!$F$3:$G$1107,2,0),"")</f>
        <v>3w</v>
      </c>
      <c r="AJ32" s="310" t="str">
        <f>_xlfn.IFNA(VLOOKUP($AH32,Programma!$F$3:$H$1107,3,0),"")</f>
        <v>2w</v>
      </c>
      <c r="AK32" s="310" t="str">
        <f>_xlfn.IFNA(VLOOKUP($AH32,Programma!$F$3:$I$1107,4,0),"")</f>
        <v>_</v>
      </c>
      <c r="AL32" s="310" t="str">
        <f>_xlfn.IFNA(VLOOKUP($AH32,Programma!$F$3:$J$1107,5,0),"")</f>
        <v>_</v>
      </c>
      <c r="AM32" s="310" t="str">
        <f>_xlfn.IFNA(VLOOKUP($AH32,Programma!$F$3:$K$1107,6,0),"")</f>
        <v>_</v>
      </c>
      <c r="AN32" s="310" t="str">
        <f>_xlfn.IFNA(VLOOKUP($AH32,Programma!$F$3:$L$1107,7,0),"")</f>
        <v>_</v>
      </c>
      <c r="AO32" s="310" t="str">
        <f>_xlfn.IFNA(VLOOKUP($AH32,Programma!$F$3:$M$1107,8,0),"")</f>
        <v>_</v>
      </c>
      <c r="AP32" s="310" t="str">
        <f>_xlfn.IFNA(VLOOKUP($AH32,Programma!$F$3:$N$1107,9,0),"")</f>
        <v>_</v>
      </c>
      <c r="AQ32" s="310" t="str">
        <f>_xlfn.IFNA(VLOOKUP($AH32,Programma!$F$3:$O$1107,10,0),"")</f>
        <v>5w</v>
      </c>
      <c r="AR32" s="310" t="str">
        <f>_xlfn.IFNA(VLOOKUP($AH32,Programma!$F$3:$P$1107,11,0),"")</f>
        <v>5w</v>
      </c>
      <c r="AS32" s="310" t="str">
        <f>_xlfn.IFNA(VLOOKUP($AH32,Programma!$F$3:$Q$1107,12,0),"")</f>
        <v>1w</v>
      </c>
      <c r="AT32" s="310" t="str">
        <f>_xlfn.IFNA(VLOOKUP($AH32,Programma!$F$3:$R$1107,13,0),"")</f>
        <v>1w</v>
      </c>
      <c r="AU32" s="310" t="str">
        <f>_xlfn.IFNA(VLOOKUP($AH32,Programma!$F$3:$S$1107,14,0),"")</f>
        <v>1m</v>
      </c>
      <c r="AV32" s="310" t="str">
        <f>_xlfn.IFNA(VLOOKUP($AH32,Programma!$F$3:$T$1107,15,0),"")</f>
        <v>2j</v>
      </c>
      <c r="AW32" s="310" t="str">
        <f>_xlfn.IFNA(VLOOKUP($AH32,Programma!$F$3:$U$1107,16,0),"")</f>
        <v>1j</v>
      </c>
      <c r="AX32" s="310" t="str">
        <f>_xlfn.IFNA(VLOOKUP($AH32,Programma!$F$3:$V$1107,17,0),"")</f>
        <v>_</v>
      </c>
      <c r="AY32" s="310" t="str">
        <f>_xlfn.IFNA(VLOOKUP($AH32,Programma!$F$3:$W$1107,18,0),"")</f>
        <v>_</v>
      </c>
      <c r="AZ32" s="310" t="str">
        <f>_xlfn.IFNA(VLOOKUP($AH32,Programma!$F$3:$X$1107,19,0),"")</f>
        <v>_</v>
      </c>
      <c r="BA32" s="310" t="str">
        <f>_xlfn.IFNA(VLOOKUP($AH32,Programma!$F$3:$Y$1107,20,0),"")</f>
        <v>_</v>
      </c>
      <c r="BB32" s="273"/>
      <c r="BC32" s="272" t="str">
        <f>IF(Ruimtestaat[[#This Row],[Frequentie weekend]]="","",_xlfn.CONCAT(Ruimtestaat[[#This Row],[Ruimte code]],"-",Ruimtestaat[[#This Row],[Frequentie weekend]]," ",Ruimtestaat[[#This Row],[Vloer code]]))</f>
        <v/>
      </c>
      <c r="BD32" s="310" t="str">
        <f>_xlfn.IFNA(VLOOKUP($BC32,Programma!$F$3:$G$1107,2,0),"")</f>
        <v/>
      </c>
      <c r="BE32" s="310" t="str">
        <f>_xlfn.IFNA(VLOOKUP($BC32,Programma!$F$3:$H$1107,3,0),"")</f>
        <v/>
      </c>
      <c r="BF32" s="310" t="str">
        <f>_xlfn.IFNA(VLOOKUP($BC32,Programma!$F$3:$I$1107,4,0),"")</f>
        <v/>
      </c>
      <c r="BG32" s="310" t="str">
        <f>_xlfn.IFNA(VLOOKUP($BC32,Programma!$F$3:$J$1107,5,0),"")</f>
        <v/>
      </c>
      <c r="BH32" s="310" t="str">
        <f>_xlfn.IFNA(VLOOKUP($BC32,Programma!$F$3:$K$1107,6,0),"")</f>
        <v/>
      </c>
      <c r="BI32" s="310" t="str">
        <f>_xlfn.IFNA(VLOOKUP($BC32,Programma!$F$3:$L$1107,7,0),"")</f>
        <v/>
      </c>
      <c r="BJ32" s="310" t="str">
        <f>_xlfn.IFNA(VLOOKUP($BC32,Programma!$F$3:$M$1107,8,0),"")</f>
        <v/>
      </c>
      <c r="BK32" s="310" t="str">
        <f>_xlfn.IFNA(VLOOKUP($BC32,Programma!$F$3:$N$1107,9,0),"")</f>
        <v/>
      </c>
      <c r="BL32" s="310" t="str">
        <f>_xlfn.IFNA(VLOOKUP($BC32,Programma!$F$3:$O$1107,10,0),"")</f>
        <v/>
      </c>
      <c r="BM32" s="310" t="str">
        <f>_xlfn.IFNA(VLOOKUP($BC32,Programma!$F$3:$P$1107,11,0),"")</f>
        <v/>
      </c>
      <c r="BN32" s="310" t="str">
        <f>_xlfn.IFNA(VLOOKUP($BC32,Programma!$F$3:$Q$1107,12,0),"")</f>
        <v/>
      </c>
      <c r="BO32" s="310" t="str">
        <f>_xlfn.IFNA(VLOOKUP($BC32,Programma!$F$3:$R$1107,13,0),"")</f>
        <v/>
      </c>
      <c r="BP32" s="310" t="str">
        <f>_xlfn.IFNA(VLOOKUP($BC32,Programma!$F$3:$S$1107,14,0),"")</f>
        <v/>
      </c>
      <c r="BQ32" s="310" t="str">
        <f>_xlfn.IFNA(VLOOKUP($BC32,Programma!$F$3:$T$1107,15,0),"")</f>
        <v/>
      </c>
      <c r="BR32" s="310" t="str">
        <f>_xlfn.IFNA(VLOOKUP($BC32,Programma!$F$3:$U$1107,16,0),"")</f>
        <v/>
      </c>
      <c r="BS32" s="310" t="str">
        <f>_xlfn.IFNA(VLOOKUP($BC32,Programma!$F$3:$V$1107,17,0),"")</f>
        <v/>
      </c>
      <c r="BT32" s="310" t="str">
        <f>_xlfn.IFNA(VLOOKUP($BC32,Programma!$F$3:$W$1107,18,0),"")</f>
        <v/>
      </c>
      <c r="BU32" s="310" t="str">
        <f>_xlfn.IFNA(VLOOKUP($BC32,Programma!$F$3:$X$1107,19,0),"")</f>
        <v/>
      </c>
      <c r="BV32" s="310" t="str">
        <f>_xlfn.IFNA(VLOOKUP($BC32,Programma!$F$3:$Y$1107,20,0),"")</f>
        <v/>
      </c>
    </row>
    <row r="33" spans="1:74" ht="15" customHeight="1">
      <c r="A33" s="33">
        <v>1</v>
      </c>
      <c r="B33" s="173" t="s">
        <v>1619</v>
      </c>
      <c r="C33" s="173" t="str">
        <f>VLOOKUP(Ruimtestaat[[#This Row],[Code]],Locaties[[#All],[Code]:[Adres]],4,FALSE)</f>
        <v>Stationslaan 26</v>
      </c>
      <c r="D33" s="173" t="str">
        <f>VLOOKUP(Ruimtestaat[[#This Row],[Code]],Locaties[[#All],[Code]:[Postcode]],5,FALSE)</f>
        <v>3842 LA</v>
      </c>
      <c r="E33" s="173" t="str">
        <f>VLOOKUP(Ruimtestaat[[#This Row],[Code]],Locaties[#All],6,FALSE)</f>
        <v>Harderwijk</v>
      </c>
      <c r="F33" s="21" t="s">
        <v>1621</v>
      </c>
      <c r="G33" s="33" t="s">
        <v>1613</v>
      </c>
      <c r="H33" s="311" t="s">
        <v>1657</v>
      </c>
      <c r="I33" s="312" t="s">
        <v>1615</v>
      </c>
      <c r="J33" s="21">
        <v>16</v>
      </c>
      <c r="K33" s="69" t="str">
        <f>VLOOKUP(Ruimtestaat[[#This Row],[Ruimte code]],Ruimtegroepen[[#All],[Code]:[Ruimte omschrijving]],2,FALSE)</f>
        <v>Leslokalen</v>
      </c>
      <c r="L33" s="33" t="s">
        <v>100</v>
      </c>
      <c r="M33" s="312" t="s">
        <v>1803</v>
      </c>
      <c r="N33" s="148">
        <v>11</v>
      </c>
      <c r="O33" s="33"/>
      <c r="P33" s="134" t="str">
        <f>VLOOKUP(Ruimtestaat[[#This Row],[Ruimte code]],Ruimtegroepen[],4,FALSE)</f>
        <v>Le</v>
      </c>
      <c r="Q33" s="33">
        <v>40</v>
      </c>
      <c r="R33" s="33" t="s">
        <v>2</v>
      </c>
      <c r="S33" s="33">
        <f>IF(Q33&gt;0,IF(RIGHT(Ruimtestaat[[#This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 s="33">
        <f>IF(S33&gt;0,VLOOKUP($J33,Ruimtegroepen[],3,FALSE)*VLOOKUP($L33,Vloersoorten[],3,FALSE)*VLOOKUP($R33,Frequenties[],3,FALSE)*VLOOKUP($A33,Locaties[],3,FALSE),0)</f>
        <v>0</v>
      </c>
      <c r="U33" s="33">
        <f>Ruimtestaat[[#This Row],[Uitvoeringen werkdagen]]*Ruimtestaat[[#This Row],[Oppervlak (netto)]]</f>
        <v>2200</v>
      </c>
      <c r="V33" s="170">
        <f>IF(T33&gt;0,Ruimtestaat[[#This Row],[Prest. (m2 /jaar) werkdagen]]/Ruimtestaat[[#This Row],[Norm (m2/uur) werkdagen]],0)</f>
        <v>0</v>
      </c>
      <c r="W33" s="171">
        <f>Ruimtestaat[[#This Row],[uren / jaar werkdagen]]*Tariefsopbouw!$E$35</f>
        <v>0</v>
      </c>
      <c r="X33" s="33"/>
      <c r="Y33" s="33">
        <f>IF(Ruimtestaat[[#This Row],[Frequentie weekend]]&gt;0,VALUE(LEFT(X33,1))*Q33,0)</f>
        <v>0</v>
      </c>
      <c r="Z33" s="104">
        <f>IF($Y33&gt;0,VLOOKUP($J33,Ruimtegroepen[],3,FALSE)*VLOOKUP($L33,Vloersoorten[],3,FALSE)*VLOOKUP($X33,Frequenties[],3,FALSE)*VLOOKUP(Ruimtestaat[[#This Row],[Code]],Locaties[],3,FALSE),0)</f>
        <v>0</v>
      </c>
      <c r="AA33" s="104">
        <f>Ruimtestaat[[#This Row],[Uitvoeringen weekend]]*Ruimtestaat[[#This Row],[Oppervlak (netto)]]</f>
        <v>0</v>
      </c>
      <c r="AB33" s="104">
        <f>IF(Z33&gt;0,Ruimtestaat[[#This Row],[Prest. (m2 /jaar) weekend]]/Ruimtestaat[[#This Row],[Norm (m2/uur) weekend]],0)</f>
        <v>0</v>
      </c>
      <c r="AC33" s="171">
        <f>Ruimtestaat[[#This Row],[uren / jaar weekend]]*Tariefsopbouw!$D$40</f>
        <v>0</v>
      </c>
      <c r="AD33" s="170">
        <f>Ruimtestaat[[#This Row],[Prest. (m2 /jaar) weekend]]+Ruimtestaat[[#This Row],[Prest. (m2 /jaar) werkdagen]]</f>
        <v>2200</v>
      </c>
      <c r="AE33" s="170">
        <f>Ruimtestaat[[#This Row],[uren / jaar weekend]]+Ruimtestaat[[#This Row],[uren / jaar werkdagen]]</f>
        <v>0</v>
      </c>
      <c r="AF33" s="76">
        <f>Ruimtestaat[[#This Row],[kosten / jaar weekend]]+Ruimtestaat[[#This Row],[kosten / jaar werkdagen]]</f>
        <v>0</v>
      </c>
      <c r="AG33" s="76"/>
      <c r="AH33" s="272" t="str">
        <f>IF(Ruimtestaat[[#This Row],[Frequentie werkdagen]]="","",_xlfn.CONCAT(Ruimtestaat[[#This Row],[Ruimte code]],"-",Ruimtestaat[[#This Row],[Frequentie werkdagen]]," ",Ruimtestaat[[#This Row],[Vloer code]]))</f>
        <v>16-5w T</v>
      </c>
      <c r="AI33" s="310" t="str">
        <f>_xlfn.IFNA(VLOOKUP($AH33,Programma!$F$3:$G$1107,2,0),"")</f>
        <v>3w</v>
      </c>
      <c r="AJ33" s="310" t="str">
        <f>_xlfn.IFNA(VLOOKUP($AH33,Programma!$F$3:$H$1107,3,0),"")</f>
        <v>2w</v>
      </c>
      <c r="AK33" s="310" t="str">
        <f>_xlfn.IFNA(VLOOKUP($AH33,Programma!$F$3:$I$1107,4,0),"")</f>
        <v>_</v>
      </c>
      <c r="AL33" s="310" t="str">
        <f>_xlfn.IFNA(VLOOKUP($AH33,Programma!$F$3:$J$1107,5,0),"")</f>
        <v>_</v>
      </c>
      <c r="AM33" s="310" t="str">
        <f>_xlfn.IFNA(VLOOKUP($AH33,Programma!$F$3:$K$1107,6,0),"")</f>
        <v>_</v>
      </c>
      <c r="AN33" s="310" t="str">
        <f>_xlfn.IFNA(VLOOKUP($AH33,Programma!$F$3:$L$1107,7,0),"")</f>
        <v>_</v>
      </c>
      <c r="AO33" s="310" t="str">
        <f>_xlfn.IFNA(VLOOKUP($AH33,Programma!$F$3:$M$1107,8,0),"")</f>
        <v>_</v>
      </c>
      <c r="AP33" s="310" t="str">
        <f>_xlfn.IFNA(VLOOKUP($AH33,Programma!$F$3:$N$1107,9,0),"")</f>
        <v>_</v>
      </c>
      <c r="AQ33" s="310" t="str">
        <f>_xlfn.IFNA(VLOOKUP($AH33,Programma!$F$3:$O$1107,10,0),"")</f>
        <v>5w</v>
      </c>
      <c r="AR33" s="310" t="str">
        <f>_xlfn.IFNA(VLOOKUP($AH33,Programma!$F$3:$P$1107,11,0),"")</f>
        <v>5w</v>
      </c>
      <c r="AS33" s="310" t="str">
        <f>_xlfn.IFNA(VLOOKUP($AH33,Programma!$F$3:$Q$1107,12,0),"")</f>
        <v>1w</v>
      </c>
      <c r="AT33" s="310" t="str">
        <f>_xlfn.IFNA(VLOOKUP($AH33,Programma!$F$3:$R$1107,13,0),"")</f>
        <v>1w</v>
      </c>
      <c r="AU33" s="310" t="str">
        <f>_xlfn.IFNA(VLOOKUP($AH33,Programma!$F$3:$S$1107,14,0),"")</f>
        <v>1m</v>
      </c>
      <c r="AV33" s="310" t="str">
        <f>_xlfn.IFNA(VLOOKUP($AH33,Programma!$F$3:$T$1107,15,0),"")</f>
        <v>2j</v>
      </c>
      <c r="AW33" s="310" t="str">
        <f>_xlfn.IFNA(VLOOKUP($AH33,Programma!$F$3:$U$1107,16,0),"")</f>
        <v>1j</v>
      </c>
      <c r="AX33" s="310" t="str">
        <f>_xlfn.IFNA(VLOOKUP($AH33,Programma!$F$3:$V$1107,17,0),"")</f>
        <v>_</v>
      </c>
      <c r="AY33" s="310" t="str">
        <f>_xlfn.IFNA(VLOOKUP($AH33,Programma!$F$3:$W$1107,18,0),"")</f>
        <v>_</v>
      </c>
      <c r="AZ33" s="310" t="str">
        <f>_xlfn.IFNA(VLOOKUP($AH33,Programma!$F$3:$X$1107,19,0),"")</f>
        <v>_</v>
      </c>
      <c r="BA33" s="310" t="str">
        <f>_xlfn.IFNA(VLOOKUP($AH33,Programma!$F$3:$Y$1107,20,0),"")</f>
        <v>_</v>
      </c>
      <c r="BB33" s="273"/>
      <c r="BC33" s="272" t="str">
        <f>IF(Ruimtestaat[[#This Row],[Frequentie weekend]]="","",_xlfn.CONCAT(Ruimtestaat[[#This Row],[Ruimte code]],"-",Ruimtestaat[[#This Row],[Frequentie weekend]]," ",Ruimtestaat[[#This Row],[Vloer code]]))</f>
        <v/>
      </c>
      <c r="BD33" s="310" t="str">
        <f>_xlfn.IFNA(VLOOKUP($BC33,Programma!$F$3:$G$1107,2,0),"")</f>
        <v/>
      </c>
      <c r="BE33" s="310" t="str">
        <f>_xlfn.IFNA(VLOOKUP($BC33,Programma!$F$3:$H$1107,3,0),"")</f>
        <v/>
      </c>
      <c r="BF33" s="310" t="str">
        <f>_xlfn.IFNA(VLOOKUP($BC33,Programma!$F$3:$I$1107,4,0),"")</f>
        <v/>
      </c>
      <c r="BG33" s="310" t="str">
        <f>_xlfn.IFNA(VLOOKUP($BC33,Programma!$F$3:$J$1107,5,0),"")</f>
        <v/>
      </c>
      <c r="BH33" s="310" t="str">
        <f>_xlfn.IFNA(VLOOKUP($BC33,Programma!$F$3:$K$1107,6,0),"")</f>
        <v/>
      </c>
      <c r="BI33" s="310" t="str">
        <f>_xlfn.IFNA(VLOOKUP($BC33,Programma!$F$3:$L$1107,7,0),"")</f>
        <v/>
      </c>
      <c r="BJ33" s="310" t="str">
        <f>_xlfn.IFNA(VLOOKUP($BC33,Programma!$F$3:$M$1107,8,0),"")</f>
        <v/>
      </c>
      <c r="BK33" s="310" t="str">
        <f>_xlfn.IFNA(VLOOKUP($BC33,Programma!$F$3:$N$1107,9,0),"")</f>
        <v/>
      </c>
      <c r="BL33" s="310" t="str">
        <f>_xlfn.IFNA(VLOOKUP($BC33,Programma!$F$3:$O$1107,10,0),"")</f>
        <v/>
      </c>
      <c r="BM33" s="310" t="str">
        <f>_xlfn.IFNA(VLOOKUP($BC33,Programma!$F$3:$P$1107,11,0),"")</f>
        <v/>
      </c>
      <c r="BN33" s="310" t="str">
        <f>_xlfn.IFNA(VLOOKUP($BC33,Programma!$F$3:$Q$1107,12,0),"")</f>
        <v/>
      </c>
      <c r="BO33" s="310" t="str">
        <f>_xlfn.IFNA(VLOOKUP($BC33,Programma!$F$3:$R$1107,13,0),"")</f>
        <v/>
      </c>
      <c r="BP33" s="310" t="str">
        <f>_xlfn.IFNA(VLOOKUP($BC33,Programma!$F$3:$S$1107,14,0),"")</f>
        <v/>
      </c>
      <c r="BQ33" s="310" t="str">
        <f>_xlfn.IFNA(VLOOKUP($BC33,Programma!$F$3:$T$1107,15,0),"")</f>
        <v/>
      </c>
      <c r="BR33" s="310" t="str">
        <f>_xlfn.IFNA(VLOOKUP($BC33,Programma!$F$3:$U$1107,16,0),"")</f>
        <v/>
      </c>
      <c r="BS33" s="310" t="str">
        <f>_xlfn.IFNA(VLOOKUP($BC33,Programma!$F$3:$V$1107,17,0),"")</f>
        <v/>
      </c>
      <c r="BT33" s="310" t="str">
        <f>_xlfn.IFNA(VLOOKUP($BC33,Programma!$F$3:$W$1107,18,0),"")</f>
        <v/>
      </c>
      <c r="BU33" s="310" t="str">
        <f>_xlfn.IFNA(VLOOKUP($BC33,Programma!$F$3:$X$1107,19,0),"")</f>
        <v/>
      </c>
      <c r="BV33" s="310" t="str">
        <f>_xlfn.IFNA(VLOOKUP($BC33,Programma!$F$3:$Y$1107,20,0),"")</f>
        <v/>
      </c>
    </row>
    <row r="34" spans="1:74" ht="15" customHeight="1">
      <c r="A34" s="33">
        <v>1</v>
      </c>
      <c r="B34" s="173" t="s">
        <v>1619</v>
      </c>
      <c r="C34" s="173" t="str">
        <f>VLOOKUP(Ruimtestaat[[#This Row],[Code]],Locaties[[#All],[Code]:[Adres]],4,FALSE)</f>
        <v>Stationslaan 26</v>
      </c>
      <c r="D34" s="173" t="str">
        <f>VLOOKUP(Ruimtestaat[[#This Row],[Code]],Locaties[[#All],[Code]:[Postcode]],5,FALSE)</f>
        <v>3842 LA</v>
      </c>
      <c r="E34" s="173" t="str">
        <f>VLOOKUP(Ruimtestaat[[#This Row],[Code]],Locaties[#All],6,FALSE)</f>
        <v>Harderwijk</v>
      </c>
      <c r="F34" s="21" t="s">
        <v>1621</v>
      </c>
      <c r="G34" s="33" t="s">
        <v>1613</v>
      </c>
      <c r="H34" s="311" t="s">
        <v>1658</v>
      </c>
      <c r="I34" s="312" t="s">
        <v>1615</v>
      </c>
      <c r="J34" s="21">
        <v>16</v>
      </c>
      <c r="K34" s="69" t="str">
        <f>VLOOKUP(Ruimtestaat[[#This Row],[Ruimte code]],Ruimtegroepen[[#All],[Code]:[Ruimte omschrijving]],2,FALSE)</f>
        <v>Leslokalen</v>
      </c>
      <c r="L34" s="33" t="s">
        <v>100</v>
      </c>
      <c r="M34" s="312" t="s">
        <v>1803</v>
      </c>
      <c r="N34" s="148">
        <v>11</v>
      </c>
      <c r="O34" s="150"/>
      <c r="P34" s="134" t="str">
        <f>VLOOKUP(Ruimtestaat[[#This Row],[Ruimte code]],Ruimtegroepen[],4,FALSE)</f>
        <v>Le</v>
      </c>
      <c r="Q34" s="33">
        <v>40</v>
      </c>
      <c r="R34" s="33" t="s">
        <v>2</v>
      </c>
      <c r="S34" s="33">
        <f>IF(Q34&gt;0,IF(RIGHT(Ruimtestaat[[#This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 s="33">
        <f>IF(S34&gt;0,VLOOKUP($J34,Ruimtegroepen[],3,FALSE)*VLOOKUP($L34,Vloersoorten[],3,FALSE)*VLOOKUP($R34,Frequenties[],3,FALSE)*VLOOKUP($A34,Locaties[],3,FALSE),0)</f>
        <v>0</v>
      </c>
      <c r="U34" s="33">
        <f>Ruimtestaat[[#This Row],[Uitvoeringen werkdagen]]*Ruimtestaat[[#This Row],[Oppervlak (netto)]]</f>
        <v>2200</v>
      </c>
      <c r="V34" s="170">
        <f>IF(T34&gt;0,Ruimtestaat[[#This Row],[Prest. (m2 /jaar) werkdagen]]/Ruimtestaat[[#This Row],[Norm (m2/uur) werkdagen]],0)</f>
        <v>0</v>
      </c>
      <c r="W34" s="171">
        <f>Ruimtestaat[[#This Row],[uren / jaar werkdagen]]*Tariefsopbouw!$E$35</f>
        <v>0</v>
      </c>
      <c r="X34" s="33"/>
      <c r="Y34" s="33">
        <f>IF(Ruimtestaat[[#This Row],[Frequentie weekend]]&gt;0,VALUE(LEFT(X34,1))*Q34,0)</f>
        <v>0</v>
      </c>
      <c r="Z34" s="104">
        <f>IF($Y34&gt;0,VLOOKUP($J34,Ruimtegroepen[],3,FALSE)*VLOOKUP($L34,Vloersoorten[],3,FALSE)*VLOOKUP($X34,Frequenties[],3,FALSE)*VLOOKUP(Ruimtestaat[[#This Row],[Code]],Locaties[],3,FALSE),0)</f>
        <v>0</v>
      </c>
      <c r="AA34" s="104">
        <f>Ruimtestaat[[#This Row],[Uitvoeringen weekend]]*Ruimtestaat[[#This Row],[Oppervlak (netto)]]</f>
        <v>0</v>
      </c>
      <c r="AB34" s="104">
        <f>IF(Z34&gt;0,Ruimtestaat[[#This Row],[Prest. (m2 /jaar) weekend]]/Ruimtestaat[[#This Row],[Norm (m2/uur) weekend]],0)</f>
        <v>0</v>
      </c>
      <c r="AC34" s="171">
        <f>Ruimtestaat[[#This Row],[uren / jaar weekend]]*Tariefsopbouw!$D$40</f>
        <v>0</v>
      </c>
      <c r="AD34" s="170">
        <f>Ruimtestaat[[#This Row],[Prest. (m2 /jaar) weekend]]+Ruimtestaat[[#This Row],[Prest. (m2 /jaar) werkdagen]]</f>
        <v>2200</v>
      </c>
      <c r="AE34" s="170">
        <f>Ruimtestaat[[#This Row],[uren / jaar weekend]]+Ruimtestaat[[#This Row],[uren / jaar werkdagen]]</f>
        <v>0</v>
      </c>
      <c r="AF34" s="76">
        <f>Ruimtestaat[[#This Row],[kosten / jaar weekend]]+Ruimtestaat[[#This Row],[kosten / jaar werkdagen]]</f>
        <v>0</v>
      </c>
      <c r="AG34" s="76"/>
      <c r="AH34" s="272" t="str">
        <f>IF(Ruimtestaat[[#This Row],[Frequentie werkdagen]]="","",_xlfn.CONCAT(Ruimtestaat[[#This Row],[Ruimte code]],"-",Ruimtestaat[[#This Row],[Frequentie werkdagen]]," ",Ruimtestaat[[#This Row],[Vloer code]]))</f>
        <v>16-5w T</v>
      </c>
      <c r="AI34" s="310" t="str">
        <f>_xlfn.IFNA(VLOOKUP($AH34,Programma!$F$3:$G$1107,2,0),"")</f>
        <v>3w</v>
      </c>
      <c r="AJ34" s="310" t="str">
        <f>_xlfn.IFNA(VLOOKUP($AH34,Programma!$F$3:$H$1107,3,0),"")</f>
        <v>2w</v>
      </c>
      <c r="AK34" s="310" t="str">
        <f>_xlfn.IFNA(VLOOKUP($AH34,Programma!$F$3:$I$1107,4,0),"")</f>
        <v>_</v>
      </c>
      <c r="AL34" s="310" t="str">
        <f>_xlfn.IFNA(VLOOKUP($AH34,Programma!$F$3:$J$1107,5,0),"")</f>
        <v>_</v>
      </c>
      <c r="AM34" s="310" t="str">
        <f>_xlfn.IFNA(VLOOKUP($AH34,Programma!$F$3:$K$1107,6,0),"")</f>
        <v>_</v>
      </c>
      <c r="AN34" s="310" t="str">
        <f>_xlfn.IFNA(VLOOKUP($AH34,Programma!$F$3:$L$1107,7,0),"")</f>
        <v>_</v>
      </c>
      <c r="AO34" s="310" t="str">
        <f>_xlfn.IFNA(VLOOKUP($AH34,Programma!$F$3:$M$1107,8,0),"")</f>
        <v>_</v>
      </c>
      <c r="AP34" s="310" t="str">
        <f>_xlfn.IFNA(VLOOKUP($AH34,Programma!$F$3:$N$1107,9,0),"")</f>
        <v>_</v>
      </c>
      <c r="AQ34" s="310" t="str">
        <f>_xlfn.IFNA(VLOOKUP($AH34,Programma!$F$3:$O$1107,10,0),"")</f>
        <v>5w</v>
      </c>
      <c r="AR34" s="310" t="str">
        <f>_xlfn.IFNA(VLOOKUP($AH34,Programma!$F$3:$P$1107,11,0),"")</f>
        <v>5w</v>
      </c>
      <c r="AS34" s="310" t="str">
        <f>_xlfn.IFNA(VLOOKUP($AH34,Programma!$F$3:$Q$1107,12,0),"")</f>
        <v>1w</v>
      </c>
      <c r="AT34" s="310" t="str">
        <f>_xlfn.IFNA(VLOOKUP($AH34,Programma!$F$3:$R$1107,13,0),"")</f>
        <v>1w</v>
      </c>
      <c r="AU34" s="310" t="str">
        <f>_xlfn.IFNA(VLOOKUP($AH34,Programma!$F$3:$S$1107,14,0),"")</f>
        <v>1m</v>
      </c>
      <c r="AV34" s="310" t="str">
        <f>_xlfn.IFNA(VLOOKUP($AH34,Programma!$F$3:$T$1107,15,0),"")</f>
        <v>2j</v>
      </c>
      <c r="AW34" s="310" t="str">
        <f>_xlfn.IFNA(VLOOKUP($AH34,Programma!$F$3:$U$1107,16,0),"")</f>
        <v>1j</v>
      </c>
      <c r="AX34" s="310" t="str">
        <f>_xlfn.IFNA(VLOOKUP($AH34,Programma!$F$3:$V$1107,17,0),"")</f>
        <v>_</v>
      </c>
      <c r="AY34" s="310" t="str">
        <f>_xlfn.IFNA(VLOOKUP($AH34,Programma!$F$3:$W$1107,18,0),"")</f>
        <v>_</v>
      </c>
      <c r="AZ34" s="310" t="str">
        <f>_xlfn.IFNA(VLOOKUP($AH34,Programma!$F$3:$X$1107,19,0),"")</f>
        <v>_</v>
      </c>
      <c r="BA34" s="310" t="str">
        <f>_xlfn.IFNA(VLOOKUP($AH34,Programma!$F$3:$Y$1107,20,0),"")</f>
        <v>_</v>
      </c>
      <c r="BB34" s="273"/>
      <c r="BC34" s="272" t="str">
        <f>IF(Ruimtestaat[[#This Row],[Frequentie weekend]]="","",_xlfn.CONCAT(Ruimtestaat[[#This Row],[Ruimte code]],"-",Ruimtestaat[[#This Row],[Frequentie weekend]]," ",Ruimtestaat[[#This Row],[Vloer code]]))</f>
        <v/>
      </c>
      <c r="BD34" s="310" t="str">
        <f>_xlfn.IFNA(VLOOKUP($BC34,Programma!$F$3:$G$1107,2,0),"")</f>
        <v/>
      </c>
      <c r="BE34" s="310" t="str">
        <f>_xlfn.IFNA(VLOOKUP($BC34,Programma!$F$3:$H$1107,3,0),"")</f>
        <v/>
      </c>
      <c r="BF34" s="310" t="str">
        <f>_xlfn.IFNA(VLOOKUP($BC34,Programma!$F$3:$I$1107,4,0),"")</f>
        <v/>
      </c>
      <c r="BG34" s="310" t="str">
        <f>_xlfn.IFNA(VLOOKUP($BC34,Programma!$F$3:$J$1107,5,0),"")</f>
        <v/>
      </c>
      <c r="BH34" s="310" t="str">
        <f>_xlfn.IFNA(VLOOKUP($BC34,Programma!$F$3:$K$1107,6,0),"")</f>
        <v/>
      </c>
      <c r="BI34" s="310" t="str">
        <f>_xlfn.IFNA(VLOOKUP($BC34,Programma!$F$3:$L$1107,7,0),"")</f>
        <v/>
      </c>
      <c r="BJ34" s="310" t="str">
        <f>_xlfn.IFNA(VLOOKUP($BC34,Programma!$F$3:$M$1107,8,0),"")</f>
        <v/>
      </c>
      <c r="BK34" s="310" t="str">
        <f>_xlfn.IFNA(VLOOKUP($BC34,Programma!$F$3:$N$1107,9,0),"")</f>
        <v/>
      </c>
      <c r="BL34" s="310" t="str">
        <f>_xlfn.IFNA(VLOOKUP($BC34,Programma!$F$3:$O$1107,10,0),"")</f>
        <v/>
      </c>
      <c r="BM34" s="310" t="str">
        <f>_xlfn.IFNA(VLOOKUP($BC34,Programma!$F$3:$P$1107,11,0),"")</f>
        <v/>
      </c>
      <c r="BN34" s="310" t="str">
        <f>_xlfn.IFNA(VLOOKUP($BC34,Programma!$F$3:$Q$1107,12,0),"")</f>
        <v/>
      </c>
      <c r="BO34" s="310" t="str">
        <f>_xlfn.IFNA(VLOOKUP($BC34,Programma!$F$3:$R$1107,13,0),"")</f>
        <v/>
      </c>
      <c r="BP34" s="310" t="str">
        <f>_xlfn.IFNA(VLOOKUP($BC34,Programma!$F$3:$S$1107,14,0),"")</f>
        <v/>
      </c>
      <c r="BQ34" s="310" t="str">
        <f>_xlfn.IFNA(VLOOKUP($BC34,Programma!$F$3:$T$1107,15,0),"")</f>
        <v/>
      </c>
      <c r="BR34" s="310" t="str">
        <f>_xlfn.IFNA(VLOOKUP($BC34,Programma!$F$3:$U$1107,16,0),"")</f>
        <v/>
      </c>
      <c r="BS34" s="310" t="str">
        <f>_xlfn.IFNA(VLOOKUP($BC34,Programma!$F$3:$V$1107,17,0),"")</f>
        <v/>
      </c>
      <c r="BT34" s="310" t="str">
        <f>_xlfn.IFNA(VLOOKUP($BC34,Programma!$F$3:$W$1107,18,0),"")</f>
        <v/>
      </c>
      <c r="BU34" s="310" t="str">
        <f>_xlfn.IFNA(VLOOKUP($BC34,Programma!$F$3:$X$1107,19,0),"")</f>
        <v/>
      </c>
      <c r="BV34" s="310" t="str">
        <f>_xlfn.IFNA(VLOOKUP($BC34,Programma!$F$3:$Y$1107,20,0),"")</f>
        <v/>
      </c>
    </row>
    <row r="35" spans="1:74" ht="15" customHeight="1">
      <c r="A35" s="33">
        <v>1</v>
      </c>
      <c r="B35" s="173" t="s">
        <v>1619</v>
      </c>
      <c r="C35" s="173" t="str">
        <f>VLOOKUP(Ruimtestaat[[#This Row],[Code]],Locaties[[#All],[Code]:[Adres]],4,FALSE)</f>
        <v>Stationslaan 26</v>
      </c>
      <c r="D35" s="173" t="str">
        <f>VLOOKUP(Ruimtestaat[[#This Row],[Code]],Locaties[[#All],[Code]:[Postcode]],5,FALSE)</f>
        <v>3842 LA</v>
      </c>
      <c r="E35" s="173" t="str">
        <f>VLOOKUP(Ruimtestaat[[#This Row],[Code]],Locaties[#All],6,FALSE)</f>
        <v>Harderwijk</v>
      </c>
      <c r="F35" s="21" t="s">
        <v>1621</v>
      </c>
      <c r="G35" s="33" t="s">
        <v>1613</v>
      </c>
      <c r="H35" s="311" t="s">
        <v>1659</v>
      </c>
      <c r="I35" s="312" t="s">
        <v>1615</v>
      </c>
      <c r="J35" s="21">
        <v>16</v>
      </c>
      <c r="K35" s="70" t="str">
        <f>VLOOKUP(Ruimtestaat[[#This Row],[Ruimte code]],Ruimtegroepen[[#All],[Code]:[Ruimte omschrijving]],2,FALSE)</f>
        <v>Leslokalen</v>
      </c>
      <c r="L35" s="33" t="s">
        <v>100</v>
      </c>
      <c r="M35" s="312" t="s">
        <v>1803</v>
      </c>
      <c r="N35" s="148">
        <v>15</v>
      </c>
      <c r="O35" s="150"/>
      <c r="P35" s="134" t="str">
        <f>VLOOKUP(Ruimtestaat[[#This Row],[Ruimte code]],Ruimtegroepen[],4,FALSE)</f>
        <v>Le</v>
      </c>
      <c r="Q35" s="33">
        <v>40</v>
      </c>
      <c r="R35" s="33" t="s">
        <v>2</v>
      </c>
      <c r="S35" s="33">
        <f>IF(Q35&gt;0,IF(RIGHT(Ruimtestaat[[#This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 s="33">
        <f>IF(S35&gt;0,VLOOKUP($J35,Ruimtegroepen[],3,FALSE)*VLOOKUP($L35,Vloersoorten[],3,FALSE)*VLOOKUP($R35,Frequenties[],3,FALSE)*VLOOKUP($A35,Locaties[],3,FALSE),0)</f>
        <v>0</v>
      </c>
      <c r="U35" s="33">
        <f>Ruimtestaat[[#This Row],[Uitvoeringen werkdagen]]*Ruimtestaat[[#This Row],[Oppervlak (netto)]]</f>
        <v>3000</v>
      </c>
      <c r="V35" s="170">
        <f>IF(T35&gt;0,Ruimtestaat[[#This Row],[Prest. (m2 /jaar) werkdagen]]/Ruimtestaat[[#This Row],[Norm (m2/uur) werkdagen]],0)</f>
        <v>0</v>
      </c>
      <c r="W35" s="171">
        <f>Ruimtestaat[[#This Row],[uren / jaar werkdagen]]*Tariefsopbouw!$E$35</f>
        <v>0</v>
      </c>
      <c r="X35" s="33"/>
      <c r="Y35" s="33">
        <f>IF(Ruimtestaat[[#This Row],[Frequentie weekend]]&gt;0,VALUE(LEFT(X35,1))*Q35,0)</f>
        <v>0</v>
      </c>
      <c r="Z35" s="104">
        <f>IF($Y35&gt;0,VLOOKUP($J35,Ruimtegroepen[],3,FALSE)*VLOOKUP($L35,Vloersoorten[],3,FALSE)*VLOOKUP($X35,Frequenties[],3,FALSE)*VLOOKUP(Ruimtestaat[[#This Row],[Code]],Locaties[],3,FALSE),0)</f>
        <v>0</v>
      </c>
      <c r="AA35" s="104">
        <f>Ruimtestaat[[#This Row],[Uitvoeringen weekend]]*Ruimtestaat[[#This Row],[Oppervlak (netto)]]</f>
        <v>0</v>
      </c>
      <c r="AB35" s="104">
        <f>IF(Z35&gt;0,Ruimtestaat[[#This Row],[Prest. (m2 /jaar) weekend]]/Ruimtestaat[[#This Row],[Norm (m2/uur) weekend]],0)</f>
        <v>0</v>
      </c>
      <c r="AC35" s="171">
        <f>Ruimtestaat[[#This Row],[uren / jaar weekend]]*Tariefsopbouw!$D$40</f>
        <v>0</v>
      </c>
      <c r="AD35" s="170">
        <f>Ruimtestaat[[#This Row],[Prest. (m2 /jaar) weekend]]+Ruimtestaat[[#This Row],[Prest. (m2 /jaar) werkdagen]]</f>
        <v>3000</v>
      </c>
      <c r="AE35" s="170">
        <f>Ruimtestaat[[#This Row],[uren / jaar weekend]]+Ruimtestaat[[#This Row],[uren / jaar werkdagen]]</f>
        <v>0</v>
      </c>
      <c r="AF35" s="76">
        <f>Ruimtestaat[[#This Row],[kosten / jaar weekend]]+Ruimtestaat[[#This Row],[kosten / jaar werkdagen]]</f>
        <v>0</v>
      </c>
      <c r="AG35" s="76"/>
      <c r="AH35" s="272" t="str">
        <f>IF(Ruimtestaat[[#This Row],[Frequentie werkdagen]]="","",_xlfn.CONCAT(Ruimtestaat[[#This Row],[Ruimte code]],"-",Ruimtestaat[[#This Row],[Frequentie werkdagen]]," ",Ruimtestaat[[#This Row],[Vloer code]]))</f>
        <v>16-5w T</v>
      </c>
      <c r="AI35" s="310" t="str">
        <f>_xlfn.IFNA(VLOOKUP($AH35,Programma!$F$3:$G$1107,2,0),"")</f>
        <v>3w</v>
      </c>
      <c r="AJ35" s="310" t="str">
        <f>_xlfn.IFNA(VLOOKUP($AH35,Programma!$F$3:$H$1107,3,0),"")</f>
        <v>2w</v>
      </c>
      <c r="AK35" s="310" t="str">
        <f>_xlfn.IFNA(VLOOKUP($AH35,Programma!$F$3:$I$1107,4,0),"")</f>
        <v>_</v>
      </c>
      <c r="AL35" s="310" t="str">
        <f>_xlfn.IFNA(VLOOKUP($AH35,Programma!$F$3:$J$1107,5,0),"")</f>
        <v>_</v>
      </c>
      <c r="AM35" s="310" t="str">
        <f>_xlfn.IFNA(VLOOKUP($AH35,Programma!$F$3:$K$1107,6,0),"")</f>
        <v>_</v>
      </c>
      <c r="AN35" s="310" t="str">
        <f>_xlfn.IFNA(VLOOKUP($AH35,Programma!$F$3:$L$1107,7,0),"")</f>
        <v>_</v>
      </c>
      <c r="AO35" s="310" t="str">
        <f>_xlfn.IFNA(VLOOKUP($AH35,Programma!$F$3:$M$1107,8,0),"")</f>
        <v>_</v>
      </c>
      <c r="AP35" s="310" t="str">
        <f>_xlfn.IFNA(VLOOKUP($AH35,Programma!$F$3:$N$1107,9,0),"")</f>
        <v>_</v>
      </c>
      <c r="AQ35" s="310" t="str">
        <f>_xlfn.IFNA(VLOOKUP($AH35,Programma!$F$3:$O$1107,10,0),"")</f>
        <v>5w</v>
      </c>
      <c r="AR35" s="310" t="str">
        <f>_xlfn.IFNA(VLOOKUP($AH35,Programma!$F$3:$P$1107,11,0),"")</f>
        <v>5w</v>
      </c>
      <c r="AS35" s="310" t="str">
        <f>_xlfn.IFNA(VLOOKUP($AH35,Programma!$F$3:$Q$1107,12,0),"")</f>
        <v>1w</v>
      </c>
      <c r="AT35" s="310" t="str">
        <f>_xlfn.IFNA(VLOOKUP($AH35,Programma!$F$3:$R$1107,13,0),"")</f>
        <v>1w</v>
      </c>
      <c r="AU35" s="310" t="str">
        <f>_xlfn.IFNA(VLOOKUP($AH35,Programma!$F$3:$S$1107,14,0),"")</f>
        <v>1m</v>
      </c>
      <c r="AV35" s="310" t="str">
        <f>_xlfn.IFNA(VLOOKUP($AH35,Programma!$F$3:$T$1107,15,0),"")</f>
        <v>2j</v>
      </c>
      <c r="AW35" s="310" t="str">
        <f>_xlfn.IFNA(VLOOKUP($AH35,Programma!$F$3:$U$1107,16,0),"")</f>
        <v>1j</v>
      </c>
      <c r="AX35" s="310" t="str">
        <f>_xlfn.IFNA(VLOOKUP($AH35,Programma!$F$3:$V$1107,17,0),"")</f>
        <v>_</v>
      </c>
      <c r="AY35" s="310" t="str">
        <f>_xlfn.IFNA(VLOOKUP($AH35,Programma!$F$3:$W$1107,18,0),"")</f>
        <v>_</v>
      </c>
      <c r="AZ35" s="310" t="str">
        <f>_xlfn.IFNA(VLOOKUP($AH35,Programma!$F$3:$X$1107,19,0),"")</f>
        <v>_</v>
      </c>
      <c r="BA35" s="310" t="str">
        <f>_xlfn.IFNA(VLOOKUP($AH35,Programma!$F$3:$Y$1107,20,0),"")</f>
        <v>_</v>
      </c>
      <c r="BB35" s="273"/>
      <c r="BC35" s="272" t="str">
        <f>IF(Ruimtestaat[[#This Row],[Frequentie weekend]]="","",_xlfn.CONCAT(Ruimtestaat[[#This Row],[Ruimte code]],"-",Ruimtestaat[[#This Row],[Frequentie weekend]]," ",Ruimtestaat[[#This Row],[Vloer code]]))</f>
        <v/>
      </c>
      <c r="BD35" s="310" t="str">
        <f>_xlfn.IFNA(VLOOKUP($BC35,Programma!$F$3:$G$1107,2,0),"")</f>
        <v/>
      </c>
      <c r="BE35" s="310" t="str">
        <f>_xlfn.IFNA(VLOOKUP($BC35,Programma!$F$3:$H$1107,3,0),"")</f>
        <v/>
      </c>
      <c r="BF35" s="310" t="str">
        <f>_xlfn.IFNA(VLOOKUP($BC35,Programma!$F$3:$I$1107,4,0),"")</f>
        <v/>
      </c>
      <c r="BG35" s="310" t="str">
        <f>_xlfn.IFNA(VLOOKUP($BC35,Programma!$F$3:$J$1107,5,0),"")</f>
        <v/>
      </c>
      <c r="BH35" s="310" t="str">
        <f>_xlfn.IFNA(VLOOKUP($BC35,Programma!$F$3:$K$1107,6,0),"")</f>
        <v/>
      </c>
      <c r="BI35" s="310" t="str">
        <f>_xlfn.IFNA(VLOOKUP($BC35,Programma!$F$3:$L$1107,7,0),"")</f>
        <v/>
      </c>
      <c r="BJ35" s="310" t="str">
        <f>_xlfn.IFNA(VLOOKUP($BC35,Programma!$F$3:$M$1107,8,0),"")</f>
        <v/>
      </c>
      <c r="BK35" s="310" t="str">
        <f>_xlfn.IFNA(VLOOKUP($BC35,Programma!$F$3:$N$1107,9,0),"")</f>
        <v/>
      </c>
      <c r="BL35" s="310" t="str">
        <f>_xlfn.IFNA(VLOOKUP($BC35,Programma!$F$3:$O$1107,10,0),"")</f>
        <v/>
      </c>
      <c r="BM35" s="310" t="str">
        <f>_xlfn.IFNA(VLOOKUP($BC35,Programma!$F$3:$P$1107,11,0),"")</f>
        <v/>
      </c>
      <c r="BN35" s="310" t="str">
        <f>_xlfn.IFNA(VLOOKUP($BC35,Programma!$F$3:$Q$1107,12,0),"")</f>
        <v/>
      </c>
      <c r="BO35" s="310" t="str">
        <f>_xlfn.IFNA(VLOOKUP($BC35,Programma!$F$3:$R$1107,13,0),"")</f>
        <v/>
      </c>
      <c r="BP35" s="310" t="str">
        <f>_xlfn.IFNA(VLOOKUP($BC35,Programma!$F$3:$S$1107,14,0),"")</f>
        <v/>
      </c>
      <c r="BQ35" s="310" t="str">
        <f>_xlfn.IFNA(VLOOKUP($BC35,Programma!$F$3:$T$1107,15,0),"")</f>
        <v/>
      </c>
      <c r="BR35" s="310" t="str">
        <f>_xlfn.IFNA(VLOOKUP($BC35,Programma!$F$3:$U$1107,16,0),"")</f>
        <v/>
      </c>
      <c r="BS35" s="310" t="str">
        <f>_xlfn.IFNA(VLOOKUP($BC35,Programma!$F$3:$V$1107,17,0),"")</f>
        <v/>
      </c>
      <c r="BT35" s="310" t="str">
        <f>_xlfn.IFNA(VLOOKUP($BC35,Programma!$F$3:$W$1107,18,0),"")</f>
        <v/>
      </c>
      <c r="BU35" s="310" t="str">
        <f>_xlfn.IFNA(VLOOKUP($BC35,Programma!$F$3:$X$1107,19,0),"")</f>
        <v/>
      </c>
      <c r="BV35" s="310" t="str">
        <f>_xlfn.IFNA(VLOOKUP($BC35,Programma!$F$3:$Y$1107,20,0),"")</f>
        <v/>
      </c>
    </row>
    <row r="36" spans="1:74" ht="15" customHeight="1">
      <c r="A36" s="33">
        <v>1</v>
      </c>
      <c r="B36" s="173" t="s">
        <v>1619</v>
      </c>
      <c r="C36" s="173" t="str">
        <f>VLOOKUP(Ruimtestaat[[#This Row],[Code]],Locaties[[#All],[Code]:[Adres]],4,FALSE)</f>
        <v>Stationslaan 26</v>
      </c>
      <c r="D36" s="173" t="str">
        <f>VLOOKUP(Ruimtestaat[[#This Row],[Code]],Locaties[[#All],[Code]:[Postcode]],5,FALSE)</f>
        <v>3842 LA</v>
      </c>
      <c r="E36" s="173" t="str">
        <f>VLOOKUP(Ruimtestaat[[#This Row],[Code]],Locaties[#All],6,FALSE)</f>
        <v>Harderwijk</v>
      </c>
      <c r="F36" s="21" t="s">
        <v>1621</v>
      </c>
      <c r="G36" s="33" t="s">
        <v>1613</v>
      </c>
      <c r="H36" s="311" t="s">
        <v>1660</v>
      </c>
      <c r="I36" s="312" t="s">
        <v>1615</v>
      </c>
      <c r="J36" s="21">
        <v>16</v>
      </c>
      <c r="K36" s="70" t="str">
        <f>VLOOKUP(Ruimtestaat[[#This Row],[Ruimte code]],Ruimtegroepen[[#All],[Code]:[Ruimte omschrijving]],2,FALSE)</f>
        <v>Leslokalen</v>
      </c>
      <c r="L36" s="33" t="s">
        <v>101</v>
      </c>
      <c r="M36" s="312" t="s">
        <v>1804</v>
      </c>
      <c r="N36" s="148">
        <v>45</v>
      </c>
      <c r="O36" s="33"/>
      <c r="P36" s="134" t="str">
        <f>VLOOKUP(Ruimtestaat[[#This Row],[Ruimte code]],Ruimtegroepen[],4,FALSE)</f>
        <v>Le</v>
      </c>
      <c r="Q36" s="33">
        <v>40</v>
      </c>
      <c r="R36" s="33" t="s">
        <v>2</v>
      </c>
      <c r="S36" s="33">
        <f>IF(Q36&gt;0,IF(RIGHT(Ruimtestaat[[#This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 s="33">
        <f>IF(S36&gt;0,VLOOKUP($J36,Ruimtegroepen[],3,FALSE)*VLOOKUP($L36,Vloersoorten[],3,FALSE)*VLOOKUP($R36,Frequenties[],3,FALSE)*VLOOKUP($A36,Locaties[],3,FALSE),0)</f>
        <v>0</v>
      </c>
      <c r="U36" s="33">
        <f>Ruimtestaat[[#This Row],[Uitvoeringen werkdagen]]*Ruimtestaat[[#This Row],[Oppervlak (netto)]]</f>
        <v>9000</v>
      </c>
      <c r="V36" s="170">
        <f>IF(T36&gt;0,Ruimtestaat[[#This Row],[Prest. (m2 /jaar) werkdagen]]/Ruimtestaat[[#This Row],[Norm (m2/uur) werkdagen]],0)</f>
        <v>0</v>
      </c>
      <c r="W36" s="171">
        <f>Ruimtestaat[[#This Row],[uren / jaar werkdagen]]*Tariefsopbouw!$E$35</f>
        <v>0</v>
      </c>
      <c r="X36" s="33"/>
      <c r="Y36" s="33">
        <f>IF(Ruimtestaat[[#This Row],[Frequentie weekend]]&gt;0,VALUE(LEFT(X36,1))*Q36,0)</f>
        <v>0</v>
      </c>
      <c r="Z36" s="104">
        <f>IF($Y36&gt;0,VLOOKUP($J36,Ruimtegroepen[],3,FALSE)*VLOOKUP($L36,Vloersoorten[],3,FALSE)*VLOOKUP($X36,Frequenties[],3,FALSE)*VLOOKUP(Ruimtestaat[[#This Row],[Code]],Locaties[],3,FALSE),0)</f>
        <v>0</v>
      </c>
      <c r="AA36" s="104">
        <f>Ruimtestaat[[#This Row],[Uitvoeringen weekend]]*Ruimtestaat[[#This Row],[Oppervlak (netto)]]</f>
        <v>0</v>
      </c>
      <c r="AB36" s="104">
        <f>IF(Z36&gt;0,Ruimtestaat[[#This Row],[Prest. (m2 /jaar) weekend]]/Ruimtestaat[[#This Row],[Norm (m2/uur) weekend]],0)</f>
        <v>0</v>
      </c>
      <c r="AC36" s="171">
        <f>Ruimtestaat[[#This Row],[uren / jaar weekend]]*Tariefsopbouw!$D$40</f>
        <v>0</v>
      </c>
      <c r="AD36" s="170">
        <f>Ruimtestaat[[#This Row],[Prest. (m2 /jaar) weekend]]+Ruimtestaat[[#This Row],[Prest. (m2 /jaar) werkdagen]]</f>
        <v>9000</v>
      </c>
      <c r="AE36" s="170">
        <f>Ruimtestaat[[#This Row],[uren / jaar weekend]]+Ruimtestaat[[#This Row],[uren / jaar werkdagen]]</f>
        <v>0</v>
      </c>
      <c r="AF36" s="76">
        <f>Ruimtestaat[[#This Row],[kosten / jaar weekend]]+Ruimtestaat[[#This Row],[kosten / jaar werkdagen]]</f>
        <v>0</v>
      </c>
      <c r="AG36" s="76"/>
      <c r="AH36" s="272" t="str">
        <f>IF(Ruimtestaat[[#This Row],[Frequentie werkdagen]]="","",_xlfn.CONCAT(Ruimtestaat[[#This Row],[Ruimte code]],"-",Ruimtestaat[[#This Row],[Frequentie werkdagen]]," ",Ruimtestaat[[#This Row],[Vloer code]]))</f>
        <v>16-5w L</v>
      </c>
      <c r="AI36" s="310" t="str">
        <f>_xlfn.IFNA(VLOOKUP($AH36,Programma!$F$3:$G$1107,2,0),"")</f>
        <v>_</v>
      </c>
      <c r="AJ36" s="310" t="str">
        <f>_xlfn.IFNA(VLOOKUP($AH36,Programma!$F$3:$H$1107,3,0),"")</f>
        <v>_</v>
      </c>
      <c r="AK36" s="310" t="str">
        <f>_xlfn.IFNA(VLOOKUP($AH36,Programma!$F$3:$I$1107,4,0),"")</f>
        <v>4w</v>
      </c>
      <c r="AL36" s="310" t="str">
        <f>_xlfn.IFNA(VLOOKUP($AH36,Programma!$F$3:$J$1107,5,0),"")</f>
        <v>1w</v>
      </c>
      <c r="AM36" s="310" t="str">
        <f>_xlfn.IFNA(VLOOKUP($AH36,Programma!$F$3:$K$1107,6,0),"")</f>
        <v>_</v>
      </c>
      <c r="AN36" s="310" t="str">
        <f>_xlfn.IFNA(VLOOKUP($AH36,Programma!$F$3:$L$1107,7,0),"")</f>
        <v>_</v>
      </c>
      <c r="AO36" s="310" t="str">
        <f>_xlfn.IFNA(VLOOKUP($AH36,Programma!$F$3:$M$1107,8,0),"")</f>
        <v>_</v>
      </c>
      <c r="AP36" s="310" t="str">
        <f>_xlfn.IFNA(VLOOKUP($AH36,Programma!$F$3:$N$1107,9,0),"")</f>
        <v>_</v>
      </c>
      <c r="AQ36" s="310" t="str">
        <f>_xlfn.IFNA(VLOOKUP($AH36,Programma!$F$3:$O$1107,10,0),"")</f>
        <v>5w</v>
      </c>
      <c r="AR36" s="310" t="str">
        <f>_xlfn.IFNA(VLOOKUP($AH36,Programma!$F$3:$P$1107,11,0),"")</f>
        <v>5w</v>
      </c>
      <c r="AS36" s="310" t="str">
        <f>_xlfn.IFNA(VLOOKUP($AH36,Programma!$F$3:$Q$1107,12,0),"")</f>
        <v>1w</v>
      </c>
      <c r="AT36" s="310" t="str">
        <f>_xlfn.IFNA(VLOOKUP($AH36,Programma!$F$3:$R$1107,13,0),"")</f>
        <v>1w</v>
      </c>
      <c r="AU36" s="310" t="str">
        <f>_xlfn.IFNA(VLOOKUP($AH36,Programma!$F$3:$S$1107,14,0),"")</f>
        <v>1m</v>
      </c>
      <c r="AV36" s="310" t="str">
        <f>_xlfn.IFNA(VLOOKUP($AH36,Programma!$F$3:$T$1107,15,0),"")</f>
        <v>2j</v>
      </c>
      <c r="AW36" s="310" t="str">
        <f>_xlfn.IFNA(VLOOKUP($AH36,Programma!$F$3:$U$1107,16,0),"")</f>
        <v>1j</v>
      </c>
      <c r="AX36" s="310" t="str">
        <f>_xlfn.IFNA(VLOOKUP($AH36,Programma!$F$3:$V$1107,17,0),"")</f>
        <v>_</v>
      </c>
      <c r="AY36" s="310" t="str">
        <f>_xlfn.IFNA(VLOOKUP($AH36,Programma!$F$3:$W$1107,18,0),"")</f>
        <v>_</v>
      </c>
      <c r="AZ36" s="310" t="str">
        <f>_xlfn.IFNA(VLOOKUP($AH36,Programma!$F$3:$X$1107,19,0),"")</f>
        <v>_</v>
      </c>
      <c r="BA36" s="310" t="str">
        <f>_xlfn.IFNA(VLOOKUP($AH36,Programma!$F$3:$Y$1107,20,0),"")</f>
        <v>_</v>
      </c>
      <c r="BB36" s="273"/>
      <c r="BC36" s="272" t="str">
        <f>IF(Ruimtestaat[[#This Row],[Frequentie weekend]]="","",_xlfn.CONCAT(Ruimtestaat[[#This Row],[Ruimte code]],"-",Ruimtestaat[[#This Row],[Frequentie weekend]]," ",Ruimtestaat[[#This Row],[Vloer code]]))</f>
        <v/>
      </c>
      <c r="BD36" s="310" t="str">
        <f>_xlfn.IFNA(VLOOKUP($BC36,Programma!$F$3:$G$1107,2,0),"")</f>
        <v/>
      </c>
      <c r="BE36" s="310" t="str">
        <f>_xlfn.IFNA(VLOOKUP($BC36,Programma!$F$3:$H$1107,3,0),"")</f>
        <v/>
      </c>
      <c r="BF36" s="310" t="str">
        <f>_xlfn.IFNA(VLOOKUP($BC36,Programma!$F$3:$I$1107,4,0),"")</f>
        <v/>
      </c>
      <c r="BG36" s="310" t="str">
        <f>_xlfn.IFNA(VLOOKUP($BC36,Programma!$F$3:$J$1107,5,0),"")</f>
        <v/>
      </c>
      <c r="BH36" s="310" t="str">
        <f>_xlfn.IFNA(VLOOKUP($BC36,Programma!$F$3:$K$1107,6,0),"")</f>
        <v/>
      </c>
      <c r="BI36" s="310" t="str">
        <f>_xlfn.IFNA(VLOOKUP($BC36,Programma!$F$3:$L$1107,7,0),"")</f>
        <v/>
      </c>
      <c r="BJ36" s="310" t="str">
        <f>_xlfn.IFNA(VLOOKUP($BC36,Programma!$F$3:$M$1107,8,0),"")</f>
        <v/>
      </c>
      <c r="BK36" s="310" t="str">
        <f>_xlfn.IFNA(VLOOKUP($BC36,Programma!$F$3:$N$1107,9,0),"")</f>
        <v/>
      </c>
      <c r="BL36" s="310" t="str">
        <f>_xlfn.IFNA(VLOOKUP($BC36,Programma!$F$3:$O$1107,10,0),"")</f>
        <v/>
      </c>
      <c r="BM36" s="310" t="str">
        <f>_xlfn.IFNA(VLOOKUP($BC36,Programma!$F$3:$P$1107,11,0),"")</f>
        <v/>
      </c>
      <c r="BN36" s="310" t="str">
        <f>_xlfn.IFNA(VLOOKUP($BC36,Programma!$F$3:$Q$1107,12,0),"")</f>
        <v/>
      </c>
      <c r="BO36" s="310" t="str">
        <f>_xlfn.IFNA(VLOOKUP($BC36,Programma!$F$3:$R$1107,13,0),"")</f>
        <v/>
      </c>
      <c r="BP36" s="310" t="str">
        <f>_xlfn.IFNA(VLOOKUP($BC36,Programma!$F$3:$S$1107,14,0),"")</f>
        <v/>
      </c>
      <c r="BQ36" s="310" t="str">
        <f>_xlfn.IFNA(VLOOKUP($BC36,Programma!$F$3:$T$1107,15,0),"")</f>
        <v/>
      </c>
      <c r="BR36" s="310" t="str">
        <f>_xlfn.IFNA(VLOOKUP($BC36,Programma!$F$3:$U$1107,16,0),"")</f>
        <v/>
      </c>
      <c r="BS36" s="310" t="str">
        <f>_xlfn.IFNA(VLOOKUP($BC36,Programma!$F$3:$V$1107,17,0),"")</f>
        <v/>
      </c>
      <c r="BT36" s="310" t="str">
        <f>_xlfn.IFNA(VLOOKUP($BC36,Programma!$F$3:$W$1107,18,0),"")</f>
        <v/>
      </c>
      <c r="BU36" s="310" t="str">
        <f>_xlfn.IFNA(VLOOKUP($BC36,Programma!$F$3:$X$1107,19,0),"")</f>
        <v/>
      </c>
      <c r="BV36" s="310" t="str">
        <f>_xlfn.IFNA(VLOOKUP($BC36,Programma!$F$3:$Y$1107,20,0),"")</f>
        <v/>
      </c>
    </row>
    <row r="37" spans="1:74" ht="15" customHeight="1">
      <c r="A37" s="33">
        <v>1</v>
      </c>
      <c r="B37" s="173" t="s">
        <v>1619</v>
      </c>
      <c r="C37" s="173" t="str">
        <f>VLOOKUP(Ruimtestaat[[#This Row],[Code]],Locaties[[#All],[Code]:[Adres]],4,FALSE)</f>
        <v>Stationslaan 26</v>
      </c>
      <c r="D37" s="173" t="str">
        <f>VLOOKUP(Ruimtestaat[[#This Row],[Code]],Locaties[[#All],[Code]:[Postcode]],5,FALSE)</f>
        <v>3842 LA</v>
      </c>
      <c r="E37" s="173" t="str">
        <f>VLOOKUP(Ruimtestaat[[#This Row],[Code]],Locaties[#All],6,FALSE)</f>
        <v>Harderwijk</v>
      </c>
      <c r="F37" s="21" t="s">
        <v>1621</v>
      </c>
      <c r="G37" s="33" t="s">
        <v>1613</v>
      </c>
      <c r="H37" s="311" t="s">
        <v>1661</v>
      </c>
      <c r="I37" s="312" t="s">
        <v>1615</v>
      </c>
      <c r="J37" s="21">
        <v>16</v>
      </c>
      <c r="K37" s="69" t="str">
        <f>VLOOKUP(Ruimtestaat[[#This Row],[Ruimte code]],Ruimtegroepen[[#All],[Code]:[Ruimte omschrijving]],2,FALSE)</f>
        <v>Leslokalen</v>
      </c>
      <c r="L37" s="33" t="s">
        <v>101</v>
      </c>
      <c r="M37" s="312" t="s">
        <v>1804</v>
      </c>
      <c r="N37" s="148">
        <v>45</v>
      </c>
      <c r="O37" s="150"/>
      <c r="P37" s="134" t="str">
        <f>VLOOKUP(Ruimtestaat[[#This Row],[Ruimte code]],Ruimtegroepen[],4,FALSE)</f>
        <v>Le</v>
      </c>
      <c r="Q37" s="33">
        <v>40</v>
      </c>
      <c r="R37" s="33" t="s">
        <v>2</v>
      </c>
      <c r="S37" s="33">
        <f>IF(Q37&gt;0,IF(RIGHT(Ruimtestaat[[#This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 s="33">
        <f>IF(S37&gt;0,VLOOKUP($J37,Ruimtegroepen[],3,FALSE)*VLOOKUP($L37,Vloersoorten[],3,FALSE)*VLOOKUP($R37,Frequenties[],3,FALSE)*VLOOKUP($A37,Locaties[],3,FALSE),0)</f>
        <v>0</v>
      </c>
      <c r="U37" s="33">
        <f>Ruimtestaat[[#This Row],[Uitvoeringen werkdagen]]*Ruimtestaat[[#This Row],[Oppervlak (netto)]]</f>
        <v>9000</v>
      </c>
      <c r="V37" s="170">
        <f>IF(T37&gt;0,Ruimtestaat[[#This Row],[Prest. (m2 /jaar) werkdagen]]/Ruimtestaat[[#This Row],[Norm (m2/uur) werkdagen]],0)</f>
        <v>0</v>
      </c>
      <c r="W37" s="171">
        <f>Ruimtestaat[[#This Row],[uren / jaar werkdagen]]*Tariefsopbouw!$E$35</f>
        <v>0</v>
      </c>
      <c r="X37" s="33"/>
      <c r="Y37" s="33">
        <f>IF(Ruimtestaat[[#This Row],[Frequentie weekend]]&gt;0,VALUE(LEFT(X37,1))*Q37,0)</f>
        <v>0</v>
      </c>
      <c r="Z37" s="104">
        <f>IF($Y37&gt;0,VLOOKUP($J37,Ruimtegroepen[],3,FALSE)*VLOOKUP($L37,Vloersoorten[],3,FALSE)*VLOOKUP($X37,Frequenties[],3,FALSE)*VLOOKUP(Ruimtestaat[[#This Row],[Code]],Locaties[],3,FALSE),0)</f>
        <v>0</v>
      </c>
      <c r="AA37" s="104">
        <f>Ruimtestaat[[#This Row],[Uitvoeringen weekend]]*Ruimtestaat[[#This Row],[Oppervlak (netto)]]</f>
        <v>0</v>
      </c>
      <c r="AB37" s="104">
        <f>IF(Z37&gt;0,Ruimtestaat[[#This Row],[Prest. (m2 /jaar) weekend]]/Ruimtestaat[[#This Row],[Norm (m2/uur) weekend]],0)</f>
        <v>0</v>
      </c>
      <c r="AC37" s="171">
        <f>Ruimtestaat[[#This Row],[uren / jaar weekend]]*Tariefsopbouw!$D$40</f>
        <v>0</v>
      </c>
      <c r="AD37" s="170">
        <f>Ruimtestaat[[#This Row],[Prest. (m2 /jaar) weekend]]+Ruimtestaat[[#This Row],[Prest. (m2 /jaar) werkdagen]]</f>
        <v>9000</v>
      </c>
      <c r="AE37" s="170">
        <f>Ruimtestaat[[#This Row],[uren / jaar weekend]]+Ruimtestaat[[#This Row],[uren / jaar werkdagen]]</f>
        <v>0</v>
      </c>
      <c r="AF37" s="76">
        <f>Ruimtestaat[[#This Row],[kosten / jaar weekend]]+Ruimtestaat[[#This Row],[kosten / jaar werkdagen]]</f>
        <v>0</v>
      </c>
      <c r="AG37" s="76"/>
      <c r="AH37" s="272" t="str">
        <f>IF(Ruimtestaat[[#This Row],[Frequentie werkdagen]]="","",_xlfn.CONCAT(Ruimtestaat[[#This Row],[Ruimte code]],"-",Ruimtestaat[[#This Row],[Frequentie werkdagen]]," ",Ruimtestaat[[#This Row],[Vloer code]]))</f>
        <v>16-5w L</v>
      </c>
      <c r="AI37" s="310" t="str">
        <f>_xlfn.IFNA(VLOOKUP($AH37,Programma!$F$3:$G$1107,2,0),"")</f>
        <v>_</v>
      </c>
      <c r="AJ37" s="310" t="str">
        <f>_xlfn.IFNA(VLOOKUP($AH37,Programma!$F$3:$H$1107,3,0),"")</f>
        <v>_</v>
      </c>
      <c r="AK37" s="310" t="str">
        <f>_xlfn.IFNA(VLOOKUP($AH37,Programma!$F$3:$I$1107,4,0),"")</f>
        <v>4w</v>
      </c>
      <c r="AL37" s="310" t="str">
        <f>_xlfn.IFNA(VLOOKUP($AH37,Programma!$F$3:$J$1107,5,0),"")</f>
        <v>1w</v>
      </c>
      <c r="AM37" s="310" t="str">
        <f>_xlfn.IFNA(VLOOKUP($AH37,Programma!$F$3:$K$1107,6,0),"")</f>
        <v>_</v>
      </c>
      <c r="AN37" s="310" t="str">
        <f>_xlfn.IFNA(VLOOKUP($AH37,Programma!$F$3:$L$1107,7,0),"")</f>
        <v>_</v>
      </c>
      <c r="AO37" s="310" t="str">
        <f>_xlfn.IFNA(VLOOKUP($AH37,Programma!$F$3:$M$1107,8,0),"")</f>
        <v>_</v>
      </c>
      <c r="AP37" s="310" t="str">
        <f>_xlfn.IFNA(VLOOKUP($AH37,Programma!$F$3:$N$1107,9,0),"")</f>
        <v>_</v>
      </c>
      <c r="AQ37" s="310" t="str">
        <f>_xlfn.IFNA(VLOOKUP($AH37,Programma!$F$3:$O$1107,10,0),"")</f>
        <v>5w</v>
      </c>
      <c r="AR37" s="310" t="str">
        <f>_xlfn.IFNA(VLOOKUP($AH37,Programma!$F$3:$P$1107,11,0),"")</f>
        <v>5w</v>
      </c>
      <c r="AS37" s="310" t="str">
        <f>_xlfn.IFNA(VLOOKUP($AH37,Programma!$F$3:$Q$1107,12,0),"")</f>
        <v>1w</v>
      </c>
      <c r="AT37" s="310" t="str">
        <f>_xlfn.IFNA(VLOOKUP($AH37,Programma!$F$3:$R$1107,13,0),"")</f>
        <v>1w</v>
      </c>
      <c r="AU37" s="310" t="str">
        <f>_xlfn.IFNA(VLOOKUP($AH37,Programma!$F$3:$S$1107,14,0),"")</f>
        <v>1m</v>
      </c>
      <c r="AV37" s="310" t="str">
        <f>_xlfn.IFNA(VLOOKUP($AH37,Programma!$F$3:$T$1107,15,0),"")</f>
        <v>2j</v>
      </c>
      <c r="AW37" s="310" t="str">
        <f>_xlfn.IFNA(VLOOKUP($AH37,Programma!$F$3:$U$1107,16,0),"")</f>
        <v>1j</v>
      </c>
      <c r="AX37" s="310" t="str">
        <f>_xlfn.IFNA(VLOOKUP($AH37,Programma!$F$3:$V$1107,17,0),"")</f>
        <v>_</v>
      </c>
      <c r="AY37" s="310" t="str">
        <f>_xlfn.IFNA(VLOOKUP($AH37,Programma!$F$3:$W$1107,18,0),"")</f>
        <v>_</v>
      </c>
      <c r="AZ37" s="310" t="str">
        <f>_xlfn.IFNA(VLOOKUP($AH37,Programma!$F$3:$X$1107,19,0),"")</f>
        <v>_</v>
      </c>
      <c r="BA37" s="310" t="str">
        <f>_xlfn.IFNA(VLOOKUP($AH37,Programma!$F$3:$Y$1107,20,0),"")</f>
        <v>_</v>
      </c>
      <c r="BB37" s="273"/>
      <c r="BC37" s="272" t="str">
        <f>IF(Ruimtestaat[[#This Row],[Frequentie weekend]]="","",_xlfn.CONCAT(Ruimtestaat[[#This Row],[Ruimte code]],"-",Ruimtestaat[[#This Row],[Frequentie weekend]]," ",Ruimtestaat[[#This Row],[Vloer code]]))</f>
        <v/>
      </c>
      <c r="BD37" s="310" t="str">
        <f>_xlfn.IFNA(VLOOKUP($BC37,Programma!$F$3:$G$1107,2,0),"")</f>
        <v/>
      </c>
      <c r="BE37" s="310" t="str">
        <f>_xlfn.IFNA(VLOOKUP($BC37,Programma!$F$3:$H$1107,3,0),"")</f>
        <v/>
      </c>
      <c r="BF37" s="310" t="str">
        <f>_xlfn.IFNA(VLOOKUP($BC37,Programma!$F$3:$I$1107,4,0),"")</f>
        <v/>
      </c>
      <c r="BG37" s="310" t="str">
        <f>_xlfn.IFNA(VLOOKUP($BC37,Programma!$F$3:$J$1107,5,0),"")</f>
        <v/>
      </c>
      <c r="BH37" s="310" t="str">
        <f>_xlfn.IFNA(VLOOKUP($BC37,Programma!$F$3:$K$1107,6,0),"")</f>
        <v/>
      </c>
      <c r="BI37" s="310" t="str">
        <f>_xlfn.IFNA(VLOOKUP($BC37,Programma!$F$3:$L$1107,7,0),"")</f>
        <v/>
      </c>
      <c r="BJ37" s="310" t="str">
        <f>_xlfn.IFNA(VLOOKUP($BC37,Programma!$F$3:$M$1107,8,0),"")</f>
        <v/>
      </c>
      <c r="BK37" s="310" t="str">
        <f>_xlfn.IFNA(VLOOKUP($BC37,Programma!$F$3:$N$1107,9,0),"")</f>
        <v/>
      </c>
      <c r="BL37" s="310" t="str">
        <f>_xlfn.IFNA(VLOOKUP($BC37,Programma!$F$3:$O$1107,10,0),"")</f>
        <v/>
      </c>
      <c r="BM37" s="310" t="str">
        <f>_xlfn.IFNA(VLOOKUP($BC37,Programma!$F$3:$P$1107,11,0),"")</f>
        <v/>
      </c>
      <c r="BN37" s="310" t="str">
        <f>_xlfn.IFNA(VLOOKUP($BC37,Programma!$F$3:$Q$1107,12,0),"")</f>
        <v/>
      </c>
      <c r="BO37" s="310" t="str">
        <f>_xlfn.IFNA(VLOOKUP($BC37,Programma!$F$3:$R$1107,13,0),"")</f>
        <v/>
      </c>
      <c r="BP37" s="310" t="str">
        <f>_xlfn.IFNA(VLOOKUP($BC37,Programma!$F$3:$S$1107,14,0),"")</f>
        <v/>
      </c>
      <c r="BQ37" s="310" t="str">
        <f>_xlfn.IFNA(VLOOKUP($BC37,Programma!$F$3:$T$1107,15,0),"")</f>
        <v/>
      </c>
      <c r="BR37" s="310" t="str">
        <f>_xlfn.IFNA(VLOOKUP($BC37,Programma!$F$3:$U$1107,16,0),"")</f>
        <v/>
      </c>
      <c r="BS37" s="310" t="str">
        <f>_xlfn.IFNA(VLOOKUP($BC37,Programma!$F$3:$V$1107,17,0),"")</f>
        <v/>
      </c>
      <c r="BT37" s="310" t="str">
        <f>_xlfn.IFNA(VLOOKUP($BC37,Programma!$F$3:$W$1107,18,0),"")</f>
        <v/>
      </c>
      <c r="BU37" s="310" t="str">
        <f>_xlfn.IFNA(VLOOKUP($BC37,Programma!$F$3:$X$1107,19,0),"")</f>
        <v/>
      </c>
      <c r="BV37" s="310" t="str">
        <f>_xlfn.IFNA(VLOOKUP($BC37,Programma!$F$3:$Y$1107,20,0),"")</f>
        <v/>
      </c>
    </row>
    <row r="38" spans="1:74" ht="15" customHeight="1">
      <c r="A38" s="33">
        <v>1</v>
      </c>
      <c r="B38" s="173" t="s">
        <v>1619</v>
      </c>
      <c r="C38" s="173" t="str">
        <f>VLOOKUP(Ruimtestaat[[#This Row],[Code]],Locaties[[#All],[Code]:[Adres]],4,FALSE)</f>
        <v>Stationslaan 26</v>
      </c>
      <c r="D38" s="173" t="str">
        <f>VLOOKUP(Ruimtestaat[[#This Row],[Code]],Locaties[[#All],[Code]:[Postcode]],5,FALSE)</f>
        <v>3842 LA</v>
      </c>
      <c r="E38" s="173" t="str">
        <f>VLOOKUP(Ruimtestaat[[#This Row],[Code]],Locaties[#All],6,FALSE)</f>
        <v>Harderwijk</v>
      </c>
      <c r="F38" s="21" t="s">
        <v>1621</v>
      </c>
      <c r="G38" s="33" t="s">
        <v>1613</v>
      </c>
      <c r="H38" s="311" t="s">
        <v>1662</v>
      </c>
      <c r="I38" s="312" t="s">
        <v>1615</v>
      </c>
      <c r="J38" s="21">
        <v>16</v>
      </c>
      <c r="K38" s="69" t="str">
        <f>VLOOKUP(Ruimtestaat[[#This Row],[Ruimte code]],Ruimtegroepen[[#All],[Code]:[Ruimte omschrijving]],2,FALSE)</f>
        <v>Leslokalen</v>
      </c>
      <c r="L38" s="33" t="s">
        <v>101</v>
      </c>
      <c r="M38" s="312" t="s">
        <v>1804</v>
      </c>
      <c r="N38" s="148">
        <v>40</v>
      </c>
      <c r="O38" s="150"/>
      <c r="P38" s="134" t="str">
        <f>VLOOKUP(Ruimtestaat[[#This Row],[Ruimte code]],Ruimtegroepen[],4,FALSE)</f>
        <v>Le</v>
      </c>
      <c r="Q38" s="33">
        <v>40</v>
      </c>
      <c r="R38" s="33" t="s">
        <v>2</v>
      </c>
      <c r="S38" s="33">
        <f>IF(Q38&gt;0,IF(RIGHT(Ruimtestaat[[#This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 s="33">
        <f>IF(S38&gt;0,VLOOKUP($J38,Ruimtegroepen[],3,FALSE)*VLOOKUP($L38,Vloersoorten[],3,FALSE)*VLOOKUP($R38,Frequenties[],3,FALSE)*VLOOKUP($A38,Locaties[],3,FALSE),0)</f>
        <v>0</v>
      </c>
      <c r="U38" s="33">
        <f>Ruimtestaat[[#This Row],[Uitvoeringen werkdagen]]*Ruimtestaat[[#This Row],[Oppervlak (netto)]]</f>
        <v>8000</v>
      </c>
      <c r="V38" s="170">
        <f>IF(T38&gt;0,Ruimtestaat[[#This Row],[Prest. (m2 /jaar) werkdagen]]/Ruimtestaat[[#This Row],[Norm (m2/uur) werkdagen]],0)</f>
        <v>0</v>
      </c>
      <c r="W38" s="171">
        <f>Ruimtestaat[[#This Row],[uren / jaar werkdagen]]*Tariefsopbouw!$E$35</f>
        <v>0</v>
      </c>
      <c r="X38" s="33"/>
      <c r="Y38" s="33">
        <f>IF(Ruimtestaat[[#This Row],[Frequentie weekend]]&gt;0,VALUE(LEFT(X38,1))*Q38,0)</f>
        <v>0</v>
      </c>
      <c r="Z38" s="104">
        <f>IF($Y38&gt;0,VLOOKUP($J38,Ruimtegroepen[],3,FALSE)*VLOOKUP($L38,Vloersoorten[],3,FALSE)*VLOOKUP($X38,Frequenties[],3,FALSE)*VLOOKUP(Ruimtestaat[[#This Row],[Code]],Locaties[],3,FALSE),0)</f>
        <v>0</v>
      </c>
      <c r="AA38" s="104">
        <f>Ruimtestaat[[#This Row],[Uitvoeringen weekend]]*Ruimtestaat[[#This Row],[Oppervlak (netto)]]</f>
        <v>0</v>
      </c>
      <c r="AB38" s="104">
        <f>IF(Z38&gt;0,Ruimtestaat[[#This Row],[Prest. (m2 /jaar) weekend]]/Ruimtestaat[[#This Row],[Norm (m2/uur) weekend]],0)</f>
        <v>0</v>
      </c>
      <c r="AC38" s="171">
        <f>Ruimtestaat[[#This Row],[uren / jaar weekend]]*Tariefsopbouw!$D$40</f>
        <v>0</v>
      </c>
      <c r="AD38" s="170">
        <f>Ruimtestaat[[#This Row],[Prest. (m2 /jaar) weekend]]+Ruimtestaat[[#This Row],[Prest. (m2 /jaar) werkdagen]]</f>
        <v>8000</v>
      </c>
      <c r="AE38" s="170">
        <f>Ruimtestaat[[#This Row],[uren / jaar weekend]]+Ruimtestaat[[#This Row],[uren / jaar werkdagen]]</f>
        <v>0</v>
      </c>
      <c r="AF38" s="76">
        <f>Ruimtestaat[[#This Row],[kosten / jaar weekend]]+Ruimtestaat[[#This Row],[kosten / jaar werkdagen]]</f>
        <v>0</v>
      </c>
      <c r="AG38" s="76"/>
      <c r="AH38" s="272" t="str">
        <f>IF(Ruimtestaat[[#This Row],[Frequentie werkdagen]]="","",_xlfn.CONCAT(Ruimtestaat[[#This Row],[Ruimte code]],"-",Ruimtestaat[[#This Row],[Frequentie werkdagen]]," ",Ruimtestaat[[#This Row],[Vloer code]]))</f>
        <v>16-5w L</v>
      </c>
      <c r="AI38" s="310" t="str">
        <f>_xlfn.IFNA(VLOOKUP($AH38,Programma!$F$3:$G$1107,2,0),"")</f>
        <v>_</v>
      </c>
      <c r="AJ38" s="310" t="str">
        <f>_xlfn.IFNA(VLOOKUP($AH38,Programma!$F$3:$H$1107,3,0),"")</f>
        <v>_</v>
      </c>
      <c r="AK38" s="310" t="str">
        <f>_xlfn.IFNA(VLOOKUP($AH38,Programma!$F$3:$I$1107,4,0),"")</f>
        <v>4w</v>
      </c>
      <c r="AL38" s="310" t="str">
        <f>_xlfn.IFNA(VLOOKUP($AH38,Programma!$F$3:$J$1107,5,0),"")</f>
        <v>1w</v>
      </c>
      <c r="AM38" s="310" t="str">
        <f>_xlfn.IFNA(VLOOKUP($AH38,Programma!$F$3:$K$1107,6,0),"")</f>
        <v>_</v>
      </c>
      <c r="AN38" s="310" t="str">
        <f>_xlfn.IFNA(VLOOKUP($AH38,Programma!$F$3:$L$1107,7,0),"")</f>
        <v>_</v>
      </c>
      <c r="AO38" s="310" t="str">
        <f>_xlfn.IFNA(VLOOKUP($AH38,Programma!$F$3:$M$1107,8,0),"")</f>
        <v>_</v>
      </c>
      <c r="AP38" s="310" t="str">
        <f>_xlfn.IFNA(VLOOKUP($AH38,Programma!$F$3:$N$1107,9,0),"")</f>
        <v>_</v>
      </c>
      <c r="AQ38" s="310" t="str">
        <f>_xlfn.IFNA(VLOOKUP($AH38,Programma!$F$3:$O$1107,10,0),"")</f>
        <v>5w</v>
      </c>
      <c r="AR38" s="310" t="str">
        <f>_xlfn.IFNA(VLOOKUP($AH38,Programma!$F$3:$P$1107,11,0),"")</f>
        <v>5w</v>
      </c>
      <c r="AS38" s="310" t="str">
        <f>_xlfn.IFNA(VLOOKUP($AH38,Programma!$F$3:$Q$1107,12,0),"")</f>
        <v>1w</v>
      </c>
      <c r="AT38" s="310" t="str">
        <f>_xlfn.IFNA(VLOOKUP($AH38,Programma!$F$3:$R$1107,13,0),"")</f>
        <v>1w</v>
      </c>
      <c r="AU38" s="310" t="str">
        <f>_xlfn.IFNA(VLOOKUP($AH38,Programma!$F$3:$S$1107,14,0),"")</f>
        <v>1m</v>
      </c>
      <c r="AV38" s="310" t="str">
        <f>_xlfn.IFNA(VLOOKUP($AH38,Programma!$F$3:$T$1107,15,0),"")</f>
        <v>2j</v>
      </c>
      <c r="AW38" s="310" t="str">
        <f>_xlfn.IFNA(VLOOKUP($AH38,Programma!$F$3:$U$1107,16,0),"")</f>
        <v>1j</v>
      </c>
      <c r="AX38" s="310" t="str">
        <f>_xlfn.IFNA(VLOOKUP($AH38,Programma!$F$3:$V$1107,17,0),"")</f>
        <v>_</v>
      </c>
      <c r="AY38" s="310" t="str">
        <f>_xlfn.IFNA(VLOOKUP($AH38,Programma!$F$3:$W$1107,18,0),"")</f>
        <v>_</v>
      </c>
      <c r="AZ38" s="310" t="str">
        <f>_xlfn.IFNA(VLOOKUP($AH38,Programma!$F$3:$X$1107,19,0),"")</f>
        <v>_</v>
      </c>
      <c r="BA38" s="310" t="str">
        <f>_xlfn.IFNA(VLOOKUP($AH38,Programma!$F$3:$Y$1107,20,0),"")</f>
        <v>_</v>
      </c>
      <c r="BB38" s="273"/>
      <c r="BC38" s="272" t="str">
        <f>IF(Ruimtestaat[[#This Row],[Frequentie weekend]]="","",_xlfn.CONCAT(Ruimtestaat[[#This Row],[Ruimte code]],"-",Ruimtestaat[[#This Row],[Frequentie weekend]]," ",Ruimtestaat[[#This Row],[Vloer code]]))</f>
        <v/>
      </c>
      <c r="BD38" s="310" t="str">
        <f>_xlfn.IFNA(VLOOKUP($BC38,Programma!$F$3:$G$1107,2,0),"")</f>
        <v/>
      </c>
      <c r="BE38" s="310" t="str">
        <f>_xlfn.IFNA(VLOOKUP($BC38,Programma!$F$3:$H$1107,3,0),"")</f>
        <v/>
      </c>
      <c r="BF38" s="310" t="str">
        <f>_xlfn.IFNA(VLOOKUP($BC38,Programma!$F$3:$I$1107,4,0),"")</f>
        <v/>
      </c>
      <c r="BG38" s="310" t="str">
        <f>_xlfn.IFNA(VLOOKUP($BC38,Programma!$F$3:$J$1107,5,0),"")</f>
        <v/>
      </c>
      <c r="BH38" s="310" t="str">
        <f>_xlfn.IFNA(VLOOKUP($BC38,Programma!$F$3:$K$1107,6,0),"")</f>
        <v/>
      </c>
      <c r="BI38" s="310" t="str">
        <f>_xlfn.IFNA(VLOOKUP($BC38,Programma!$F$3:$L$1107,7,0),"")</f>
        <v/>
      </c>
      <c r="BJ38" s="310" t="str">
        <f>_xlfn.IFNA(VLOOKUP($BC38,Programma!$F$3:$M$1107,8,0),"")</f>
        <v/>
      </c>
      <c r="BK38" s="310" t="str">
        <f>_xlfn.IFNA(VLOOKUP($BC38,Programma!$F$3:$N$1107,9,0),"")</f>
        <v/>
      </c>
      <c r="BL38" s="310" t="str">
        <f>_xlfn.IFNA(VLOOKUP($BC38,Programma!$F$3:$O$1107,10,0),"")</f>
        <v/>
      </c>
      <c r="BM38" s="310" t="str">
        <f>_xlfn.IFNA(VLOOKUP($BC38,Programma!$F$3:$P$1107,11,0),"")</f>
        <v/>
      </c>
      <c r="BN38" s="310" t="str">
        <f>_xlfn.IFNA(VLOOKUP($BC38,Programma!$F$3:$Q$1107,12,0),"")</f>
        <v/>
      </c>
      <c r="BO38" s="310" t="str">
        <f>_xlfn.IFNA(VLOOKUP($BC38,Programma!$F$3:$R$1107,13,0),"")</f>
        <v/>
      </c>
      <c r="BP38" s="310" t="str">
        <f>_xlfn.IFNA(VLOOKUP($BC38,Programma!$F$3:$S$1107,14,0),"")</f>
        <v/>
      </c>
      <c r="BQ38" s="310" t="str">
        <f>_xlfn.IFNA(VLOOKUP($BC38,Programma!$F$3:$T$1107,15,0),"")</f>
        <v/>
      </c>
      <c r="BR38" s="310" t="str">
        <f>_xlfn.IFNA(VLOOKUP($BC38,Programma!$F$3:$U$1107,16,0),"")</f>
        <v/>
      </c>
      <c r="BS38" s="310" t="str">
        <f>_xlfn.IFNA(VLOOKUP($BC38,Programma!$F$3:$V$1107,17,0),"")</f>
        <v/>
      </c>
      <c r="BT38" s="310" t="str">
        <f>_xlfn.IFNA(VLOOKUP($BC38,Programma!$F$3:$W$1107,18,0),"")</f>
        <v/>
      </c>
      <c r="BU38" s="310" t="str">
        <f>_xlfn.IFNA(VLOOKUP($BC38,Programma!$F$3:$X$1107,19,0),"")</f>
        <v/>
      </c>
      <c r="BV38" s="310" t="str">
        <f>_xlfn.IFNA(VLOOKUP($BC38,Programma!$F$3:$Y$1107,20,0),"")</f>
        <v/>
      </c>
    </row>
    <row r="39" spans="1:74" ht="15" customHeight="1">
      <c r="A39" s="33">
        <v>1</v>
      </c>
      <c r="B39" s="173" t="s">
        <v>1619</v>
      </c>
      <c r="C39" s="173" t="str">
        <f>VLOOKUP(Ruimtestaat[[#This Row],[Code]],Locaties[[#All],[Code]:[Adres]],4,FALSE)</f>
        <v>Stationslaan 26</v>
      </c>
      <c r="D39" s="173" t="str">
        <f>VLOOKUP(Ruimtestaat[[#This Row],[Code]],Locaties[[#All],[Code]:[Postcode]],5,FALSE)</f>
        <v>3842 LA</v>
      </c>
      <c r="E39" s="173" t="str">
        <f>VLOOKUP(Ruimtestaat[[#This Row],[Code]],Locaties[#All],6,FALSE)</f>
        <v>Harderwijk</v>
      </c>
      <c r="F39" s="21" t="s">
        <v>1621</v>
      </c>
      <c r="G39" s="33" t="s">
        <v>1613</v>
      </c>
      <c r="H39" s="311" t="s">
        <v>1663</v>
      </c>
      <c r="I39" s="312" t="s">
        <v>1615</v>
      </c>
      <c r="J39" s="21">
        <v>16</v>
      </c>
      <c r="K39" s="69" t="str">
        <f>VLOOKUP(Ruimtestaat[[#This Row],[Ruimte code]],Ruimtegroepen[[#All],[Code]:[Ruimte omschrijving]],2,FALSE)</f>
        <v>Leslokalen</v>
      </c>
      <c r="L39" s="33" t="s">
        <v>101</v>
      </c>
      <c r="M39" s="312" t="s">
        <v>1804</v>
      </c>
      <c r="N39" s="148">
        <v>60</v>
      </c>
      <c r="O39" s="33"/>
      <c r="P39" s="134" t="str">
        <f>VLOOKUP(Ruimtestaat[[#This Row],[Ruimte code]],Ruimtegroepen[],4,FALSE)</f>
        <v>Le</v>
      </c>
      <c r="Q39" s="33">
        <v>40</v>
      </c>
      <c r="R39" s="33" t="s">
        <v>2</v>
      </c>
      <c r="S39" s="33">
        <f>IF(Q39&gt;0,IF(RIGHT(Ruimtestaat[[#This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 s="33">
        <f>IF(S39&gt;0,VLOOKUP($J39,Ruimtegroepen[],3,FALSE)*VLOOKUP($L39,Vloersoorten[],3,FALSE)*VLOOKUP($R39,Frequenties[],3,FALSE)*VLOOKUP($A39,Locaties[],3,FALSE),0)</f>
        <v>0</v>
      </c>
      <c r="U39" s="33">
        <f>Ruimtestaat[[#This Row],[Uitvoeringen werkdagen]]*Ruimtestaat[[#This Row],[Oppervlak (netto)]]</f>
        <v>12000</v>
      </c>
      <c r="V39" s="170">
        <f>IF(T39&gt;0,Ruimtestaat[[#This Row],[Prest. (m2 /jaar) werkdagen]]/Ruimtestaat[[#This Row],[Norm (m2/uur) werkdagen]],0)</f>
        <v>0</v>
      </c>
      <c r="W39" s="171">
        <f>Ruimtestaat[[#This Row],[uren / jaar werkdagen]]*Tariefsopbouw!$E$35</f>
        <v>0</v>
      </c>
      <c r="X39" s="33"/>
      <c r="Y39" s="33">
        <f>IF(Ruimtestaat[[#This Row],[Frequentie weekend]]&gt;0,VALUE(LEFT(X39,1))*Q39,0)</f>
        <v>0</v>
      </c>
      <c r="Z39" s="104">
        <f>IF($Y39&gt;0,VLOOKUP($J39,Ruimtegroepen[],3,FALSE)*VLOOKUP($L39,Vloersoorten[],3,FALSE)*VLOOKUP($X39,Frequenties[],3,FALSE)*VLOOKUP(Ruimtestaat[[#This Row],[Code]],Locaties[],3,FALSE),0)</f>
        <v>0</v>
      </c>
      <c r="AA39" s="104">
        <f>Ruimtestaat[[#This Row],[Uitvoeringen weekend]]*Ruimtestaat[[#This Row],[Oppervlak (netto)]]</f>
        <v>0</v>
      </c>
      <c r="AB39" s="104">
        <f>IF(Z39&gt;0,Ruimtestaat[[#This Row],[Prest. (m2 /jaar) weekend]]/Ruimtestaat[[#This Row],[Norm (m2/uur) weekend]],0)</f>
        <v>0</v>
      </c>
      <c r="AC39" s="171">
        <f>Ruimtestaat[[#This Row],[uren / jaar weekend]]*Tariefsopbouw!$D$40</f>
        <v>0</v>
      </c>
      <c r="AD39" s="170">
        <f>Ruimtestaat[[#This Row],[Prest. (m2 /jaar) weekend]]+Ruimtestaat[[#This Row],[Prest. (m2 /jaar) werkdagen]]</f>
        <v>12000</v>
      </c>
      <c r="AE39" s="170">
        <f>Ruimtestaat[[#This Row],[uren / jaar weekend]]+Ruimtestaat[[#This Row],[uren / jaar werkdagen]]</f>
        <v>0</v>
      </c>
      <c r="AF39" s="76">
        <f>Ruimtestaat[[#This Row],[kosten / jaar weekend]]+Ruimtestaat[[#This Row],[kosten / jaar werkdagen]]</f>
        <v>0</v>
      </c>
      <c r="AG39" s="76"/>
      <c r="AH39" s="272" t="str">
        <f>IF(Ruimtestaat[[#This Row],[Frequentie werkdagen]]="","",_xlfn.CONCAT(Ruimtestaat[[#This Row],[Ruimte code]],"-",Ruimtestaat[[#This Row],[Frequentie werkdagen]]," ",Ruimtestaat[[#This Row],[Vloer code]]))</f>
        <v>16-5w L</v>
      </c>
      <c r="AI39" s="310" t="str">
        <f>_xlfn.IFNA(VLOOKUP($AH39,Programma!$F$3:$G$1107,2,0),"")</f>
        <v>_</v>
      </c>
      <c r="AJ39" s="310" t="str">
        <f>_xlfn.IFNA(VLOOKUP($AH39,Programma!$F$3:$H$1107,3,0),"")</f>
        <v>_</v>
      </c>
      <c r="AK39" s="310" t="str">
        <f>_xlfn.IFNA(VLOOKUP($AH39,Programma!$F$3:$I$1107,4,0),"")</f>
        <v>4w</v>
      </c>
      <c r="AL39" s="310" t="str">
        <f>_xlfn.IFNA(VLOOKUP($AH39,Programma!$F$3:$J$1107,5,0),"")</f>
        <v>1w</v>
      </c>
      <c r="AM39" s="310" t="str">
        <f>_xlfn.IFNA(VLOOKUP($AH39,Programma!$F$3:$K$1107,6,0),"")</f>
        <v>_</v>
      </c>
      <c r="AN39" s="310" t="str">
        <f>_xlfn.IFNA(VLOOKUP($AH39,Programma!$F$3:$L$1107,7,0),"")</f>
        <v>_</v>
      </c>
      <c r="AO39" s="310" t="str">
        <f>_xlfn.IFNA(VLOOKUP($AH39,Programma!$F$3:$M$1107,8,0),"")</f>
        <v>_</v>
      </c>
      <c r="AP39" s="310" t="str">
        <f>_xlfn.IFNA(VLOOKUP($AH39,Programma!$F$3:$N$1107,9,0),"")</f>
        <v>_</v>
      </c>
      <c r="AQ39" s="310" t="str">
        <f>_xlfn.IFNA(VLOOKUP($AH39,Programma!$F$3:$O$1107,10,0),"")</f>
        <v>5w</v>
      </c>
      <c r="AR39" s="310" t="str">
        <f>_xlfn.IFNA(VLOOKUP($AH39,Programma!$F$3:$P$1107,11,0),"")</f>
        <v>5w</v>
      </c>
      <c r="AS39" s="310" t="str">
        <f>_xlfn.IFNA(VLOOKUP($AH39,Programma!$F$3:$Q$1107,12,0),"")</f>
        <v>1w</v>
      </c>
      <c r="AT39" s="310" t="str">
        <f>_xlfn.IFNA(VLOOKUP($AH39,Programma!$F$3:$R$1107,13,0),"")</f>
        <v>1w</v>
      </c>
      <c r="AU39" s="310" t="str">
        <f>_xlfn.IFNA(VLOOKUP($AH39,Programma!$F$3:$S$1107,14,0),"")</f>
        <v>1m</v>
      </c>
      <c r="AV39" s="310" t="str">
        <f>_xlfn.IFNA(VLOOKUP($AH39,Programma!$F$3:$T$1107,15,0),"")</f>
        <v>2j</v>
      </c>
      <c r="AW39" s="310" t="str">
        <f>_xlfn.IFNA(VLOOKUP($AH39,Programma!$F$3:$U$1107,16,0),"")</f>
        <v>1j</v>
      </c>
      <c r="AX39" s="310" t="str">
        <f>_xlfn.IFNA(VLOOKUP($AH39,Programma!$F$3:$V$1107,17,0),"")</f>
        <v>_</v>
      </c>
      <c r="AY39" s="310" t="str">
        <f>_xlfn.IFNA(VLOOKUP($AH39,Programma!$F$3:$W$1107,18,0),"")</f>
        <v>_</v>
      </c>
      <c r="AZ39" s="310" t="str">
        <f>_xlfn.IFNA(VLOOKUP($AH39,Programma!$F$3:$X$1107,19,0),"")</f>
        <v>_</v>
      </c>
      <c r="BA39" s="310" t="str">
        <f>_xlfn.IFNA(VLOOKUP($AH39,Programma!$F$3:$Y$1107,20,0),"")</f>
        <v>_</v>
      </c>
      <c r="BB39" s="273"/>
      <c r="BC39" s="272" t="str">
        <f>IF(Ruimtestaat[[#This Row],[Frequentie weekend]]="","",_xlfn.CONCAT(Ruimtestaat[[#This Row],[Ruimte code]],"-",Ruimtestaat[[#This Row],[Frequentie weekend]]," ",Ruimtestaat[[#This Row],[Vloer code]]))</f>
        <v/>
      </c>
      <c r="BD39" s="310" t="str">
        <f>_xlfn.IFNA(VLOOKUP($BC39,Programma!$F$3:$G$1107,2,0),"")</f>
        <v/>
      </c>
      <c r="BE39" s="310" t="str">
        <f>_xlfn.IFNA(VLOOKUP($BC39,Programma!$F$3:$H$1107,3,0),"")</f>
        <v/>
      </c>
      <c r="BF39" s="310" t="str">
        <f>_xlfn.IFNA(VLOOKUP($BC39,Programma!$F$3:$I$1107,4,0),"")</f>
        <v/>
      </c>
      <c r="BG39" s="310" t="str">
        <f>_xlfn.IFNA(VLOOKUP($BC39,Programma!$F$3:$J$1107,5,0),"")</f>
        <v/>
      </c>
      <c r="BH39" s="310" t="str">
        <f>_xlfn.IFNA(VLOOKUP($BC39,Programma!$F$3:$K$1107,6,0),"")</f>
        <v/>
      </c>
      <c r="BI39" s="310" t="str">
        <f>_xlfn.IFNA(VLOOKUP($BC39,Programma!$F$3:$L$1107,7,0),"")</f>
        <v/>
      </c>
      <c r="BJ39" s="310" t="str">
        <f>_xlfn.IFNA(VLOOKUP($BC39,Programma!$F$3:$M$1107,8,0),"")</f>
        <v/>
      </c>
      <c r="BK39" s="310" t="str">
        <f>_xlfn.IFNA(VLOOKUP($BC39,Programma!$F$3:$N$1107,9,0),"")</f>
        <v/>
      </c>
      <c r="BL39" s="310" t="str">
        <f>_xlfn.IFNA(VLOOKUP($BC39,Programma!$F$3:$O$1107,10,0),"")</f>
        <v/>
      </c>
      <c r="BM39" s="310" t="str">
        <f>_xlfn.IFNA(VLOOKUP($BC39,Programma!$F$3:$P$1107,11,0),"")</f>
        <v/>
      </c>
      <c r="BN39" s="310" t="str">
        <f>_xlfn.IFNA(VLOOKUP($BC39,Programma!$F$3:$Q$1107,12,0),"")</f>
        <v/>
      </c>
      <c r="BO39" s="310" t="str">
        <f>_xlfn.IFNA(VLOOKUP($BC39,Programma!$F$3:$R$1107,13,0),"")</f>
        <v/>
      </c>
      <c r="BP39" s="310" t="str">
        <f>_xlfn.IFNA(VLOOKUP($BC39,Programma!$F$3:$S$1107,14,0),"")</f>
        <v/>
      </c>
      <c r="BQ39" s="310" t="str">
        <f>_xlfn.IFNA(VLOOKUP($BC39,Programma!$F$3:$T$1107,15,0),"")</f>
        <v/>
      </c>
      <c r="BR39" s="310" t="str">
        <f>_xlfn.IFNA(VLOOKUP($BC39,Programma!$F$3:$U$1107,16,0),"")</f>
        <v/>
      </c>
      <c r="BS39" s="310" t="str">
        <f>_xlfn.IFNA(VLOOKUP($BC39,Programma!$F$3:$V$1107,17,0),"")</f>
        <v/>
      </c>
      <c r="BT39" s="310" t="str">
        <f>_xlfn.IFNA(VLOOKUP($BC39,Programma!$F$3:$W$1107,18,0),"")</f>
        <v/>
      </c>
      <c r="BU39" s="310" t="str">
        <f>_xlfn.IFNA(VLOOKUP($BC39,Programma!$F$3:$X$1107,19,0),"")</f>
        <v/>
      </c>
      <c r="BV39" s="310" t="str">
        <f>_xlfn.IFNA(VLOOKUP($BC39,Programma!$F$3:$Y$1107,20,0),"")</f>
        <v/>
      </c>
    </row>
    <row r="40" spans="1:74" ht="15" customHeight="1">
      <c r="A40" s="33">
        <v>1</v>
      </c>
      <c r="B40" s="173" t="s">
        <v>1619</v>
      </c>
      <c r="C40" s="173" t="str">
        <f>VLOOKUP(Ruimtestaat[[#This Row],[Code]],Locaties[[#All],[Code]:[Adres]],4,FALSE)</f>
        <v>Stationslaan 26</v>
      </c>
      <c r="D40" s="173" t="str">
        <f>VLOOKUP(Ruimtestaat[[#This Row],[Code]],Locaties[[#All],[Code]:[Postcode]],5,FALSE)</f>
        <v>3842 LA</v>
      </c>
      <c r="E40" s="173" t="str">
        <f>VLOOKUP(Ruimtestaat[[#This Row],[Code]],Locaties[#All],6,FALSE)</f>
        <v>Harderwijk</v>
      </c>
      <c r="F40" s="21" t="s">
        <v>1621</v>
      </c>
      <c r="G40" s="33" t="s">
        <v>1613</v>
      </c>
      <c r="H40" s="311" t="s">
        <v>1664</v>
      </c>
      <c r="I40" s="312" t="s">
        <v>1615</v>
      </c>
      <c r="J40" s="21">
        <v>16</v>
      </c>
      <c r="K40" s="69" t="str">
        <f>VLOOKUP(Ruimtestaat[[#This Row],[Ruimte code]],Ruimtegroepen[[#All],[Code]:[Ruimte omschrijving]],2,FALSE)</f>
        <v>Leslokalen</v>
      </c>
      <c r="L40" s="33" t="s">
        <v>101</v>
      </c>
      <c r="M40" s="312" t="s">
        <v>1804</v>
      </c>
      <c r="N40" s="148">
        <v>60</v>
      </c>
      <c r="O40" s="150"/>
      <c r="P40" s="134" t="str">
        <f>VLOOKUP(Ruimtestaat[[#This Row],[Ruimte code]],Ruimtegroepen[],4,FALSE)</f>
        <v>Le</v>
      </c>
      <c r="Q40" s="33">
        <v>40</v>
      </c>
      <c r="R40" s="33" t="s">
        <v>2</v>
      </c>
      <c r="S40" s="33">
        <f>IF(Q40&gt;0,IF(RIGHT(Ruimtestaat[[#This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 s="33">
        <f>IF(S40&gt;0,VLOOKUP($J40,Ruimtegroepen[],3,FALSE)*VLOOKUP($L40,Vloersoorten[],3,FALSE)*VLOOKUP($R40,Frequenties[],3,FALSE)*VLOOKUP($A40,Locaties[],3,FALSE),0)</f>
        <v>0</v>
      </c>
      <c r="U40" s="33">
        <f>Ruimtestaat[[#This Row],[Uitvoeringen werkdagen]]*Ruimtestaat[[#This Row],[Oppervlak (netto)]]</f>
        <v>12000</v>
      </c>
      <c r="V40" s="170">
        <f>IF(T40&gt;0,Ruimtestaat[[#This Row],[Prest. (m2 /jaar) werkdagen]]/Ruimtestaat[[#This Row],[Norm (m2/uur) werkdagen]],0)</f>
        <v>0</v>
      </c>
      <c r="W40" s="171">
        <f>Ruimtestaat[[#This Row],[uren / jaar werkdagen]]*Tariefsopbouw!$E$35</f>
        <v>0</v>
      </c>
      <c r="X40" s="33"/>
      <c r="Y40" s="33">
        <f>IF(Ruimtestaat[[#This Row],[Frequentie weekend]]&gt;0,VALUE(LEFT(X40,1))*Q40,0)</f>
        <v>0</v>
      </c>
      <c r="Z40" s="104">
        <f>IF($Y40&gt;0,VLOOKUP($J40,Ruimtegroepen[],3,FALSE)*VLOOKUP($L40,Vloersoorten[],3,FALSE)*VLOOKUP($X40,Frequenties[],3,FALSE)*VLOOKUP(Ruimtestaat[[#This Row],[Code]],Locaties[],3,FALSE),0)</f>
        <v>0</v>
      </c>
      <c r="AA40" s="104">
        <f>Ruimtestaat[[#This Row],[Uitvoeringen weekend]]*Ruimtestaat[[#This Row],[Oppervlak (netto)]]</f>
        <v>0</v>
      </c>
      <c r="AB40" s="104">
        <f>IF(Z40&gt;0,Ruimtestaat[[#This Row],[Prest. (m2 /jaar) weekend]]/Ruimtestaat[[#This Row],[Norm (m2/uur) weekend]],0)</f>
        <v>0</v>
      </c>
      <c r="AC40" s="171">
        <f>Ruimtestaat[[#This Row],[uren / jaar weekend]]*Tariefsopbouw!$D$40</f>
        <v>0</v>
      </c>
      <c r="AD40" s="170">
        <f>Ruimtestaat[[#This Row],[Prest. (m2 /jaar) weekend]]+Ruimtestaat[[#This Row],[Prest. (m2 /jaar) werkdagen]]</f>
        <v>12000</v>
      </c>
      <c r="AE40" s="170">
        <f>Ruimtestaat[[#This Row],[uren / jaar weekend]]+Ruimtestaat[[#This Row],[uren / jaar werkdagen]]</f>
        <v>0</v>
      </c>
      <c r="AF40" s="76">
        <f>Ruimtestaat[[#This Row],[kosten / jaar weekend]]+Ruimtestaat[[#This Row],[kosten / jaar werkdagen]]</f>
        <v>0</v>
      </c>
      <c r="AG40" s="76"/>
      <c r="AH40" s="272" t="str">
        <f>IF(Ruimtestaat[[#This Row],[Frequentie werkdagen]]="","",_xlfn.CONCAT(Ruimtestaat[[#This Row],[Ruimte code]],"-",Ruimtestaat[[#This Row],[Frequentie werkdagen]]," ",Ruimtestaat[[#This Row],[Vloer code]]))</f>
        <v>16-5w L</v>
      </c>
      <c r="AI40" s="310" t="str">
        <f>_xlfn.IFNA(VLOOKUP($AH40,Programma!$F$3:$G$1107,2,0),"")</f>
        <v>_</v>
      </c>
      <c r="AJ40" s="310" t="str">
        <f>_xlfn.IFNA(VLOOKUP($AH40,Programma!$F$3:$H$1107,3,0),"")</f>
        <v>_</v>
      </c>
      <c r="AK40" s="310" t="str">
        <f>_xlfn.IFNA(VLOOKUP($AH40,Programma!$F$3:$I$1107,4,0),"")</f>
        <v>4w</v>
      </c>
      <c r="AL40" s="310" t="str">
        <f>_xlfn.IFNA(VLOOKUP($AH40,Programma!$F$3:$J$1107,5,0),"")</f>
        <v>1w</v>
      </c>
      <c r="AM40" s="310" t="str">
        <f>_xlfn.IFNA(VLOOKUP($AH40,Programma!$F$3:$K$1107,6,0),"")</f>
        <v>_</v>
      </c>
      <c r="AN40" s="310" t="str">
        <f>_xlfn.IFNA(VLOOKUP($AH40,Programma!$F$3:$L$1107,7,0),"")</f>
        <v>_</v>
      </c>
      <c r="AO40" s="310" t="str">
        <f>_xlfn.IFNA(VLOOKUP($AH40,Programma!$F$3:$M$1107,8,0),"")</f>
        <v>_</v>
      </c>
      <c r="AP40" s="310" t="str">
        <f>_xlfn.IFNA(VLOOKUP($AH40,Programma!$F$3:$N$1107,9,0),"")</f>
        <v>_</v>
      </c>
      <c r="AQ40" s="310" t="str">
        <f>_xlfn.IFNA(VLOOKUP($AH40,Programma!$F$3:$O$1107,10,0),"")</f>
        <v>5w</v>
      </c>
      <c r="AR40" s="310" t="str">
        <f>_xlfn.IFNA(VLOOKUP($AH40,Programma!$F$3:$P$1107,11,0),"")</f>
        <v>5w</v>
      </c>
      <c r="AS40" s="310" t="str">
        <f>_xlfn.IFNA(VLOOKUP($AH40,Programma!$F$3:$Q$1107,12,0),"")</f>
        <v>1w</v>
      </c>
      <c r="AT40" s="310" t="str">
        <f>_xlfn.IFNA(VLOOKUP($AH40,Programma!$F$3:$R$1107,13,0),"")</f>
        <v>1w</v>
      </c>
      <c r="AU40" s="310" t="str">
        <f>_xlfn.IFNA(VLOOKUP($AH40,Programma!$F$3:$S$1107,14,0),"")</f>
        <v>1m</v>
      </c>
      <c r="AV40" s="310" t="str">
        <f>_xlfn.IFNA(VLOOKUP($AH40,Programma!$F$3:$T$1107,15,0),"")</f>
        <v>2j</v>
      </c>
      <c r="AW40" s="310" t="str">
        <f>_xlfn.IFNA(VLOOKUP($AH40,Programma!$F$3:$U$1107,16,0),"")</f>
        <v>1j</v>
      </c>
      <c r="AX40" s="310" t="str">
        <f>_xlfn.IFNA(VLOOKUP($AH40,Programma!$F$3:$V$1107,17,0),"")</f>
        <v>_</v>
      </c>
      <c r="AY40" s="310" t="str">
        <f>_xlfn.IFNA(VLOOKUP($AH40,Programma!$F$3:$W$1107,18,0),"")</f>
        <v>_</v>
      </c>
      <c r="AZ40" s="310" t="str">
        <f>_xlfn.IFNA(VLOOKUP($AH40,Programma!$F$3:$X$1107,19,0),"")</f>
        <v>_</v>
      </c>
      <c r="BA40" s="310" t="str">
        <f>_xlfn.IFNA(VLOOKUP($AH40,Programma!$F$3:$Y$1107,20,0),"")</f>
        <v>_</v>
      </c>
      <c r="BB40" s="273"/>
      <c r="BC40" s="272" t="str">
        <f>IF(Ruimtestaat[[#This Row],[Frequentie weekend]]="","",_xlfn.CONCAT(Ruimtestaat[[#This Row],[Ruimte code]],"-",Ruimtestaat[[#This Row],[Frequentie weekend]]," ",Ruimtestaat[[#This Row],[Vloer code]]))</f>
        <v/>
      </c>
      <c r="BD40" s="310" t="str">
        <f>_xlfn.IFNA(VLOOKUP($BC40,Programma!$F$3:$G$1107,2,0),"")</f>
        <v/>
      </c>
      <c r="BE40" s="310" t="str">
        <f>_xlfn.IFNA(VLOOKUP($BC40,Programma!$F$3:$H$1107,3,0),"")</f>
        <v/>
      </c>
      <c r="BF40" s="310" t="str">
        <f>_xlfn.IFNA(VLOOKUP($BC40,Programma!$F$3:$I$1107,4,0),"")</f>
        <v/>
      </c>
      <c r="BG40" s="310" t="str">
        <f>_xlfn.IFNA(VLOOKUP($BC40,Programma!$F$3:$J$1107,5,0),"")</f>
        <v/>
      </c>
      <c r="BH40" s="310" t="str">
        <f>_xlfn.IFNA(VLOOKUP($BC40,Programma!$F$3:$K$1107,6,0),"")</f>
        <v/>
      </c>
      <c r="BI40" s="310" t="str">
        <f>_xlfn.IFNA(VLOOKUP($BC40,Programma!$F$3:$L$1107,7,0),"")</f>
        <v/>
      </c>
      <c r="BJ40" s="310" t="str">
        <f>_xlfn.IFNA(VLOOKUP($BC40,Programma!$F$3:$M$1107,8,0),"")</f>
        <v/>
      </c>
      <c r="BK40" s="310" t="str">
        <f>_xlfn.IFNA(VLOOKUP($BC40,Programma!$F$3:$N$1107,9,0),"")</f>
        <v/>
      </c>
      <c r="BL40" s="310" t="str">
        <f>_xlfn.IFNA(VLOOKUP($BC40,Programma!$F$3:$O$1107,10,0),"")</f>
        <v/>
      </c>
      <c r="BM40" s="310" t="str">
        <f>_xlfn.IFNA(VLOOKUP($BC40,Programma!$F$3:$P$1107,11,0),"")</f>
        <v/>
      </c>
      <c r="BN40" s="310" t="str">
        <f>_xlfn.IFNA(VLOOKUP($BC40,Programma!$F$3:$Q$1107,12,0),"")</f>
        <v/>
      </c>
      <c r="BO40" s="310" t="str">
        <f>_xlfn.IFNA(VLOOKUP($BC40,Programma!$F$3:$R$1107,13,0),"")</f>
        <v/>
      </c>
      <c r="BP40" s="310" t="str">
        <f>_xlfn.IFNA(VLOOKUP($BC40,Programma!$F$3:$S$1107,14,0),"")</f>
        <v/>
      </c>
      <c r="BQ40" s="310" t="str">
        <f>_xlfn.IFNA(VLOOKUP($BC40,Programma!$F$3:$T$1107,15,0),"")</f>
        <v/>
      </c>
      <c r="BR40" s="310" t="str">
        <f>_xlfn.IFNA(VLOOKUP($BC40,Programma!$F$3:$U$1107,16,0),"")</f>
        <v/>
      </c>
      <c r="BS40" s="310" t="str">
        <f>_xlfn.IFNA(VLOOKUP($BC40,Programma!$F$3:$V$1107,17,0),"")</f>
        <v/>
      </c>
      <c r="BT40" s="310" t="str">
        <f>_xlfn.IFNA(VLOOKUP($BC40,Programma!$F$3:$W$1107,18,0),"")</f>
        <v/>
      </c>
      <c r="BU40" s="310" t="str">
        <f>_xlfn.IFNA(VLOOKUP($BC40,Programma!$F$3:$X$1107,19,0),"")</f>
        <v/>
      </c>
      <c r="BV40" s="310" t="str">
        <f>_xlfn.IFNA(VLOOKUP($BC40,Programma!$F$3:$Y$1107,20,0),"")</f>
        <v/>
      </c>
    </row>
    <row r="41" spans="1:74" ht="15" customHeight="1">
      <c r="A41" s="33">
        <v>1</v>
      </c>
      <c r="B41" s="173" t="s">
        <v>1619</v>
      </c>
      <c r="C41" s="173" t="str">
        <f>VLOOKUP(Ruimtestaat[[#This Row],[Code]],Locaties[[#All],[Code]:[Adres]],4,FALSE)</f>
        <v>Stationslaan 26</v>
      </c>
      <c r="D41" s="173" t="str">
        <f>VLOOKUP(Ruimtestaat[[#This Row],[Code]],Locaties[[#All],[Code]:[Postcode]],5,FALSE)</f>
        <v>3842 LA</v>
      </c>
      <c r="E41" s="173" t="str">
        <f>VLOOKUP(Ruimtestaat[[#This Row],[Code]],Locaties[#All],6,FALSE)</f>
        <v>Harderwijk</v>
      </c>
      <c r="F41" s="21" t="s">
        <v>1621</v>
      </c>
      <c r="G41" s="33" t="s">
        <v>1613</v>
      </c>
      <c r="H41" s="311" t="s">
        <v>1665</v>
      </c>
      <c r="I41" s="312" t="s">
        <v>1730</v>
      </c>
      <c r="J41" s="21">
        <v>5</v>
      </c>
      <c r="K41" s="69" t="str">
        <f>VLOOKUP(Ruimtestaat[[#This Row],[Ruimte code]],Ruimtegroepen[[#All],[Code]:[Ruimte omschrijving]],2,FALSE)</f>
        <v>Sanitair</v>
      </c>
      <c r="L41" s="33" t="s">
        <v>102</v>
      </c>
      <c r="M41" s="312" t="s">
        <v>1805</v>
      </c>
      <c r="N41" s="148">
        <v>15</v>
      </c>
      <c r="O41" s="150"/>
      <c r="P41" s="134" t="str">
        <f>VLOOKUP(Ruimtestaat[[#This Row],[Ruimte code]],Ruimtegroepen[],4,FALSE)</f>
        <v>Sa</v>
      </c>
      <c r="Q41" s="33">
        <v>40</v>
      </c>
      <c r="R41" s="33" t="s">
        <v>2</v>
      </c>
      <c r="S41" s="33">
        <f>IF(Q41&gt;0,IF(RIGHT(Ruimtestaat[[#This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 s="33">
        <f>IF(S41&gt;0,VLOOKUP($J41,Ruimtegroepen[],3,FALSE)*VLOOKUP($L41,Vloersoorten[],3,FALSE)*VLOOKUP($R41,Frequenties[],3,FALSE)*VLOOKUP($A41,Locaties[],3,FALSE),0)</f>
        <v>0</v>
      </c>
      <c r="U41" s="33">
        <f>Ruimtestaat[[#This Row],[Uitvoeringen werkdagen]]*Ruimtestaat[[#This Row],[Oppervlak (netto)]]</f>
        <v>3000</v>
      </c>
      <c r="V41" s="170">
        <f>IF(T41&gt;0,Ruimtestaat[[#This Row],[Prest. (m2 /jaar) werkdagen]]/Ruimtestaat[[#This Row],[Norm (m2/uur) werkdagen]],0)</f>
        <v>0</v>
      </c>
      <c r="W41" s="171">
        <f>Ruimtestaat[[#This Row],[uren / jaar werkdagen]]*Tariefsopbouw!$E$35</f>
        <v>0</v>
      </c>
      <c r="X41" s="33"/>
      <c r="Y41" s="33">
        <f>IF(Ruimtestaat[[#This Row],[Frequentie weekend]]&gt;0,VALUE(LEFT(X41,1))*Q41,0)</f>
        <v>0</v>
      </c>
      <c r="Z41" s="104">
        <f>IF($Y41&gt;0,VLOOKUP($J41,Ruimtegroepen[],3,FALSE)*VLOOKUP($L41,Vloersoorten[],3,FALSE)*VLOOKUP($X41,Frequenties[],3,FALSE)*VLOOKUP(Ruimtestaat[[#This Row],[Code]],Locaties[],3,FALSE),0)</f>
        <v>0</v>
      </c>
      <c r="AA41" s="104">
        <f>Ruimtestaat[[#This Row],[Uitvoeringen weekend]]*Ruimtestaat[[#This Row],[Oppervlak (netto)]]</f>
        <v>0</v>
      </c>
      <c r="AB41" s="104">
        <f>IF(Z41&gt;0,Ruimtestaat[[#This Row],[Prest. (m2 /jaar) weekend]]/Ruimtestaat[[#This Row],[Norm (m2/uur) weekend]],0)</f>
        <v>0</v>
      </c>
      <c r="AC41" s="171">
        <f>Ruimtestaat[[#This Row],[uren / jaar weekend]]*Tariefsopbouw!$D$40</f>
        <v>0</v>
      </c>
      <c r="AD41" s="170">
        <f>Ruimtestaat[[#This Row],[Prest. (m2 /jaar) weekend]]+Ruimtestaat[[#This Row],[Prest. (m2 /jaar) werkdagen]]</f>
        <v>3000</v>
      </c>
      <c r="AE41" s="170">
        <f>Ruimtestaat[[#This Row],[uren / jaar weekend]]+Ruimtestaat[[#This Row],[uren / jaar werkdagen]]</f>
        <v>0</v>
      </c>
      <c r="AF41" s="76">
        <f>Ruimtestaat[[#This Row],[kosten / jaar weekend]]+Ruimtestaat[[#This Row],[kosten / jaar werkdagen]]</f>
        <v>0</v>
      </c>
      <c r="AG41" s="76"/>
      <c r="AH41" s="272" t="str">
        <f>IF(Ruimtestaat[[#This Row],[Frequentie werkdagen]]="","",_xlfn.CONCAT(Ruimtestaat[[#This Row],[Ruimte code]],"-",Ruimtestaat[[#This Row],[Frequentie werkdagen]]," ",Ruimtestaat[[#This Row],[Vloer code]]))</f>
        <v>5-5w S</v>
      </c>
      <c r="AI41" s="310" t="str">
        <f>_xlfn.IFNA(VLOOKUP($AH41,Programma!$F$3:$G$1107,2,0),"")</f>
        <v>_</v>
      </c>
      <c r="AJ41" s="310" t="str">
        <f>_xlfn.IFNA(VLOOKUP($AH41,Programma!$F$3:$H$1107,3,0),"")</f>
        <v>_</v>
      </c>
      <c r="AK41" s="310" t="str">
        <f>_xlfn.IFNA(VLOOKUP($AH41,Programma!$F$3:$I$1107,4,0),"")</f>
        <v>_</v>
      </c>
      <c r="AL41" s="310" t="str">
        <f>_xlfn.IFNA(VLOOKUP($AH41,Programma!$F$3:$J$1107,5,0),"")</f>
        <v>4w</v>
      </c>
      <c r="AM41" s="310" t="str">
        <f>_xlfn.IFNA(VLOOKUP($AH41,Programma!$F$3:$K$1107,6,0),"")</f>
        <v>1w</v>
      </c>
      <c r="AN41" s="310" t="str">
        <f>_xlfn.IFNA(VLOOKUP($AH41,Programma!$F$3:$L$1107,7,0),"")</f>
        <v>_</v>
      </c>
      <c r="AO41" s="310" t="str">
        <f>_xlfn.IFNA(VLOOKUP($AH41,Programma!$F$3:$M$1107,8,0),"")</f>
        <v>_</v>
      </c>
      <c r="AP41" s="310" t="str">
        <f>_xlfn.IFNA(VLOOKUP($AH41,Programma!$F$3:$N$1107,9,0),"")</f>
        <v>_</v>
      </c>
      <c r="AQ41" s="310" t="str">
        <f>_xlfn.IFNA(VLOOKUP($AH41,Programma!$F$3:$O$1107,10,0),"")</f>
        <v>_</v>
      </c>
      <c r="AR41" s="310" t="str">
        <f>_xlfn.IFNA(VLOOKUP($AH41,Programma!$F$3:$P$1107,11,0),"")</f>
        <v>_</v>
      </c>
      <c r="AS41" s="310" t="str">
        <f>_xlfn.IFNA(VLOOKUP($AH41,Programma!$F$3:$Q$1107,12,0),"")</f>
        <v>_</v>
      </c>
      <c r="AT41" s="310" t="str">
        <f>_xlfn.IFNA(VLOOKUP($AH41,Programma!$F$3:$R$1107,13,0),"")</f>
        <v>_</v>
      </c>
      <c r="AU41" s="310" t="str">
        <f>_xlfn.IFNA(VLOOKUP($AH41,Programma!$F$3:$S$1107,14,0),"")</f>
        <v>_</v>
      </c>
      <c r="AV41" s="310" t="str">
        <f>_xlfn.IFNA(VLOOKUP($AH41,Programma!$F$3:$T$1107,15,0),"")</f>
        <v>_</v>
      </c>
      <c r="AW41" s="310" t="str">
        <f>_xlfn.IFNA(VLOOKUP($AH41,Programma!$F$3:$U$1107,16,0),"")</f>
        <v>_</v>
      </c>
      <c r="AX41" s="310" t="str">
        <f>_xlfn.IFNA(VLOOKUP($AH41,Programma!$F$3:$V$1107,17,0),"")</f>
        <v>_</v>
      </c>
      <c r="AY41" s="310" t="str">
        <f>_xlfn.IFNA(VLOOKUP($AH41,Programma!$F$3:$W$1107,18,0),"")</f>
        <v>4w</v>
      </c>
      <c r="AZ41" s="310" t="str">
        <f>_xlfn.IFNA(VLOOKUP($AH41,Programma!$F$3:$X$1107,19,0),"")</f>
        <v>1w</v>
      </c>
      <c r="BA41" s="310" t="str">
        <f>_xlfn.IFNA(VLOOKUP($AH41,Programma!$F$3:$Y$1107,20,0),"")</f>
        <v>_</v>
      </c>
      <c r="BB41" s="273"/>
      <c r="BC41" s="272" t="str">
        <f>IF(Ruimtestaat[[#This Row],[Frequentie weekend]]="","",_xlfn.CONCAT(Ruimtestaat[[#This Row],[Ruimte code]],"-",Ruimtestaat[[#This Row],[Frequentie weekend]]," ",Ruimtestaat[[#This Row],[Vloer code]]))</f>
        <v/>
      </c>
      <c r="BD41" s="310" t="str">
        <f>_xlfn.IFNA(VLOOKUP($BC41,Programma!$F$3:$G$1107,2,0),"")</f>
        <v/>
      </c>
      <c r="BE41" s="310" t="str">
        <f>_xlfn.IFNA(VLOOKUP($BC41,Programma!$F$3:$H$1107,3,0),"")</f>
        <v/>
      </c>
      <c r="BF41" s="310" t="str">
        <f>_xlfn.IFNA(VLOOKUP($BC41,Programma!$F$3:$I$1107,4,0),"")</f>
        <v/>
      </c>
      <c r="BG41" s="310" t="str">
        <f>_xlfn.IFNA(VLOOKUP($BC41,Programma!$F$3:$J$1107,5,0),"")</f>
        <v/>
      </c>
      <c r="BH41" s="310" t="str">
        <f>_xlfn.IFNA(VLOOKUP($BC41,Programma!$F$3:$K$1107,6,0),"")</f>
        <v/>
      </c>
      <c r="BI41" s="310" t="str">
        <f>_xlfn.IFNA(VLOOKUP($BC41,Programma!$F$3:$L$1107,7,0),"")</f>
        <v/>
      </c>
      <c r="BJ41" s="310" t="str">
        <f>_xlfn.IFNA(VLOOKUP($BC41,Programma!$F$3:$M$1107,8,0),"")</f>
        <v/>
      </c>
      <c r="BK41" s="310" t="str">
        <f>_xlfn.IFNA(VLOOKUP($BC41,Programma!$F$3:$N$1107,9,0),"")</f>
        <v/>
      </c>
      <c r="BL41" s="310" t="str">
        <f>_xlfn.IFNA(VLOOKUP($BC41,Programma!$F$3:$O$1107,10,0),"")</f>
        <v/>
      </c>
      <c r="BM41" s="310" t="str">
        <f>_xlfn.IFNA(VLOOKUP($BC41,Programma!$F$3:$P$1107,11,0),"")</f>
        <v/>
      </c>
      <c r="BN41" s="310" t="str">
        <f>_xlfn.IFNA(VLOOKUP($BC41,Programma!$F$3:$Q$1107,12,0),"")</f>
        <v/>
      </c>
      <c r="BO41" s="310" t="str">
        <f>_xlfn.IFNA(VLOOKUP($BC41,Programma!$F$3:$R$1107,13,0),"")</f>
        <v/>
      </c>
      <c r="BP41" s="310" t="str">
        <f>_xlfn.IFNA(VLOOKUP($BC41,Programma!$F$3:$S$1107,14,0),"")</f>
        <v/>
      </c>
      <c r="BQ41" s="310" t="str">
        <f>_xlfn.IFNA(VLOOKUP($BC41,Programma!$F$3:$T$1107,15,0),"")</f>
        <v/>
      </c>
      <c r="BR41" s="310" t="str">
        <f>_xlfn.IFNA(VLOOKUP($BC41,Programma!$F$3:$U$1107,16,0),"")</f>
        <v/>
      </c>
      <c r="BS41" s="310" t="str">
        <f>_xlfn.IFNA(VLOOKUP($BC41,Programma!$F$3:$V$1107,17,0),"")</f>
        <v/>
      </c>
      <c r="BT41" s="310" t="str">
        <f>_xlfn.IFNA(VLOOKUP($BC41,Programma!$F$3:$W$1107,18,0),"")</f>
        <v/>
      </c>
      <c r="BU41" s="310" t="str">
        <f>_xlfn.IFNA(VLOOKUP($BC41,Programma!$F$3:$X$1107,19,0),"")</f>
        <v/>
      </c>
      <c r="BV41" s="310" t="str">
        <f>_xlfn.IFNA(VLOOKUP($BC41,Programma!$F$3:$Y$1107,20,0),"")</f>
        <v/>
      </c>
    </row>
    <row r="42" spans="1:74" ht="15" customHeight="1">
      <c r="A42" s="33">
        <v>1</v>
      </c>
      <c r="B42" s="173" t="s">
        <v>1619</v>
      </c>
      <c r="C42" s="173" t="str">
        <f>VLOOKUP(Ruimtestaat[[#This Row],[Code]],Locaties[[#All],[Code]:[Adres]],4,FALSE)</f>
        <v>Stationslaan 26</v>
      </c>
      <c r="D42" s="173" t="str">
        <f>VLOOKUP(Ruimtestaat[[#This Row],[Code]],Locaties[[#All],[Code]:[Postcode]],5,FALSE)</f>
        <v>3842 LA</v>
      </c>
      <c r="E42" s="173" t="str">
        <f>VLOOKUP(Ruimtestaat[[#This Row],[Code]],Locaties[#All],6,FALSE)</f>
        <v>Harderwijk</v>
      </c>
      <c r="F42" s="21" t="s">
        <v>1621</v>
      </c>
      <c r="G42" s="33" t="s">
        <v>1613</v>
      </c>
      <c r="H42" s="311" t="s">
        <v>1666</v>
      </c>
      <c r="I42" s="312" t="s">
        <v>1730</v>
      </c>
      <c r="J42" s="21">
        <v>5</v>
      </c>
      <c r="K42" s="69" t="str">
        <f>VLOOKUP(Ruimtestaat[[#This Row],[Ruimte code]],Ruimtegroepen[[#All],[Code]:[Ruimte omschrijving]],2,FALSE)</f>
        <v>Sanitair</v>
      </c>
      <c r="L42" s="33" t="s">
        <v>102</v>
      </c>
      <c r="M42" s="312" t="s">
        <v>1805</v>
      </c>
      <c r="N42" s="148">
        <v>15</v>
      </c>
      <c r="O42" s="33"/>
      <c r="P42" s="134" t="str">
        <f>VLOOKUP(Ruimtestaat[[#This Row],[Ruimte code]],Ruimtegroepen[],4,FALSE)</f>
        <v>Sa</v>
      </c>
      <c r="Q42" s="33">
        <v>40</v>
      </c>
      <c r="R42" s="33" t="s">
        <v>2</v>
      </c>
      <c r="S42" s="33">
        <f>IF(Q42&gt;0,IF(RIGHT(Ruimtestaat[[#This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 s="33">
        <f>IF(S42&gt;0,VLOOKUP($J42,Ruimtegroepen[],3,FALSE)*VLOOKUP($L42,Vloersoorten[],3,FALSE)*VLOOKUP($R42,Frequenties[],3,FALSE)*VLOOKUP($A42,Locaties[],3,FALSE),0)</f>
        <v>0</v>
      </c>
      <c r="U42" s="33">
        <f>Ruimtestaat[[#This Row],[Uitvoeringen werkdagen]]*Ruimtestaat[[#This Row],[Oppervlak (netto)]]</f>
        <v>3000</v>
      </c>
      <c r="V42" s="170">
        <f>IF(T42&gt;0,Ruimtestaat[[#This Row],[Prest. (m2 /jaar) werkdagen]]/Ruimtestaat[[#This Row],[Norm (m2/uur) werkdagen]],0)</f>
        <v>0</v>
      </c>
      <c r="W42" s="171">
        <f>Ruimtestaat[[#This Row],[uren / jaar werkdagen]]*Tariefsopbouw!$E$35</f>
        <v>0</v>
      </c>
      <c r="X42" s="33"/>
      <c r="Y42" s="33">
        <f>IF(Ruimtestaat[[#This Row],[Frequentie weekend]]&gt;0,VALUE(LEFT(X42,1))*Q42,0)</f>
        <v>0</v>
      </c>
      <c r="Z42" s="104">
        <f>IF($Y42&gt;0,VLOOKUP($J42,Ruimtegroepen[],3,FALSE)*VLOOKUP($L42,Vloersoorten[],3,FALSE)*VLOOKUP($X42,Frequenties[],3,FALSE)*VLOOKUP(Ruimtestaat[[#This Row],[Code]],Locaties[],3,FALSE),0)</f>
        <v>0</v>
      </c>
      <c r="AA42" s="104">
        <f>Ruimtestaat[[#This Row],[Uitvoeringen weekend]]*Ruimtestaat[[#This Row],[Oppervlak (netto)]]</f>
        <v>0</v>
      </c>
      <c r="AB42" s="104">
        <f>IF(Z42&gt;0,Ruimtestaat[[#This Row],[Prest. (m2 /jaar) weekend]]/Ruimtestaat[[#This Row],[Norm (m2/uur) weekend]],0)</f>
        <v>0</v>
      </c>
      <c r="AC42" s="171">
        <f>Ruimtestaat[[#This Row],[uren / jaar weekend]]*Tariefsopbouw!$D$40</f>
        <v>0</v>
      </c>
      <c r="AD42" s="170">
        <f>Ruimtestaat[[#This Row],[Prest. (m2 /jaar) weekend]]+Ruimtestaat[[#This Row],[Prest. (m2 /jaar) werkdagen]]</f>
        <v>3000</v>
      </c>
      <c r="AE42" s="170">
        <f>Ruimtestaat[[#This Row],[uren / jaar weekend]]+Ruimtestaat[[#This Row],[uren / jaar werkdagen]]</f>
        <v>0</v>
      </c>
      <c r="AF42" s="76">
        <f>Ruimtestaat[[#This Row],[kosten / jaar weekend]]+Ruimtestaat[[#This Row],[kosten / jaar werkdagen]]</f>
        <v>0</v>
      </c>
      <c r="AG42" s="76"/>
      <c r="AH42" s="272" t="str">
        <f>IF(Ruimtestaat[[#This Row],[Frequentie werkdagen]]="","",_xlfn.CONCAT(Ruimtestaat[[#This Row],[Ruimte code]],"-",Ruimtestaat[[#This Row],[Frequentie werkdagen]]," ",Ruimtestaat[[#This Row],[Vloer code]]))</f>
        <v>5-5w S</v>
      </c>
      <c r="AI42" s="310" t="str">
        <f>_xlfn.IFNA(VLOOKUP($AH42,Programma!$F$3:$G$1107,2,0),"")</f>
        <v>_</v>
      </c>
      <c r="AJ42" s="310" t="str">
        <f>_xlfn.IFNA(VLOOKUP($AH42,Programma!$F$3:$H$1107,3,0),"")</f>
        <v>_</v>
      </c>
      <c r="AK42" s="310" t="str">
        <f>_xlfn.IFNA(VLOOKUP($AH42,Programma!$F$3:$I$1107,4,0),"")</f>
        <v>_</v>
      </c>
      <c r="AL42" s="310" t="str">
        <f>_xlfn.IFNA(VLOOKUP($AH42,Programma!$F$3:$J$1107,5,0),"")</f>
        <v>4w</v>
      </c>
      <c r="AM42" s="310" t="str">
        <f>_xlfn.IFNA(VLOOKUP($AH42,Programma!$F$3:$K$1107,6,0),"")</f>
        <v>1w</v>
      </c>
      <c r="AN42" s="310" t="str">
        <f>_xlfn.IFNA(VLOOKUP($AH42,Programma!$F$3:$L$1107,7,0),"")</f>
        <v>_</v>
      </c>
      <c r="AO42" s="310" t="str">
        <f>_xlfn.IFNA(VLOOKUP($AH42,Programma!$F$3:$M$1107,8,0),"")</f>
        <v>_</v>
      </c>
      <c r="AP42" s="310" t="str">
        <f>_xlfn.IFNA(VLOOKUP($AH42,Programma!$F$3:$N$1107,9,0),"")</f>
        <v>_</v>
      </c>
      <c r="AQ42" s="310" t="str">
        <f>_xlfn.IFNA(VLOOKUP($AH42,Programma!$F$3:$O$1107,10,0),"")</f>
        <v>_</v>
      </c>
      <c r="AR42" s="310" t="str">
        <f>_xlfn.IFNA(VLOOKUP($AH42,Programma!$F$3:$P$1107,11,0),"")</f>
        <v>_</v>
      </c>
      <c r="AS42" s="310" t="str">
        <f>_xlfn.IFNA(VLOOKUP($AH42,Programma!$F$3:$Q$1107,12,0),"")</f>
        <v>_</v>
      </c>
      <c r="AT42" s="310" t="str">
        <f>_xlfn.IFNA(VLOOKUP($AH42,Programma!$F$3:$R$1107,13,0),"")</f>
        <v>_</v>
      </c>
      <c r="AU42" s="310" t="str">
        <f>_xlfn.IFNA(VLOOKUP($AH42,Programma!$F$3:$S$1107,14,0),"")</f>
        <v>_</v>
      </c>
      <c r="AV42" s="310" t="str">
        <f>_xlfn.IFNA(VLOOKUP($AH42,Programma!$F$3:$T$1107,15,0),"")</f>
        <v>_</v>
      </c>
      <c r="AW42" s="310" t="str">
        <f>_xlfn.IFNA(VLOOKUP($AH42,Programma!$F$3:$U$1107,16,0),"")</f>
        <v>_</v>
      </c>
      <c r="AX42" s="310" t="str">
        <f>_xlfn.IFNA(VLOOKUP($AH42,Programma!$F$3:$V$1107,17,0),"")</f>
        <v>_</v>
      </c>
      <c r="AY42" s="310" t="str">
        <f>_xlfn.IFNA(VLOOKUP($AH42,Programma!$F$3:$W$1107,18,0),"")</f>
        <v>4w</v>
      </c>
      <c r="AZ42" s="310" t="str">
        <f>_xlfn.IFNA(VLOOKUP($AH42,Programma!$F$3:$X$1107,19,0),"")</f>
        <v>1w</v>
      </c>
      <c r="BA42" s="310" t="str">
        <f>_xlfn.IFNA(VLOOKUP($AH42,Programma!$F$3:$Y$1107,20,0),"")</f>
        <v>_</v>
      </c>
      <c r="BB42" s="273"/>
      <c r="BC42" s="272" t="str">
        <f>IF(Ruimtestaat[[#This Row],[Frequentie weekend]]="","",_xlfn.CONCAT(Ruimtestaat[[#This Row],[Ruimte code]],"-",Ruimtestaat[[#This Row],[Frequentie weekend]]," ",Ruimtestaat[[#This Row],[Vloer code]]))</f>
        <v/>
      </c>
      <c r="BD42" s="310" t="str">
        <f>_xlfn.IFNA(VLOOKUP($BC42,Programma!$F$3:$G$1107,2,0),"")</f>
        <v/>
      </c>
      <c r="BE42" s="310" t="str">
        <f>_xlfn.IFNA(VLOOKUP($BC42,Programma!$F$3:$H$1107,3,0),"")</f>
        <v/>
      </c>
      <c r="BF42" s="310" t="str">
        <f>_xlfn.IFNA(VLOOKUP($BC42,Programma!$F$3:$I$1107,4,0),"")</f>
        <v/>
      </c>
      <c r="BG42" s="310" t="str">
        <f>_xlfn.IFNA(VLOOKUP($BC42,Programma!$F$3:$J$1107,5,0),"")</f>
        <v/>
      </c>
      <c r="BH42" s="310" t="str">
        <f>_xlfn.IFNA(VLOOKUP($BC42,Programma!$F$3:$K$1107,6,0),"")</f>
        <v/>
      </c>
      <c r="BI42" s="310" t="str">
        <f>_xlfn.IFNA(VLOOKUP($BC42,Programma!$F$3:$L$1107,7,0),"")</f>
        <v/>
      </c>
      <c r="BJ42" s="310" t="str">
        <f>_xlfn.IFNA(VLOOKUP($BC42,Programma!$F$3:$M$1107,8,0),"")</f>
        <v/>
      </c>
      <c r="BK42" s="310" t="str">
        <f>_xlfn.IFNA(VLOOKUP($BC42,Programma!$F$3:$N$1107,9,0),"")</f>
        <v/>
      </c>
      <c r="BL42" s="310" t="str">
        <f>_xlfn.IFNA(VLOOKUP($BC42,Programma!$F$3:$O$1107,10,0),"")</f>
        <v/>
      </c>
      <c r="BM42" s="310" t="str">
        <f>_xlfn.IFNA(VLOOKUP($BC42,Programma!$F$3:$P$1107,11,0),"")</f>
        <v/>
      </c>
      <c r="BN42" s="310" t="str">
        <f>_xlfn.IFNA(VLOOKUP($BC42,Programma!$F$3:$Q$1107,12,0),"")</f>
        <v/>
      </c>
      <c r="BO42" s="310" t="str">
        <f>_xlfn.IFNA(VLOOKUP($BC42,Programma!$F$3:$R$1107,13,0),"")</f>
        <v/>
      </c>
      <c r="BP42" s="310" t="str">
        <f>_xlfn.IFNA(VLOOKUP($BC42,Programma!$F$3:$S$1107,14,0),"")</f>
        <v/>
      </c>
      <c r="BQ42" s="310" t="str">
        <f>_xlfn.IFNA(VLOOKUP($BC42,Programma!$F$3:$T$1107,15,0),"")</f>
        <v/>
      </c>
      <c r="BR42" s="310" t="str">
        <f>_xlfn.IFNA(VLOOKUP($BC42,Programma!$F$3:$U$1107,16,0),"")</f>
        <v/>
      </c>
      <c r="BS42" s="310" t="str">
        <f>_xlfn.IFNA(VLOOKUP($BC42,Programma!$F$3:$V$1107,17,0),"")</f>
        <v/>
      </c>
      <c r="BT42" s="310" t="str">
        <f>_xlfn.IFNA(VLOOKUP($BC42,Programma!$F$3:$W$1107,18,0),"")</f>
        <v/>
      </c>
      <c r="BU42" s="310" t="str">
        <f>_xlfn.IFNA(VLOOKUP($BC42,Programma!$F$3:$X$1107,19,0),"")</f>
        <v/>
      </c>
      <c r="BV42" s="310" t="str">
        <f>_xlfn.IFNA(VLOOKUP($BC42,Programma!$F$3:$Y$1107,20,0),"")</f>
        <v/>
      </c>
    </row>
    <row r="43" spans="1:74" ht="15" customHeight="1">
      <c r="A43" s="33">
        <v>1</v>
      </c>
      <c r="B43" s="173" t="s">
        <v>1619</v>
      </c>
      <c r="C43" s="173" t="str">
        <f>VLOOKUP(Ruimtestaat[[#This Row],[Code]],Locaties[[#All],[Code]:[Adres]],4,FALSE)</f>
        <v>Stationslaan 26</v>
      </c>
      <c r="D43" s="173" t="str">
        <f>VLOOKUP(Ruimtestaat[[#This Row],[Code]],Locaties[[#All],[Code]:[Postcode]],5,FALSE)</f>
        <v>3842 LA</v>
      </c>
      <c r="E43" s="173" t="str">
        <f>VLOOKUP(Ruimtestaat[[#This Row],[Code]],Locaties[#All],6,FALSE)</f>
        <v>Harderwijk</v>
      </c>
      <c r="F43" s="21" t="s">
        <v>1621</v>
      </c>
      <c r="G43" s="33" t="s">
        <v>1613</v>
      </c>
      <c r="H43" s="311"/>
      <c r="I43" s="312" t="s">
        <v>1766</v>
      </c>
      <c r="J43" s="21">
        <v>6</v>
      </c>
      <c r="K43" s="69" t="str">
        <f>VLOOKUP(Ruimtestaat[[#This Row],[Ruimte code]],Ruimtegroepen[[#All],[Code]:[Ruimte omschrijving]],2,FALSE)</f>
        <v>Gangen/hallen</v>
      </c>
      <c r="L43" s="33" t="s">
        <v>102</v>
      </c>
      <c r="M43" s="312" t="s">
        <v>1805</v>
      </c>
      <c r="N43" s="148">
        <v>37</v>
      </c>
      <c r="O43" s="150"/>
      <c r="P43" s="134" t="str">
        <f>VLOOKUP(Ruimtestaat[[#This Row],[Ruimte code]],Ruimtegroepen[],4,FALSE)</f>
        <v>Ve</v>
      </c>
      <c r="Q43" s="33">
        <v>40</v>
      </c>
      <c r="R43" s="33" t="s">
        <v>2</v>
      </c>
      <c r="S43" s="33">
        <f>IF(Q43&gt;0,IF(RIGHT(Ruimtestaat[[#This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 s="33">
        <f>IF(S43&gt;0,VLOOKUP($J43,Ruimtegroepen[],3,FALSE)*VLOOKUP($L43,Vloersoorten[],3,FALSE)*VLOOKUP($R43,Frequenties[],3,FALSE)*VLOOKUP($A43,Locaties[],3,FALSE),0)</f>
        <v>0</v>
      </c>
      <c r="U43" s="33">
        <f>Ruimtestaat[[#This Row],[Uitvoeringen werkdagen]]*Ruimtestaat[[#This Row],[Oppervlak (netto)]]</f>
        <v>7400</v>
      </c>
      <c r="V43" s="170">
        <f>IF(T43&gt;0,Ruimtestaat[[#This Row],[Prest. (m2 /jaar) werkdagen]]/Ruimtestaat[[#This Row],[Norm (m2/uur) werkdagen]],0)</f>
        <v>0</v>
      </c>
      <c r="W43" s="171">
        <f>Ruimtestaat[[#This Row],[uren / jaar werkdagen]]*Tariefsopbouw!$E$35</f>
        <v>0</v>
      </c>
      <c r="X43" s="33"/>
      <c r="Y43" s="33">
        <f>IF(Ruimtestaat[[#This Row],[Frequentie weekend]]&gt;0,VALUE(LEFT(X43,1))*Q43,0)</f>
        <v>0</v>
      </c>
      <c r="Z43" s="104">
        <f>IF($Y43&gt;0,VLOOKUP($J43,Ruimtegroepen[],3,FALSE)*VLOOKUP($L43,Vloersoorten[],3,FALSE)*VLOOKUP($X43,Frequenties[],3,FALSE)*VLOOKUP(Ruimtestaat[[#This Row],[Code]],Locaties[],3,FALSE),0)</f>
        <v>0</v>
      </c>
      <c r="AA43" s="104">
        <f>Ruimtestaat[[#This Row],[Uitvoeringen weekend]]*Ruimtestaat[[#This Row],[Oppervlak (netto)]]</f>
        <v>0</v>
      </c>
      <c r="AB43" s="104">
        <f>IF(Z43&gt;0,Ruimtestaat[[#This Row],[Prest. (m2 /jaar) weekend]]/Ruimtestaat[[#This Row],[Norm (m2/uur) weekend]],0)</f>
        <v>0</v>
      </c>
      <c r="AC43" s="171">
        <f>Ruimtestaat[[#This Row],[uren / jaar weekend]]*Tariefsopbouw!$D$40</f>
        <v>0</v>
      </c>
      <c r="AD43" s="170">
        <f>Ruimtestaat[[#This Row],[Prest. (m2 /jaar) weekend]]+Ruimtestaat[[#This Row],[Prest. (m2 /jaar) werkdagen]]</f>
        <v>7400</v>
      </c>
      <c r="AE43" s="170">
        <f>Ruimtestaat[[#This Row],[uren / jaar weekend]]+Ruimtestaat[[#This Row],[uren / jaar werkdagen]]</f>
        <v>0</v>
      </c>
      <c r="AF43" s="76">
        <f>Ruimtestaat[[#This Row],[kosten / jaar weekend]]+Ruimtestaat[[#This Row],[kosten / jaar werkdagen]]</f>
        <v>0</v>
      </c>
      <c r="AG43" s="76"/>
      <c r="AH43" s="272" t="str">
        <f>IF(Ruimtestaat[[#This Row],[Frequentie werkdagen]]="","",_xlfn.CONCAT(Ruimtestaat[[#This Row],[Ruimte code]],"-",Ruimtestaat[[#This Row],[Frequentie werkdagen]]," ",Ruimtestaat[[#This Row],[Vloer code]]))</f>
        <v>6-5w S</v>
      </c>
      <c r="AI43" s="310" t="str">
        <f>_xlfn.IFNA(VLOOKUP($AH43,Programma!$F$3:$G$1107,2,0),"")</f>
        <v>_</v>
      </c>
      <c r="AJ43" s="310" t="str">
        <f>_xlfn.IFNA(VLOOKUP($AH43,Programma!$F$3:$H$1107,3,0),"")</f>
        <v>_</v>
      </c>
      <c r="AK43" s="310" t="str">
        <f>_xlfn.IFNA(VLOOKUP($AH43,Programma!$F$3:$I$1107,4,0),"")</f>
        <v>5w</v>
      </c>
      <c r="AL43" s="310" t="str">
        <f>_xlfn.IFNA(VLOOKUP($AH43,Programma!$F$3:$J$1107,5,0),"")</f>
        <v>_</v>
      </c>
      <c r="AM43" s="310" t="str">
        <f>_xlfn.IFNA(VLOOKUP($AH43,Programma!$F$3:$K$1107,6,0),"")</f>
        <v>5w</v>
      </c>
      <c r="AN43" s="310" t="str">
        <f>_xlfn.IFNA(VLOOKUP($AH43,Programma!$F$3:$L$1107,7,0),"")</f>
        <v>_</v>
      </c>
      <c r="AO43" s="310" t="str">
        <f>_xlfn.IFNA(VLOOKUP($AH43,Programma!$F$3:$M$1107,8,0),"")</f>
        <v>_</v>
      </c>
      <c r="AP43" s="310" t="str">
        <f>_xlfn.IFNA(VLOOKUP($AH43,Programma!$F$3:$N$1107,9,0),"")</f>
        <v>_</v>
      </c>
      <c r="AQ43" s="310" t="str">
        <f>_xlfn.IFNA(VLOOKUP($AH43,Programma!$F$3:$O$1107,10,0),"")</f>
        <v>5w</v>
      </c>
      <c r="AR43" s="310" t="str">
        <f>_xlfn.IFNA(VLOOKUP($AH43,Programma!$F$3:$P$1107,11,0),"")</f>
        <v>5w</v>
      </c>
      <c r="AS43" s="310" t="str">
        <f>_xlfn.IFNA(VLOOKUP($AH43,Programma!$F$3:$Q$1107,12,0),"")</f>
        <v>1w</v>
      </c>
      <c r="AT43" s="310" t="str">
        <f>_xlfn.IFNA(VLOOKUP($AH43,Programma!$F$3:$R$1107,13,0),"")</f>
        <v>1w</v>
      </c>
      <c r="AU43" s="310" t="str">
        <f>_xlfn.IFNA(VLOOKUP($AH43,Programma!$F$3:$S$1107,14,0),"")</f>
        <v>1m</v>
      </c>
      <c r="AV43" s="310" t="str">
        <f>_xlfn.IFNA(VLOOKUP($AH43,Programma!$F$3:$T$1107,15,0),"")</f>
        <v>2j</v>
      </c>
      <c r="AW43" s="310" t="str">
        <f>_xlfn.IFNA(VLOOKUP($AH43,Programma!$F$3:$U$1107,16,0),"")</f>
        <v>1j</v>
      </c>
      <c r="AX43" s="310" t="str">
        <f>_xlfn.IFNA(VLOOKUP($AH43,Programma!$F$3:$V$1107,17,0),"")</f>
        <v>_</v>
      </c>
      <c r="AY43" s="310" t="str">
        <f>_xlfn.IFNA(VLOOKUP($AH43,Programma!$F$3:$W$1107,18,0),"")</f>
        <v>_</v>
      </c>
      <c r="AZ43" s="310" t="str">
        <f>_xlfn.IFNA(VLOOKUP($AH43,Programma!$F$3:$X$1107,19,0),"")</f>
        <v>_</v>
      </c>
      <c r="BA43" s="310" t="str">
        <f>_xlfn.IFNA(VLOOKUP($AH43,Programma!$F$3:$Y$1107,20,0),"")</f>
        <v>_</v>
      </c>
      <c r="BB43" s="273"/>
      <c r="BC43" s="272" t="str">
        <f>IF(Ruimtestaat[[#This Row],[Frequentie weekend]]="","",_xlfn.CONCAT(Ruimtestaat[[#This Row],[Ruimte code]],"-",Ruimtestaat[[#This Row],[Frequentie weekend]]," ",Ruimtestaat[[#This Row],[Vloer code]]))</f>
        <v/>
      </c>
      <c r="BD43" s="310" t="str">
        <f>_xlfn.IFNA(VLOOKUP($BC43,Programma!$F$3:$G$1107,2,0),"")</f>
        <v/>
      </c>
      <c r="BE43" s="310" t="str">
        <f>_xlfn.IFNA(VLOOKUP($BC43,Programma!$F$3:$H$1107,3,0),"")</f>
        <v/>
      </c>
      <c r="BF43" s="310" t="str">
        <f>_xlfn.IFNA(VLOOKUP($BC43,Programma!$F$3:$I$1107,4,0),"")</f>
        <v/>
      </c>
      <c r="BG43" s="310" t="str">
        <f>_xlfn.IFNA(VLOOKUP($BC43,Programma!$F$3:$J$1107,5,0),"")</f>
        <v/>
      </c>
      <c r="BH43" s="310" t="str">
        <f>_xlfn.IFNA(VLOOKUP($BC43,Programma!$F$3:$K$1107,6,0),"")</f>
        <v/>
      </c>
      <c r="BI43" s="310" t="str">
        <f>_xlfn.IFNA(VLOOKUP($BC43,Programma!$F$3:$L$1107,7,0),"")</f>
        <v/>
      </c>
      <c r="BJ43" s="310" t="str">
        <f>_xlfn.IFNA(VLOOKUP($BC43,Programma!$F$3:$M$1107,8,0),"")</f>
        <v/>
      </c>
      <c r="BK43" s="310" t="str">
        <f>_xlfn.IFNA(VLOOKUP($BC43,Programma!$F$3:$N$1107,9,0),"")</f>
        <v/>
      </c>
      <c r="BL43" s="310" t="str">
        <f>_xlfn.IFNA(VLOOKUP($BC43,Programma!$F$3:$O$1107,10,0),"")</f>
        <v/>
      </c>
      <c r="BM43" s="310" t="str">
        <f>_xlfn.IFNA(VLOOKUP($BC43,Programma!$F$3:$P$1107,11,0),"")</f>
        <v/>
      </c>
      <c r="BN43" s="310" t="str">
        <f>_xlfn.IFNA(VLOOKUP($BC43,Programma!$F$3:$Q$1107,12,0),"")</f>
        <v/>
      </c>
      <c r="BO43" s="310" t="str">
        <f>_xlfn.IFNA(VLOOKUP($BC43,Programma!$F$3:$R$1107,13,0),"")</f>
        <v/>
      </c>
      <c r="BP43" s="310" t="str">
        <f>_xlfn.IFNA(VLOOKUP($BC43,Programma!$F$3:$S$1107,14,0),"")</f>
        <v/>
      </c>
      <c r="BQ43" s="310" t="str">
        <f>_xlfn.IFNA(VLOOKUP($BC43,Programma!$F$3:$T$1107,15,0),"")</f>
        <v/>
      </c>
      <c r="BR43" s="310" t="str">
        <f>_xlfn.IFNA(VLOOKUP($BC43,Programma!$F$3:$U$1107,16,0),"")</f>
        <v/>
      </c>
      <c r="BS43" s="310" t="str">
        <f>_xlfn.IFNA(VLOOKUP($BC43,Programma!$F$3:$V$1107,17,0),"")</f>
        <v/>
      </c>
      <c r="BT43" s="310" t="str">
        <f>_xlfn.IFNA(VLOOKUP($BC43,Programma!$F$3:$W$1107,18,0),"")</f>
        <v/>
      </c>
      <c r="BU43" s="310" t="str">
        <f>_xlfn.IFNA(VLOOKUP($BC43,Programma!$F$3:$X$1107,19,0),"")</f>
        <v/>
      </c>
      <c r="BV43" s="310" t="str">
        <f>_xlfn.IFNA(VLOOKUP($BC43,Programma!$F$3:$Y$1107,20,0),"")</f>
        <v/>
      </c>
    </row>
    <row r="44" spans="1:74" ht="15" customHeight="1">
      <c r="A44" s="33">
        <v>1</v>
      </c>
      <c r="B44" s="173" t="s">
        <v>1619</v>
      </c>
      <c r="C44" s="173" t="str">
        <f>VLOOKUP(Ruimtestaat[[#This Row],[Code]],Locaties[[#All],[Code]:[Adres]],4,FALSE)</f>
        <v>Stationslaan 26</v>
      </c>
      <c r="D44" s="173" t="str">
        <f>VLOOKUP(Ruimtestaat[[#This Row],[Code]],Locaties[[#All],[Code]:[Postcode]],5,FALSE)</f>
        <v>3842 LA</v>
      </c>
      <c r="E44" s="173" t="str">
        <f>VLOOKUP(Ruimtestaat[[#This Row],[Code]],Locaties[#All],6,FALSE)</f>
        <v>Harderwijk</v>
      </c>
      <c r="F44" s="21" t="s">
        <v>1621</v>
      </c>
      <c r="G44" s="33" t="s">
        <v>1613</v>
      </c>
      <c r="H44" s="311"/>
      <c r="I44" s="312" t="s">
        <v>1766</v>
      </c>
      <c r="J44" s="21">
        <v>6</v>
      </c>
      <c r="K44" s="69" t="str">
        <f>VLOOKUP(Ruimtestaat[[#This Row],[Ruimte code]],Ruimtegroepen[[#All],[Code]:[Ruimte omschrijving]],2,FALSE)</f>
        <v>Gangen/hallen</v>
      </c>
      <c r="L44" s="33" t="s">
        <v>102</v>
      </c>
      <c r="M44" s="312" t="s">
        <v>1805</v>
      </c>
      <c r="N44" s="148">
        <v>37</v>
      </c>
      <c r="O44" s="150"/>
      <c r="P44" s="134" t="str">
        <f>VLOOKUP(Ruimtestaat[[#This Row],[Ruimte code]],Ruimtegroepen[],4,FALSE)</f>
        <v>Ve</v>
      </c>
      <c r="Q44" s="33">
        <v>40</v>
      </c>
      <c r="R44" s="33" t="s">
        <v>2</v>
      </c>
      <c r="S44" s="33">
        <f>IF(Q44&gt;0,IF(RIGHT(Ruimtestaat[[#This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4" s="33">
        <f>IF(S44&gt;0,VLOOKUP($J44,Ruimtegroepen[],3,FALSE)*VLOOKUP($L44,Vloersoorten[],3,FALSE)*VLOOKUP($R44,Frequenties[],3,FALSE)*VLOOKUP($A44,Locaties[],3,FALSE),0)</f>
        <v>0</v>
      </c>
      <c r="U44" s="33">
        <f>Ruimtestaat[[#This Row],[Uitvoeringen werkdagen]]*Ruimtestaat[[#This Row],[Oppervlak (netto)]]</f>
        <v>7400</v>
      </c>
      <c r="V44" s="170">
        <f>IF(T44&gt;0,Ruimtestaat[[#This Row],[Prest. (m2 /jaar) werkdagen]]/Ruimtestaat[[#This Row],[Norm (m2/uur) werkdagen]],0)</f>
        <v>0</v>
      </c>
      <c r="W44" s="171">
        <f>Ruimtestaat[[#This Row],[uren / jaar werkdagen]]*Tariefsopbouw!$E$35</f>
        <v>0</v>
      </c>
      <c r="X44" s="33"/>
      <c r="Y44" s="33">
        <f>IF(Ruimtestaat[[#This Row],[Frequentie weekend]]&gt;0,VALUE(LEFT(X44,1))*Q44,0)</f>
        <v>0</v>
      </c>
      <c r="Z44" s="104">
        <f>IF($Y44&gt;0,VLOOKUP($J44,Ruimtegroepen[],3,FALSE)*VLOOKUP($L44,Vloersoorten[],3,FALSE)*VLOOKUP($X44,Frequenties[],3,FALSE)*VLOOKUP(Ruimtestaat[[#This Row],[Code]],Locaties[],3,FALSE),0)</f>
        <v>0</v>
      </c>
      <c r="AA44" s="104">
        <f>Ruimtestaat[[#This Row],[Uitvoeringen weekend]]*Ruimtestaat[[#This Row],[Oppervlak (netto)]]</f>
        <v>0</v>
      </c>
      <c r="AB44" s="104">
        <f>IF(Z44&gt;0,Ruimtestaat[[#This Row],[Prest. (m2 /jaar) weekend]]/Ruimtestaat[[#This Row],[Norm (m2/uur) weekend]],0)</f>
        <v>0</v>
      </c>
      <c r="AC44" s="171">
        <f>Ruimtestaat[[#This Row],[uren / jaar weekend]]*Tariefsopbouw!$D$40</f>
        <v>0</v>
      </c>
      <c r="AD44" s="170">
        <f>Ruimtestaat[[#This Row],[Prest. (m2 /jaar) weekend]]+Ruimtestaat[[#This Row],[Prest. (m2 /jaar) werkdagen]]</f>
        <v>7400</v>
      </c>
      <c r="AE44" s="170">
        <f>Ruimtestaat[[#This Row],[uren / jaar weekend]]+Ruimtestaat[[#This Row],[uren / jaar werkdagen]]</f>
        <v>0</v>
      </c>
      <c r="AF44" s="76">
        <f>Ruimtestaat[[#This Row],[kosten / jaar weekend]]+Ruimtestaat[[#This Row],[kosten / jaar werkdagen]]</f>
        <v>0</v>
      </c>
      <c r="AG44" s="76"/>
      <c r="AH44" s="272" t="str">
        <f>IF(Ruimtestaat[[#This Row],[Frequentie werkdagen]]="","",_xlfn.CONCAT(Ruimtestaat[[#This Row],[Ruimte code]],"-",Ruimtestaat[[#This Row],[Frequentie werkdagen]]," ",Ruimtestaat[[#This Row],[Vloer code]]))</f>
        <v>6-5w S</v>
      </c>
      <c r="AI44" s="310" t="str">
        <f>_xlfn.IFNA(VLOOKUP($AH44,Programma!$F$3:$G$1107,2,0),"")</f>
        <v>_</v>
      </c>
      <c r="AJ44" s="310" t="str">
        <f>_xlfn.IFNA(VLOOKUP($AH44,Programma!$F$3:$H$1107,3,0),"")</f>
        <v>_</v>
      </c>
      <c r="AK44" s="310" t="str">
        <f>_xlfn.IFNA(VLOOKUP($AH44,Programma!$F$3:$I$1107,4,0),"")</f>
        <v>5w</v>
      </c>
      <c r="AL44" s="310" t="str">
        <f>_xlfn.IFNA(VLOOKUP($AH44,Programma!$F$3:$J$1107,5,0),"")</f>
        <v>_</v>
      </c>
      <c r="AM44" s="310" t="str">
        <f>_xlfn.IFNA(VLOOKUP($AH44,Programma!$F$3:$K$1107,6,0),"")</f>
        <v>5w</v>
      </c>
      <c r="AN44" s="310" t="str">
        <f>_xlfn.IFNA(VLOOKUP($AH44,Programma!$F$3:$L$1107,7,0),"")</f>
        <v>_</v>
      </c>
      <c r="AO44" s="310" t="str">
        <f>_xlfn.IFNA(VLOOKUP($AH44,Programma!$F$3:$M$1107,8,0),"")</f>
        <v>_</v>
      </c>
      <c r="AP44" s="310" t="str">
        <f>_xlfn.IFNA(VLOOKUP($AH44,Programma!$F$3:$N$1107,9,0),"")</f>
        <v>_</v>
      </c>
      <c r="AQ44" s="310" t="str">
        <f>_xlfn.IFNA(VLOOKUP($AH44,Programma!$F$3:$O$1107,10,0),"")</f>
        <v>5w</v>
      </c>
      <c r="AR44" s="310" t="str">
        <f>_xlfn.IFNA(VLOOKUP($AH44,Programma!$F$3:$P$1107,11,0),"")</f>
        <v>5w</v>
      </c>
      <c r="AS44" s="310" t="str">
        <f>_xlfn.IFNA(VLOOKUP($AH44,Programma!$F$3:$Q$1107,12,0),"")</f>
        <v>1w</v>
      </c>
      <c r="AT44" s="310" t="str">
        <f>_xlfn.IFNA(VLOOKUP($AH44,Programma!$F$3:$R$1107,13,0),"")</f>
        <v>1w</v>
      </c>
      <c r="AU44" s="310" t="str">
        <f>_xlfn.IFNA(VLOOKUP($AH44,Programma!$F$3:$S$1107,14,0),"")</f>
        <v>1m</v>
      </c>
      <c r="AV44" s="310" t="str">
        <f>_xlfn.IFNA(VLOOKUP($AH44,Programma!$F$3:$T$1107,15,0),"")</f>
        <v>2j</v>
      </c>
      <c r="AW44" s="310" t="str">
        <f>_xlfn.IFNA(VLOOKUP($AH44,Programma!$F$3:$U$1107,16,0),"")</f>
        <v>1j</v>
      </c>
      <c r="AX44" s="310" t="str">
        <f>_xlfn.IFNA(VLOOKUP($AH44,Programma!$F$3:$V$1107,17,0),"")</f>
        <v>_</v>
      </c>
      <c r="AY44" s="310" t="str">
        <f>_xlfn.IFNA(VLOOKUP($AH44,Programma!$F$3:$W$1107,18,0),"")</f>
        <v>_</v>
      </c>
      <c r="AZ44" s="310" t="str">
        <f>_xlfn.IFNA(VLOOKUP($AH44,Programma!$F$3:$X$1107,19,0),"")</f>
        <v>_</v>
      </c>
      <c r="BA44" s="310" t="str">
        <f>_xlfn.IFNA(VLOOKUP($AH44,Programma!$F$3:$Y$1107,20,0),"")</f>
        <v>_</v>
      </c>
      <c r="BB44" s="273"/>
      <c r="BC44" s="272" t="str">
        <f>IF(Ruimtestaat[[#This Row],[Frequentie weekend]]="","",_xlfn.CONCAT(Ruimtestaat[[#This Row],[Ruimte code]],"-",Ruimtestaat[[#This Row],[Frequentie weekend]]," ",Ruimtestaat[[#This Row],[Vloer code]]))</f>
        <v/>
      </c>
      <c r="BD44" s="310" t="str">
        <f>_xlfn.IFNA(VLOOKUP($BC44,Programma!$F$3:$G$1107,2,0),"")</f>
        <v/>
      </c>
      <c r="BE44" s="310" t="str">
        <f>_xlfn.IFNA(VLOOKUP($BC44,Programma!$F$3:$H$1107,3,0),"")</f>
        <v/>
      </c>
      <c r="BF44" s="310" t="str">
        <f>_xlfn.IFNA(VLOOKUP($BC44,Programma!$F$3:$I$1107,4,0),"")</f>
        <v/>
      </c>
      <c r="BG44" s="310" t="str">
        <f>_xlfn.IFNA(VLOOKUP($BC44,Programma!$F$3:$J$1107,5,0),"")</f>
        <v/>
      </c>
      <c r="BH44" s="310" t="str">
        <f>_xlfn.IFNA(VLOOKUP($BC44,Programma!$F$3:$K$1107,6,0),"")</f>
        <v/>
      </c>
      <c r="BI44" s="310" t="str">
        <f>_xlfn.IFNA(VLOOKUP($BC44,Programma!$F$3:$L$1107,7,0),"")</f>
        <v/>
      </c>
      <c r="BJ44" s="310" t="str">
        <f>_xlfn.IFNA(VLOOKUP($BC44,Programma!$F$3:$M$1107,8,0),"")</f>
        <v/>
      </c>
      <c r="BK44" s="310" t="str">
        <f>_xlfn.IFNA(VLOOKUP($BC44,Programma!$F$3:$N$1107,9,0),"")</f>
        <v/>
      </c>
      <c r="BL44" s="310" t="str">
        <f>_xlfn.IFNA(VLOOKUP($BC44,Programma!$F$3:$O$1107,10,0),"")</f>
        <v/>
      </c>
      <c r="BM44" s="310" t="str">
        <f>_xlfn.IFNA(VLOOKUP($BC44,Programma!$F$3:$P$1107,11,0),"")</f>
        <v/>
      </c>
      <c r="BN44" s="310" t="str">
        <f>_xlfn.IFNA(VLOOKUP($BC44,Programma!$F$3:$Q$1107,12,0),"")</f>
        <v/>
      </c>
      <c r="BO44" s="310" t="str">
        <f>_xlfn.IFNA(VLOOKUP($BC44,Programma!$F$3:$R$1107,13,0),"")</f>
        <v/>
      </c>
      <c r="BP44" s="310" t="str">
        <f>_xlfn.IFNA(VLOOKUP($BC44,Programma!$F$3:$S$1107,14,0),"")</f>
        <v/>
      </c>
      <c r="BQ44" s="310" t="str">
        <f>_xlfn.IFNA(VLOOKUP($BC44,Programma!$F$3:$T$1107,15,0),"")</f>
        <v/>
      </c>
      <c r="BR44" s="310" t="str">
        <f>_xlfn.IFNA(VLOOKUP($BC44,Programma!$F$3:$U$1107,16,0),"")</f>
        <v/>
      </c>
      <c r="BS44" s="310" t="str">
        <f>_xlfn.IFNA(VLOOKUP($BC44,Programma!$F$3:$V$1107,17,0),"")</f>
        <v/>
      </c>
      <c r="BT44" s="310" t="str">
        <f>_xlfn.IFNA(VLOOKUP($BC44,Programma!$F$3:$W$1107,18,0),"")</f>
        <v/>
      </c>
      <c r="BU44" s="310" t="str">
        <f>_xlfn.IFNA(VLOOKUP($BC44,Programma!$F$3:$X$1107,19,0),"")</f>
        <v/>
      </c>
      <c r="BV44" s="310" t="str">
        <f>_xlfn.IFNA(VLOOKUP($BC44,Programma!$F$3:$Y$1107,20,0),"")</f>
        <v/>
      </c>
    </row>
    <row r="45" spans="1:74" ht="15" customHeight="1">
      <c r="A45" s="33">
        <v>1</v>
      </c>
      <c r="B45" s="173" t="s">
        <v>1619</v>
      </c>
      <c r="C45" s="173" t="str">
        <f>VLOOKUP(Ruimtestaat[[#This Row],[Code]],Locaties[[#All],[Code]:[Adres]],4,FALSE)</f>
        <v>Stationslaan 26</v>
      </c>
      <c r="D45" s="173" t="str">
        <f>VLOOKUP(Ruimtestaat[[#This Row],[Code]],Locaties[[#All],[Code]:[Postcode]],5,FALSE)</f>
        <v>3842 LA</v>
      </c>
      <c r="E45" s="173" t="str">
        <f>VLOOKUP(Ruimtestaat[[#This Row],[Code]],Locaties[#All],6,FALSE)</f>
        <v>Harderwijk</v>
      </c>
      <c r="F45" s="21" t="s">
        <v>1621</v>
      </c>
      <c r="G45" s="33" t="s">
        <v>1613</v>
      </c>
      <c r="H45" s="311"/>
      <c r="I45" s="312" t="s">
        <v>1766</v>
      </c>
      <c r="J45" s="21">
        <v>6</v>
      </c>
      <c r="K45" s="69" t="str">
        <f>VLOOKUP(Ruimtestaat[[#This Row],[Ruimte code]],Ruimtegroepen[[#All],[Code]:[Ruimte omschrijving]],2,FALSE)</f>
        <v>Gangen/hallen</v>
      </c>
      <c r="L45" s="33" t="s">
        <v>102</v>
      </c>
      <c r="M45" s="312" t="s">
        <v>1805</v>
      </c>
      <c r="N45" s="148">
        <v>45</v>
      </c>
      <c r="O45" s="33"/>
      <c r="P45" s="134" t="str">
        <f>VLOOKUP(Ruimtestaat[[#This Row],[Ruimte code]],Ruimtegroepen[],4,FALSE)</f>
        <v>Ve</v>
      </c>
      <c r="Q45" s="33">
        <v>40</v>
      </c>
      <c r="R45" s="33" t="s">
        <v>2</v>
      </c>
      <c r="S45" s="33">
        <f>IF(Q45&gt;0,IF(RIGHT(Ruimtestaat[[#This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 s="33">
        <f>IF(S45&gt;0,VLOOKUP($J45,Ruimtegroepen[],3,FALSE)*VLOOKUP($L45,Vloersoorten[],3,FALSE)*VLOOKUP($R45,Frequenties[],3,FALSE)*VLOOKUP($A45,Locaties[],3,FALSE),0)</f>
        <v>0</v>
      </c>
      <c r="U45" s="33">
        <f>Ruimtestaat[[#This Row],[Uitvoeringen werkdagen]]*Ruimtestaat[[#This Row],[Oppervlak (netto)]]</f>
        <v>9000</v>
      </c>
      <c r="V45" s="170">
        <f>IF(T45&gt;0,Ruimtestaat[[#This Row],[Prest. (m2 /jaar) werkdagen]]/Ruimtestaat[[#This Row],[Norm (m2/uur) werkdagen]],0)</f>
        <v>0</v>
      </c>
      <c r="W45" s="171">
        <f>Ruimtestaat[[#This Row],[uren / jaar werkdagen]]*Tariefsopbouw!$E$35</f>
        <v>0</v>
      </c>
      <c r="X45" s="33"/>
      <c r="Y45" s="33">
        <f>IF(Ruimtestaat[[#This Row],[Frequentie weekend]]&gt;0,VALUE(LEFT(X45,1))*Q45,0)</f>
        <v>0</v>
      </c>
      <c r="Z45" s="104">
        <f>IF($Y45&gt;0,VLOOKUP($J45,Ruimtegroepen[],3,FALSE)*VLOOKUP($L45,Vloersoorten[],3,FALSE)*VLOOKUP($X45,Frequenties[],3,FALSE)*VLOOKUP(Ruimtestaat[[#This Row],[Code]],Locaties[],3,FALSE),0)</f>
        <v>0</v>
      </c>
      <c r="AA45" s="104">
        <f>Ruimtestaat[[#This Row],[Uitvoeringen weekend]]*Ruimtestaat[[#This Row],[Oppervlak (netto)]]</f>
        <v>0</v>
      </c>
      <c r="AB45" s="104">
        <f>IF(Z45&gt;0,Ruimtestaat[[#This Row],[Prest. (m2 /jaar) weekend]]/Ruimtestaat[[#This Row],[Norm (m2/uur) weekend]],0)</f>
        <v>0</v>
      </c>
      <c r="AC45" s="171">
        <f>Ruimtestaat[[#This Row],[uren / jaar weekend]]*Tariefsopbouw!$D$40</f>
        <v>0</v>
      </c>
      <c r="AD45" s="170">
        <f>Ruimtestaat[[#This Row],[Prest. (m2 /jaar) weekend]]+Ruimtestaat[[#This Row],[Prest. (m2 /jaar) werkdagen]]</f>
        <v>9000</v>
      </c>
      <c r="AE45" s="170">
        <f>Ruimtestaat[[#This Row],[uren / jaar weekend]]+Ruimtestaat[[#This Row],[uren / jaar werkdagen]]</f>
        <v>0</v>
      </c>
      <c r="AF45" s="76">
        <f>Ruimtestaat[[#This Row],[kosten / jaar weekend]]+Ruimtestaat[[#This Row],[kosten / jaar werkdagen]]</f>
        <v>0</v>
      </c>
      <c r="AG45" s="76"/>
      <c r="AH45" s="272" t="str">
        <f>IF(Ruimtestaat[[#This Row],[Frequentie werkdagen]]="","",_xlfn.CONCAT(Ruimtestaat[[#This Row],[Ruimte code]],"-",Ruimtestaat[[#This Row],[Frequentie werkdagen]]," ",Ruimtestaat[[#This Row],[Vloer code]]))</f>
        <v>6-5w S</v>
      </c>
      <c r="AI45" s="310" t="str">
        <f>_xlfn.IFNA(VLOOKUP($AH45,Programma!$F$3:$G$1107,2,0),"")</f>
        <v>_</v>
      </c>
      <c r="AJ45" s="310" t="str">
        <f>_xlfn.IFNA(VLOOKUP($AH45,Programma!$F$3:$H$1107,3,0),"")</f>
        <v>_</v>
      </c>
      <c r="AK45" s="310" t="str">
        <f>_xlfn.IFNA(VLOOKUP($AH45,Programma!$F$3:$I$1107,4,0),"")</f>
        <v>5w</v>
      </c>
      <c r="AL45" s="310" t="str">
        <f>_xlfn.IFNA(VLOOKUP($AH45,Programma!$F$3:$J$1107,5,0),"")</f>
        <v>_</v>
      </c>
      <c r="AM45" s="310" t="str">
        <f>_xlfn.IFNA(VLOOKUP($AH45,Programma!$F$3:$K$1107,6,0),"")</f>
        <v>5w</v>
      </c>
      <c r="AN45" s="310" t="str">
        <f>_xlfn.IFNA(VLOOKUP($AH45,Programma!$F$3:$L$1107,7,0),"")</f>
        <v>_</v>
      </c>
      <c r="AO45" s="310" t="str">
        <f>_xlfn.IFNA(VLOOKUP($AH45,Programma!$F$3:$M$1107,8,0),"")</f>
        <v>_</v>
      </c>
      <c r="AP45" s="310" t="str">
        <f>_xlfn.IFNA(VLOOKUP($AH45,Programma!$F$3:$N$1107,9,0),"")</f>
        <v>_</v>
      </c>
      <c r="AQ45" s="310" t="str">
        <f>_xlfn.IFNA(VLOOKUP($AH45,Programma!$F$3:$O$1107,10,0),"")</f>
        <v>5w</v>
      </c>
      <c r="AR45" s="310" t="str">
        <f>_xlfn.IFNA(VLOOKUP($AH45,Programma!$F$3:$P$1107,11,0),"")</f>
        <v>5w</v>
      </c>
      <c r="AS45" s="310" t="str">
        <f>_xlfn.IFNA(VLOOKUP($AH45,Programma!$F$3:$Q$1107,12,0),"")</f>
        <v>1w</v>
      </c>
      <c r="AT45" s="310" t="str">
        <f>_xlfn.IFNA(VLOOKUP($AH45,Programma!$F$3:$R$1107,13,0),"")</f>
        <v>1w</v>
      </c>
      <c r="AU45" s="310" t="str">
        <f>_xlfn.IFNA(VLOOKUP($AH45,Programma!$F$3:$S$1107,14,0),"")</f>
        <v>1m</v>
      </c>
      <c r="AV45" s="310" t="str">
        <f>_xlfn.IFNA(VLOOKUP($AH45,Programma!$F$3:$T$1107,15,0),"")</f>
        <v>2j</v>
      </c>
      <c r="AW45" s="310" t="str">
        <f>_xlfn.IFNA(VLOOKUP($AH45,Programma!$F$3:$U$1107,16,0),"")</f>
        <v>1j</v>
      </c>
      <c r="AX45" s="310" t="str">
        <f>_xlfn.IFNA(VLOOKUP($AH45,Programma!$F$3:$V$1107,17,0),"")</f>
        <v>_</v>
      </c>
      <c r="AY45" s="310" t="str">
        <f>_xlfn.IFNA(VLOOKUP($AH45,Programma!$F$3:$W$1107,18,0),"")</f>
        <v>_</v>
      </c>
      <c r="AZ45" s="310" t="str">
        <f>_xlfn.IFNA(VLOOKUP($AH45,Programma!$F$3:$X$1107,19,0),"")</f>
        <v>_</v>
      </c>
      <c r="BA45" s="310" t="str">
        <f>_xlfn.IFNA(VLOOKUP($AH45,Programma!$F$3:$Y$1107,20,0),"")</f>
        <v>_</v>
      </c>
      <c r="BB45" s="273"/>
      <c r="BC45" s="272" t="str">
        <f>IF(Ruimtestaat[[#This Row],[Frequentie weekend]]="","",_xlfn.CONCAT(Ruimtestaat[[#This Row],[Ruimte code]],"-",Ruimtestaat[[#This Row],[Frequentie weekend]]," ",Ruimtestaat[[#This Row],[Vloer code]]))</f>
        <v/>
      </c>
      <c r="BD45" s="310" t="str">
        <f>_xlfn.IFNA(VLOOKUP($BC45,Programma!$F$3:$G$1107,2,0),"")</f>
        <v/>
      </c>
      <c r="BE45" s="310" t="str">
        <f>_xlfn.IFNA(VLOOKUP($BC45,Programma!$F$3:$H$1107,3,0),"")</f>
        <v/>
      </c>
      <c r="BF45" s="310" t="str">
        <f>_xlfn.IFNA(VLOOKUP($BC45,Programma!$F$3:$I$1107,4,0),"")</f>
        <v/>
      </c>
      <c r="BG45" s="310" t="str">
        <f>_xlfn.IFNA(VLOOKUP($BC45,Programma!$F$3:$J$1107,5,0),"")</f>
        <v/>
      </c>
      <c r="BH45" s="310" t="str">
        <f>_xlfn.IFNA(VLOOKUP($BC45,Programma!$F$3:$K$1107,6,0),"")</f>
        <v/>
      </c>
      <c r="BI45" s="310" t="str">
        <f>_xlfn.IFNA(VLOOKUP($BC45,Programma!$F$3:$L$1107,7,0),"")</f>
        <v/>
      </c>
      <c r="BJ45" s="310" t="str">
        <f>_xlfn.IFNA(VLOOKUP($BC45,Programma!$F$3:$M$1107,8,0),"")</f>
        <v/>
      </c>
      <c r="BK45" s="310" t="str">
        <f>_xlfn.IFNA(VLOOKUP($BC45,Programma!$F$3:$N$1107,9,0),"")</f>
        <v/>
      </c>
      <c r="BL45" s="310" t="str">
        <f>_xlfn.IFNA(VLOOKUP($BC45,Programma!$F$3:$O$1107,10,0),"")</f>
        <v/>
      </c>
      <c r="BM45" s="310" t="str">
        <f>_xlfn.IFNA(VLOOKUP($BC45,Programma!$F$3:$P$1107,11,0),"")</f>
        <v/>
      </c>
      <c r="BN45" s="310" t="str">
        <f>_xlfn.IFNA(VLOOKUP($BC45,Programma!$F$3:$Q$1107,12,0),"")</f>
        <v/>
      </c>
      <c r="BO45" s="310" t="str">
        <f>_xlfn.IFNA(VLOOKUP($BC45,Programma!$F$3:$R$1107,13,0),"")</f>
        <v/>
      </c>
      <c r="BP45" s="310" t="str">
        <f>_xlfn.IFNA(VLOOKUP($BC45,Programma!$F$3:$S$1107,14,0),"")</f>
        <v/>
      </c>
      <c r="BQ45" s="310" t="str">
        <f>_xlfn.IFNA(VLOOKUP($BC45,Programma!$F$3:$T$1107,15,0),"")</f>
        <v/>
      </c>
      <c r="BR45" s="310" t="str">
        <f>_xlfn.IFNA(VLOOKUP($BC45,Programma!$F$3:$U$1107,16,0),"")</f>
        <v/>
      </c>
      <c r="BS45" s="310" t="str">
        <f>_xlfn.IFNA(VLOOKUP($BC45,Programma!$F$3:$V$1107,17,0),"")</f>
        <v/>
      </c>
      <c r="BT45" s="310" t="str">
        <f>_xlfn.IFNA(VLOOKUP($BC45,Programma!$F$3:$W$1107,18,0),"")</f>
        <v/>
      </c>
      <c r="BU45" s="310" t="str">
        <f>_xlfn.IFNA(VLOOKUP($BC45,Programma!$F$3:$X$1107,19,0),"")</f>
        <v/>
      </c>
      <c r="BV45" s="310" t="str">
        <f>_xlfn.IFNA(VLOOKUP($BC45,Programma!$F$3:$Y$1107,20,0),"")</f>
        <v/>
      </c>
    </row>
    <row r="46" spans="1:74" ht="15" customHeight="1">
      <c r="A46" s="33">
        <v>1</v>
      </c>
      <c r="B46" s="173" t="s">
        <v>1619</v>
      </c>
      <c r="C46" s="173" t="str">
        <f>VLOOKUP(Ruimtestaat[[#This Row],[Code]],Locaties[[#All],[Code]:[Adres]],4,FALSE)</f>
        <v>Stationslaan 26</v>
      </c>
      <c r="D46" s="173" t="str">
        <f>VLOOKUP(Ruimtestaat[[#This Row],[Code]],Locaties[[#All],[Code]:[Postcode]],5,FALSE)</f>
        <v>3842 LA</v>
      </c>
      <c r="E46" s="173" t="str">
        <f>VLOOKUP(Ruimtestaat[[#This Row],[Code]],Locaties[#All],6,FALSE)</f>
        <v>Harderwijk</v>
      </c>
      <c r="F46" s="21" t="s">
        <v>1621</v>
      </c>
      <c r="G46" s="33" t="s">
        <v>1613</v>
      </c>
      <c r="H46" s="311"/>
      <c r="I46" s="312" t="s">
        <v>1766</v>
      </c>
      <c r="J46" s="21">
        <v>6</v>
      </c>
      <c r="K46" s="69" t="str">
        <f>VLOOKUP(Ruimtestaat[[#This Row],[Ruimte code]],Ruimtegroepen[[#All],[Code]:[Ruimte omschrijving]],2,FALSE)</f>
        <v>Gangen/hallen</v>
      </c>
      <c r="L46" s="33" t="s">
        <v>100</v>
      </c>
      <c r="M46" s="312" t="s">
        <v>1803</v>
      </c>
      <c r="N46" s="148">
        <v>18</v>
      </c>
      <c r="O46" s="150"/>
      <c r="P46" s="134" t="str">
        <f>VLOOKUP(Ruimtestaat[[#This Row],[Ruimte code]],Ruimtegroepen[],4,FALSE)</f>
        <v>Ve</v>
      </c>
      <c r="Q46" s="33">
        <v>40</v>
      </c>
      <c r="R46" s="33" t="s">
        <v>2</v>
      </c>
      <c r="S46" s="33">
        <f>IF(Q46&gt;0,IF(RIGHT(Ruimtestaat[[#This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6" s="33">
        <f>IF(S46&gt;0,VLOOKUP($J46,Ruimtegroepen[],3,FALSE)*VLOOKUP($L46,Vloersoorten[],3,FALSE)*VLOOKUP($R46,Frequenties[],3,FALSE)*VLOOKUP($A46,Locaties[],3,FALSE),0)</f>
        <v>0</v>
      </c>
      <c r="U46" s="33">
        <f>Ruimtestaat[[#This Row],[Uitvoeringen werkdagen]]*Ruimtestaat[[#This Row],[Oppervlak (netto)]]</f>
        <v>3600</v>
      </c>
      <c r="V46" s="170">
        <f>IF(T46&gt;0,Ruimtestaat[[#This Row],[Prest. (m2 /jaar) werkdagen]]/Ruimtestaat[[#This Row],[Norm (m2/uur) werkdagen]],0)</f>
        <v>0</v>
      </c>
      <c r="W46" s="171">
        <f>Ruimtestaat[[#This Row],[uren / jaar werkdagen]]*Tariefsopbouw!$E$35</f>
        <v>0</v>
      </c>
      <c r="X46" s="33"/>
      <c r="Y46" s="33">
        <f>IF(Ruimtestaat[[#This Row],[Frequentie weekend]]&gt;0,VALUE(LEFT(X46,1))*Q46,0)</f>
        <v>0</v>
      </c>
      <c r="Z46" s="104">
        <f>IF($Y46&gt;0,VLOOKUP($J46,Ruimtegroepen[],3,FALSE)*VLOOKUP($L46,Vloersoorten[],3,FALSE)*VLOOKUP($X46,Frequenties[],3,FALSE)*VLOOKUP(Ruimtestaat[[#This Row],[Code]],Locaties[],3,FALSE),0)</f>
        <v>0</v>
      </c>
      <c r="AA46" s="104">
        <f>Ruimtestaat[[#This Row],[Uitvoeringen weekend]]*Ruimtestaat[[#This Row],[Oppervlak (netto)]]</f>
        <v>0</v>
      </c>
      <c r="AB46" s="104">
        <f>IF(Z46&gt;0,Ruimtestaat[[#This Row],[Prest. (m2 /jaar) weekend]]/Ruimtestaat[[#This Row],[Norm (m2/uur) weekend]],0)</f>
        <v>0</v>
      </c>
      <c r="AC46" s="171">
        <f>Ruimtestaat[[#This Row],[uren / jaar weekend]]*Tariefsopbouw!$D$40</f>
        <v>0</v>
      </c>
      <c r="AD46" s="170">
        <f>Ruimtestaat[[#This Row],[Prest. (m2 /jaar) weekend]]+Ruimtestaat[[#This Row],[Prest. (m2 /jaar) werkdagen]]</f>
        <v>3600</v>
      </c>
      <c r="AE46" s="170">
        <f>Ruimtestaat[[#This Row],[uren / jaar weekend]]+Ruimtestaat[[#This Row],[uren / jaar werkdagen]]</f>
        <v>0</v>
      </c>
      <c r="AF46" s="76">
        <f>Ruimtestaat[[#This Row],[kosten / jaar weekend]]+Ruimtestaat[[#This Row],[kosten / jaar werkdagen]]</f>
        <v>0</v>
      </c>
      <c r="AG46" s="76"/>
      <c r="AH46" s="272" t="str">
        <f>IF(Ruimtestaat[[#This Row],[Frequentie werkdagen]]="","",_xlfn.CONCAT(Ruimtestaat[[#This Row],[Ruimte code]],"-",Ruimtestaat[[#This Row],[Frequentie werkdagen]]," ",Ruimtestaat[[#This Row],[Vloer code]]))</f>
        <v>6-5w T</v>
      </c>
      <c r="AI46" s="310" t="str">
        <f>_xlfn.IFNA(VLOOKUP($AH46,Programma!$F$3:$G$1107,2,0),"")</f>
        <v>_</v>
      </c>
      <c r="AJ46" s="310" t="str">
        <f>_xlfn.IFNA(VLOOKUP($AH46,Programma!$F$3:$H$1107,3,0),"")</f>
        <v>5w</v>
      </c>
      <c r="AK46" s="310" t="str">
        <f>_xlfn.IFNA(VLOOKUP($AH46,Programma!$F$3:$I$1107,4,0),"")</f>
        <v>_</v>
      </c>
      <c r="AL46" s="310" t="str">
        <f>_xlfn.IFNA(VLOOKUP($AH46,Programma!$F$3:$J$1107,5,0),"")</f>
        <v>_</v>
      </c>
      <c r="AM46" s="310" t="str">
        <f>_xlfn.IFNA(VLOOKUP($AH46,Programma!$F$3:$K$1107,6,0),"")</f>
        <v>_</v>
      </c>
      <c r="AN46" s="310" t="str">
        <f>_xlfn.IFNA(VLOOKUP($AH46,Programma!$F$3:$L$1107,7,0),"")</f>
        <v>_</v>
      </c>
      <c r="AO46" s="310" t="str">
        <f>_xlfn.IFNA(VLOOKUP($AH46,Programma!$F$3:$M$1107,8,0),"")</f>
        <v>_</v>
      </c>
      <c r="AP46" s="310" t="str">
        <f>_xlfn.IFNA(VLOOKUP($AH46,Programma!$F$3:$N$1107,9,0),"")</f>
        <v>_</v>
      </c>
      <c r="AQ46" s="310" t="str">
        <f>_xlfn.IFNA(VLOOKUP($AH46,Programma!$F$3:$O$1107,10,0),"")</f>
        <v>5w</v>
      </c>
      <c r="AR46" s="310" t="str">
        <f>_xlfn.IFNA(VLOOKUP($AH46,Programma!$F$3:$P$1107,11,0),"")</f>
        <v>5w</v>
      </c>
      <c r="AS46" s="310" t="str">
        <f>_xlfn.IFNA(VLOOKUP($AH46,Programma!$F$3:$Q$1107,12,0),"")</f>
        <v>1w</v>
      </c>
      <c r="AT46" s="310" t="str">
        <f>_xlfn.IFNA(VLOOKUP($AH46,Programma!$F$3:$R$1107,13,0),"")</f>
        <v>1w</v>
      </c>
      <c r="AU46" s="310" t="str">
        <f>_xlfn.IFNA(VLOOKUP($AH46,Programma!$F$3:$S$1107,14,0),"")</f>
        <v>1m</v>
      </c>
      <c r="AV46" s="310" t="str">
        <f>_xlfn.IFNA(VLOOKUP($AH46,Programma!$F$3:$T$1107,15,0),"")</f>
        <v>2j</v>
      </c>
      <c r="AW46" s="310" t="str">
        <f>_xlfn.IFNA(VLOOKUP($AH46,Programma!$F$3:$U$1107,16,0),"")</f>
        <v>1j</v>
      </c>
      <c r="AX46" s="310" t="str">
        <f>_xlfn.IFNA(VLOOKUP($AH46,Programma!$F$3:$V$1107,17,0),"")</f>
        <v>_</v>
      </c>
      <c r="AY46" s="310" t="str">
        <f>_xlfn.IFNA(VLOOKUP($AH46,Programma!$F$3:$W$1107,18,0),"")</f>
        <v>_</v>
      </c>
      <c r="AZ46" s="310" t="str">
        <f>_xlfn.IFNA(VLOOKUP($AH46,Programma!$F$3:$X$1107,19,0),"")</f>
        <v>_</v>
      </c>
      <c r="BA46" s="310" t="str">
        <f>_xlfn.IFNA(VLOOKUP($AH46,Programma!$F$3:$Y$1107,20,0),"")</f>
        <v>_</v>
      </c>
      <c r="BB46" s="273"/>
      <c r="BC46" s="272" t="str">
        <f>IF(Ruimtestaat[[#This Row],[Frequentie weekend]]="","",_xlfn.CONCAT(Ruimtestaat[[#This Row],[Ruimte code]],"-",Ruimtestaat[[#This Row],[Frequentie weekend]]," ",Ruimtestaat[[#This Row],[Vloer code]]))</f>
        <v/>
      </c>
      <c r="BD46" s="310" t="str">
        <f>_xlfn.IFNA(VLOOKUP($BC46,Programma!$F$3:$G$1107,2,0),"")</f>
        <v/>
      </c>
      <c r="BE46" s="310" t="str">
        <f>_xlfn.IFNA(VLOOKUP($BC46,Programma!$F$3:$H$1107,3,0),"")</f>
        <v/>
      </c>
      <c r="BF46" s="310" t="str">
        <f>_xlfn.IFNA(VLOOKUP($BC46,Programma!$F$3:$I$1107,4,0),"")</f>
        <v/>
      </c>
      <c r="BG46" s="310" t="str">
        <f>_xlfn.IFNA(VLOOKUP($BC46,Programma!$F$3:$J$1107,5,0),"")</f>
        <v/>
      </c>
      <c r="BH46" s="310" t="str">
        <f>_xlfn.IFNA(VLOOKUP($BC46,Programma!$F$3:$K$1107,6,0),"")</f>
        <v/>
      </c>
      <c r="BI46" s="310" t="str">
        <f>_xlfn.IFNA(VLOOKUP($BC46,Programma!$F$3:$L$1107,7,0),"")</f>
        <v/>
      </c>
      <c r="BJ46" s="310" t="str">
        <f>_xlfn.IFNA(VLOOKUP($BC46,Programma!$F$3:$M$1107,8,0),"")</f>
        <v/>
      </c>
      <c r="BK46" s="310" t="str">
        <f>_xlfn.IFNA(VLOOKUP($BC46,Programma!$F$3:$N$1107,9,0),"")</f>
        <v/>
      </c>
      <c r="BL46" s="310" t="str">
        <f>_xlfn.IFNA(VLOOKUP($BC46,Programma!$F$3:$O$1107,10,0),"")</f>
        <v/>
      </c>
      <c r="BM46" s="310" t="str">
        <f>_xlfn.IFNA(VLOOKUP($BC46,Programma!$F$3:$P$1107,11,0),"")</f>
        <v/>
      </c>
      <c r="BN46" s="310" t="str">
        <f>_xlfn.IFNA(VLOOKUP($BC46,Programma!$F$3:$Q$1107,12,0),"")</f>
        <v/>
      </c>
      <c r="BO46" s="310" t="str">
        <f>_xlfn.IFNA(VLOOKUP($BC46,Programma!$F$3:$R$1107,13,0),"")</f>
        <v/>
      </c>
      <c r="BP46" s="310" t="str">
        <f>_xlfn.IFNA(VLOOKUP($BC46,Programma!$F$3:$S$1107,14,0),"")</f>
        <v/>
      </c>
      <c r="BQ46" s="310" t="str">
        <f>_xlfn.IFNA(VLOOKUP($BC46,Programma!$F$3:$T$1107,15,0),"")</f>
        <v/>
      </c>
      <c r="BR46" s="310" t="str">
        <f>_xlfn.IFNA(VLOOKUP($BC46,Programma!$F$3:$U$1107,16,0),"")</f>
        <v/>
      </c>
      <c r="BS46" s="310" t="str">
        <f>_xlfn.IFNA(VLOOKUP($BC46,Programma!$F$3:$V$1107,17,0),"")</f>
        <v/>
      </c>
      <c r="BT46" s="310" t="str">
        <f>_xlfn.IFNA(VLOOKUP($BC46,Programma!$F$3:$W$1107,18,0),"")</f>
        <v/>
      </c>
      <c r="BU46" s="310" t="str">
        <f>_xlfn.IFNA(VLOOKUP($BC46,Programma!$F$3:$X$1107,19,0),"")</f>
        <v/>
      </c>
      <c r="BV46" s="310" t="str">
        <f>_xlfn.IFNA(VLOOKUP($BC46,Programma!$F$3:$Y$1107,20,0),"")</f>
        <v/>
      </c>
    </row>
    <row r="47" spans="1:74" ht="15" customHeight="1">
      <c r="A47" s="33">
        <v>1</v>
      </c>
      <c r="B47" s="173" t="s">
        <v>1619</v>
      </c>
      <c r="C47" s="173" t="str">
        <f>VLOOKUP(Ruimtestaat[[#This Row],[Code]],Locaties[[#All],[Code]:[Adres]],4,FALSE)</f>
        <v>Stationslaan 26</v>
      </c>
      <c r="D47" s="173" t="str">
        <f>VLOOKUP(Ruimtestaat[[#This Row],[Code]],Locaties[[#All],[Code]:[Postcode]],5,FALSE)</f>
        <v>3842 LA</v>
      </c>
      <c r="E47" s="173" t="str">
        <f>VLOOKUP(Ruimtestaat[[#This Row],[Code]],Locaties[#All],6,FALSE)</f>
        <v>Harderwijk</v>
      </c>
      <c r="F47" s="21" t="s">
        <v>1621</v>
      </c>
      <c r="G47" s="33" t="s">
        <v>1613</v>
      </c>
      <c r="H47" s="311"/>
      <c r="I47" s="312" t="s">
        <v>1766</v>
      </c>
      <c r="J47" s="21">
        <v>6</v>
      </c>
      <c r="K47" s="69" t="str">
        <f>VLOOKUP(Ruimtestaat[[#This Row],[Ruimte code]],Ruimtegroepen[[#All],[Code]:[Ruimte omschrijving]],2,FALSE)</f>
        <v>Gangen/hallen</v>
      </c>
      <c r="L47" s="33" t="s">
        <v>102</v>
      </c>
      <c r="M47" s="312" t="s">
        <v>1805</v>
      </c>
      <c r="N47" s="148">
        <v>31</v>
      </c>
      <c r="O47" s="150"/>
      <c r="P47" s="134" t="str">
        <f>VLOOKUP(Ruimtestaat[[#This Row],[Ruimte code]],Ruimtegroepen[],4,FALSE)</f>
        <v>Ve</v>
      </c>
      <c r="Q47" s="33">
        <v>40</v>
      </c>
      <c r="R47" s="33" t="s">
        <v>2</v>
      </c>
      <c r="S47" s="33">
        <f>IF(Q47&gt;0,IF(RIGHT(Ruimtestaat[[#This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7" s="33">
        <f>IF(S47&gt;0,VLOOKUP($J47,Ruimtegroepen[],3,FALSE)*VLOOKUP($L47,Vloersoorten[],3,FALSE)*VLOOKUP($R47,Frequenties[],3,FALSE)*VLOOKUP($A47,Locaties[],3,FALSE),0)</f>
        <v>0</v>
      </c>
      <c r="U47" s="33">
        <f>Ruimtestaat[[#This Row],[Uitvoeringen werkdagen]]*Ruimtestaat[[#This Row],[Oppervlak (netto)]]</f>
        <v>6200</v>
      </c>
      <c r="V47" s="170">
        <f>IF(T47&gt;0,Ruimtestaat[[#This Row],[Prest. (m2 /jaar) werkdagen]]/Ruimtestaat[[#This Row],[Norm (m2/uur) werkdagen]],0)</f>
        <v>0</v>
      </c>
      <c r="W47" s="171">
        <f>Ruimtestaat[[#This Row],[uren / jaar werkdagen]]*Tariefsopbouw!$E$35</f>
        <v>0</v>
      </c>
      <c r="X47" s="33"/>
      <c r="Y47" s="33">
        <f>IF(Ruimtestaat[[#This Row],[Frequentie weekend]]&gt;0,VALUE(LEFT(X47,1))*Q47,0)</f>
        <v>0</v>
      </c>
      <c r="Z47" s="104">
        <f>IF($Y47&gt;0,VLOOKUP($J47,Ruimtegroepen[],3,FALSE)*VLOOKUP($L47,Vloersoorten[],3,FALSE)*VLOOKUP($X47,Frequenties[],3,FALSE)*VLOOKUP(Ruimtestaat[[#This Row],[Code]],Locaties[],3,FALSE),0)</f>
        <v>0</v>
      </c>
      <c r="AA47" s="104">
        <f>Ruimtestaat[[#This Row],[Uitvoeringen weekend]]*Ruimtestaat[[#This Row],[Oppervlak (netto)]]</f>
        <v>0</v>
      </c>
      <c r="AB47" s="104">
        <f>IF(Z47&gt;0,Ruimtestaat[[#This Row],[Prest. (m2 /jaar) weekend]]/Ruimtestaat[[#This Row],[Norm (m2/uur) weekend]],0)</f>
        <v>0</v>
      </c>
      <c r="AC47" s="171">
        <f>Ruimtestaat[[#This Row],[uren / jaar weekend]]*Tariefsopbouw!$D$40</f>
        <v>0</v>
      </c>
      <c r="AD47" s="170">
        <f>Ruimtestaat[[#This Row],[Prest. (m2 /jaar) weekend]]+Ruimtestaat[[#This Row],[Prest. (m2 /jaar) werkdagen]]</f>
        <v>6200</v>
      </c>
      <c r="AE47" s="170">
        <f>Ruimtestaat[[#This Row],[uren / jaar weekend]]+Ruimtestaat[[#This Row],[uren / jaar werkdagen]]</f>
        <v>0</v>
      </c>
      <c r="AF47" s="76">
        <f>Ruimtestaat[[#This Row],[kosten / jaar weekend]]+Ruimtestaat[[#This Row],[kosten / jaar werkdagen]]</f>
        <v>0</v>
      </c>
      <c r="AG47" s="76"/>
      <c r="AH47" s="272" t="str">
        <f>IF(Ruimtestaat[[#This Row],[Frequentie werkdagen]]="","",_xlfn.CONCAT(Ruimtestaat[[#This Row],[Ruimte code]],"-",Ruimtestaat[[#This Row],[Frequentie werkdagen]]," ",Ruimtestaat[[#This Row],[Vloer code]]))</f>
        <v>6-5w S</v>
      </c>
      <c r="AI47" s="310" t="str">
        <f>_xlfn.IFNA(VLOOKUP($AH47,Programma!$F$3:$G$1107,2,0),"")</f>
        <v>_</v>
      </c>
      <c r="AJ47" s="310" t="str">
        <f>_xlfn.IFNA(VLOOKUP($AH47,Programma!$F$3:$H$1107,3,0),"")</f>
        <v>_</v>
      </c>
      <c r="AK47" s="310" t="str">
        <f>_xlfn.IFNA(VLOOKUP($AH47,Programma!$F$3:$I$1107,4,0),"")</f>
        <v>5w</v>
      </c>
      <c r="AL47" s="310" t="str">
        <f>_xlfn.IFNA(VLOOKUP($AH47,Programma!$F$3:$J$1107,5,0),"")</f>
        <v>_</v>
      </c>
      <c r="AM47" s="310" t="str">
        <f>_xlfn.IFNA(VLOOKUP($AH47,Programma!$F$3:$K$1107,6,0),"")</f>
        <v>5w</v>
      </c>
      <c r="AN47" s="310" t="str">
        <f>_xlfn.IFNA(VLOOKUP($AH47,Programma!$F$3:$L$1107,7,0),"")</f>
        <v>_</v>
      </c>
      <c r="AO47" s="310" t="str">
        <f>_xlfn.IFNA(VLOOKUP($AH47,Programma!$F$3:$M$1107,8,0),"")</f>
        <v>_</v>
      </c>
      <c r="AP47" s="310" t="str">
        <f>_xlfn.IFNA(VLOOKUP($AH47,Programma!$F$3:$N$1107,9,0),"")</f>
        <v>_</v>
      </c>
      <c r="AQ47" s="310" t="str">
        <f>_xlfn.IFNA(VLOOKUP($AH47,Programma!$F$3:$O$1107,10,0),"")</f>
        <v>5w</v>
      </c>
      <c r="AR47" s="310" t="str">
        <f>_xlfn.IFNA(VLOOKUP($AH47,Programma!$F$3:$P$1107,11,0),"")</f>
        <v>5w</v>
      </c>
      <c r="AS47" s="310" t="str">
        <f>_xlfn.IFNA(VLOOKUP($AH47,Programma!$F$3:$Q$1107,12,0),"")</f>
        <v>1w</v>
      </c>
      <c r="AT47" s="310" t="str">
        <f>_xlfn.IFNA(VLOOKUP($AH47,Programma!$F$3:$R$1107,13,0),"")</f>
        <v>1w</v>
      </c>
      <c r="AU47" s="310" t="str">
        <f>_xlfn.IFNA(VLOOKUP($AH47,Programma!$F$3:$S$1107,14,0),"")</f>
        <v>1m</v>
      </c>
      <c r="AV47" s="310" t="str">
        <f>_xlfn.IFNA(VLOOKUP($AH47,Programma!$F$3:$T$1107,15,0),"")</f>
        <v>2j</v>
      </c>
      <c r="AW47" s="310" t="str">
        <f>_xlfn.IFNA(VLOOKUP($AH47,Programma!$F$3:$U$1107,16,0),"")</f>
        <v>1j</v>
      </c>
      <c r="AX47" s="310" t="str">
        <f>_xlfn.IFNA(VLOOKUP($AH47,Programma!$F$3:$V$1107,17,0),"")</f>
        <v>_</v>
      </c>
      <c r="AY47" s="310" t="str">
        <f>_xlfn.IFNA(VLOOKUP($AH47,Programma!$F$3:$W$1107,18,0),"")</f>
        <v>_</v>
      </c>
      <c r="AZ47" s="310" t="str">
        <f>_xlfn.IFNA(VLOOKUP($AH47,Programma!$F$3:$X$1107,19,0),"")</f>
        <v>_</v>
      </c>
      <c r="BA47" s="310" t="str">
        <f>_xlfn.IFNA(VLOOKUP($AH47,Programma!$F$3:$Y$1107,20,0),"")</f>
        <v>_</v>
      </c>
      <c r="BB47" s="273"/>
      <c r="BC47" s="272" t="str">
        <f>IF(Ruimtestaat[[#This Row],[Frequentie weekend]]="","",_xlfn.CONCAT(Ruimtestaat[[#This Row],[Ruimte code]],"-",Ruimtestaat[[#This Row],[Frequentie weekend]]," ",Ruimtestaat[[#This Row],[Vloer code]]))</f>
        <v/>
      </c>
      <c r="BD47" s="310" t="str">
        <f>_xlfn.IFNA(VLOOKUP($BC47,Programma!$F$3:$G$1107,2,0),"")</f>
        <v/>
      </c>
      <c r="BE47" s="310" t="str">
        <f>_xlfn.IFNA(VLOOKUP($BC47,Programma!$F$3:$H$1107,3,0),"")</f>
        <v/>
      </c>
      <c r="BF47" s="310" t="str">
        <f>_xlfn.IFNA(VLOOKUP($BC47,Programma!$F$3:$I$1107,4,0),"")</f>
        <v/>
      </c>
      <c r="BG47" s="310" t="str">
        <f>_xlfn.IFNA(VLOOKUP($BC47,Programma!$F$3:$J$1107,5,0),"")</f>
        <v/>
      </c>
      <c r="BH47" s="310" t="str">
        <f>_xlfn.IFNA(VLOOKUP($BC47,Programma!$F$3:$K$1107,6,0),"")</f>
        <v/>
      </c>
      <c r="BI47" s="310" t="str">
        <f>_xlfn.IFNA(VLOOKUP($BC47,Programma!$F$3:$L$1107,7,0),"")</f>
        <v/>
      </c>
      <c r="BJ47" s="310" t="str">
        <f>_xlfn.IFNA(VLOOKUP($BC47,Programma!$F$3:$M$1107,8,0),"")</f>
        <v/>
      </c>
      <c r="BK47" s="310" t="str">
        <f>_xlfn.IFNA(VLOOKUP($BC47,Programma!$F$3:$N$1107,9,0),"")</f>
        <v/>
      </c>
      <c r="BL47" s="310" t="str">
        <f>_xlfn.IFNA(VLOOKUP($BC47,Programma!$F$3:$O$1107,10,0),"")</f>
        <v/>
      </c>
      <c r="BM47" s="310" t="str">
        <f>_xlfn.IFNA(VLOOKUP($BC47,Programma!$F$3:$P$1107,11,0),"")</f>
        <v/>
      </c>
      <c r="BN47" s="310" t="str">
        <f>_xlfn.IFNA(VLOOKUP($BC47,Programma!$F$3:$Q$1107,12,0),"")</f>
        <v/>
      </c>
      <c r="BO47" s="310" t="str">
        <f>_xlfn.IFNA(VLOOKUP($BC47,Programma!$F$3:$R$1107,13,0),"")</f>
        <v/>
      </c>
      <c r="BP47" s="310" t="str">
        <f>_xlfn.IFNA(VLOOKUP($BC47,Programma!$F$3:$S$1107,14,0),"")</f>
        <v/>
      </c>
      <c r="BQ47" s="310" t="str">
        <f>_xlfn.IFNA(VLOOKUP($BC47,Programma!$F$3:$T$1107,15,0),"")</f>
        <v/>
      </c>
      <c r="BR47" s="310" t="str">
        <f>_xlfn.IFNA(VLOOKUP($BC47,Programma!$F$3:$U$1107,16,0),"")</f>
        <v/>
      </c>
      <c r="BS47" s="310" t="str">
        <f>_xlfn.IFNA(VLOOKUP($BC47,Programma!$F$3:$V$1107,17,0),"")</f>
        <v/>
      </c>
      <c r="BT47" s="310" t="str">
        <f>_xlfn.IFNA(VLOOKUP($BC47,Programma!$F$3:$W$1107,18,0),"")</f>
        <v/>
      </c>
      <c r="BU47" s="310" t="str">
        <f>_xlfn.IFNA(VLOOKUP($BC47,Programma!$F$3:$X$1107,19,0),"")</f>
        <v/>
      </c>
      <c r="BV47" s="310" t="str">
        <f>_xlfn.IFNA(VLOOKUP($BC47,Programma!$F$3:$Y$1107,20,0),"")</f>
        <v/>
      </c>
    </row>
    <row r="48" spans="1:74" ht="15" customHeight="1">
      <c r="A48" s="33">
        <v>1</v>
      </c>
      <c r="B48" s="173" t="s">
        <v>1619</v>
      </c>
      <c r="C48" s="173" t="str">
        <f>VLOOKUP(Ruimtestaat[[#This Row],[Code]],Locaties[[#All],[Code]:[Adres]],4,FALSE)</f>
        <v>Stationslaan 26</v>
      </c>
      <c r="D48" s="173" t="str">
        <f>VLOOKUP(Ruimtestaat[[#This Row],[Code]],Locaties[[#All],[Code]:[Postcode]],5,FALSE)</f>
        <v>3842 LA</v>
      </c>
      <c r="E48" s="173" t="str">
        <f>VLOOKUP(Ruimtestaat[[#This Row],[Code]],Locaties[#All],6,FALSE)</f>
        <v>Harderwijk</v>
      </c>
      <c r="F48" s="21" t="s">
        <v>1621</v>
      </c>
      <c r="G48" s="33" t="s">
        <v>1613</v>
      </c>
      <c r="H48" s="311"/>
      <c r="I48" s="312" t="s">
        <v>1766</v>
      </c>
      <c r="J48" s="21">
        <v>6</v>
      </c>
      <c r="K48" s="69" t="str">
        <f>VLOOKUP(Ruimtestaat[[#This Row],[Ruimte code]],Ruimtegroepen[[#All],[Code]:[Ruimte omschrijving]],2,FALSE)</f>
        <v>Gangen/hallen</v>
      </c>
      <c r="L48" s="33" t="s">
        <v>102</v>
      </c>
      <c r="M48" s="312" t="s">
        <v>1805</v>
      </c>
      <c r="N48" s="148">
        <v>31</v>
      </c>
      <c r="O48" s="33"/>
      <c r="P48" s="134" t="str">
        <f>VLOOKUP(Ruimtestaat[[#This Row],[Ruimte code]],Ruimtegroepen[],4,FALSE)</f>
        <v>Ve</v>
      </c>
      <c r="Q48" s="33">
        <v>40</v>
      </c>
      <c r="R48" s="33" t="s">
        <v>2</v>
      </c>
      <c r="S48" s="33">
        <f>IF(Q48&gt;0,IF(RIGHT(Ruimtestaat[[#This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8" s="33">
        <f>IF(S48&gt;0,VLOOKUP($J48,Ruimtegroepen[],3,FALSE)*VLOOKUP($L48,Vloersoorten[],3,FALSE)*VLOOKUP($R48,Frequenties[],3,FALSE)*VLOOKUP($A48,Locaties[],3,FALSE),0)</f>
        <v>0</v>
      </c>
      <c r="U48" s="33">
        <f>Ruimtestaat[[#This Row],[Uitvoeringen werkdagen]]*Ruimtestaat[[#This Row],[Oppervlak (netto)]]</f>
        <v>6200</v>
      </c>
      <c r="V48" s="170">
        <f>IF(T48&gt;0,Ruimtestaat[[#This Row],[Prest. (m2 /jaar) werkdagen]]/Ruimtestaat[[#This Row],[Norm (m2/uur) werkdagen]],0)</f>
        <v>0</v>
      </c>
      <c r="W48" s="171">
        <f>Ruimtestaat[[#This Row],[uren / jaar werkdagen]]*Tariefsopbouw!$E$35</f>
        <v>0</v>
      </c>
      <c r="X48" s="33"/>
      <c r="Y48" s="33">
        <f>IF(Ruimtestaat[[#This Row],[Frequentie weekend]]&gt;0,VALUE(LEFT(X48,1))*Q48,0)</f>
        <v>0</v>
      </c>
      <c r="Z48" s="104">
        <f>IF($Y48&gt;0,VLOOKUP($J48,Ruimtegroepen[],3,FALSE)*VLOOKUP($L48,Vloersoorten[],3,FALSE)*VLOOKUP($X48,Frequenties[],3,FALSE)*VLOOKUP(Ruimtestaat[[#This Row],[Code]],Locaties[],3,FALSE),0)</f>
        <v>0</v>
      </c>
      <c r="AA48" s="104">
        <f>Ruimtestaat[[#This Row],[Uitvoeringen weekend]]*Ruimtestaat[[#This Row],[Oppervlak (netto)]]</f>
        <v>0</v>
      </c>
      <c r="AB48" s="104">
        <f>IF(Z48&gt;0,Ruimtestaat[[#This Row],[Prest. (m2 /jaar) weekend]]/Ruimtestaat[[#This Row],[Norm (m2/uur) weekend]],0)</f>
        <v>0</v>
      </c>
      <c r="AC48" s="171">
        <f>Ruimtestaat[[#This Row],[uren / jaar weekend]]*Tariefsopbouw!$D$40</f>
        <v>0</v>
      </c>
      <c r="AD48" s="170">
        <f>Ruimtestaat[[#This Row],[Prest. (m2 /jaar) weekend]]+Ruimtestaat[[#This Row],[Prest. (m2 /jaar) werkdagen]]</f>
        <v>6200</v>
      </c>
      <c r="AE48" s="170">
        <f>Ruimtestaat[[#This Row],[uren / jaar weekend]]+Ruimtestaat[[#This Row],[uren / jaar werkdagen]]</f>
        <v>0</v>
      </c>
      <c r="AF48" s="76">
        <f>Ruimtestaat[[#This Row],[kosten / jaar weekend]]+Ruimtestaat[[#This Row],[kosten / jaar werkdagen]]</f>
        <v>0</v>
      </c>
      <c r="AG48" s="76"/>
      <c r="AH48" s="272" t="str">
        <f>IF(Ruimtestaat[[#This Row],[Frequentie werkdagen]]="","",_xlfn.CONCAT(Ruimtestaat[[#This Row],[Ruimte code]],"-",Ruimtestaat[[#This Row],[Frequentie werkdagen]]," ",Ruimtestaat[[#This Row],[Vloer code]]))</f>
        <v>6-5w S</v>
      </c>
      <c r="AI48" s="310" t="str">
        <f>_xlfn.IFNA(VLOOKUP($AH48,Programma!$F$3:$G$1107,2,0),"")</f>
        <v>_</v>
      </c>
      <c r="AJ48" s="310" t="str">
        <f>_xlfn.IFNA(VLOOKUP($AH48,Programma!$F$3:$H$1107,3,0),"")</f>
        <v>_</v>
      </c>
      <c r="AK48" s="310" t="str">
        <f>_xlfn.IFNA(VLOOKUP($AH48,Programma!$F$3:$I$1107,4,0),"")</f>
        <v>5w</v>
      </c>
      <c r="AL48" s="310" t="str">
        <f>_xlfn.IFNA(VLOOKUP($AH48,Programma!$F$3:$J$1107,5,0),"")</f>
        <v>_</v>
      </c>
      <c r="AM48" s="310" t="str">
        <f>_xlfn.IFNA(VLOOKUP($AH48,Programma!$F$3:$K$1107,6,0),"")</f>
        <v>5w</v>
      </c>
      <c r="AN48" s="310" t="str">
        <f>_xlfn.IFNA(VLOOKUP($AH48,Programma!$F$3:$L$1107,7,0),"")</f>
        <v>_</v>
      </c>
      <c r="AO48" s="310" t="str">
        <f>_xlfn.IFNA(VLOOKUP($AH48,Programma!$F$3:$M$1107,8,0),"")</f>
        <v>_</v>
      </c>
      <c r="AP48" s="310" t="str">
        <f>_xlfn.IFNA(VLOOKUP($AH48,Programma!$F$3:$N$1107,9,0),"")</f>
        <v>_</v>
      </c>
      <c r="AQ48" s="310" t="str">
        <f>_xlfn.IFNA(VLOOKUP($AH48,Programma!$F$3:$O$1107,10,0),"")</f>
        <v>5w</v>
      </c>
      <c r="AR48" s="310" t="str">
        <f>_xlfn.IFNA(VLOOKUP($AH48,Programma!$F$3:$P$1107,11,0),"")</f>
        <v>5w</v>
      </c>
      <c r="AS48" s="310" t="str">
        <f>_xlfn.IFNA(VLOOKUP($AH48,Programma!$F$3:$Q$1107,12,0),"")</f>
        <v>1w</v>
      </c>
      <c r="AT48" s="310" t="str">
        <f>_xlfn.IFNA(VLOOKUP($AH48,Programma!$F$3:$R$1107,13,0),"")</f>
        <v>1w</v>
      </c>
      <c r="AU48" s="310" t="str">
        <f>_xlfn.IFNA(VLOOKUP($AH48,Programma!$F$3:$S$1107,14,0),"")</f>
        <v>1m</v>
      </c>
      <c r="AV48" s="310" t="str">
        <f>_xlfn.IFNA(VLOOKUP($AH48,Programma!$F$3:$T$1107,15,0),"")</f>
        <v>2j</v>
      </c>
      <c r="AW48" s="310" t="str">
        <f>_xlfn.IFNA(VLOOKUP($AH48,Programma!$F$3:$U$1107,16,0),"")</f>
        <v>1j</v>
      </c>
      <c r="AX48" s="310" t="str">
        <f>_xlfn.IFNA(VLOOKUP($AH48,Programma!$F$3:$V$1107,17,0),"")</f>
        <v>_</v>
      </c>
      <c r="AY48" s="310" t="str">
        <f>_xlfn.IFNA(VLOOKUP($AH48,Programma!$F$3:$W$1107,18,0),"")</f>
        <v>_</v>
      </c>
      <c r="AZ48" s="310" t="str">
        <f>_xlfn.IFNA(VLOOKUP($AH48,Programma!$F$3:$X$1107,19,0),"")</f>
        <v>_</v>
      </c>
      <c r="BA48" s="310" t="str">
        <f>_xlfn.IFNA(VLOOKUP($AH48,Programma!$F$3:$Y$1107,20,0),"")</f>
        <v>_</v>
      </c>
      <c r="BB48" s="273"/>
      <c r="BC48" s="272" t="str">
        <f>IF(Ruimtestaat[[#This Row],[Frequentie weekend]]="","",_xlfn.CONCAT(Ruimtestaat[[#This Row],[Ruimte code]],"-",Ruimtestaat[[#This Row],[Frequentie weekend]]," ",Ruimtestaat[[#This Row],[Vloer code]]))</f>
        <v/>
      </c>
      <c r="BD48" s="310" t="str">
        <f>_xlfn.IFNA(VLOOKUP($BC48,Programma!$F$3:$G$1107,2,0),"")</f>
        <v/>
      </c>
      <c r="BE48" s="310" t="str">
        <f>_xlfn.IFNA(VLOOKUP($BC48,Programma!$F$3:$H$1107,3,0),"")</f>
        <v/>
      </c>
      <c r="BF48" s="310" t="str">
        <f>_xlfn.IFNA(VLOOKUP($BC48,Programma!$F$3:$I$1107,4,0),"")</f>
        <v/>
      </c>
      <c r="BG48" s="310" t="str">
        <f>_xlfn.IFNA(VLOOKUP($BC48,Programma!$F$3:$J$1107,5,0),"")</f>
        <v/>
      </c>
      <c r="BH48" s="310" t="str">
        <f>_xlfn.IFNA(VLOOKUP($BC48,Programma!$F$3:$K$1107,6,0),"")</f>
        <v/>
      </c>
      <c r="BI48" s="310" t="str">
        <f>_xlfn.IFNA(VLOOKUP($BC48,Programma!$F$3:$L$1107,7,0),"")</f>
        <v/>
      </c>
      <c r="BJ48" s="310" t="str">
        <f>_xlfn.IFNA(VLOOKUP($BC48,Programma!$F$3:$M$1107,8,0),"")</f>
        <v/>
      </c>
      <c r="BK48" s="310" t="str">
        <f>_xlfn.IFNA(VLOOKUP($BC48,Programma!$F$3:$N$1107,9,0),"")</f>
        <v/>
      </c>
      <c r="BL48" s="310" t="str">
        <f>_xlfn.IFNA(VLOOKUP($BC48,Programma!$F$3:$O$1107,10,0),"")</f>
        <v/>
      </c>
      <c r="BM48" s="310" t="str">
        <f>_xlfn.IFNA(VLOOKUP($BC48,Programma!$F$3:$P$1107,11,0),"")</f>
        <v/>
      </c>
      <c r="BN48" s="310" t="str">
        <f>_xlfn.IFNA(VLOOKUP($BC48,Programma!$F$3:$Q$1107,12,0),"")</f>
        <v/>
      </c>
      <c r="BO48" s="310" t="str">
        <f>_xlfn.IFNA(VLOOKUP($BC48,Programma!$F$3:$R$1107,13,0),"")</f>
        <v/>
      </c>
      <c r="BP48" s="310" t="str">
        <f>_xlfn.IFNA(VLOOKUP($BC48,Programma!$F$3:$S$1107,14,0),"")</f>
        <v/>
      </c>
      <c r="BQ48" s="310" t="str">
        <f>_xlfn.IFNA(VLOOKUP($BC48,Programma!$F$3:$T$1107,15,0),"")</f>
        <v/>
      </c>
      <c r="BR48" s="310" t="str">
        <f>_xlfn.IFNA(VLOOKUP($BC48,Programma!$F$3:$U$1107,16,0),"")</f>
        <v/>
      </c>
      <c r="BS48" s="310" t="str">
        <f>_xlfn.IFNA(VLOOKUP($BC48,Programma!$F$3:$V$1107,17,0),"")</f>
        <v/>
      </c>
      <c r="BT48" s="310" t="str">
        <f>_xlfn.IFNA(VLOOKUP($BC48,Programma!$F$3:$W$1107,18,0),"")</f>
        <v/>
      </c>
      <c r="BU48" s="310" t="str">
        <f>_xlfn.IFNA(VLOOKUP($BC48,Programma!$F$3:$X$1107,19,0),"")</f>
        <v/>
      </c>
      <c r="BV48" s="310" t="str">
        <f>_xlfn.IFNA(VLOOKUP($BC48,Programma!$F$3:$Y$1107,20,0),"")</f>
        <v/>
      </c>
    </row>
    <row r="49" spans="1:74" ht="15" customHeight="1">
      <c r="A49" s="33">
        <v>1</v>
      </c>
      <c r="B49" s="173" t="s">
        <v>1619</v>
      </c>
      <c r="C49" s="173" t="str">
        <f>VLOOKUP(Ruimtestaat[[#This Row],[Code]],Locaties[[#All],[Code]:[Adres]],4,FALSE)</f>
        <v>Stationslaan 26</v>
      </c>
      <c r="D49" s="173" t="str">
        <f>VLOOKUP(Ruimtestaat[[#This Row],[Code]],Locaties[[#All],[Code]:[Postcode]],5,FALSE)</f>
        <v>3842 LA</v>
      </c>
      <c r="E49" s="173" t="str">
        <f>VLOOKUP(Ruimtestaat[[#This Row],[Code]],Locaties[#All],6,FALSE)</f>
        <v>Harderwijk</v>
      </c>
      <c r="F49" s="21" t="s">
        <v>1622</v>
      </c>
      <c r="G49" s="33" t="s">
        <v>1614</v>
      </c>
      <c r="H49" s="311" t="s">
        <v>1667</v>
      </c>
      <c r="I49" s="312" t="s">
        <v>1615</v>
      </c>
      <c r="J49" s="21">
        <v>16</v>
      </c>
      <c r="K49" s="69" t="str">
        <f>VLOOKUP(Ruimtestaat[[#This Row],[Ruimte code]],Ruimtegroepen[[#All],[Code]:[Ruimte omschrijving]],2,FALSE)</f>
        <v>Leslokalen</v>
      </c>
      <c r="L49" s="33" t="s">
        <v>101</v>
      </c>
      <c r="M49" s="312" t="s">
        <v>1804</v>
      </c>
      <c r="N49" s="148">
        <v>58.5</v>
      </c>
      <c r="O49" s="150"/>
      <c r="P49" s="134" t="str">
        <f>VLOOKUP(Ruimtestaat[[#This Row],[Ruimte code]],Ruimtegroepen[],4,FALSE)</f>
        <v>Le</v>
      </c>
      <c r="Q49" s="33">
        <v>40</v>
      </c>
      <c r="R49" s="33" t="s">
        <v>2</v>
      </c>
      <c r="S49" s="33">
        <f>IF(Q49&gt;0,IF(RIGHT(Ruimtestaat[[#This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9" s="33">
        <f>IF(S49&gt;0,VLOOKUP($J49,Ruimtegroepen[],3,FALSE)*VLOOKUP($L49,Vloersoorten[],3,FALSE)*VLOOKUP($R49,Frequenties[],3,FALSE)*VLOOKUP($A49,Locaties[],3,FALSE),0)</f>
        <v>0</v>
      </c>
      <c r="U49" s="33">
        <f>Ruimtestaat[[#This Row],[Uitvoeringen werkdagen]]*Ruimtestaat[[#This Row],[Oppervlak (netto)]]</f>
        <v>11700</v>
      </c>
      <c r="V49" s="170">
        <f>IF(T49&gt;0,Ruimtestaat[[#This Row],[Prest. (m2 /jaar) werkdagen]]/Ruimtestaat[[#This Row],[Norm (m2/uur) werkdagen]],0)</f>
        <v>0</v>
      </c>
      <c r="W49" s="171">
        <f>Ruimtestaat[[#This Row],[uren / jaar werkdagen]]*Tariefsopbouw!$E$35</f>
        <v>0</v>
      </c>
      <c r="X49" s="33"/>
      <c r="Y49" s="33">
        <f>IF(Ruimtestaat[[#This Row],[Frequentie weekend]]&gt;0,VALUE(LEFT(X49,1))*Q49,0)</f>
        <v>0</v>
      </c>
      <c r="Z49" s="104">
        <f>IF($Y49&gt;0,VLOOKUP($J49,Ruimtegroepen[],3,FALSE)*VLOOKUP($L49,Vloersoorten[],3,FALSE)*VLOOKUP($X49,Frequenties[],3,FALSE)*VLOOKUP(Ruimtestaat[[#This Row],[Code]],Locaties[],3,FALSE),0)</f>
        <v>0</v>
      </c>
      <c r="AA49" s="104">
        <f>Ruimtestaat[[#This Row],[Uitvoeringen weekend]]*Ruimtestaat[[#This Row],[Oppervlak (netto)]]</f>
        <v>0</v>
      </c>
      <c r="AB49" s="104">
        <f>IF(Z49&gt;0,Ruimtestaat[[#This Row],[Prest. (m2 /jaar) weekend]]/Ruimtestaat[[#This Row],[Norm (m2/uur) weekend]],0)</f>
        <v>0</v>
      </c>
      <c r="AC49" s="171">
        <f>Ruimtestaat[[#This Row],[uren / jaar weekend]]*Tariefsopbouw!$D$40</f>
        <v>0</v>
      </c>
      <c r="AD49" s="170">
        <f>Ruimtestaat[[#This Row],[Prest. (m2 /jaar) weekend]]+Ruimtestaat[[#This Row],[Prest. (m2 /jaar) werkdagen]]</f>
        <v>11700</v>
      </c>
      <c r="AE49" s="170">
        <f>Ruimtestaat[[#This Row],[uren / jaar weekend]]+Ruimtestaat[[#This Row],[uren / jaar werkdagen]]</f>
        <v>0</v>
      </c>
      <c r="AF49" s="76">
        <f>Ruimtestaat[[#This Row],[kosten / jaar weekend]]+Ruimtestaat[[#This Row],[kosten / jaar werkdagen]]</f>
        <v>0</v>
      </c>
      <c r="AG49" s="76"/>
      <c r="AH49" s="272" t="str">
        <f>IF(Ruimtestaat[[#This Row],[Frequentie werkdagen]]="","",_xlfn.CONCAT(Ruimtestaat[[#This Row],[Ruimte code]],"-",Ruimtestaat[[#This Row],[Frequentie werkdagen]]," ",Ruimtestaat[[#This Row],[Vloer code]]))</f>
        <v>16-5w L</v>
      </c>
      <c r="AI49" s="310" t="str">
        <f>_xlfn.IFNA(VLOOKUP($AH49,Programma!$F$3:$G$1107,2,0),"")</f>
        <v>_</v>
      </c>
      <c r="AJ49" s="310" t="str">
        <f>_xlfn.IFNA(VLOOKUP($AH49,Programma!$F$3:$H$1107,3,0),"")</f>
        <v>_</v>
      </c>
      <c r="AK49" s="310" t="str">
        <f>_xlfn.IFNA(VLOOKUP($AH49,Programma!$F$3:$I$1107,4,0),"")</f>
        <v>4w</v>
      </c>
      <c r="AL49" s="310" t="str">
        <f>_xlfn.IFNA(VLOOKUP($AH49,Programma!$F$3:$J$1107,5,0),"")</f>
        <v>1w</v>
      </c>
      <c r="AM49" s="310" t="str">
        <f>_xlfn.IFNA(VLOOKUP($AH49,Programma!$F$3:$K$1107,6,0),"")</f>
        <v>_</v>
      </c>
      <c r="AN49" s="310" t="str">
        <f>_xlfn.IFNA(VLOOKUP($AH49,Programma!$F$3:$L$1107,7,0),"")</f>
        <v>_</v>
      </c>
      <c r="AO49" s="310" t="str">
        <f>_xlfn.IFNA(VLOOKUP($AH49,Programma!$F$3:$M$1107,8,0),"")</f>
        <v>_</v>
      </c>
      <c r="AP49" s="310" t="str">
        <f>_xlfn.IFNA(VLOOKUP($AH49,Programma!$F$3:$N$1107,9,0),"")</f>
        <v>_</v>
      </c>
      <c r="AQ49" s="310" t="str">
        <f>_xlfn.IFNA(VLOOKUP($AH49,Programma!$F$3:$O$1107,10,0),"")</f>
        <v>5w</v>
      </c>
      <c r="AR49" s="310" t="str">
        <f>_xlfn.IFNA(VLOOKUP($AH49,Programma!$F$3:$P$1107,11,0),"")</f>
        <v>5w</v>
      </c>
      <c r="AS49" s="310" t="str">
        <f>_xlfn.IFNA(VLOOKUP($AH49,Programma!$F$3:$Q$1107,12,0),"")</f>
        <v>1w</v>
      </c>
      <c r="AT49" s="310" t="str">
        <f>_xlfn.IFNA(VLOOKUP($AH49,Programma!$F$3:$R$1107,13,0),"")</f>
        <v>1w</v>
      </c>
      <c r="AU49" s="310" t="str">
        <f>_xlfn.IFNA(VLOOKUP($AH49,Programma!$F$3:$S$1107,14,0),"")</f>
        <v>1m</v>
      </c>
      <c r="AV49" s="310" t="str">
        <f>_xlfn.IFNA(VLOOKUP($AH49,Programma!$F$3:$T$1107,15,0),"")</f>
        <v>2j</v>
      </c>
      <c r="AW49" s="310" t="str">
        <f>_xlfn.IFNA(VLOOKUP($AH49,Programma!$F$3:$U$1107,16,0),"")</f>
        <v>1j</v>
      </c>
      <c r="AX49" s="310" t="str">
        <f>_xlfn.IFNA(VLOOKUP($AH49,Programma!$F$3:$V$1107,17,0),"")</f>
        <v>_</v>
      </c>
      <c r="AY49" s="310" t="str">
        <f>_xlfn.IFNA(VLOOKUP($AH49,Programma!$F$3:$W$1107,18,0),"")</f>
        <v>_</v>
      </c>
      <c r="AZ49" s="310" t="str">
        <f>_xlfn.IFNA(VLOOKUP($AH49,Programma!$F$3:$X$1107,19,0),"")</f>
        <v>_</v>
      </c>
      <c r="BA49" s="310" t="str">
        <f>_xlfn.IFNA(VLOOKUP($AH49,Programma!$F$3:$Y$1107,20,0),"")</f>
        <v>_</v>
      </c>
      <c r="BB49" s="273"/>
      <c r="BC49" s="272" t="str">
        <f>IF(Ruimtestaat[[#This Row],[Frequentie weekend]]="","",_xlfn.CONCAT(Ruimtestaat[[#This Row],[Ruimte code]],"-",Ruimtestaat[[#This Row],[Frequentie weekend]]," ",Ruimtestaat[[#This Row],[Vloer code]]))</f>
        <v/>
      </c>
      <c r="BD49" s="310" t="str">
        <f>_xlfn.IFNA(VLOOKUP($BC49,Programma!$F$3:$G$1107,2,0),"")</f>
        <v/>
      </c>
      <c r="BE49" s="310" t="str">
        <f>_xlfn.IFNA(VLOOKUP($BC49,Programma!$F$3:$H$1107,3,0),"")</f>
        <v/>
      </c>
      <c r="BF49" s="310" t="str">
        <f>_xlfn.IFNA(VLOOKUP($BC49,Programma!$F$3:$I$1107,4,0),"")</f>
        <v/>
      </c>
      <c r="BG49" s="310" t="str">
        <f>_xlfn.IFNA(VLOOKUP($BC49,Programma!$F$3:$J$1107,5,0),"")</f>
        <v/>
      </c>
      <c r="BH49" s="310" t="str">
        <f>_xlfn.IFNA(VLOOKUP($BC49,Programma!$F$3:$K$1107,6,0),"")</f>
        <v/>
      </c>
      <c r="BI49" s="310" t="str">
        <f>_xlfn.IFNA(VLOOKUP($BC49,Programma!$F$3:$L$1107,7,0),"")</f>
        <v/>
      </c>
      <c r="BJ49" s="310" t="str">
        <f>_xlfn.IFNA(VLOOKUP($BC49,Programma!$F$3:$M$1107,8,0),"")</f>
        <v/>
      </c>
      <c r="BK49" s="310" t="str">
        <f>_xlfn.IFNA(VLOOKUP($BC49,Programma!$F$3:$N$1107,9,0),"")</f>
        <v/>
      </c>
      <c r="BL49" s="310" t="str">
        <f>_xlfn.IFNA(VLOOKUP($BC49,Programma!$F$3:$O$1107,10,0),"")</f>
        <v/>
      </c>
      <c r="BM49" s="310" t="str">
        <f>_xlfn.IFNA(VLOOKUP($BC49,Programma!$F$3:$P$1107,11,0),"")</f>
        <v/>
      </c>
      <c r="BN49" s="310" t="str">
        <f>_xlfn.IFNA(VLOOKUP($BC49,Programma!$F$3:$Q$1107,12,0),"")</f>
        <v/>
      </c>
      <c r="BO49" s="310" t="str">
        <f>_xlfn.IFNA(VLOOKUP($BC49,Programma!$F$3:$R$1107,13,0),"")</f>
        <v/>
      </c>
      <c r="BP49" s="310" t="str">
        <f>_xlfn.IFNA(VLOOKUP($BC49,Programma!$F$3:$S$1107,14,0),"")</f>
        <v/>
      </c>
      <c r="BQ49" s="310" t="str">
        <f>_xlfn.IFNA(VLOOKUP($BC49,Programma!$F$3:$T$1107,15,0),"")</f>
        <v/>
      </c>
      <c r="BR49" s="310" t="str">
        <f>_xlfn.IFNA(VLOOKUP($BC49,Programma!$F$3:$U$1107,16,0),"")</f>
        <v/>
      </c>
      <c r="BS49" s="310" t="str">
        <f>_xlfn.IFNA(VLOOKUP($BC49,Programma!$F$3:$V$1107,17,0),"")</f>
        <v/>
      </c>
      <c r="BT49" s="310" t="str">
        <f>_xlfn.IFNA(VLOOKUP($BC49,Programma!$F$3:$W$1107,18,0),"")</f>
        <v/>
      </c>
      <c r="BU49" s="310" t="str">
        <f>_xlfn.IFNA(VLOOKUP($BC49,Programma!$F$3:$X$1107,19,0),"")</f>
        <v/>
      </c>
      <c r="BV49" s="310" t="str">
        <f>_xlfn.IFNA(VLOOKUP($BC49,Programma!$F$3:$Y$1107,20,0),"")</f>
        <v/>
      </c>
    </row>
    <row r="50" spans="1:74" ht="14.25" customHeight="1">
      <c r="A50" s="33">
        <v>1</v>
      </c>
      <c r="B50" s="173" t="s">
        <v>1619</v>
      </c>
      <c r="C50" s="173" t="str">
        <f>VLOOKUP(Ruimtestaat[[#This Row],[Code]],Locaties[[#All],[Code]:[Adres]],4,FALSE)</f>
        <v>Stationslaan 26</v>
      </c>
      <c r="D50" s="173" t="str">
        <f>VLOOKUP(Ruimtestaat[[#This Row],[Code]],Locaties[[#All],[Code]:[Postcode]],5,FALSE)</f>
        <v>3842 LA</v>
      </c>
      <c r="E50" s="173" t="str">
        <f>VLOOKUP(Ruimtestaat[[#This Row],[Code]],Locaties[#All],6,FALSE)</f>
        <v>Harderwijk</v>
      </c>
      <c r="F50" s="21" t="s">
        <v>1622</v>
      </c>
      <c r="G50" s="33" t="s">
        <v>1614</v>
      </c>
      <c r="H50" s="311" t="s">
        <v>1668</v>
      </c>
      <c r="I50" s="312" t="s">
        <v>1615</v>
      </c>
      <c r="J50" s="21">
        <v>16</v>
      </c>
      <c r="K50" s="69" t="str">
        <f>VLOOKUP(Ruimtestaat[[#This Row],[Ruimte code]],Ruimtegroepen[[#All],[Code]:[Ruimte omschrijving]],2,FALSE)</f>
        <v>Leslokalen</v>
      </c>
      <c r="L50" s="33" t="s">
        <v>101</v>
      </c>
      <c r="M50" s="312" t="s">
        <v>1804</v>
      </c>
      <c r="N50" s="148">
        <v>49.5</v>
      </c>
      <c r="O50" s="150"/>
      <c r="P50" s="134" t="str">
        <f>VLOOKUP(Ruimtestaat[[#This Row],[Ruimte code]],Ruimtegroepen[],4,FALSE)</f>
        <v>Le</v>
      </c>
      <c r="Q50" s="33">
        <v>40</v>
      </c>
      <c r="R50" s="33" t="s">
        <v>2</v>
      </c>
      <c r="S50" s="33">
        <f>IF(Q50&gt;0,IF(RIGHT(Ruimtestaat[[#This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 s="33">
        <f>IF(S50&gt;0,VLOOKUP($J50,Ruimtegroepen[],3,FALSE)*VLOOKUP($L50,Vloersoorten[],3,FALSE)*VLOOKUP($R50,Frequenties[],3,FALSE)*VLOOKUP($A50,Locaties[],3,FALSE),0)</f>
        <v>0</v>
      </c>
      <c r="U50" s="33">
        <f>Ruimtestaat[[#This Row],[Uitvoeringen werkdagen]]*Ruimtestaat[[#This Row],[Oppervlak (netto)]]</f>
        <v>9900</v>
      </c>
      <c r="V50" s="170">
        <f>IF(T50&gt;0,Ruimtestaat[[#This Row],[Prest. (m2 /jaar) werkdagen]]/Ruimtestaat[[#This Row],[Norm (m2/uur) werkdagen]],0)</f>
        <v>0</v>
      </c>
      <c r="W50" s="171">
        <f>Ruimtestaat[[#This Row],[uren / jaar werkdagen]]*Tariefsopbouw!$E$35</f>
        <v>0</v>
      </c>
      <c r="X50" s="33"/>
      <c r="Y50" s="33">
        <f>IF(Ruimtestaat[[#This Row],[Frequentie weekend]]&gt;0,VALUE(LEFT(X50,1))*Q50,0)</f>
        <v>0</v>
      </c>
      <c r="Z50" s="104">
        <f>IF($Y50&gt;0,VLOOKUP($J50,Ruimtegroepen[],3,FALSE)*VLOOKUP($L50,Vloersoorten[],3,FALSE)*VLOOKUP($X50,Frequenties[],3,FALSE)*VLOOKUP(Ruimtestaat[[#This Row],[Code]],Locaties[],3,FALSE),0)</f>
        <v>0</v>
      </c>
      <c r="AA50" s="104">
        <f>Ruimtestaat[[#This Row],[Uitvoeringen weekend]]*Ruimtestaat[[#This Row],[Oppervlak (netto)]]</f>
        <v>0</v>
      </c>
      <c r="AB50" s="104">
        <f>IF(Z50&gt;0,Ruimtestaat[[#This Row],[Prest. (m2 /jaar) weekend]]/Ruimtestaat[[#This Row],[Norm (m2/uur) weekend]],0)</f>
        <v>0</v>
      </c>
      <c r="AC50" s="171">
        <f>Ruimtestaat[[#This Row],[uren / jaar weekend]]*Tariefsopbouw!$D$40</f>
        <v>0</v>
      </c>
      <c r="AD50" s="170">
        <f>Ruimtestaat[[#This Row],[Prest. (m2 /jaar) weekend]]+Ruimtestaat[[#This Row],[Prest. (m2 /jaar) werkdagen]]</f>
        <v>9900</v>
      </c>
      <c r="AE50" s="170">
        <f>Ruimtestaat[[#This Row],[uren / jaar weekend]]+Ruimtestaat[[#This Row],[uren / jaar werkdagen]]</f>
        <v>0</v>
      </c>
      <c r="AF50" s="76">
        <f>Ruimtestaat[[#This Row],[kosten / jaar weekend]]+Ruimtestaat[[#This Row],[kosten / jaar werkdagen]]</f>
        <v>0</v>
      </c>
      <c r="AG50" s="76"/>
      <c r="AH50" s="272" t="str">
        <f>IF(Ruimtestaat[[#This Row],[Frequentie werkdagen]]="","",_xlfn.CONCAT(Ruimtestaat[[#This Row],[Ruimte code]],"-",Ruimtestaat[[#This Row],[Frequentie werkdagen]]," ",Ruimtestaat[[#This Row],[Vloer code]]))</f>
        <v>16-5w L</v>
      </c>
      <c r="AI50" s="310" t="str">
        <f>_xlfn.IFNA(VLOOKUP($AH50,Programma!$F$3:$G$1107,2,0),"")</f>
        <v>_</v>
      </c>
      <c r="AJ50" s="310" t="str">
        <f>_xlfn.IFNA(VLOOKUP($AH50,Programma!$F$3:$H$1107,3,0),"")</f>
        <v>_</v>
      </c>
      <c r="AK50" s="310" t="str">
        <f>_xlfn.IFNA(VLOOKUP($AH50,Programma!$F$3:$I$1107,4,0),"")</f>
        <v>4w</v>
      </c>
      <c r="AL50" s="310" t="str">
        <f>_xlfn.IFNA(VLOOKUP($AH50,Programma!$F$3:$J$1107,5,0),"")</f>
        <v>1w</v>
      </c>
      <c r="AM50" s="310" t="str">
        <f>_xlfn.IFNA(VLOOKUP($AH50,Programma!$F$3:$K$1107,6,0),"")</f>
        <v>_</v>
      </c>
      <c r="AN50" s="310" t="str">
        <f>_xlfn.IFNA(VLOOKUP($AH50,Programma!$F$3:$L$1107,7,0),"")</f>
        <v>_</v>
      </c>
      <c r="AO50" s="310" t="str">
        <f>_xlfn.IFNA(VLOOKUP($AH50,Programma!$F$3:$M$1107,8,0),"")</f>
        <v>_</v>
      </c>
      <c r="AP50" s="310" t="str">
        <f>_xlfn.IFNA(VLOOKUP($AH50,Programma!$F$3:$N$1107,9,0),"")</f>
        <v>_</v>
      </c>
      <c r="AQ50" s="310" t="str">
        <f>_xlfn.IFNA(VLOOKUP($AH50,Programma!$F$3:$O$1107,10,0),"")</f>
        <v>5w</v>
      </c>
      <c r="AR50" s="310" t="str">
        <f>_xlfn.IFNA(VLOOKUP($AH50,Programma!$F$3:$P$1107,11,0),"")</f>
        <v>5w</v>
      </c>
      <c r="AS50" s="310" t="str">
        <f>_xlfn.IFNA(VLOOKUP($AH50,Programma!$F$3:$Q$1107,12,0),"")</f>
        <v>1w</v>
      </c>
      <c r="AT50" s="310" t="str">
        <f>_xlfn.IFNA(VLOOKUP($AH50,Programma!$F$3:$R$1107,13,0),"")</f>
        <v>1w</v>
      </c>
      <c r="AU50" s="310" t="str">
        <f>_xlfn.IFNA(VLOOKUP($AH50,Programma!$F$3:$S$1107,14,0),"")</f>
        <v>1m</v>
      </c>
      <c r="AV50" s="310" t="str">
        <f>_xlfn.IFNA(VLOOKUP($AH50,Programma!$F$3:$T$1107,15,0),"")</f>
        <v>2j</v>
      </c>
      <c r="AW50" s="310" t="str">
        <f>_xlfn.IFNA(VLOOKUP($AH50,Programma!$F$3:$U$1107,16,0),"")</f>
        <v>1j</v>
      </c>
      <c r="AX50" s="310" t="str">
        <f>_xlfn.IFNA(VLOOKUP($AH50,Programma!$F$3:$V$1107,17,0),"")</f>
        <v>_</v>
      </c>
      <c r="AY50" s="310" t="str">
        <f>_xlfn.IFNA(VLOOKUP($AH50,Programma!$F$3:$W$1107,18,0),"")</f>
        <v>_</v>
      </c>
      <c r="AZ50" s="310" t="str">
        <f>_xlfn.IFNA(VLOOKUP($AH50,Programma!$F$3:$X$1107,19,0),"")</f>
        <v>_</v>
      </c>
      <c r="BA50" s="310" t="str">
        <f>_xlfn.IFNA(VLOOKUP($AH50,Programma!$F$3:$Y$1107,20,0),"")</f>
        <v>_</v>
      </c>
      <c r="BB50" s="273"/>
      <c r="BC50" s="272" t="str">
        <f>IF(Ruimtestaat[[#This Row],[Frequentie weekend]]="","",_xlfn.CONCAT(Ruimtestaat[[#This Row],[Ruimte code]],"-",Ruimtestaat[[#This Row],[Frequentie weekend]]," ",Ruimtestaat[[#This Row],[Vloer code]]))</f>
        <v/>
      </c>
      <c r="BD50" s="310" t="str">
        <f>_xlfn.IFNA(VLOOKUP($BC50,Programma!$F$3:$G$1107,2,0),"")</f>
        <v/>
      </c>
      <c r="BE50" s="310" t="str">
        <f>_xlfn.IFNA(VLOOKUP($BC50,Programma!$F$3:$H$1107,3,0),"")</f>
        <v/>
      </c>
      <c r="BF50" s="310" t="str">
        <f>_xlfn.IFNA(VLOOKUP($BC50,Programma!$F$3:$I$1107,4,0),"")</f>
        <v/>
      </c>
      <c r="BG50" s="310" t="str">
        <f>_xlfn.IFNA(VLOOKUP($BC50,Programma!$F$3:$J$1107,5,0),"")</f>
        <v/>
      </c>
      <c r="BH50" s="310" t="str">
        <f>_xlfn.IFNA(VLOOKUP($BC50,Programma!$F$3:$K$1107,6,0),"")</f>
        <v/>
      </c>
      <c r="BI50" s="310" t="str">
        <f>_xlfn.IFNA(VLOOKUP($BC50,Programma!$F$3:$L$1107,7,0),"")</f>
        <v/>
      </c>
      <c r="BJ50" s="310" t="str">
        <f>_xlfn.IFNA(VLOOKUP($BC50,Programma!$F$3:$M$1107,8,0),"")</f>
        <v/>
      </c>
      <c r="BK50" s="310" t="str">
        <f>_xlfn.IFNA(VLOOKUP($BC50,Programma!$F$3:$N$1107,9,0),"")</f>
        <v/>
      </c>
      <c r="BL50" s="310" t="str">
        <f>_xlfn.IFNA(VLOOKUP($BC50,Programma!$F$3:$O$1107,10,0),"")</f>
        <v/>
      </c>
      <c r="BM50" s="310" t="str">
        <f>_xlfn.IFNA(VLOOKUP($BC50,Programma!$F$3:$P$1107,11,0),"")</f>
        <v/>
      </c>
      <c r="BN50" s="310" t="str">
        <f>_xlfn.IFNA(VLOOKUP($BC50,Programma!$F$3:$Q$1107,12,0),"")</f>
        <v/>
      </c>
      <c r="BO50" s="310" t="str">
        <f>_xlfn.IFNA(VLOOKUP($BC50,Programma!$F$3:$R$1107,13,0),"")</f>
        <v/>
      </c>
      <c r="BP50" s="310" t="str">
        <f>_xlfn.IFNA(VLOOKUP($BC50,Programma!$F$3:$S$1107,14,0),"")</f>
        <v/>
      </c>
      <c r="BQ50" s="310" t="str">
        <f>_xlfn.IFNA(VLOOKUP($BC50,Programma!$F$3:$T$1107,15,0),"")</f>
        <v/>
      </c>
      <c r="BR50" s="310" t="str">
        <f>_xlfn.IFNA(VLOOKUP($BC50,Programma!$F$3:$U$1107,16,0),"")</f>
        <v/>
      </c>
      <c r="BS50" s="310" t="str">
        <f>_xlfn.IFNA(VLOOKUP($BC50,Programma!$F$3:$V$1107,17,0),"")</f>
        <v/>
      </c>
      <c r="BT50" s="310" t="str">
        <f>_xlfn.IFNA(VLOOKUP($BC50,Programma!$F$3:$W$1107,18,0),"")</f>
        <v/>
      </c>
      <c r="BU50" s="310" t="str">
        <f>_xlfn.IFNA(VLOOKUP($BC50,Programma!$F$3:$X$1107,19,0),"")</f>
        <v/>
      </c>
      <c r="BV50" s="310" t="str">
        <f>_xlfn.IFNA(VLOOKUP($BC50,Programma!$F$3:$Y$1107,20,0),"")</f>
        <v/>
      </c>
    </row>
    <row r="51" spans="1:74" ht="15" customHeight="1">
      <c r="A51" s="33">
        <v>1</v>
      </c>
      <c r="B51" s="173" t="s">
        <v>1619</v>
      </c>
      <c r="C51" s="173" t="str">
        <f>VLOOKUP(Ruimtestaat[[#This Row],[Code]],Locaties[[#All],[Code]:[Adres]],4,FALSE)</f>
        <v>Stationslaan 26</v>
      </c>
      <c r="D51" s="173" t="str">
        <f>VLOOKUP(Ruimtestaat[[#This Row],[Code]],Locaties[[#All],[Code]:[Postcode]],5,FALSE)</f>
        <v>3842 LA</v>
      </c>
      <c r="E51" s="173" t="str">
        <f>VLOOKUP(Ruimtestaat[[#This Row],[Code]],Locaties[#All],6,FALSE)</f>
        <v>Harderwijk</v>
      </c>
      <c r="F51" s="21" t="s">
        <v>1622</v>
      </c>
      <c r="G51" s="33" t="s">
        <v>1614</v>
      </c>
      <c r="H51" s="311" t="s">
        <v>1669</v>
      </c>
      <c r="I51" s="312"/>
      <c r="J51" s="21">
        <v>20</v>
      </c>
      <c r="K51" s="69" t="str">
        <f>VLOOKUP(Ruimtestaat[[#This Row],[Ruimte code]],Ruimtegroepen[[#All],[Code]:[Ruimte omschrijving]],2,FALSE)</f>
        <v>Niet in Onderhoud</v>
      </c>
      <c r="L51" s="33"/>
      <c r="M51" s="312"/>
      <c r="N51" s="148"/>
      <c r="O51" s="33"/>
      <c r="P51" s="134">
        <f>VLOOKUP(Ruimtestaat[[#This Row],[Ruimte code]],Ruimtegroepen[],4,FALSE)</f>
        <v>0</v>
      </c>
      <c r="Q51" s="33"/>
      <c r="R51" s="33"/>
      <c r="S51" s="33">
        <f>IF(Q51&gt;0,IF(RIGHT(Ruimtestaat[[#This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1" s="33">
        <f>IF(S51&gt;0,VLOOKUP($J51,Ruimtegroepen[],3,FALSE)*VLOOKUP($L51,Vloersoorten[],3,FALSE)*VLOOKUP($R51,Frequenties[],3,FALSE)*VLOOKUP($A51,Locaties[],3,FALSE),0)</f>
        <v>0</v>
      </c>
      <c r="U51" s="33">
        <f>Ruimtestaat[[#This Row],[Uitvoeringen werkdagen]]*Ruimtestaat[[#This Row],[Oppervlak (netto)]]</f>
        <v>0</v>
      </c>
      <c r="V51" s="170">
        <f>IF(T51&gt;0,Ruimtestaat[[#This Row],[Prest. (m2 /jaar) werkdagen]]/Ruimtestaat[[#This Row],[Norm (m2/uur) werkdagen]],0)</f>
        <v>0</v>
      </c>
      <c r="W51" s="171">
        <f>Ruimtestaat[[#This Row],[uren / jaar werkdagen]]*Tariefsopbouw!$E$35</f>
        <v>0</v>
      </c>
      <c r="X51" s="33"/>
      <c r="Y51" s="33">
        <f>IF(Ruimtestaat[[#This Row],[Frequentie weekend]]&gt;0,VALUE(LEFT(X51,1))*Q51,0)</f>
        <v>0</v>
      </c>
      <c r="Z51" s="104">
        <f>IF($Y51&gt;0,VLOOKUP($J51,Ruimtegroepen[],3,FALSE)*VLOOKUP($L51,Vloersoorten[],3,FALSE)*VLOOKUP($X51,Frequenties[],3,FALSE)*VLOOKUP(Ruimtestaat[[#This Row],[Code]],Locaties[],3,FALSE),0)</f>
        <v>0</v>
      </c>
      <c r="AA51" s="104">
        <f>Ruimtestaat[[#This Row],[Uitvoeringen weekend]]*Ruimtestaat[[#This Row],[Oppervlak (netto)]]</f>
        <v>0</v>
      </c>
      <c r="AB51" s="104">
        <f>IF(Z51&gt;0,Ruimtestaat[[#This Row],[Prest. (m2 /jaar) weekend]]/Ruimtestaat[[#This Row],[Norm (m2/uur) weekend]],0)</f>
        <v>0</v>
      </c>
      <c r="AC51" s="171">
        <f>Ruimtestaat[[#This Row],[uren / jaar weekend]]*Tariefsopbouw!$D$40</f>
        <v>0</v>
      </c>
      <c r="AD51" s="170">
        <f>Ruimtestaat[[#This Row],[Prest. (m2 /jaar) weekend]]+Ruimtestaat[[#This Row],[Prest. (m2 /jaar) werkdagen]]</f>
        <v>0</v>
      </c>
      <c r="AE51" s="170">
        <f>Ruimtestaat[[#This Row],[uren / jaar weekend]]+Ruimtestaat[[#This Row],[uren / jaar werkdagen]]</f>
        <v>0</v>
      </c>
      <c r="AF51" s="76">
        <f>Ruimtestaat[[#This Row],[kosten / jaar weekend]]+Ruimtestaat[[#This Row],[kosten / jaar werkdagen]]</f>
        <v>0</v>
      </c>
      <c r="AG51" s="76"/>
      <c r="AH51" s="272" t="str">
        <f>IF(Ruimtestaat[[#This Row],[Frequentie werkdagen]]="","",_xlfn.CONCAT(Ruimtestaat[[#This Row],[Ruimte code]],"-",Ruimtestaat[[#This Row],[Frequentie werkdagen]]," ",Ruimtestaat[[#This Row],[Vloer code]]))</f>
        <v/>
      </c>
      <c r="AI51" s="310" t="str">
        <f>_xlfn.IFNA(VLOOKUP($AH51,Programma!$F$3:$G$1107,2,0),"")</f>
        <v/>
      </c>
      <c r="AJ51" s="310" t="str">
        <f>_xlfn.IFNA(VLOOKUP($AH51,Programma!$F$3:$H$1107,3,0),"")</f>
        <v/>
      </c>
      <c r="AK51" s="310" t="str">
        <f>_xlfn.IFNA(VLOOKUP($AH51,Programma!$F$3:$I$1107,4,0),"")</f>
        <v/>
      </c>
      <c r="AL51" s="310" t="str">
        <f>_xlfn.IFNA(VLOOKUP($AH51,Programma!$F$3:$J$1107,5,0),"")</f>
        <v/>
      </c>
      <c r="AM51" s="310" t="str">
        <f>_xlfn.IFNA(VLOOKUP($AH51,Programma!$F$3:$K$1107,6,0),"")</f>
        <v/>
      </c>
      <c r="AN51" s="310" t="str">
        <f>_xlfn.IFNA(VLOOKUP($AH51,Programma!$F$3:$L$1107,7,0),"")</f>
        <v/>
      </c>
      <c r="AO51" s="310" t="str">
        <f>_xlfn.IFNA(VLOOKUP($AH51,Programma!$F$3:$M$1107,8,0),"")</f>
        <v/>
      </c>
      <c r="AP51" s="310" t="str">
        <f>_xlfn.IFNA(VLOOKUP($AH51,Programma!$F$3:$N$1107,9,0),"")</f>
        <v/>
      </c>
      <c r="AQ51" s="310" t="str">
        <f>_xlfn.IFNA(VLOOKUP($AH51,Programma!$F$3:$O$1107,10,0),"")</f>
        <v/>
      </c>
      <c r="AR51" s="310" t="str">
        <f>_xlfn.IFNA(VLOOKUP($AH51,Programma!$F$3:$P$1107,11,0),"")</f>
        <v/>
      </c>
      <c r="AS51" s="310" t="str">
        <f>_xlfn.IFNA(VLOOKUP($AH51,Programma!$F$3:$Q$1107,12,0),"")</f>
        <v/>
      </c>
      <c r="AT51" s="310" t="str">
        <f>_xlfn.IFNA(VLOOKUP($AH51,Programma!$F$3:$R$1107,13,0),"")</f>
        <v/>
      </c>
      <c r="AU51" s="310" t="str">
        <f>_xlfn.IFNA(VLOOKUP($AH51,Programma!$F$3:$S$1107,14,0),"")</f>
        <v/>
      </c>
      <c r="AV51" s="310" t="str">
        <f>_xlfn.IFNA(VLOOKUP($AH51,Programma!$F$3:$T$1107,15,0),"")</f>
        <v/>
      </c>
      <c r="AW51" s="310" t="str">
        <f>_xlfn.IFNA(VLOOKUP($AH51,Programma!$F$3:$U$1107,16,0),"")</f>
        <v/>
      </c>
      <c r="AX51" s="310" t="str">
        <f>_xlfn.IFNA(VLOOKUP($AH51,Programma!$F$3:$V$1107,17,0),"")</f>
        <v/>
      </c>
      <c r="AY51" s="310" t="str">
        <f>_xlfn.IFNA(VLOOKUP($AH51,Programma!$F$3:$W$1107,18,0),"")</f>
        <v/>
      </c>
      <c r="AZ51" s="310" t="str">
        <f>_xlfn.IFNA(VLOOKUP($AH51,Programma!$F$3:$X$1107,19,0),"")</f>
        <v/>
      </c>
      <c r="BA51" s="310" t="str">
        <f>_xlfn.IFNA(VLOOKUP($AH51,Programma!$F$3:$Y$1107,20,0),"")</f>
        <v/>
      </c>
      <c r="BB51" s="273"/>
      <c r="BC51" s="272" t="str">
        <f>IF(Ruimtestaat[[#This Row],[Frequentie weekend]]="","",_xlfn.CONCAT(Ruimtestaat[[#This Row],[Ruimte code]],"-",Ruimtestaat[[#This Row],[Frequentie weekend]]," ",Ruimtestaat[[#This Row],[Vloer code]]))</f>
        <v/>
      </c>
      <c r="BD51" s="310" t="str">
        <f>_xlfn.IFNA(VLOOKUP($BC51,Programma!$F$3:$G$1107,2,0),"")</f>
        <v/>
      </c>
      <c r="BE51" s="310" t="str">
        <f>_xlfn.IFNA(VLOOKUP($BC51,Programma!$F$3:$H$1107,3,0),"")</f>
        <v/>
      </c>
      <c r="BF51" s="310" t="str">
        <f>_xlfn.IFNA(VLOOKUP($BC51,Programma!$F$3:$I$1107,4,0),"")</f>
        <v/>
      </c>
      <c r="BG51" s="310" t="str">
        <f>_xlfn.IFNA(VLOOKUP($BC51,Programma!$F$3:$J$1107,5,0),"")</f>
        <v/>
      </c>
      <c r="BH51" s="310" t="str">
        <f>_xlfn.IFNA(VLOOKUP($BC51,Programma!$F$3:$K$1107,6,0),"")</f>
        <v/>
      </c>
      <c r="BI51" s="310" t="str">
        <f>_xlfn.IFNA(VLOOKUP($BC51,Programma!$F$3:$L$1107,7,0),"")</f>
        <v/>
      </c>
      <c r="BJ51" s="310" t="str">
        <f>_xlfn.IFNA(VLOOKUP($BC51,Programma!$F$3:$M$1107,8,0),"")</f>
        <v/>
      </c>
      <c r="BK51" s="310" t="str">
        <f>_xlfn.IFNA(VLOOKUP($BC51,Programma!$F$3:$N$1107,9,0),"")</f>
        <v/>
      </c>
      <c r="BL51" s="310" t="str">
        <f>_xlfn.IFNA(VLOOKUP($BC51,Programma!$F$3:$O$1107,10,0),"")</f>
        <v/>
      </c>
      <c r="BM51" s="310" t="str">
        <f>_xlfn.IFNA(VLOOKUP($BC51,Programma!$F$3:$P$1107,11,0),"")</f>
        <v/>
      </c>
      <c r="BN51" s="310" t="str">
        <f>_xlfn.IFNA(VLOOKUP($BC51,Programma!$F$3:$Q$1107,12,0),"")</f>
        <v/>
      </c>
      <c r="BO51" s="310" t="str">
        <f>_xlfn.IFNA(VLOOKUP($BC51,Programma!$F$3:$R$1107,13,0),"")</f>
        <v/>
      </c>
      <c r="BP51" s="310" t="str">
        <f>_xlfn.IFNA(VLOOKUP($BC51,Programma!$F$3:$S$1107,14,0),"")</f>
        <v/>
      </c>
      <c r="BQ51" s="310" t="str">
        <f>_xlfn.IFNA(VLOOKUP($BC51,Programma!$F$3:$T$1107,15,0),"")</f>
        <v/>
      </c>
      <c r="BR51" s="310" t="str">
        <f>_xlfn.IFNA(VLOOKUP($BC51,Programma!$F$3:$U$1107,16,0),"")</f>
        <v/>
      </c>
      <c r="BS51" s="310" t="str">
        <f>_xlfn.IFNA(VLOOKUP($BC51,Programma!$F$3:$V$1107,17,0),"")</f>
        <v/>
      </c>
      <c r="BT51" s="310" t="str">
        <f>_xlfn.IFNA(VLOOKUP($BC51,Programma!$F$3:$W$1107,18,0),"")</f>
        <v/>
      </c>
      <c r="BU51" s="310" t="str">
        <f>_xlfn.IFNA(VLOOKUP($BC51,Programma!$F$3:$X$1107,19,0),"")</f>
        <v/>
      </c>
      <c r="BV51" s="310" t="str">
        <f>_xlfn.IFNA(VLOOKUP($BC51,Programma!$F$3:$Y$1107,20,0),"")</f>
        <v/>
      </c>
    </row>
    <row r="52" spans="1:74" ht="15" customHeight="1">
      <c r="A52" s="33">
        <v>1</v>
      </c>
      <c r="B52" s="173" t="s">
        <v>1619</v>
      </c>
      <c r="C52" s="173" t="str">
        <f>VLOOKUP(Ruimtestaat[[#This Row],[Code]],Locaties[[#All],[Code]:[Adres]],4,FALSE)</f>
        <v>Stationslaan 26</v>
      </c>
      <c r="D52" s="173" t="str">
        <f>VLOOKUP(Ruimtestaat[[#This Row],[Code]],Locaties[[#All],[Code]:[Postcode]],5,FALSE)</f>
        <v>3842 LA</v>
      </c>
      <c r="E52" s="173" t="str">
        <f>VLOOKUP(Ruimtestaat[[#This Row],[Code]],Locaties[#All],6,FALSE)</f>
        <v>Harderwijk</v>
      </c>
      <c r="F52" s="21" t="s">
        <v>1622</v>
      </c>
      <c r="G52" s="33" t="s">
        <v>1614</v>
      </c>
      <c r="H52" s="311" t="s">
        <v>1670</v>
      </c>
      <c r="I52" s="312"/>
      <c r="J52" s="21">
        <v>20</v>
      </c>
      <c r="K52" s="69" t="str">
        <f>VLOOKUP(Ruimtestaat[[#This Row],[Ruimte code]],Ruimtegroepen[[#All],[Code]:[Ruimte omschrijving]],2,FALSE)</f>
        <v>Niet in Onderhoud</v>
      </c>
      <c r="L52" s="33"/>
      <c r="M52" s="312"/>
      <c r="N52" s="148"/>
      <c r="O52" s="150"/>
      <c r="P52" s="134">
        <f>VLOOKUP(Ruimtestaat[[#This Row],[Ruimte code]],Ruimtegroepen[],4,FALSE)</f>
        <v>0</v>
      </c>
      <c r="Q52" s="33"/>
      <c r="R52" s="33"/>
      <c r="S52" s="33">
        <f>IF(Q52&gt;0,IF(RIGHT(Ruimtestaat[[#This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2" s="33">
        <f>IF(S52&gt;0,VLOOKUP($J52,Ruimtegroepen[],3,FALSE)*VLOOKUP($L52,Vloersoorten[],3,FALSE)*VLOOKUP($R52,Frequenties[],3,FALSE)*VLOOKUP($A52,Locaties[],3,FALSE),0)</f>
        <v>0</v>
      </c>
      <c r="U52" s="33">
        <f>Ruimtestaat[[#This Row],[Uitvoeringen werkdagen]]*Ruimtestaat[[#This Row],[Oppervlak (netto)]]</f>
        <v>0</v>
      </c>
      <c r="V52" s="170">
        <f>IF(T52&gt;0,Ruimtestaat[[#This Row],[Prest. (m2 /jaar) werkdagen]]/Ruimtestaat[[#This Row],[Norm (m2/uur) werkdagen]],0)</f>
        <v>0</v>
      </c>
      <c r="W52" s="171">
        <f>Ruimtestaat[[#This Row],[uren / jaar werkdagen]]*Tariefsopbouw!$E$35</f>
        <v>0</v>
      </c>
      <c r="X52" s="33"/>
      <c r="Y52" s="33">
        <f>IF(Ruimtestaat[[#This Row],[Frequentie weekend]]&gt;0,VALUE(LEFT(X52,1))*Q52,0)</f>
        <v>0</v>
      </c>
      <c r="Z52" s="104">
        <f>IF($Y52&gt;0,VLOOKUP($J52,Ruimtegroepen[],3,FALSE)*VLOOKUP($L52,Vloersoorten[],3,FALSE)*VLOOKUP($X52,Frequenties[],3,FALSE)*VLOOKUP(Ruimtestaat[[#This Row],[Code]],Locaties[],3,FALSE),0)</f>
        <v>0</v>
      </c>
      <c r="AA52" s="104">
        <f>Ruimtestaat[[#This Row],[Uitvoeringen weekend]]*Ruimtestaat[[#This Row],[Oppervlak (netto)]]</f>
        <v>0</v>
      </c>
      <c r="AB52" s="104">
        <f>IF(Z52&gt;0,Ruimtestaat[[#This Row],[Prest. (m2 /jaar) weekend]]/Ruimtestaat[[#This Row],[Norm (m2/uur) weekend]],0)</f>
        <v>0</v>
      </c>
      <c r="AC52" s="171">
        <f>Ruimtestaat[[#This Row],[uren / jaar weekend]]*Tariefsopbouw!$D$40</f>
        <v>0</v>
      </c>
      <c r="AD52" s="170">
        <f>Ruimtestaat[[#This Row],[Prest. (m2 /jaar) weekend]]+Ruimtestaat[[#This Row],[Prest. (m2 /jaar) werkdagen]]</f>
        <v>0</v>
      </c>
      <c r="AE52" s="170">
        <f>Ruimtestaat[[#This Row],[uren / jaar weekend]]+Ruimtestaat[[#This Row],[uren / jaar werkdagen]]</f>
        <v>0</v>
      </c>
      <c r="AF52" s="76">
        <f>Ruimtestaat[[#This Row],[kosten / jaar weekend]]+Ruimtestaat[[#This Row],[kosten / jaar werkdagen]]</f>
        <v>0</v>
      </c>
      <c r="AG52" s="76"/>
      <c r="AH52" s="272" t="str">
        <f>IF(Ruimtestaat[[#This Row],[Frequentie werkdagen]]="","",_xlfn.CONCAT(Ruimtestaat[[#This Row],[Ruimte code]],"-",Ruimtestaat[[#This Row],[Frequentie werkdagen]]," ",Ruimtestaat[[#This Row],[Vloer code]]))</f>
        <v/>
      </c>
      <c r="AI52" s="310" t="str">
        <f>_xlfn.IFNA(VLOOKUP($AH52,Programma!$F$3:$G$1107,2,0),"")</f>
        <v/>
      </c>
      <c r="AJ52" s="310" t="str">
        <f>_xlfn.IFNA(VLOOKUP($AH52,Programma!$F$3:$H$1107,3,0),"")</f>
        <v/>
      </c>
      <c r="AK52" s="310" t="str">
        <f>_xlfn.IFNA(VLOOKUP($AH52,Programma!$F$3:$I$1107,4,0),"")</f>
        <v/>
      </c>
      <c r="AL52" s="310" t="str">
        <f>_xlfn.IFNA(VLOOKUP($AH52,Programma!$F$3:$J$1107,5,0),"")</f>
        <v/>
      </c>
      <c r="AM52" s="310" t="str">
        <f>_xlfn.IFNA(VLOOKUP($AH52,Programma!$F$3:$K$1107,6,0),"")</f>
        <v/>
      </c>
      <c r="AN52" s="310" t="str">
        <f>_xlfn.IFNA(VLOOKUP($AH52,Programma!$F$3:$L$1107,7,0),"")</f>
        <v/>
      </c>
      <c r="AO52" s="310" t="str">
        <f>_xlfn.IFNA(VLOOKUP($AH52,Programma!$F$3:$M$1107,8,0),"")</f>
        <v/>
      </c>
      <c r="AP52" s="310" t="str">
        <f>_xlfn.IFNA(VLOOKUP($AH52,Programma!$F$3:$N$1107,9,0),"")</f>
        <v/>
      </c>
      <c r="AQ52" s="310" t="str">
        <f>_xlfn.IFNA(VLOOKUP($AH52,Programma!$F$3:$O$1107,10,0),"")</f>
        <v/>
      </c>
      <c r="AR52" s="310" t="str">
        <f>_xlfn.IFNA(VLOOKUP($AH52,Programma!$F$3:$P$1107,11,0),"")</f>
        <v/>
      </c>
      <c r="AS52" s="310" t="str">
        <f>_xlfn.IFNA(VLOOKUP($AH52,Programma!$F$3:$Q$1107,12,0),"")</f>
        <v/>
      </c>
      <c r="AT52" s="310" t="str">
        <f>_xlfn.IFNA(VLOOKUP($AH52,Programma!$F$3:$R$1107,13,0),"")</f>
        <v/>
      </c>
      <c r="AU52" s="310" t="str">
        <f>_xlfn.IFNA(VLOOKUP($AH52,Programma!$F$3:$S$1107,14,0),"")</f>
        <v/>
      </c>
      <c r="AV52" s="310" t="str">
        <f>_xlfn.IFNA(VLOOKUP($AH52,Programma!$F$3:$T$1107,15,0),"")</f>
        <v/>
      </c>
      <c r="AW52" s="310" t="str">
        <f>_xlfn.IFNA(VLOOKUP($AH52,Programma!$F$3:$U$1107,16,0),"")</f>
        <v/>
      </c>
      <c r="AX52" s="310" t="str">
        <f>_xlfn.IFNA(VLOOKUP($AH52,Programma!$F$3:$V$1107,17,0),"")</f>
        <v/>
      </c>
      <c r="AY52" s="310" t="str">
        <f>_xlfn.IFNA(VLOOKUP($AH52,Programma!$F$3:$W$1107,18,0),"")</f>
        <v/>
      </c>
      <c r="AZ52" s="310" t="str">
        <f>_xlfn.IFNA(VLOOKUP($AH52,Programma!$F$3:$X$1107,19,0),"")</f>
        <v/>
      </c>
      <c r="BA52" s="310" t="str">
        <f>_xlfn.IFNA(VLOOKUP($AH52,Programma!$F$3:$Y$1107,20,0),"")</f>
        <v/>
      </c>
      <c r="BB52" s="273"/>
      <c r="BC52" s="272" t="str">
        <f>IF(Ruimtestaat[[#This Row],[Frequentie weekend]]="","",_xlfn.CONCAT(Ruimtestaat[[#This Row],[Ruimte code]],"-",Ruimtestaat[[#This Row],[Frequentie weekend]]," ",Ruimtestaat[[#This Row],[Vloer code]]))</f>
        <v/>
      </c>
      <c r="BD52" s="310" t="str">
        <f>_xlfn.IFNA(VLOOKUP($BC52,Programma!$F$3:$G$1107,2,0),"")</f>
        <v/>
      </c>
      <c r="BE52" s="310" t="str">
        <f>_xlfn.IFNA(VLOOKUP($BC52,Programma!$F$3:$H$1107,3,0),"")</f>
        <v/>
      </c>
      <c r="BF52" s="310" t="str">
        <f>_xlfn.IFNA(VLOOKUP($BC52,Programma!$F$3:$I$1107,4,0),"")</f>
        <v/>
      </c>
      <c r="BG52" s="310" t="str">
        <f>_xlfn.IFNA(VLOOKUP($BC52,Programma!$F$3:$J$1107,5,0),"")</f>
        <v/>
      </c>
      <c r="BH52" s="310" t="str">
        <f>_xlfn.IFNA(VLOOKUP($BC52,Programma!$F$3:$K$1107,6,0),"")</f>
        <v/>
      </c>
      <c r="BI52" s="310" t="str">
        <f>_xlfn.IFNA(VLOOKUP($BC52,Programma!$F$3:$L$1107,7,0),"")</f>
        <v/>
      </c>
      <c r="BJ52" s="310" t="str">
        <f>_xlfn.IFNA(VLOOKUP($BC52,Programma!$F$3:$M$1107,8,0),"")</f>
        <v/>
      </c>
      <c r="BK52" s="310" t="str">
        <f>_xlfn.IFNA(VLOOKUP($BC52,Programma!$F$3:$N$1107,9,0),"")</f>
        <v/>
      </c>
      <c r="BL52" s="310" t="str">
        <f>_xlfn.IFNA(VLOOKUP($BC52,Programma!$F$3:$O$1107,10,0),"")</f>
        <v/>
      </c>
      <c r="BM52" s="310" t="str">
        <f>_xlfn.IFNA(VLOOKUP($BC52,Programma!$F$3:$P$1107,11,0),"")</f>
        <v/>
      </c>
      <c r="BN52" s="310" t="str">
        <f>_xlfn.IFNA(VLOOKUP($BC52,Programma!$F$3:$Q$1107,12,0),"")</f>
        <v/>
      </c>
      <c r="BO52" s="310" t="str">
        <f>_xlfn.IFNA(VLOOKUP($BC52,Programma!$F$3:$R$1107,13,0),"")</f>
        <v/>
      </c>
      <c r="BP52" s="310" t="str">
        <f>_xlfn.IFNA(VLOOKUP($BC52,Programma!$F$3:$S$1107,14,0),"")</f>
        <v/>
      </c>
      <c r="BQ52" s="310" t="str">
        <f>_xlfn.IFNA(VLOOKUP($BC52,Programma!$F$3:$T$1107,15,0),"")</f>
        <v/>
      </c>
      <c r="BR52" s="310" t="str">
        <f>_xlfn.IFNA(VLOOKUP($BC52,Programma!$F$3:$U$1107,16,0),"")</f>
        <v/>
      </c>
      <c r="BS52" s="310" t="str">
        <f>_xlfn.IFNA(VLOOKUP($BC52,Programma!$F$3:$V$1107,17,0),"")</f>
        <v/>
      </c>
      <c r="BT52" s="310" t="str">
        <f>_xlfn.IFNA(VLOOKUP($BC52,Programma!$F$3:$W$1107,18,0),"")</f>
        <v/>
      </c>
      <c r="BU52" s="310" t="str">
        <f>_xlfn.IFNA(VLOOKUP($BC52,Programma!$F$3:$X$1107,19,0),"")</f>
        <v/>
      </c>
      <c r="BV52" s="310" t="str">
        <f>_xlfn.IFNA(VLOOKUP($BC52,Programma!$F$3:$Y$1107,20,0),"")</f>
        <v/>
      </c>
    </row>
    <row r="53" spans="1:74" ht="15" customHeight="1">
      <c r="A53" s="33">
        <v>1</v>
      </c>
      <c r="B53" s="173" t="s">
        <v>1619</v>
      </c>
      <c r="C53" s="173" t="str">
        <f>VLOOKUP(Ruimtestaat[[#This Row],[Code]],Locaties[[#All],[Code]:[Adres]],4,FALSE)</f>
        <v>Stationslaan 26</v>
      </c>
      <c r="D53" s="173" t="str">
        <f>VLOOKUP(Ruimtestaat[[#This Row],[Code]],Locaties[[#All],[Code]:[Postcode]],5,FALSE)</f>
        <v>3842 LA</v>
      </c>
      <c r="E53" s="173" t="str">
        <f>VLOOKUP(Ruimtestaat[[#This Row],[Code]],Locaties[#All],6,FALSE)</f>
        <v>Harderwijk</v>
      </c>
      <c r="F53" s="21" t="s">
        <v>1622</v>
      </c>
      <c r="G53" s="33" t="s">
        <v>1614</v>
      </c>
      <c r="H53" s="311" t="s">
        <v>1671</v>
      </c>
      <c r="I53" s="312" t="s">
        <v>1615</v>
      </c>
      <c r="J53" s="33">
        <v>16</v>
      </c>
      <c r="K53" s="69" t="str">
        <f>VLOOKUP(Ruimtestaat[[#This Row],[Ruimte code]],Ruimtegroepen[[#All],[Code]:[Ruimte omschrijving]],2,FALSE)</f>
        <v>Leslokalen</v>
      </c>
      <c r="L53" s="33" t="s">
        <v>101</v>
      </c>
      <c r="M53" s="312" t="s">
        <v>1804</v>
      </c>
      <c r="N53" s="148">
        <v>104</v>
      </c>
      <c r="O53" s="150"/>
      <c r="P53" s="134" t="str">
        <f>VLOOKUP(Ruimtestaat[[#This Row],[Ruimte code]],Ruimtegroepen[],4,FALSE)</f>
        <v>Le</v>
      </c>
      <c r="Q53" s="33">
        <v>40</v>
      </c>
      <c r="R53" s="33" t="s">
        <v>2</v>
      </c>
      <c r="S53" s="33">
        <f>IF(Q53&gt;0,IF(RIGHT(Ruimtestaat[[#This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3" s="33">
        <f>IF(S53&gt;0,VLOOKUP($J53,Ruimtegroepen[],3,FALSE)*VLOOKUP($L53,Vloersoorten[],3,FALSE)*VLOOKUP($R53,Frequenties[],3,FALSE)*VLOOKUP($A53,Locaties[],3,FALSE),0)</f>
        <v>0</v>
      </c>
      <c r="U53" s="33">
        <f>Ruimtestaat[[#This Row],[Uitvoeringen werkdagen]]*Ruimtestaat[[#This Row],[Oppervlak (netto)]]</f>
        <v>20800</v>
      </c>
      <c r="V53" s="170">
        <f>IF(T53&gt;0,Ruimtestaat[[#This Row],[Prest. (m2 /jaar) werkdagen]]/Ruimtestaat[[#This Row],[Norm (m2/uur) werkdagen]],0)</f>
        <v>0</v>
      </c>
      <c r="W53" s="171">
        <f>Ruimtestaat[[#This Row],[uren / jaar werkdagen]]*Tariefsopbouw!$E$35</f>
        <v>0</v>
      </c>
      <c r="X53" s="33"/>
      <c r="Y53" s="33">
        <f>IF(Ruimtestaat[[#This Row],[Frequentie weekend]]&gt;0,VALUE(LEFT(X53,1))*Q53,0)</f>
        <v>0</v>
      </c>
      <c r="Z53" s="104">
        <f>IF($Y53&gt;0,VLOOKUP($J53,Ruimtegroepen[],3,FALSE)*VLOOKUP($L53,Vloersoorten[],3,FALSE)*VLOOKUP($X53,Frequenties[],3,FALSE)*VLOOKUP(Ruimtestaat[[#This Row],[Code]],Locaties[],3,FALSE),0)</f>
        <v>0</v>
      </c>
      <c r="AA53" s="104">
        <f>Ruimtestaat[[#This Row],[Uitvoeringen weekend]]*Ruimtestaat[[#This Row],[Oppervlak (netto)]]</f>
        <v>0</v>
      </c>
      <c r="AB53" s="104">
        <f>IF(Z53&gt;0,Ruimtestaat[[#This Row],[Prest. (m2 /jaar) weekend]]/Ruimtestaat[[#This Row],[Norm (m2/uur) weekend]],0)</f>
        <v>0</v>
      </c>
      <c r="AC53" s="171">
        <f>Ruimtestaat[[#This Row],[uren / jaar weekend]]*Tariefsopbouw!$D$40</f>
        <v>0</v>
      </c>
      <c r="AD53" s="170">
        <f>Ruimtestaat[[#This Row],[Prest. (m2 /jaar) weekend]]+Ruimtestaat[[#This Row],[Prest. (m2 /jaar) werkdagen]]</f>
        <v>20800</v>
      </c>
      <c r="AE53" s="170">
        <f>Ruimtestaat[[#This Row],[uren / jaar weekend]]+Ruimtestaat[[#This Row],[uren / jaar werkdagen]]</f>
        <v>0</v>
      </c>
      <c r="AF53" s="76">
        <f>Ruimtestaat[[#This Row],[kosten / jaar weekend]]+Ruimtestaat[[#This Row],[kosten / jaar werkdagen]]</f>
        <v>0</v>
      </c>
      <c r="AG53" s="76"/>
      <c r="AH53" s="272" t="str">
        <f>IF(Ruimtestaat[[#This Row],[Frequentie werkdagen]]="","",_xlfn.CONCAT(Ruimtestaat[[#This Row],[Ruimte code]],"-",Ruimtestaat[[#This Row],[Frequentie werkdagen]]," ",Ruimtestaat[[#This Row],[Vloer code]]))</f>
        <v>16-5w L</v>
      </c>
      <c r="AI53" s="310" t="str">
        <f>_xlfn.IFNA(VLOOKUP($AH53,Programma!$F$3:$G$1107,2,0),"")</f>
        <v>_</v>
      </c>
      <c r="AJ53" s="310" t="str">
        <f>_xlfn.IFNA(VLOOKUP($AH53,Programma!$F$3:$H$1107,3,0),"")</f>
        <v>_</v>
      </c>
      <c r="AK53" s="310" t="str">
        <f>_xlfn.IFNA(VLOOKUP($AH53,Programma!$F$3:$I$1107,4,0),"")</f>
        <v>4w</v>
      </c>
      <c r="AL53" s="310" t="str">
        <f>_xlfn.IFNA(VLOOKUP($AH53,Programma!$F$3:$J$1107,5,0),"")</f>
        <v>1w</v>
      </c>
      <c r="AM53" s="310" t="str">
        <f>_xlfn.IFNA(VLOOKUP($AH53,Programma!$F$3:$K$1107,6,0),"")</f>
        <v>_</v>
      </c>
      <c r="AN53" s="310" t="str">
        <f>_xlfn.IFNA(VLOOKUP($AH53,Programma!$F$3:$L$1107,7,0),"")</f>
        <v>_</v>
      </c>
      <c r="AO53" s="310" t="str">
        <f>_xlfn.IFNA(VLOOKUP($AH53,Programma!$F$3:$M$1107,8,0),"")</f>
        <v>_</v>
      </c>
      <c r="AP53" s="310" t="str">
        <f>_xlfn.IFNA(VLOOKUP($AH53,Programma!$F$3:$N$1107,9,0),"")</f>
        <v>_</v>
      </c>
      <c r="AQ53" s="310" t="str">
        <f>_xlfn.IFNA(VLOOKUP($AH53,Programma!$F$3:$O$1107,10,0),"")</f>
        <v>5w</v>
      </c>
      <c r="AR53" s="310" t="str">
        <f>_xlfn.IFNA(VLOOKUP($AH53,Programma!$F$3:$P$1107,11,0),"")</f>
        <v>5w</v>
      </c>
      <c r="AS53" s="310" t="str">
        <f>_xlfn.IFNA(VLOOKUP($AH53,Programma!$F$3:$Q$1107,12,0),"")</f>
        <v>1w</v>
      </c>
      <c r="AT53" s="310" t="str">
        <f>_xlfn.IFNA(VLOOKUP($AH53,Programma!$F$3:$R$1107,13,0),"")</f>
        <v>1w</v>
      </c>
      <c r="AU53" s="310" t="str">
        <f>_xlfn.IFNA(VLOOKUP($AH53,Programma!$F$3:$S$1107,14,0),"")</f>
        <v>1m</v>
      </c>
      <c r="AV53" s="310" t="str">
        <f>_xlfn.IFNA(VLOOKUP($AH53,Programma!$F$3:$T$1107,15,0),"")</f>
        <v>2j</v>
      </c>
      <c r="AW53" s="310" t="str">
        <f>_xlfn.IFNA(VLOOKUP($AH53,Programma!$F$3:$U$1107,16,0),"")</f>
        <v>1j</v>
      </c>
      <c r="AX53" s="310" t="str">
        <f>_xlfn.IFNA(VLOOKUP($AH53,Programma!$F$3:$V$1107,17,0),"")</f>
        <v>_</v>
      </c>
      <c r="AY53" s="310" t="str">
        <f>_xlfn.IFNA(VLOOKUP($AH53,Programma!$F$3:$W$1107,18,0),"")</f>
        <v>_</v>
      </c>
      <c r="AZ53" s="310" t="str">
        <f>_xlfn.IFNA(VLOOKUP($AH53,Programma!$F$3:$X$1107,19,0),"")</f>
        <v>_</v>
      </c>
      <c r="BA53" s="310" t="str">
        <f>_xlfn.IFNA(VLOOKUP($AH53,Programma!$F$3:$Y$1107,20,0),"")</f>
        <v>_</v>
      </c>
      <c r="BB53" s="273"/>
      <c r="BC53" s="272" t="str">
        <f>IF(Ruimtestaat[[#This Row],[Frequentie weekend]]="","",_xlfn.CONCAT(Ruimtestaat[[#This Row],[Ruimte code]],"-",Ruimtestaat[[#This Row],[Frequentie weekend]]," ",Ruimtestaat[[#This Row],[Vloer code]]))</f>
        <v/>
      </c>
      <c r="BD53" s="310" t="str">
        <f>_xlfn.IFNA(VLOOKUP($BC53,Programma!$F$3:$G$1107,2,0),"")</f>
        <v/>
      </c>
      <c r="BE53" s="310" t="str">
        <f>_xlfn.IFNA(VLOOKUP($BC53,Programma!$F$3:$H$1107,3,0),"")</f>
        <v/>
      </c>
      <c r="BF53" s="310" t="str">
        <f>_xlfn.IFNA(VLOOKUP($BC53,Programma!$F$3:$I$1107,4,0),"")</f>
        <v/>
      </c>
      <c r="BG53" s="310" t="str">
        <f>_xlfn.IFNA(VLOOKUP($BC53,Programma!$F$3:$J$1107,5,0),"")</f>
        <v/>
      </c>
      <c r="BH53" s="310" t="str">
        <f>_xlfn.IFNA(VLOOKUP($BC53,Programma!$F$3:$K$1107,6,0),"")</f>
        <v/>
      </c>
      <c r="BI53" s="310" t="str">
        <f>_xlfn.IFNA(VLOOKUP($BC53,Programma!$F$3:$L$1107,7,0),"")</f>
        <v/>
      </c>
      <c r="BJ53" s="310" t="str">
        <f>_xlfn.IFNA(VLOOKUP($BC53,Programma!$F$3:$M$1107,8,0),"")</f>
        <v/>
      </c>
      <c r="BK53" s="310" t="str">
        <f>_xlfn.IFNA(VLOOKUP($BC53,Programma!$F$3:$N$1107,9,0),"")</f>
        <v/>
      </c>
      <c r="BL53" s="310" t="str">
        <f>_xlfn.IFNA(VLOOKUP($BC53,Programma!$F$3:$O$1107,10,0),"")</f>
        <v/>
      </c>
      <c r="BM53" s="310" t="str">
        <f>_xlfn.IFNA(VLOOKUP($BC53,Programma!$F$3:$P$1107,11,0),"")</f>
        <v/>
      </c>
      <c r="BN53" s="310" t="str">
        <f>_xlfn.IFNA(VLOOKUP($BC53,Programma!$F$3:$Q$1107,12,0),"")</f>
        <v/>
      </c>
      <c r="BO53" s="310" t="str">
        <f>_xlfn.IFNA(VLOOKUP($BC53,Programma!$F$3:$R$1107,13,0),"")</f>
        <v/>
      </c>
      <c r="BP53" s="310" t="str">
        <f>_xlfn.IFNA(VLOOKUP($BC53,Programma!$F$3:$S$1107,14,0),"")</f>
        <v/>
      </c>
      <c r="BQ53" s="310" t="str">
        <f>_xlfn.IFNA(VLOOKUP($BC53,Programma!$F$3:$T$1107,15,0),"")</f>
        <v/>
      </c>
      <c r="BR53" s="310" t="str">
        <f>_xlfn.IFNA(VLOOKUP($BC53,Programma!$F$3:$U$1107,16,0),"")</f>
        <v/>
      </c>
      <c r="BS53" s="310" t="str">
        <f>_xlfn.IFNA(VLOOKUP($BC53,Programma!$F$3:$V$1107,17,0),"")</f>
        <v/>
      </c>
      <c r="BT53" s="310" t="str">
        <f>_xlfn.IFNA(VLOOKUP($BC53,Programma!$F$3:$W$1107,18,0),"")</f>
        <v/>
      </c>
      <c r="BU53" s="310" t="str">
        <f>_xlfn.IFNA(VLOOKUP($BC53,Programma!$F$3:$X$1107,19,0),"")</f>
        <v/>
      </c>
      <c r="BV53" s="310" t="str">
        <f>_xlfn.IFNA(VLOOKUP($BC53,Programma!$F$3:$Y$1107,20,0),"")</f>
        <v/>
      </c>
    </row>
    <row r="54" spans="1:74" ht="15" customHeight="1">
      <c r="A54" s="33">
        <v>1</v>
      </c>
      <c r="B54" s="173" t="s">
        <v>1619</v>
      </c>
      <c r="C54" s="173" t="str">
        <f>VLOOKUP(Ruimtestaat[[#This Row],[Code]],Locaties[[#All],[Code]:[Adres]],4,FALSE)</f>
        <v>Stationslaan 26</v>
      </c>
      <c r="D54" s="173" t="str">
        <f>VLOOKUP(Ruimtestaat[[#This Row],[Code]],Locaties[[#All],[Code]:[Postcode]],5,FALSE)</f>
        <v>3842 LA</v>
      </c>
      <c r="E54" s="173" t="str">
        <f>VLOOKUP(Ruimtestaat[[#This Row],[Code]],Locaties[#All],6,FALSE)</f>
        <v>Harderwijk</v>
      </c>
      <c r="F54" s="21" t="s">
        <v>1622</v>
      </c>
      <c r="G54" s="33" t="s">
        <v>1614</v>
      </c>
      <c r="H54" s="311" t="s">
        <v>1672</v>
      </c>
      <c r="I54" s="312" t="s">
        <v>1615</v>
      </c>
      <c r="J54" s="21">
        <v>16</v>
      </c>
      <c r="K54" s="69" t="str">
        <f>VLOOKUP(Ruimtestaat[[#This Row],[Ruimte code]],Ruimtegroepen[[#All],[Code]:[Ruimte omschrijving]],2,FALSE)</f>
        <v>Leslokalen</v>
      </c>
      <c r="L54" s="33" t="s">
        <v>101</v>
      </c>
      <c r="M54" s="312" t="s">
        <v>1804</v>
      </c>
      <c r="N54" s="148">
        <v>78</v>
      </c>
      <c r="O54" s="33"/>
      <c r="P54" s="134" t="str">
        <f>VLOOKUP(Ruimtestaat[[#This Row],[Ruimte code]],Ruimtegroepen[],4,FALSE)</f>
        <v>Le</v>
      </c>
      <c r="Q54" s="33">
        <v>40</v>
      </c>
      <c r="R54" s="33" t="s">
        <v>2</v>
      </c>
      <c r="S54" s="33">
        <f>IF(Q54&gt;0,IF(RIGHT(Ruimtestaat[[#This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 s="33">
        <f>IF(S54&gt;0,VLOOKUP($J54,Ruimtegroepen[],3,FALSE)*VLOOKUP($L54,Vloersoorten[],3,FALSE)*VLOOKUP($R54,Frequenties[],3,FALSE)*VLOOKUP($A54,Locaties[],3,FALSE),0)</f>
        <v>0</v>
      </c>
      <c r="U54" s="33">
        <f>Ruimtestaat[[#This Row],[Uitvoeringen werkdagen]]*Ruimtestaat[[#This Row],[Oppervlak (netto)]]</f>
        <v>15600</v>
      </c>
      <c r="V54" s="170">
        <f>IF(T54&gt;0,Ruimtestaat[[#This Row],[Prest. (m2 /jaar) werkdagen]]/Ruimtestaat[[#This Row],[Norm (m2/uur) werkdagen]],0)</f>
        <v>0</v>
      </c>
      <c r="W54" s="171">
        <f>Ruimtestaat[[#This Row],[uren / jaar werkdagen]]*Tariefsopbouw!$E$35</f>
        <v>0</v>
      </c>
      <c r="X54" s="33"/>
      <c r="Y54" s="33">
        <f>IF(Ruimtestaat[[#This Row],[Frequentie weekend]]&gt;0,VALUE(LEFT(X54,1))*Q54,0)</f>
        <v>0</v>
      </c>
      <c r="Z54" s="104">
        <f>IF($Y54&gt;0,VLOOKUP($J54,Ruimtegroepen[],3,FALSE)*VLOOKUP($L54,Vloersoorten[],3,FALSE)*VLOOKUP($X54,Frequenties[],3,FALSE)*VLOOKUP(Ruimtestaat[[#This Row],[Code]],Locaties[],3,FALSE),0)</f>
        <v>0</v>
      </c>
      <c r="AA54" s="104">
        <f>Ruimtestaat[[#This Row],[Uitvoeringen weekend]]*Ruimtestaat[[#This Row],[Oppervlak (netto)]]</f>
        <v>0</v>
      </c>
      <c r="AB54" s="104">
        <f>IF(Z54&gt;0,Ruimtestaat[[#This Row],[Prest. (m2 /jaar) weekend]]/Ruimtestaat[[#This Row],[Norm (m2/uur) weekend]],0)</f>
        <v>0</v>
      </c>
      <c r="AC54" s="171">
        <f>Ruimtestaat[[#This Row],[uren / jaar weekend]]*Tariefsopbouw!$D$40</f>
        <v>0</v>
      </c>
      <c r="AD54" s="170">
        <f>Ruimtestaat[[#This Row],[Prest. (m2 /jaar) weekend]]+Ruimtestaat[[#This Row],[Prest. (m2 /jaar) werkdagen]]</f>
        <v>15600</v>
      </c>
      <c r="AE54" s="170">
        <f>Ruimtestaat[[#This Row],[uren / jaar weekend]]+Ruimtestaat[[#This Row],[uren / jaar werkdagen]]</f>
        <v>0</v>
      </c>
      <c r="AF54" s="76">
        <f>Ruimtestaat[[#This Row],[kosten / jaar weekend]]+Ruimtestaat[[#This Row],[kosten / jaar werkdagen]]</f>
        <v>0</v>
      </c>
      <c r="AG54" s="76"/>
      <c r="AH54" s="272" t="str">
        <f>IF(Ruimtestaat[[#This Row],[Frequentie werkdagen]]="","",_xlfn.CONCAT(Ruimtestaat[[#This Row],[Ruimte code]],"-",Ruimtestaat[[#This Row],[Frequentie werkdagen]]," ",Ruimtestaat[[#This Row],[Vloer code]]))</f>
        <v>16-5w L</v>
      </c>
      <c r="AI54" s="310" t="str">
        <f>_xlfn.IFNA(VLOOKUP($AH54,Programma!$F$3:$G$1107,2,0),"")</f>
        <v>_</v>
      </c>
      <c r="AJ54" s="310" t="str">
        <f>_xlfn.IFNA(VLOOKUP($AH54,Programma!$F$3:$H$1107,3,0),"")</f>
        <v>_</v>
      </c>
      <c r="AK54" s="310" t="str">
        <f>_xlfn.IFNA(VLOOKUP($AH54,Programma!$F$3:$I$1107,4,0),"")</f>
        <v>4w</v>
      </c>
      <c r="AL54" s="310" t="str">
        <f>_xlfn.IFNA(VLOOKUP($AH54,Programma!$F$3:$J$1107,5,0),"")</f>
        <v>1w</v>
      </c>
      <c r="AM54" s="310" t="str">
        <f>_xlfn.IFNA(VLOOKUP($AH54,Programma!$F$3:$K$1107,6,0),"")</f>
        <v>_</v>
      </c>
      <c r="AN54" s="310" t="str">
        <f>_xlfn.IFNA(VLOOKUP($AH54,Programma!$F$3:$L$1107,7,0),"")</f>
        <v>_</v>
      </c>
      <c r="AO54" s="310" t="str">
        <f>_xlfn.IFNA(VLOOKUP($AH54,Programma!$F$3:$M$1107,8,0),"")</f>
        <v>_</v>
      </c>
      <c r="AP54" s="310" t="str">
        <f>_xlfn.IFNA(VLOOKUP($AH54,Programma!$F$3:$N$1107,9,0),"")</f>
        <v>_</v>
      </c>
      <c r="AQ54" s="310" t="str">
        <f>_xlfn.IFNA(VLOOKUP($AH54,Programma!$F$3:$O$1107,10,0),"")</f>
        <v>5w</v>
      </c>
      <c r="AR54" s="310" t="str">
        <f>_xlfn.IFNA(VLOOKUP($AH54,Programma!$F$3:$P$1107,11,0),"")</f>
        <v>5w</v>
      </c>
      <c r="AS54" s="310" t="str">
        <f>_xlfn.IFNA(VLOOKUP($AH54,Programma!$F$3:$Q$1107,12,0),"")</f>
        <v>1w</v>
      </c>
      <c r="AT54" s="310" t="str">
        <f>_xlfn.IFNA(VLOOKUP($AH54,Programma!$F$3:$R$1107,13,0),"")</f>
        <v>1w</v>
      </c>
      <c r="AU54" s="310" t="str">
        <f>_xlfn.IFNA(VLOOKUP($AH54,Programma!$F$3:$S$1107,14,0),"")</f>
        <v>1m</v>
      </c>
      <c r="AV54" s="310" t="str">
        <f>_xlfn.IFNA(VLOOKUP($AH54,Programma!$F$3:$T$1107,15,0),"")</f>
        <v>2j</v>
      </c>
      <c r="AW54" s="310" t="str">
        <f>_xlfn.IFNA(VLOOKUP($AH54,Programma!$F$3:$U$1107,16,0),"")</f>
        <v>1j</v>
      </c>
      <c r="AX54" s="310" t="str">
        <f>_xlfn.IFNA(VLOOKUP($AH54,Programma!$F$3:$V$1107,17,0),"")</f>
        <v>_</v>
      </c>
      <c r="AY54" s="310" t="str">
        <f>_xlfn.IFNA(VLOOKUP($AH54,Programma!$F$3:$W$1107,18,0),"")</f>
        <v>_</v>
      </c>
      <c r="AZ54" s="310" t="str">
        <f>_xlfn.IFNA(VLOOKUP($AH54,Programma!$F$3:$X$1107,19,0),"")</f>
        <v>_</v>
      </c>
      <c r="BA54" s="310" t="str">
        <f>_xlfn.IFNA(VLOOKUP($AH54,Programma!$F$3:$Y$1107,20,0),"")</f>
        <v>_</v>
      </c>
      <c r="BB54" s="273"/>
      <c r="BC54" s="272" t="str">
        <f>IF(Ruimtestaat[[#This Row],[Frequentie weekend]]="","",_xlfn.CONCAT(Ruimtestaat[[#This Row],[Ruimte code]],"-",Ruimtestaat[[#This Row],[Frequentie weekend]]," ",Ruimtestaat[[#This Row],[Vloer code]]))</f>
        <v/>
      </c>
      <c r="BD54" s="310" t="str">
        <f>_xlfn.IFNA(VLOOKUP($BC54,Programma!$F$3:$G$1107,2,0),"")</f>
        <v/>
      </c>
      <c r="BE54" s="310" t="str">
        <f>_xlfn.IFNA(VLOOKUP($BC54,Programma!$F$3:$H$1107,3,0),"")</f>
        <v/>
      </c>
      <c r="BF54" s="310" t="str">
        <f>_xlfn.IFNA(VLOOKUP($BC54,Programma!$F$3:$I$1107,4,0),"")</f>
        <v/>
      </c>
      <c r="BG54" s="310" t="str">
        <f>_xlfn.IFNA(VLOOKUP($BC54,Programma!$F$3:$J$1107,5,0),"")</f>
        <v/>
      </c>
      <c r="BH54" s="310" t="str">
        <f>_xlfn.IFNA(VLOOKUP($BC54,Programma!$F$3:$K$1107,6,0),"")</f>
        <v/>
      </c>
      <c r="BI54" s="310" t="str">
        <f>_xlfn.IFNA(VLOOKUP($BC54,Programma!$F$3:$L$1107,7,0),"")</f>
        <v/>
      </c>
      <c r="BJ54" s="310" t="str">
        <f>_xlfn.IFNA(VLOOKUP($BC54,Programma!$F$3:$M$1107,8,0),"")</f>
        <v/>
      </c>
      <c r="BK54" s="310" t="str">
        <f>_xlfn.IFNA(VLOOKUP($BC54,Programma!$F$3:$N$1107,9,0),"")</f>
        <v/>
      </c>
      <c r="BL54" s="310" t="str">
        <f>_xlfn.IFNA(VLOOKUP($BC54,Programma!$F$3:$O$1107,10,0),"")</f>
        <v/>
      </c>
      <c r="BM54" s="310" t="str">
        <f>_xlfn.IFNA(VLOOKUP($BC54,Programma!$F$3:$P$1107,11,0),"")</f>
        <v/>
      </c>
      <c r="BN54" s="310" t="str">
        <f>_xlfn.IFNA(VLOOKUP($BC54,Programma!$F$3:$Q$1107,12,0),"")</f>
        <v/>
      </c>
      <c r="BO54" s="310" t="str">
        <f>_xlfn.IFNA(VLOOKUP($BC54,Programma!$F$3:$R$1107,13,0),"")</f>
        <v/>
      </c>
      <c r="BP54" s="310" t="str">
        <f>_xlfn.IFNA(VLOOKUP($BC54,Programma!$F$3:$S$1107,14,0),"")</f>
        <v/>
      </c>
      <c r="BQ54" s="310" t="str">
        <f>_xlfn.IFNA(VLOOKUP($BC54,Programma!$F$3:$T$1107,15,0),"")</f>
        <v/>
      </c>
      <c r="BR54" s="310" t="str">
        <f>_xlfn.IFNA(VLOOKUP($BC54,Programma!$F$3:$U$1107,16,0),"")</f>
        <v/>
      </c>
      <c r="BS54" s="310" t="str">
        <f>_xlfn.IFNA(VLOOKUP($BC54,Programma!$F$3:$V$1107,17,0),"")</f>
        <v/>
      </c>
      <c r="BT54" s="310" t="str">
        <f>_xlfn.IFNA(VLOOKUP($BC54,Programma!$F$3:$W$1107,18,0),"")</f>
        <v/>
      </c>
      <c r="BU54" s="310" t="str">
        <f>_xlfn.IFNA(VLOOKUP($BC54,Programma!$F$3:$X$1107,19,0),"")</f>
        <v/>
      </c>
      <c r="BV54" s="310" t="str">
        <f>_xlfn.IFNA(VLOOKUP($BC54,Programma!$F$3:$Y$1107,20,0),"")</f>
        <v/>
      </c>
    </row>
    <row r="55" spans="1:74" ht="15" customHeight="1">
      <c r="A55" s="33">
        <v>1</v>
      </c>
      <c r="B55" s="173" t="s">
        <v>1619</v>
      </c>
      <c r="C55" s="173" t="str">
        <f>VLOOKUP(Ruimtestaat[[#This Row],[Code]],Locaties[[#All],[Code]:[Adres]],4,FALSE)</f>
        <v>Stationslaan 26</v>
      </c>
      <c r="D55" s="173" t="str">
        <f>VLOOKUP(Ruimtestaat[[#This Row],[Code]],Locaties[[#All],[Code]:[Postcode]],5,FALSE)</f>
        <v>3842 LA</v>
      </c>
      <c r="E55" s="173" t="str">
        <f>VLOOKUP(Ruimtestaat[[#This Row],[Code]],Locaties[#All],6,FALSE)</f>
        <v>Harderwijk</v>
      </c>
      <c r="F55" s="21" t="s">
        <v>1622</v>
      </c>
      <c r="G55" s="33" t="s">
        <v>1614</v>
      </c>
      <c r="H55" s="311" t="s">
        <v>1673</v>
      </c>
      <c r="I55" s="312" t="s">
        <v>1615</v>
      </c>
      <c r="J55" s="21">
        <v>16</v>
      </c>
      <c r="K55" s="69" t="str">
        <f>VLOOKUP(Ruimtestaat[[#This Row],[Ruimte code]],Ruimtegroepen[[#All],[Code]:[Ruimte omschrijving]],2,FALSE)</f>
        <v>Leslokalen</v>
      </c>
      <c r="L55" s="33" t="s">
        <v>101</v>
      </c>
      <c r="M55" s="312" t="s">
        <v>1804</v>
      </c>
      <c r="N55" s="148">
        <v>101</v>
      </c>
      <c r="O55" s="150"/>
      <c r="P55" s="134" t="str">
        <f>VLOOKUP(Ruimtestaat[[#This Row],[Ruimte code]],Ruimtegroepen[],4,FALSE)</f>
        <v>Le</v>
      </c>
      <c r="Q55" s="33">
        <v>40</v>
      </c>
      <c r="R55" s="33" t="s">
        <v>2</v>
      </c>
      <c r="S55" s="33">
        <f>IF(Q55&gt;0,IF(RIGHT(Ruimtestaat[[#This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 s="33">
        <f>IF(S55&gt;0,VLOOKUP($J55,Ruimtegroepen[],3,FALSE)*VLOOKUP($L55,Vloersoorten[],3,FALSE)*VLOOKUP($R55,Frequenties[],3,FALSE)*VLOOKUP($A55,Locaties[],3,FALSE),0)</f>
        <v>0</v>
      </c>
      <c r="U55" s="33">
        <f>Ruimtestaat[[#This Row],[Uitvoeringen werkdagen]]*Ruimtestaat[[#This Row],[Oppervlak (netto)]]</f>
        <v>20200</v>
      </c>
      <c r="V55" s="170">
        <f>IF(T55&gt;0,Ruimtestaat[[#This Row],[Prest. (m2 /jaar) werkdagen]]/Ruimtestaat[[#This Row],[Norm (m2/uur) werkdagen]],0)</f>
        <v>0</v>
      </c>
      <c r="W55" s="171">
        <f>Ruimtestaat[[#This Row],[uren / jaar werkdagen]]*Tariefsopbouw!$E$35</f>
        <v>0</v>
      </c>
      <c r="X55" s="33"/>
      <c r="Y55" s="33">
        <f>IF(Ruimtestaat[[#This Row],[Frequentie weekend]]&gt;0,VALUE(LEFT(X55,1))*Q55,0)</f>
        <v>0</v>
      </c>
      <c r="Z55" s="104">
        <f>IF($Y55&gt;0,VLOOKUP($J55,Ruimtegroepen[],3,FALSE)*VLOOKUP($L55,Vloersoorten[],3,FALSE)*VLOOKUP($X55,Frequenties[],3,FALSE)*VLOOKUP(Ruimtestaat[[#This Row],[Code]],Locaties[],3,FALSE),0)</f>
        <v>0</v>
      </c>
      <c r="AA55" s="104">
        <f>Ruimtestaat[[#This Row],[Uitvoeringen weekend]]*Ruimtestaat[[#This Row],[Oppervlak (netto)]]</f>
        <v>0</v>
      </c>
      <c r="AB55" s="104">
        <f>IF(Z55&gt;0,Ruimtestaat[[#This Row],[Prest. (m2 /jaar) weekend]]/Ruimtestaat[[#This Row],[Norm (m2/uur) weekend]],0)</f>
        <v>0</v>
      </c>
      <c r="AC55" s="171">
        <f>Ruimtestaat[[#This Row],[uren / jaar weekend]]*Tariefsopbouw!$D$40</f>
        <v>0</v>
      </c>
      <c r="AD55" s="170">
        <f>Ruimtestaat[[#This Row],[Prest. (m2 /jaar) weekend]]+Ruimtestaat[[#This Row],[Prest. (m2 /jaar) werkdagen]]</f>
        <v>20200</v>
      </c>
      <c r="AE55" s="170">
        <f>Ruimtestaat[[#This Row],[uren / jaar weekend]]+Ruimtestaat[[#This Row],[uren / jaar werkdagen]]</f>
        <v>0</v>
      </c>
      <c r="AF55" s="76">
        <f>Ruimtestaat[[#This Row],[kosten / jaar weekend]]+Ruimtestaat[[#This Row],[kosten / jaar werkdagen]]</f>
        <v>0</v>
      </c>
      <c r="AG55" s="76"/>
      <c r="AH55" s="272" t="str">
        <f>IF(Ruimtestaat[[#This Row],[Frequentie werkdagen]]="","",_xlfn.CONCAT(Ruimtestaat[[#This Row],[Ruimte code]],"-",Ruimtestaat[[#This Row],[Frequentie werkdagen]]," ",Ruimtestaat[[#This Row],[Vloer code]]))</f>
        <v>16-5w L</v>
      </c>
      <c r="AI55" s="310" t="str">
        <f>_xlfn.IFNA(VLOOKUP($AH55,Programma!$F$3:$G$1107,2,0),"")</f>
        <v>_</v>
      </c>
      <c r="AJ55" s="310" t="str">
        <f>_xlfn.IFNA(VLOOKUP($AH55,Programma!$F$3:$H$1107,3,0),"")</f>
        <v>_</v>
      </c>
      <c r="AK55" s="310" t="str">
        <f>_xlfn.IFNA(VLOOKUP($AH55,Programma!$F$3:$I$1107,4,0),"")</f>
        <v>4w</v>
      </c>
      <c r="AL55" s="310" t="str">
        <f>_xlfn.IFNA(VLOOKUP($AH55,Programma!$F$3:$J$1107,5,0),"")</f>
        <v>1w</v>
      </c>
      <c r="AM55" s="310" t="str">
        <f>_xlfn.IFNA(VLOOKUP($AH55,Programma!$F$3:$K$1107,6,0),"")</f>
        <v>_</v>
      </c>
      <c r="AN55" s="310" t="str">
        <f>_xlfn.IFNA(VLOOKUP($AH55,Programma!$F$3:$L$1107,7,0),"")</f>
        <v>_</v>
      </c>
      <c r="AO55" s="310" t="str">
        <f>_xlfn.IFNA(VLOOKUP($AH55,Programma!$F$3:$M$1107,8,0),"")</f>
        <v>_</v>
      </c>
      <c r="AP55" s="310" t="str">
        <f>_xlfn.IFNA(VLOOKUP($AH55,Programma!$F$3:$N$1107,9,0),"")</f>
        <v>_</v>
      </c>
      <c r="AQ55" s="310" t="str">
        <f>_xlfn.IFNA(VLOOKUP($AH55,Programma!$F$3:$O$1107,10,0),"")</f>
        <v>5w</v>
      </c>
      <c r="AR55" s="310" t="str">
        <f>_xlfn.IFNA(VLOOKUP($AH55,Programma!$F$3:$P$1107,11,0),"")</f>
        <v>5w</v>
      </c>
      <c r="AS55" s="310" t="str">
        <f>_xlfn.IFNA(VLOOKUP($AH55,Programma!$F$3:$Q$1107,12,0),"")</f>
        <v>1w</v>
      </c>
      <c r="AT55" s="310" t="str">
        <f>_xlfn.IFNA(VLOOKUP($AH55,Programma!$F$3:$R$1107,13,0),"")</f>
        <v>1w</v>
      </c>
      <c r="AU55" s="310" t="str">
        <f>_xlfn.IFNA(VLOOKUP($AH55,Programma!$F$3:$S$1107,14,0),"")</f>
        <v>1m</v>
      </c>
      <c r="AV55" s="310" t="str">
        <f>_xlfn.IFNA(VLOOKUP($AH55,Programma!$F$3:$T$1107,15,0),"")</f>
        <v>2j</v>
      </c>
      <c r="AW55" s="310" t="str">
        <f>_xlfn.IFNA(VLOOKUP($AH55,Programma!$F$3:$U$1107,16,0),"")</f>
        <v>1j</v>
      </c>
      <c r="AX55" s="310" t="str">
        <f>_xlfn.IFNA(VLOOKUP($AH55,Programma!$F$3:$V$1107,17,0),"")</f>
        <v>_</v>
      </c>
      <c r="AY55" s="310" t="str">
        <f>_xlfn.IFNA(VLOOKUP($AH55,Programma!$F$3:$W$1107,18,0),"")</f>
        <v>_</v>
      </c>
      <c r="AZ55" s="310" t="str">
        <f>_xlfn.IFNA(VLOOKUP($AH55,Programma!$F$3:$X$1107,19,0),"")</f>
        <v>_</v>
      </c>
      <c r="BA55" s="310" t="str">
        <f>_xlfn.IFNA(VLOOKUP($AH55,Programma!$F$3:$Y$1107,20,0),"")</f>
        <v>_</v>
      </c>
      <c r="BB55" s="273"/>
      <c r="BC55" s="272" t="str">
        <f>IF(Ruimtestaat[[#This Row],[Frequentie weekend]]="","",_xlfn.CONCAT(Ruimtestaat[[#This Row],[Ruimte code]],"-",Ruimtestaat[[#This Row],[Frequentie weekend]]," ",Ruimtestaat[[#This Row],[Vloer code]]))</f>
        <v/>
      </c>
      <c r="BD55" s="310" t="str">
        <f>_xlfn.IFNA(VLOOKUP($BC55,Programma!$F$3:$G$1107,2,0),"")</f>
        <v/>
      </c>
      <c r="BE55" s="310" t="str">
        <f>_xlfn.IFNA(VLOOKUP($BC55,Programma!$F$3:$H$1107,3,0),"")</f>
        <v/>
      </c>
      <c r="BF55" s="310" t="str">
        <f>_xlfn.IFNA(VLOOKUP($BC55,Programma!$F$3:$I$1107,4,0),"")</f>
        <v/>
      </c>
      <c r="BG55" s="310" t="str">
        <f>_xlfn.IFNA(VLOOKUP($BC55,Programma!$F$3:$J$1107,5,0),"")</f>
        <v/>
      </c>
      <c r="BH55" s="310" t="str">
        <f>_xlfn.IFNA(VLOOKUP($BC55,Programma!$F$3:$K$1107,6,0),"")</f>
        <v/>
      </c>
      <c r="BI55" s="310" t="str">
        <f>_xlfn.IFNA(VLOOKUP($BC55,Programma!$F$3:$L$1107,7,0),"")</f>
        <v/>
      </c>
      <c r="BJ55" s="310" t="str">
        <f>_xlfn.IFNA(VLOOKUP($BC55,Programma!$F$3:$M$1107,8,0),"")</f>
        <v/>
      </c>
      <c r="BK55" s="310" t="str">
        <f>_xlfn.IFNA(VLOOKUP($BC55,Programma!$F$3:$N$1107,9,0),"")</f>
        <v/>
      </c>
      <c r="BL55" s="310" t="str">
        <f>_xlfn.IFNA(VLOOKUP($BC55,Programma!$F$3:$O$1107,10,0),"")</f>
        <v/>
      </c>
      <c r="BM55" s="310" t="str">
        <f>_xlfn.IFNA(VLOOKUP($BC55,Programma!$F$3:$P$1107,11,0),"")</f>
        <v/>
      </c>
      <c r="BN55" s="310" t="str">
        <f>_xlfn.IFNA(VLOOKUP($BC55,Programma!$F$3:$Q$1107,12,0),"")</f>
        <v/>
      </c>
      <c r="BO55" s="310" t="str">
        <f>_xlfn.IFNA(VLOOKUP($BC55,Programma!$F$3:$R$1107,13,0),"")</f>
        <v/>
      </c>
      <c r="BP55" s="310" t="str">
        <f>_xlfn.IFNA(VLOOKUP($BC55,Programma!$F$3:$S$1107,14,0),"")</f>
        <v/>
      </c>
      <c r="BQ55" s="310" t="str">
        <f>_xlfn.IFNA(VLOOKUP($BC55,Programma!$F$3:$T$1107,15,0),"")</f>
        <v/>
      </c>
      <c r="BR55" s="310" t="str">
        <f>_xlfn.IFNA(VLOOKUP($BC55,Programma!$F$3:$U$1107,16,0),"")</f>
        <v/>
      </c>
      <c r="BS55" s="310" t="str">
        <f>_xlfn.IFNA(VLOOKUP($BC55,Programma!$F$3:$V$1107,17,0),"")</f>
        <v/>
      </c>
      <c r="BT55" s="310" t="str">
        <f>_xlfn.IFNA(VLOOKUP($BC55,Programma!$F$3:$W$1107,18,0),"")</f>
        <v/>
      </c>
      <c r="BU55" s="310" t="str">
        <f>_xlfn.IFNA(VLOOKUP($BC55,Programma!$F$3:$X$1107,19,0),"")</f>
        <v/>
      </c>
      <c r="BV55" s="310" t="str">
        <f>_xlfn.IFNA(VLOOKUP($BC55,Programma!$F$3:$Y$1107,20,0),"")</f>
        <v/>
      </c>
    </row>
    <row r="56" spans="1:74" ht="15" customHeight="1">
      <c r="A56" s="33">
        <v>1</v>
      </c>
      <c r="B56" s="173" t="s">
        <v>1619</v>
      </c>
      <c r="C56" s="173" t="str">
        <f>VLOOKUP(Ruimtestaat[[#This Row],[Code]],Locaties[[#All],[Code]:[Adres]],4,FALSE)</f>
        <v>Stationslaan 26</v>
      </c>
      <c r="D56" s="173" t="str">
        <f>VLOOKUP(Ruimtestaat[[#This Row],[Code]],Locaties[[#All],[Code]:[Postcode]],5,FALSE)</f>
        <v>3842 LA</v>
      </c>
      <c r="E56" s="173" t="str">
        <f>VLOOKUP(Ruimtestaat[[#This Row],[Code]],Locaties[#All],6,FALSE)</f>
        <v>Harderwijk</v>
      </c>
      <c r="F56" s="21" t="s">
        <v>1622</v>
      </c>
      <c r="G56" s="33" t="s">
        <v>1614</v>
      </c>
      <c r="H56" s="311" t="s">
        <v>1674</v>
      </c>
      <c r="I56" s="312" t="s">
        <v>1783</v>
      </c>
      <c r="J56" s="21">
        <v>2</v>
      </c>
      <c r="K56" s="69" t="str">
        <f>VLOOKUP(Ruimtestaat[[#This Row],[Ruimte code]],Ruimtegroepen[[#All],[Code]:[Ruimte omschrijving]],2,FALSE)</f>
        <v>Kantoren</v>
      </c>
      <c r="L56" s="33" t="s">
        <v>100</v>
      </c>
      <c r="M56" s="312" t="s">
        <v>1803</v>
      </c>
      <c r="N56" s="148">
        <v>13</v>
      </c>
      <c r="O56" s="150"/>
      <c r="P56" s="134" t="str">
        <f>VLOOKUP(Ruimtestaat[[#This Row],[Ruimte code]],Ruimtegroepen[],4,FALSE)</f>
        <v>Bu</v>
      </c>
      <c r="Q56" s="33">
        <v>40</v>
      </c>
      <c r="R56" s="33" t="s">
        <v>15</v>
      </c>
      <c r="S56" s="33">
        <f>IF(Q56&gt;0,IF(RIGHT(Ruimtestaat[[#This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56" s="33">
        <f>IF(S56&gt;0,VLOOKUP($J56,Ruimtegroepen[],3,FALSE)*VLOOKUP($L56,Vloersoorten[],3,FALSE)*VLOOKUP($R56,Frequenties[],3,FALSE)*VLOOKUP($A56,Locaties[],3,FALSE),0)</f>
        <v>0</v>
      </c>
      <c r="U56" s="33">
        <f>Ruimtestaat[[#This Row],[Uitvoeringen werkdagen]]*Ruimtestaat[[#This Row],[Oppervlak (netto)]]</f>
        <v>520</v>
      </c>
      <c r="V56" s="170">
        <f>IF(T56&gt;0,Ruimtestaat[[#This Row],[Prest. (m2 /jaar) werkdagen]]/Ruimtestaat[[#This Row],[Norm (m2/uur) werkdagen]],0)</f>
        <v>0</v>
      </c>
      <c r="W56" s="171">
        <f>Ruimtestaat[[#This Row],[uren / jaar werkdagen]]*Tariefsopbouw!$E$35</f>
        <v>0</v>
      </c>
      <c r="X56" s="33"/>
      <c r="Y56" s="33">
        <f>IF(Ruimtestaat[[#This Row],[Frequentie weekend]]&gt;0,VALUE(LEFT(X56,1))*Q56,0)</f>
        <v>0</v>
      </c>
      <c r="Z56" s="104">
        <f>IF($Y56&gt;0,VLOOKUP($J56,Ruimtegroepen[],3,FALSE)*VLOOKUP($L56,Vloersoorten[],3,FALSE)*VLOOKUP($X56,Frequenties[],3,FALSE)*VLOOKUP(Ruimtestaat[[#This Row],[Code]],Locaties[],3,FALSE),0)</f>
        <v>0</v>
      </c>
      <c r="AA56" s="104">
        <f>Ruimtestaat[[#This Row],[Uitvoeringen weekend]]*Ruimtestaat[[#This Row],[Oppervlak (netto)]]</f>
        <v>0</v>
      </c>
      <c r="AB56" s="104">
        <f>IF(Z56&gt;0,Ruimtestaat[[#This Row],[Prest. (m2 /jaar) weekend]]/Ruimtestaat[[#This Row],[Norm (m2/uur) weekend]],0)</f>
        <v>0</v>
      </c>
      <c r="AC56" s="171">
        <f>Ruimtestaat[[#This Row],[uren / jaar weekend]]*Tariefsopbouw!$D$40</f>
        <v>0</v>
      </c>
      <c r="AD56" s="170">
        <f>Ruimtestaat[[#This Row],[Prest. (m2 /jaar) weekend]]+Ruimtestaat[[#This Row],[Prest. (m2 /jaar) werkdagen]]</f>
        <v>520</v>
      </c>
      <c r="AE56" s="170">
        <f>Ruimtestaat[[#This Row],[uren / jaar weekend]]+Ruimtestaat[[#This Row],[uren / jaar werkdagen]]</f>
        <v>0</v>
      </c>
      <c r="AF56" s="76">
        <f>Ruimtestaat[[#This Row],[kosten / jaar weekend]]+Ruimtestaat[[#This Row],[kosten / jaar werkdagen]]</f>
        <v>0</v>
      </c>
      <c r="AG56" s="76"/>
      <c r="AH56" s="272" t="str">
        <f>IF(Ruimtestaat[[#This Row],[Frequentie werkdagen]]="","",_xlfn.CONCAT(Ruimtestaat[[#This Row],[Ruimte code]],"-",Ruimtestaat[[#This Row],[Frequentie werkdagen]]," ",Ruimtestaat[[#This Row],[Vloer code]]))</f>
        <v>2-1w T</v>
      </c>
      <c r="AI56" s="310" t="str">
        <f>_xlfn.IFNA(VLOOKUP($AH56,Programma!$F$3:$G$1107,2,0),"")</f>
        <v>_</v>
      </c>
      <c r="AJ56" s="310" t="str">
        <f>_xlfn.IFNA(VLOOKUP($AH56,Programma!$F$3:$H$1107,3,0),"")</f>
        <v>1w</v>
      </c>
      <c r="AK56" s="310" t="str">
        <f>_xlfn.IFNA(VLOOKUP($AH56,Programma!$F$3:$I$1107,4,0),"")</f>
        <v>_</v>
      </c>
      <c r="AL56" s="310" t="str">
        <f>_xlfn.IFNA(VLOOKUP($AH56,Programma!$F$3:$J$1107,5,0),"")</f>
        <v>_</v>
      </c>
      <c r="AM56" s="310" t="str">
        <f>_xlfn.IFNA(VLOOKUP($AH56,Programma!$F$3:$K$1107,6,0),"")</f>
        <v>_</v>
      </c>
      <c r="AN56" s="310" t="str">
        <f>_xlfn.IFNA(VLOOKUP($AH56,Programma!$F$3:$L$1107,7,0),"")</f>
        <v>_</v>
      </c>
      <c r="AO56" s="310" t="str">
        <f>_xlfn.IFNA(VLOOKUP($AH56,Programma!$F$3:$M$1107,8,0),"")</f>
        <v>_</v>
      </c>
      <c r="AP56" s="310" t="str">
        <f>_xlfn.IFNA(VLOOKUP($AH56,Programma!$F$3:$N$1107,9,0),"")</f>
        <v>_</v>
      </c>
      <c r="AQ56" s="310" t="str">
        <f>_xlfn.IFNA(VLOOKUP($AH56,Programma!$F$3:$O$1107,10,0),"")</f>
        <v>1w</v>
      </c>
      <c r="AR56" s="310" t="str">
        <f>_xlfn.IFNA(VLOOKUP($AH56,Programma!$F$3:$P$1107,11,0),"")</f>
        <v>1w</v>
      </c>
      <c r="AS56" s="310" t="str">
        <f>_xlfn.IFNA(VLOOKUP($AH56,Programma!$F$3:$Q$1107,12,0),"")</f>
        <v>1w</v>
      </c>
      <c r="AT56" s="310" t="str">
        <f>_xlfn.IFNA(VLOOKUP($AH56,Programma!$F$3:$R$1107,13,0),"")</f>
        <v>1w</v>
      </c>
      <c r="AU56" s="310" t="str">
        <f>_xlfn.IFNA(VLOOKUP($AH56,Programma!$F$3:$S$1107,14,0),"")</f>
        <v>1m</v>
      </c>
      <c r="AV56" s="310" t="str">
        <f>_xlfn.IFNA(VLOOKUP($AH56,Programma!$F$3:$T$1107,15,0),"")</f>
        <v>2j</v>
      </c>
      <c r="AW56" s="310" t="str">
        <f>_xlfn.IFNA(VLOOKUP($AH56,Programma!$F$3:$U$1107,16,0),"")</f>
        <v>1j</v>
      </c>
      <c r="AX56" s="310" t="str">
        <f>_xlfn.IFNA(VLOOKUP($AH56,Programma!$F$3:$V$1107,17,0),"")</f>
        <v>_</v>
      </c>
      <c r="AY56" s="310" t="str">
        <f>_xlfn.IFNA(VLOOKUP($AH56,Programma!$F$3:$W$1107,18,0),"")</f>
        <v>_</v>
      </c>
      <c r="AZ56" s="310" t="str">
        <f>_xlfn.IFNA(VLOOKUP($AH56,Programma!$F$3:$X$1107,19,0),"")</f>
        <v>_</v>
      </c>
      <c r="BA56" s="310" t="str">
        <f>_xlfn.IFNA(VLOOKUP($AH56,Programma!$F$3:$Y$1107,20,0),"")</f>
        <v>_</v>
      </c>
      <c r="BB56" s="273"/>
      <c r="BC56" s="272" t="str">
        <f>IF(Ruimtestaat[[#This Row],[Frequentie weekend]]="","",_xlfn.CONCAT(Ruimtestaat[[#This Row],[Ruimte code]],"-",Ruimtestaat[[#This Row],[Frequentie weekend]]," ",Ruimtestaat[[#This Row],[Vloer code]]))</f>
        <v/>
      </c>
      <c r="BD56" s="310" t="str">
        <f>_xlfn.IFNA(VLOOKUP($BC56,Programma!$F$3:$G$1107,2,0),"")</f>
        <v/>
      </c>
      <c r="BE56" s="310" t="str">
        <f>_xlfn.IFNA(VLOOKUP($BC56,Programma!$F$3:$H$1107,3,0),"")</f>
        <v/>
      </c>
      <c r="BF56" s="310" t="str">
        <f>_xlfn.IFNA(VLOOKUP($BC56,Programma!$F$3:$I$1107,4,0),"")</f>
        <v/>
      </c>
      <c r="BG56" s="310" t="str">
        <f>_xlfn.IFNA(VLOOKUP($BC56,Programma!$F$3:$J$1107,5,0),"")</f>
        <v/>
      </c>
      <c r="BH56" s="310" t="str">
        <f>_xlfn.IFNA(VLOOKUP($BC56,Programma!$F$3:$K$1107,6,0),"")</f>
        <v/>
      </c>
      <c r="BI56" s="310" t="str">
        <f>_xlfn.IFNA(VLOOKUP($BC56,Programma!$F$3:$L$1107,7,0),"")</f>
        <v/>
      </c>
      <c r="BJ56" s="310" t="str">
        <f>_xlfn.IFNA(VLOOKUP($BC56,Programma!$F$3:$M$1107,8,0),"")</f>
        <v/>
      </c>
      <c r="BK56" s="310" t="str">
        <f>_xlfn.IFNA(VLOOKUP($BC56,Programma!$F$3:$N$1107,9,0),"")</f>
        <v/>
      </c>
      <c r="BL56" s="310" t="str">
        <f>_xlfn.IFNA(VLOOKUP($BC56,Programma!$F$3:$O$1107,10,0),"")</f>
        <v/>
      </c>
      <c r="BM56" s="310" t="str">
        <f>_xlfn.IFNA(VLOOKUP($BC56,Programma!$F$3:$P$1107,11,0),"")</f>
        <v/>
      </c>
      <c r="BN56" s="310" t="str">
        <f>_xlfn.IFNA(VLOOKUP($BC56,Programma!$F$3:$Q$1107,12,0),"")</f>
        <v/>
      </c>
      <c r="BO56" s="310" t="str">
        <f>_xlfn.IFNA(VLOOKUP($BC56,Programma!$F$3:$R$1107,13,0),"")</f>
        <v/>
      </c>
      <c r="BP56" s="310" t="str">
        <f>_xlfn.IFNA(VLOOKUP($BC56,Programma!$F$3:$S$1107,14,0),"")</f>
        <v/>
      </c>
      <c r="BQ56" s="310" t="str">
        <f>_xlfn.IFNA(VLOOKUP($BC56,Programma!$F$3:$T$1107,15,0),"")</f>
        <v/>
      </c>
      <c r="BR56" s="310" t="str">
        <f>_xlfn.IFNA(VLOOKUP($BC56,Programma!$F$3:$U$1107,16,0),"")</f>
        <v/>
      </c>
      <c r="BS56" s="310" t="str">
        <f>_xlfn.IFNA(VLOOKUP($BC56,Programma!$F$3:$V$1107,17,0),"")</f>
        <v/>
      </c>
      <c r="BT56" s="310" t="str">
        <f>_xlfn.IFNA(VLOOKUP($BC56,Programma!$F$3:$W$1107,18,0),"")</f>
        <v/>
      </c>
      <c r="BU56" s="310" t="str">
        <f>_xlfn.IFNA(VLOOKUP($BC56,Programma!$F$3:$X$1107,19,0),"")</f>
        <v/>
      </c>
      <c r="BV56" s="310" t="str">
        <f>_xlfn.IFNA(VLOOKUP($BC56,Programma!$F$3:$Y$1107,20,0),"")</f>
        <v/>
      </c>
    </row>
    <row r="57" spans="1:74" ht="15" customHeight="1">
      <c r="A57" s="33">
        <v>1</v>
      </c>
      <c r="B57" s="173" t="s">
        <v>1619</v>
      </c>
      <c r="C57" s="173" t="str">
        <f>VLOOKUP(Ruimtestaat[[#This Row],[Code]],Locaties[[#All],[Code]:[Adres]],4,FALSE)</f>
        <v>Stationslaan 26</v>
      </c>
      <c r="D57" s="173" t="str">
        <f>VLOOKUP(Ruimtestaat[[#This Row],[Code]],Locaties[[#All],[Code]:[Postcode]],5,FALSE)</f>
        <v>3842 LA</v>
      </c>
      <c r="E57" s="173" t="str">
        <f>VLOOKUP(Ruimtestaat[[#This Row],[Code]],Locaties[#All],6,FALSE)</f>
        <v>Harderwijk</v>
      </c>
      <c r="F57" s="21" t="s">
        <v>1622</v>
      </c>
      <c r="G57" s="33" t="s">
        <v>1614</v>
      </c>
      <c r="H57" s="311" t="s">
        <v>1675</v>
      </c>
      <c r="I57" s="312" t="s">
        <v>1615</v>
      </c>
      <c r="J57" s="21">
        <v>16</v>
      </c>
      <c r="K57" s="69" t="str">
        <f>VLOOKUP(Ruimtestaat[[#This Row],[Ruimte code]],Ruimtegroepen[[#All],[Code]:[Ruimte omschrijving]],2,FALSE)</f>
        <v>Leslokalen</v>
      </c>
      <c r="L57" s="33" t="s">
        <v>101</v>
      </c>
      <c r="M57" s="312" t="s">
        <v>1804</v>
      </c>
      <c r="N57" s="148">
        <v>50</v>
      </c>
      <c r="O57" s="33"/>
      <c r="P57" s="134" t="str">
        <f>VLOOKUP(Ruimtestaat[[#This Row],[Ruimte code]],Ruimtegroepen[],4,FALSE)</f>
        <v>Le</v>
      </c>
      <c r="Q57" s="33">
        <v>40</v>
      </c>
      <c r="R57" s="33" t="s">
        <v>2</v>
      </c>
      <c r="S57" s="33">
        <f>IF(Q57&gt;0,IF(RIGHT(Ruimtestaat[[#This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7" s="33">
        <f>IF(S57&gt;0,VLOOKUP($J57,Ruimtegroepen[],3,FALSE)*VLOOKUP($L57,Vloersoorten[],3,FALSE)*VLOOKUP($R57,Frequenties[],3,FALSE)*VLOOKUP($A57,Locaties[],3,FALSE),0)</f>
        <v>0</v>
      </c>
      <c r="U57" s="33">
        <f>Ruimtestaat[[#This Row],[Uitvoeringen werkdagen]]*Ruimtestaat[[#This Row],[Oppervlak (netto)]]</f>
        <v>10000</v>
      </c>
      <c r="V57" s="170">
        <f>IF(T57&gt;0,Ruimtestaat[[#This Row],[Prest. (m2 /jaar) werkdagen]]/Ruimtestaat[[#This Row],[Norm (m2/uur) werkdagen]],0)</f>
        <v>0</v>
      </c>
      <c r="W57" s="171">
        <f>Ruimtestaat[[#This Row],[uren / jaar werkdagen]]*Tariefsopbouw!$E$35</f>
        <v>0</v>
      </c>
      <c r="X57" s="33"/>
      <c r="Y57" s="33">
        <f>IF(Ruimtestaat[[#This Row],[Frequentie weekend]]&gt;0,VALUE(LEFT(X57,1))*Q57,0)</f>
        <v>0</v>
      </c>
      <c r="Z57" s="104">
        <f>IF($Y57&gt;0,VLOOKUP($J57,Ruimtegroepen[],3,FALSE)*VLOOKUP($L57,Vloersoorten[],3,FALSE)*VLOOKUP($X57,Frequenties[],3,FALSE)*VLOOKUP(Ruimtestaat[[#This Row],[Code]],Locaties[],3,FALSE),0)</f>
        <v>0</v>
      </c>
      <c r="AA57" s="104">
        <f>Ruimtestaat[[#This Row],[Uitvoeringen weekend]]*Ruimtestaat[[#This Row],[Oppervlak (netto)]]</f>
        <v>0</v>
      </c>
      <c r="AB57" s="104">
        <f>IF(Z57&gt;0,Ruimtestaat[[#This Row],[Prest. (m2 /jaar) weekend]]/Ruimtestaat[[#This Row],[Norm (m2/uur) weekend]],0)</f>
        <v>0</v>
      </c>
      <c r="AC57" s="171">
        <f>Ruimtestaat[[#This Row],[uren / jaar weekend]]*Tariefsopbouw!$D$40</f>
        <v>0</v>
      </c>
      <c r="AD57" s="170">
        <f>Ruimtestaat[[#This Row],[Prest. (m2 /jaar) weekend]]+Ruimtestaat[[#This Row],[Prest. (m2 /jaar) werkdagen]]</f>
        <v>10000</v>
      </c>
      <c r="AE57" s="170">
        <f>Ruimtestaat[[#This Row],[uren / jaar weekend]]+Ruimtestaat[[#This Row],[uren / jaar werkdagen]]</f>
        <v>0</v>
      </c>
      <c r="AF57" s="76">
        <f>Ruimtestaat[[#This Row],[kosten / jaar weekend]]+Ruimtestaat[[#This Row],[kosten / jaar werkdagen]]</f>
        <v>0</v>
      </c>
      <c r="AG57" s="76"/>
      <c r="AH57" s="272" t="str">
        <f>IF(Ruimtestaat[[#This Row],[Frequentie werkdagen]]="","",_xlfn.CONCAT(Ruimtestaat[[#This Row],[Ruimte code]],"-",Ruimtestaat[[#This Row],[Frequentie werkdagen]]," ",Ruimtestaat[[#This Row],[Vloer code]]))</f>
        <v>16-5w L</v>
      </c>
      <c r="AI57" s="310" t="str">
        <f>_xlfn.IFNA(VLOOKUP($AH57,Programma!$F$3:$G$1107,2,0),"")</f>
        <v>_</v>
      </c>
      <c r="AJ57" s="310" t="str">
        <f>_xlfn.IFNA(VLOOKUP($AH57,Programma!$F$3:$H$1107,3,0),"")</f>
        <v>_</v>
      </c>
      <c r="AK57" s="310" t="str">
        <f>_xlfn.IFNA(VLOOKUP($AH57,Programma!$F$3:$I$1107,4,0),"")</f>
        <v>4w</v>
      </c>
      <c r="AL57" s="310" t="str">
        <f>_xlfn.IFNA(VLOOKUP($AH57,Programma!$F$3:$J$1107,5,0),"")</f>
        <v>1w</v>
      </c>
      <c r="AM57" s="310" t="str">
        <f>_xlfn.IFNA(VLOOKUP($AH57,Programma!$F$3:$K$1107,6,0),"")</f>
        <v>_</v>
      </c>
      <c r="AN57" s="310" t="str">
        <f>_xlfn.IFNA(VLOOKUP($AH57,Programma!$F$3:$L$1107,7,0),"")</f>
        <v>_</v>
      </c>
      <c r="AO57" s="310" t="str">
        <f>_xlfn.IFNA(VLOOKUP($AH57,Programma!$F$3:$M$1107,8,0),"")</f>
        <v>_</v>
      </c>
      <c r="AP57" s="310" t="str">
        <f>_xlfn.IFNA(VLOOKUP($AH57,Programma!$F$3:$N$1107,9,0),"")</f>
        <v>_</v>
      </c>
      <c r="AQ57" s="310" t="str">
        <f>_xlfn.IFNA(VLOOKUP($AH57,Programma!$F$3:$O$1107,10,0),"")</f>
        <v>5w</v>
      </c>
      <c r="AR57" s="310" t="str">
        <f>_xlfn.IFNA(VLOOKUP($AH57,Programma!$F$3:$P$1107,11,0),"")</f>
        <v>5w</v>
      </c>
      <c r="AS57" s="310" t="str">
        <f>_xlfn.IFNA(VLOOKUP($AH57,Programma!$F$3:$Q$1107,12,0),"")</f>
        <v>1w</v>
      </c>
      <c r="AT57" s="310" t="str">
        <f>_xlfn.IFNA(VLOOKUP($AH57,Programma!$F$3:$R$1107,13,0),"")</f>
        <v>1w</v>
      </c>
      <c r="AU57" s="310" t="str">
        <f>_xlfn.IFNA(VLOOKUP($AH57,Programma!$F$3:$S$1107,14,0),"")</f>
        <v>1m</v>
      </c>
      <c r="AV57" s="310" t="str">
        <f>_xlfn.IFNA(VLOOKUP($AH57,Programma!$F$3:$T$1107,15,0),"")</f>
        <v>2j</v>
      </c>
      <c r="AW57" s="310" t="str">
        <f>_xlfn.IFNA(VLOOKUP($AH57,Programma!$F$3:$U$1107,16,0),"")</f>
        <v>1j</v>
      </c>
      <c r="AX57" s="310" t="str">
        <f>_xlfn.IFNA(VLOOKUP($AH57,Programma!$F$3:$V$1107,17,0),"")</f>
        <v>_</v>
      </c>
      <c r="AY57" s="310" t="str">
        <f>_xlfn.IFNA(VLOOKUP($AH57,Programma!$F$3:$W$1107,18,0),"")</f>
        <v>_</v>
      </c>
      <c r="AZ57" s="310" t="str">
        <f>_xlfn.IFNA(VLOOKUP($AH57,Programma!$F$3:$X$1107,19,0),"")</f>
        <v>_</v>
      </c>
      <c r="BA57" s="310" t="str">
        <f>_xlfn.IFNA(VLOOKUP($AH57,Programma!$F$3:$Y$1107,20,0),"")</f>
        <v>_</v>
      </c>
      <c r="BB57" s="273"/>
      <c r="BC57" s="272" t="str">
        <f>IF(Ruimtestaat[[#This Row],[Frequentie weekend]]="","",_xlfn.CONCAT(Ruimtestaat[[#This Row],[Ruimte code]],"-",Ruimtestaat[[#This Row],[Frequentie weekend]]," ",Ruimtestaat[[#This Row],[Vloer code]]))</f>
        <v/>
      </c>
      <c r="BD57" s="310" t="str">
        <f>_xlfn.IFNA(VLOOKUP($BC57,Programma!$F$3:$G$1107,2,0),"")</f>
        <v/>
      </c>
      <c r="BE57" s="310" t="str">
        <f>_xlfn.IFNA(VLOOKUP($BC57,Programma!$F$3:$H$1107,3,0),"")</f>
        <v/>
      </c>
      <c r="BF57" s="310" t="str">
        <f>_xlfn.IFNA(VLOOKUP($BC57,Programma!$F$3:$I$1107,4,0),"")</f>
        <v/>
      </c>
      <c r="BG57" s="310" t="str">
        <f>_xlfn.IFNA(VLOOKUP($BC57,Programma!$F$3:$J$1107,5,0),"")</f>
        <v/>
      </c>
      <c r="BH57" s="310" t="str">
        <f>_xlfn.IFNA(VLOOKUP($BC57,Programma!$F$3:$K$1107,6,0),"")</f>
        <v/>
      </c>
      <c r="BI57" s="310" t="str">
        <f>_xlfn.IFNA(VLOOKUP($BC57,Programma!$F$3:$L$1107,7,0),"")</f>
        <v/>
      </c>
      <c r="BJ57" s="310" t="str">
        <f>_xlfn.IFNA(VLOOKUP($BC57,Programma!$F$3:$M$1107,8,0),"")</f>
        <v/>
      </c>
      <c r="BK57" s="310" t="str">
        <f>_xlfn.IFNA(VLOOKUP($BC57,Programma!$F$3:$N$1107,9,0),"")</f>
        <v/>
      </c>
      <c r="BL57" s="310" t="str">
        <f>_xlfn.IFNA(VLOOKUP($BC57,Programma!$F$3:$O$1107,10,0),"")</f>
        <v/>
      </c>
      <c r="BM57" s="310" t="str">
        <f>_xlfn.IFNA(VLOOKUP($BC57,Programma!$F$3:$P$1107,11,0),"")</f>
        <v/>
      </c>
      <c r="BN57" s="310" t="str">
        <f>_xlfn.IFNA(VLOOKUP($BC57,Programma!$F$3:$Q$1107,12,0),"")</f>
        <v/>
      </c>
      <c r="BO57" s="310" t="str">
        <f>_xlfn.IFNA(VLOOKUP($BC57,Programma!$F$3:$R$1107,13,0),"")</f>
        <v/>
      </c>
      <c r="BP57" s="310" t="str">
        <f>_xlfn.IFNA(VLOOKUP($BC57,Programma!$F$3:$S$1107,14,0),"")</f>
        <v/>
      </c>
      <c r="BQ57" s="310" t="str">
        <f>_xlfn.IFNA(VLOOKUP($BC57,Programma!$F$3:$T$1107,15,0),"")</f>
        <v/>
      </c>
      <c r="BR57" s="310" t="str">
        <f>_xlfn.IFNA(VLOOKUP($BC57,Programma!$F$3:$U$1107,16,0),"")</f>
        <v/>
      </c>
      <c r="BS57" s="310" t="str">
        <f>_xlfn.IFNA(VLOOKUP($BC57,Programma!$F$3:$V$1107,17,0),"")</f>
        <v/>
      </c>
      <c r="BT57" s="310" t="str">
        <f>_xlfn.IFNA(VLOOKUP($BC57,Programma!$F$3:$W$1107,18,0),"")</f>
        <v/>
      </c>
      <c r="BU57" s="310" t="str">
        <f>_xlfn.IFNA(VLOOKUP($BC57,Programma!$F$3:$X$1107,19,0),"")</f>
        <v/>
      </c>
      <c r="BV57" s="310" t="str">
        <f>_xlfn.IFNA(VLOOKUP($BC57,Programma!$F$3:$Y$1107,20,0),"")</f>
        <v/>
      </c>
    </row>
    <row r="58" spans="1:74" ht="15" customHeight="1">
      <c r="A58" s="33">
        <v>1</v>
      </c>
      <c r="B58" s="173" t="s">
        <v>1619</v>
      </c>
      <c r="C58" s="173" t="str">
        <f>VLOOKUP(Ruimtestaat[[#This Row],[Code]],Locaties[[#All],[Code]:[Adres]],4,FALSE)</f>
        <v>Stationslaan 26</v>
      </c>
      <c r="D58" s="173" t="str">
        <f>VLOOKUP(Ruimtestaat[[#This Row],[Code]],Locaties[[#All],[Code]:[Postcode]],5,FALSE)</f>
        <v>3842 LA</v>
      </c>
      <c r="E58" s="173" t="str">
        <f>VLOOKUP(Ruimtestaat[[#This Row],[Code]],Locaties[#All],6,FALSE)</f>
        <v>Harderwijk</v>
      </c>
      <c r="F58" s="21" t="s">
        <v>1622</v>
      </c>
      <c r="G58" s="33" t="s">
        <v>1614</v>
      </c>
      <c r="H58" s="311" t="s">
        <v>1676</v>
      </c>
      <c r="I58" s="312" t="s">
        <v>1615</v>
      </c>
      <c r="J58" s="21">
        <v>16</v>
      </c>
      <c r="K58" s="69" t="str">
        <f>VLOOKUP(Ruimtestaat[[#This Row],[Ruimte code]],Ruimtegroepen[[#All],[Code]:[Ruimte omschrijving]],2,FALSE)</f>
        <v>Leslokalen</v>
      </c>
      <c r="L58" s="33" t="s">
        <v>101</v>
      </c>
      <c r="M58" s="312" t="s">
        <v>1804</v>
      </c>
      <c r="N58" s="148">
        <v>52</v>
      </c>
      <c r="O58" s="150"/>
      <c r="P58" s="134" t="str">
        <f>VLOOKUP(Ruimtestaat[[#This Row],[Ruimte code]],Ruimtegroepen[],4,FALSE)</f>
        <v>Le</v>
      </c>
      <c r="Q58" s="33">
        <v>40</v>
      </c>
      <c r="R58" s="33" t="s">
        <v>2</v>
      </c>
      <c r="S58" s="33">
        <f>IF(Q58&gt;0,IF(RIGHT(Ruimtestaat[[#This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 s="33">
        <f>IF(S58&gt;0,VLOOKUP($J58,Ruimtegroepen[],3,FALSE)*VLOOKUP($L58,Vloersoorten[],3,FALSE)*VLOOKUP($R58,Frequenties[],3,FALSE)*VLOOKUP($A58,Locaties[],3,FALSE),0)</f>
        <v>0</v>
      </c>
      <c r="U58" s="33">
        <f>Ruimtestaat[[#This Row],[Uitvoeringen werkdagen]]*Ruimtestaat[[#This Row],[Oppervlak (netto)]]</f>
        <v>10400</v>
      </c>
      <c r="V58" s="170">
        <f>IF(T58&gt;0,Ruimtestaat[[#This Row],[Prest. (m2 /jaar) werkdagen]]/Ruimtestaat[[#This Row],[Norm (m2/uur) werkdagen]],0)</f>
        <v>0</v>
      </c>
      <c r="W58" s="171">
        <f>Ruimtestaat[[#This Row],[uren / jaar werkdagen]]*Tariefsopbouw!$E$35</f>
        <v>0</v>
      </c>
      <c r="X58" s="33"/>
      <c r="Y58" s="33">
        <f>IF(Ruimtestaat[[#This Row],[Frequentie weekend]]&gt;0,VALUE(LEFT(X58,1))*Q58,0)</f>
        <v>0</v>
      </c>
      <c r="Z58" s="104">
        <f>IF($Y58&gt;0,VLOOKUP($J58,Ruimtegroepen[],3,FALSE)*VLOOKUP($L58,Vloersoorten[],3,FALSE)*VLOOKUP($X58,Frequenties[],3,FALSE)*VLOOKUP(Ruimtestaat[[#This Row],[Code]],Locaties[],3,FALSE),0)</f>
        <v>0</v>
      </c>
      <c r="AA58" s="104">
        <f>Ruimtestaat[[#This Row],[Uitvoeringen weekend]]*Ruimtestaat[[#This Row],[Oppervlak (netto)]]</f>
        <v>0</v>
      </c>
      <c r="AB58" s="104">
        <f>IF(Z58&gt;0,Ruimtestaat[[#This Row],[Prest. (m2 /jaar) weekend]]/Ruimtestaat[[#This Row],[Norm (m2/uur) weekend]],0)</f>
        <v>0</v>
      </c>
      <c r="AC58" s="171">
        <f>Ruimtestaat[[#This Row],[uren / jaar weekend]]*Tariefsopbouw!$D$40</f>
        <v>0</v>
      </c>
      <c r="AD58" s="170">
        <f>Ruimtestaat[[#This Row],[Prest. (m2 /jaar) weekend]]+Ruimtestaat[[#This Row],[Prest. (m2 /jaar) werkdagen]]</f>
        <v>10400</v>
      </c>
      <c r="AE58" s="170">
        <f>Ruimtestaat[[#This Row],[uren / jaar weekend]]+Ruimtestaat[[#This Row],[uren / jaar werkdagen]]</f>
        <v>0</v>
      </c>
      <c r="AF58" s="76">
        <f>Ruimtestaat[[#This Row],[kosten / jaar weekend]]+Ruimtestaat[[#This Row],[kosten / jaar werkdagen]]</f>
        <v>0</v>
      </c>
      <c r="AG58" s="76"/>
      <c r="AH58" s="272" t="str">
        <f>IF(Ruimtestaat[[#This Row],[Frequentie werkdagen]]="","",_xlfn.CONCAT(Ruimtestaat[[#This Row],[Ruimte code]],"-",Ruimtestaat[[#This Row],[Frequentie werkdagen]]," ",Ruimtestaat[[#This Row],[Vloer code]]))</f>
        <v>16-5w L</v>
      </c>
      <c r="AI58" s="310" t="str">
        <f>_xlfn.IFNA(VLOOKUP($AH58,Programma!$F$3:$G$1107,2,0),"")</f>
        <v>_</v>
      </c>
      <c r="AJ58" s="310" t="str">
        <f>_xlfn.IFNA(VLOOKUP($AH58,Programma!$F$3:$H$1107,3,0),"")</f>
        <v>_</v>
      </c>
      <c r="AK58" s="310" t="str">
        <f>_xlfn.IFNA(VLOOKUP($AH58,Programma!$F$3:$I$1107,4,0),"")</f>
        <v>4w</v>
      </c>
      <c r="AL58" s="310" t="str">
        <f>_xlfn.IFNA(VLOOKUP($AH58,Programma!$F$3:$J$1107,5,0),"")</f>
        <v>1w</v>
      </c>
      <c r="AM58" s="310" t="str">
        <f>_xlfn.IFNA(VLOOKUP($AH58,Programma!$F$3:$K$1107,6,0),"")</f>
        <v>_</v>
      </c>
      <c r="AN58" s="310" t="str">
        <f>_xlfn.IFNA(VLOOKUP($AH58,Programma!$F$3:$L$1107,7,0),"")</f>
        <v>_</v>
      </c>
      <c r="AO58" s="310" t="str">
        <f>_xlfn.IFNA(VLOOKUP($AH58,Programma!$F$3:$M$1107,8,0),"")</f>
        <v>_</v>
      </c>
      <c r="AP58" s="310" t="str">
        <f>_xlfn.IFNA(VLOOKUP($AH58,Programma!$F$3:$N$1107,9,0),"")</f>
        <v>_</v>
      </c>
      <c r="AQ58" s="310" t="str">
        <f>_xlfn.IFNA(VLOOKUP($AH58,Programma!$F$3:$O$1107,10,0),"")</f>
        <v>5w</v>
      </c>
      <c r="AR58" s="310" t="str">
        <f>_xlfn.IFNA(VLOOKUP($AH58,Programma!$F$3:$P$1107,11,0),"")</f>
        <v>5w</v>
      </c>
      <c r="AS58" s="310" t="str">
        <f>_xlfn.IFNA(VLOOKUP($AH58,Programma!$F$3:$Q$1107,12,0),"")</f>
        <v>1w</v>
      </c>
      <c r="AT58" s="310" t="str">
        <f>_xlfn.IFNA(VLOOKUP($AH58,Programma!$F$3:$R$1107,13,0),"")</f>
        <v>1w</v>
      </c>
      <c r="AU58" s="310" t="str">
        <f>_xlfn.IFNA(VLOOKUP($AH58,Programma!$F$3:$S$1107,14,0),"")</f>
        <v>1m</v>
      </c>
      <c r="AV58" s="310" t="str">
        <f>_xlfn.IFNA(VLOOKUP($AH58,Programma!$F$3:$T$1107,15,0),"")</f>
        <v>2j</v>
      </c>
      <c r="AW58" s="310" t="str">
        <f>_xlfn.IFNA(VLOOKUP($AH58,Programma!$F$3:$U$1107,16,0),"")</f>
        <v>1j</v>
      </c>
      <c r="AX58" s="310" t="str">
        <f>_xlfn.IFNA(VLOOKUP($AH58,Programma!$F$3:$V$1107,17,0),"")</f>
        <v>_</v>
      </c>
      <c r="AY58" s="310" t="str">
        <f>_xlfn.IFNA(VLOOKUP($AH58,Programma!$F$3:$W$1107,18,0),"")</f>
        <v>_</v>
      </c>
      <c r="AZ58" s="310" t="str">
        <f>_xlfn.IFNA(VLOOKUP($AH58,Programma!$F$3:$X$1107,19,0),"")</f>
        <v>_</v>
      </c>
      <c r="BA58" s="310" t="str">
        <f>_xlfn.IFNA(VLOOKUP($AH58,Programma!$F$3:$Y$1107,20,0),"")</f>
        <v>_</v>
      </c>
      <c r="BB58" s="273"/>
      <c r="BC58" s="272" t="str">
        <f>IF(Ruimtestaat[[#This Row],[Frequentie weekend]]="","",_xlfn.CONCAT(Ruimtestaat[[#This Row],[Ruimte code]],"-",Ruimtestaat[[#This Row],[Frequentie weekend]]," ",Ruimtestaat[[#This Row],[Vloer code]]))</f>
        <v/>
      </c>
      <c r="BD58" s="310" t="str">
        <f>_xlfn.IFNA(VLOOKUP($BC58,Programma!$F$3:$G$1107,2,0),"")</f>
        <v/>
      </c>
      <c r="BE58" s="310" t="str">
        <f>_xlfn.IFNA(VLOOKUP($BC58,Programma!$F$3:$H$1107,3,0),"")</f>
        <v/>
      </c>
      <c r="BF58" s="310" t="str">
        <f>_xlfn.IFNA(VLOOKUP($BC58,Programma!$F$3:$I$1107,4,0),"")</f>
        <v/>
      </c>
      <c r="BG58" s="310" t="str">
        <f>_xlfn.IFNA(VLOOKUP($BC58,Programma!$F$3:$J$1107,5,0),"")</f>
        <v/>
      </c>
      <c r="BH58" s="310" t="str">
        <f>_xlfn.IFNA(VLOOKUP($BC58,Programma!$F$3:$K$1107,6,0),"")</f>
        <v/>
      </c>
      <c r="BI58" s="310" t="str">
        <f>_xlfn.IFNA(VLOOKUP($BC58,Programma!$F$3:$L$1107,7,0),"")</f>
        <v/>
      </c>
      <c r="BJ58" s="310" t="str">
        <f>_xlfn.IFNA(VLOOKUP($BC58,Programma!$F$3:$M$1107,8,0),"")</f>
        <v/>
      </c>
      <c r="BK58" s="310" t="str">
        <f>_xlfn.IFNA(VLOOKUP($BC58,Programma!$F$3:$N$1107,9,0),"")</f>
        <v/>
      </c>
      <c r="BL58" s="310" t="str">
        <f>_xlfn.IFNA(VLOOKUP($BC58,Programma!$F$3:$O$1107,10,0),"")</f>
        <v/>
      </c>
      <c r="BM58" s="310" t="str">
        <f>_xlfn.IFNA(VLOOKUP($BC58,Programma!$F$3:$P$1107,11,0),"")</f>
        <v/>
      </c>
      <c r="BN58" s="310" t="str">
        <f>_xlfn.IFNA(VLOOKUP($BC58,Programma!$F$3:$Q$1107,12,0),"")</f>
        <v/>
      </c>
      <c r="BO58" s="310" t="str">
        <f>_xlfn.IFNA(VLOOKUP($BC58,Programma!$F$3:$R$1107,13,0),"")</f>
        <v/>
      </c>
      <c r="BP58" s="310" t="str">
        <f>_xlfn.IFNA(VLOOKUP($BC58,Programma!$F$3:$S$1107,14,0),"")</f>
        <v/>
      </c>
      <c r="BQ58" s="310" t="str">
        <f>_xlfn.IFNA(VLOOKUP($BC58,Programma!$F$3:$T$1107,15,0),"")</f>
        <v/>
      </c>
      <c r="BR58" s="310" t="str">
        <f>_xlfn.IFNA(VLOOKUP($BC58,Programma!$F$3:$U$1107,16,0),"")</f>
        <v/>
      </c>
      <c r="BS58" s="310" t="str">
        <f>_xlfn.IFNA(VLOOKUP($BC58,Programma!$F$3:$V$1107,17,0),"")</f>
        <v/>
      </c>
      <c r="BT58" s="310" t="str">
        <f>_xlfn.IFNA(VLOOKUP($BC58,Programma!$F$3:$W$1107,18,0),"")</f>
        <v/>
      </c>
      <c r="BU58" s="310" t="str">
        <f>_xlfn.IFNA(VLOOKUP($BC58,Programma!$F$3:$X$1107,19,0),"")</f>
        <v/>
      </c>
      <c r="BV58" s="310" t="str">
        <f>_xlfn.IFNA(VLOOKUP($BC58,Programma!$F$3:$Y$1107,20,0),"")</f>
        <v/>
      </c>
    </row>
    <row r="59" spans="1:74" ht="15" customHeight="1">
      <c r="A59" s="33">
        <v>1</v>
      </c>
      <c r="B59" s="173" t="s">
        <v>1619</v>
      </c>
      <c r="C59" s="173" t="str">
        <f>VLOOKUP(Ruimtestaat[[#This Row],[Code]],Locaties[[#All],[Code]:[Adres]],4,FALSE)</f>
        <v>Stationslaan 26</v>
      </c>
      <c r="D59" s="173" t="str">
        <f>VLOOKUP(Ruimtestaat[[#This Row],[Code]],Locaties[[#All],[Code]:[Postcode]],5,FALSE)</f>
        <v>3842 LA</v>
      </c>
      <c r="E59" s="173" t="str">
        <f>VLOOKUP(Ruimtestaat[[#This Row],[Code]],Locaties[#All],6,FALSE)</f>
        <v>Harderwijk</v>
      </c>
      <c r="F59" s="21" t="s">
        <v>1622</v>
      </c>
      <c r="G59" s="33" t="s">
        <v>1614</v>
      </c>
      <c r="H59" s="311" t="s">
        <v>1677</v>
      </c>
      <c r="I59" s="312" t="s">
        <v>1730</v>
      </c>
      <c r="J59" s="21">
        <v>5</v>
      </c>
      <c r="K59" s="69" t="str">
        <f>VLOOKUP(Ruimtestaat[[#This Row],[Ruimte code]],Ruimtegroepen[[#All],[Code]:[Ruimte omschrijving]],2,FALSE)</f>
        <v>Sanitair</v>
      </c>
      <c r="L59" s="33" t="s">
        <v>102</v>
      </c>
      <c r="M59" s="312" t="s">
        <v>1805</v>
      </c>
      <c r="N59" s="148">
        <v>7</v>
      </c>
      <c r="O59" s="150"/>
      <c r="P59" s="134" t="str">
        <f>VLOOKUP(Ruimtestaat[[#This Row],[Ruimte code]],Ruimtegroepen[],4,FALSE)</f>
        <v>Sa</v>
      </c>
      <c r="Q59" s="33">
        <v>40</v>
      </c>
      <c r="R59" s="33" t="s">
        <v>2</v>
      </c>
      <c r="S59" s="33">
        <f>IF(Q59&gt;0,IF(RIGHT(Ruimtestaat[[#This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9" s="33">
        <f>IF(S59&gt;0,VLOOKUP($J59,Ruimtegroepen[],3,FALSE)*VLOOKUP($L59,Vloersoorten[],3,FALSE)*VLOOKUP($R59,Frequenties[],3,FALSE)*VLOOKUP($A59,Locaties[],3,FALSE),0)</f>
        <v>0</v>
      </c>
      <c r="U59" s="33">
        <f>Ruimtestaat[[#This Row],[Uitvoeringen werkdagen]]*Ruimtestaat[[#This Row],[Oppervlak (netto)]]</f>
        <v>1400</v>
      </c>
      <c r="V59" s="170">
        <f>IF(T59&gt;0,Ruimtestaat[[#This Row],[Prest. (m2 /jaar) werkdagen]]/Ruimtestaat[[#This Row],[Norm (m2/uur) werkdagen]],0)</f>
        <v>0</v>
      </c>
      <c r="W59" s="171">
        <f>Ruimtestaat[[#This Row],[uren / jaar werkdagen]]*Tariefsopbouw!$E$35</f>
        <v>0</v>
      </c>
      <c r="X59" s="33"/>
      <c r="Y59" s="33">
        <f>IF(Ruimtestaat[[#This Row],[Frequentie weekend]]&gt;0,VALUE(LEFT(X59,1))*Q59,0)</f>
        <v>0</v>
      </c>
      <c r="Z59" s="104">
        <f>IF($Y59&gt;0,VLOOKUP($J59,Ruimtegroepen[],3,FALSE)*VLOOKUP($L59,Vloersoorten[],3,FALSE)*VLOOKUP($X59,Frequenties[],3,FALSE)*VLOOKUP(Ruimtestaat[[#This Row],[Code]],Locaties[],3,FALSE),0)</f>
        <v>0</v>
      </c>
      <c r="AA59" s="104">
        <f>Ruimtestaat[[#This Row],[Uitvoeringen weekend]]*Ruimtestaat[[#This Row],[Oppervlak (netto)]]</f>
        <v>0</v>
      </c>
      <c r="AB59" s="104">
        <f>IF(Z59&gt;0,Ruimtestaat[[#This Row],[Prest. (m2 /jaar) weekend]]/Ruimtestaat[[#This Row],[Norm (m2/uur) weekend]],0)</f>
        <v>0</v>
      </c>
      <c r="AC59" s="171">
        <f>Ruimtestaat[[#This Row],[uren / jaar weekend]]*Tariefsopbouw!$D$40</f>
        <v>0</v>
      </c>
      <c r="AD59" s="170">
        <f>Ruimtestaat[[#This Row],[Prest. (m2 /jaar) weekend]]+Ruimtestaat[[#This Row],[Prest. (m2 /jaar) werkdagen]]</f>
        <v>1400</v>
      </c>
      <c r="AE59" s="170">
        <f>Ruimtestaat[[#This Row],[uren / jaar weekend]]+Ruimtestaat[[#This Row],[uren / jaar werkdagen]]</f>
        <v>0</v>
      </c>
      <c r="AF59" s="76">
        <f>Ruimtestaat[[#This Row],[kosten / jaar weekend]]+Ruimtestaat[[#This Row],[kosten / jaar werkdagen]]</f>
        <v>0</v>
      </c>
      <c r="AG59" s="76"/>
      <c r="AH59" s="272" t="str">
        <f>IF(Ruimtestaat[[#This Row],[Frequentie werkdagen]]="","",_xlfn.CONCAT(Ruimtestaat[[#This Row],[Ruimte code]],"-",Ruimtestaat[[#This Row],[Frequentie werkdagen]]," ",Ruimtestaat[[#This Row],[Vloer code]]))</f>
        <v>5-5w S</v>
      </c>
      <c r="AI59" s="310" t="str">
        <f>_xlfn.IFNA(VLOOKUP($AH59,Programma!$F$3:$G$1107,2,0),"")</f>
        <v>_</v>
      </c>
      <c r="AJ59" s="310" t="str">
        <f>_xlfn.IFNA(VLOOKUP($AH59,Programma!$F$3:$H$1107,3,0),"")</f>
        <v>_</v>
      </c>
      <c r="AK59" s="310" t="str">
        <f>_xlfn.IFNA(VLOOKUP($AH59,Programma!$F$3:$I$1107,4,0),"")</f>
        <v>_</v>
      </c>
      <c r="AL59" s="310" t="str">
        <f>_xlfn.IFNA(VLOOKUP($AH59,Programma!$F$3:$J$1107,5,0),"")</f>
        <v>4w</v>
      </c>
      <c r="AM59" s="310" t="str">
        <f>_xlfn.IFNA(VLOOKUP($AH59,Programma!$F$3:$K$1107,6,0),"")</f>
        <v>1w</v>
      </c>
      <c r="AN59" s="310" t="str">
        <f>_xlfn.IFNA(VLOOKUP($AH59,Programma!$F$3:$L$1107,7,0),"")</f>
        <v>_</v>
      </c>
      <c r="AO59" s="310" t="str">
        <f>_xlfn.IFNA(VLOOKUP($AH59,Programma!$F$3:$M$1107,8,0),"")</f>
        <v>_</v>
      </c>
      <c r="AP59" s="310" t="str">
        <f>_xlfn.IFNA(VLOOKUP($AH59,Programma!$F$3:$N$1107,9,0),"")</f>
        <v>_</v>
      </c>
      <c r="AQ59" s="310" t="str">
        <f>_xlfn.IFNA(VLOOKUP($AH59,Programma!$F$3:$O$1107,10,0),"")</f>
        <v>_</v>
      </c>
      <c r="AR59" s="310" t="str">
        <f>_xlfn.IFNA(VLOOKUP($AH59,Programma!$F$3:$P$1107,11,0),"")</f>
        <v>_</v>
      </c>
      <c r="AS59" s="310" t="str">
        <f>_xlfn.IFNA(VLOOKUP($AH59,Programma!$F$3:$Q$1107,12,0),"")</f>
        <v>_</v>
      </c>
      <c r="AT59" s="310" t="str">
        <f>_xlfn.IFNA(VLOOKUP($AH59,Programma!$F$3:$R$1107,13,0),"")</f>
        <v>_</v>
      </c>
      <c r="AU59" s="310" t="str">
        <f>_xlfn.IFNA(VLOOKUP($AH59,Programma!$F$3:$S$1107,14,0),"")</f>
        <v>_</v>
      </c>
      <c r="AV59" s="310" t="str">
        <f>_xlfn.IFNA(VLOOKUP($AH59,Programma!$F$3:$T$1107,15,0),"")</f>
        <v>_</v>
      </c>
      <c r="AW59" s="310" t="str">
        <f>_xlfn.IFNA(VLOOKUP($AH59,Programma!$F$3:$U$1107,16,0),"")</f>
        <v>_</v>
      </c>
      <c r="AX59" s="310" t="str">
        <f>_xlfn.IFNA(VLOOKUP($AH59,Programma!$F$3:$V$1107,17,0),"")</f>
        <v>_</v>
      </c>
      <c r="AY59" s="310" t="str">
        <f>_xlfn.IFNA(VLOOKUP($AH59,Programma!$F$3:$W$1107,18,0),"")</f>
        <v>4w</v>
      </c>
      <c r="AZ59" s="310" t="str">
        <f>_xlfn.IFNA(VLOOKUP($AH59,Programma!$F$3:$X$1107,19,0),"")</f>
        <v>1w</v>
      </c>
      <c r="BA59" s="310" t="str">
        <f>_xlfn.IFNA(VLOOKUP($AH59,Programma!$F$3:$Y$1107,20,0),"")</f>
        <v>_</v>
      </c>
      <c r="BB59" s="273"/>
      <c r="BC59" s="272" t="str">
        <f>IF(Ruimtestaat[[#This Row],[Frequentie weekend]]="","",_xlfn.CONCAT(Ruimtestaat[[#This Row],[Ruimte code]],"-",Ruimtestaat[[#This Row],[Frequentie weekend]]," ",Ruimtestaat[[#This Row],[Vloer code]]))</f>
        <v/>
      </c>
      <c r="BD59" s="310" t="str">
        <f>_xlfn.IFNA(VLOOKUP($BC59,Programma!$F$3:$G$1107,2,0),"")</f>
        <v/>
      </c>
      <c r="BE59" s="310" t="str">
        <f>_xlfn.IFNA(VLOOKUP($BC59,Programma!$F$3:$H$1107,3,0),"")</f>
        <v/>
      </c>
      <c r="BF59" s="310" t="str">
        <f>_xlfn.IFNA(VLOOKUP($BC59,Programma!$F$3:$I$1107,4,0),"")</f>
        <v/>
      </c>
      <c r="BG59" s="310" t="str">
        <f>_xlfn.IFNA(VLOOKUP($BC59,Programma!$F$3:$J$1107,5,0),"")</f>
        <v/>
      </c>
      <c r="BH59" s="310" t="str">
        <f>_xlfn.IFNA(VLOOKUP($BC59,Programma!$F$3:$K$1107,6,0),"")</f>
        <v/>
      </c>
      <c r="BI59" s="310" t="str">
        <f>_xlfn.IFNA(VLOOKUP($BC59,Programma!$F$3:$L$1107,7,0),"")</f>
        <v/>
      </c>
      <c r="BJ59" s="310" t="str">
        <f>_xlfn.IFNA(VLOOKUP($BC59,Programma!$F$3:$M$1107,8,0),"")</f>
        <v/>
      </c>
      <c r="BK59" s="310" t="str">
        <f>_xlfn.IFNA(VLOOKUP($BC59,Programma!$F$3:$N$1107,9,0),"")</f>
        <v/>
      </c>
      <c r="BL59" s="310" t="str">
        <f>_xlfn.IFNA(VLOOKUP($BC59,Programma!$F$3:$O$1107,10,0),"")</f>
        <v/>
      </c>
      <c r="BM59" s="310" t="str">
        <f>_xlfn.IFNA(VLOOKUP($BC59,Programma!$F$3:$P$1107,11,0),"")</f>
        <v/>
      </c>
      <c r="BN59" s="310" t="str">
        <f>_xlfn.IFNA(VLOOKUP($BC59,Programma!$F$3:$Q$1107,12,0),"")</f>
        <v/>
      </c>
      <c r="BO59" s="310" t="str">
        <f>_xlfn.IFNA(VLOOKUP($BC59,Programma!$F$3:$R$1107,13,0),"")</f>
        <v/>
      </c>
      <c r="BP59" s="310" t="str">
        <f>_xlfn.IFNA(VLOOKUP($BC59,Programma!$F$3:$S$1107,14,0),"")</f>
        <v/>
      </c>
      <c r="BQ59" s="310" t="str">
        <f>_xlfn.IFNA(VLOOKUP($BC59,Programma!$F$3:$T$1107,15,0),"")</f>
        <v/>
      </c>
      <c r="BR59" s="310" t="str">
        <f>_xlfn.IFNA(VLOOKUP($BC59,Programma!$F$3:$U$1107,16,0),"")</f>
        <v/>
      </c>
      <c r="BS59" s="310" t="str">
        <f>_xlfn.IFNA(VLOOKUP($BC59,Programma!$F$3:$V$1107,17,0),"")</f>
        <v/>
      </c>
      <c r="BT59" s="310" t="str">
        <f>_xlfn.IFNA(VLOOKUP($BC59,Programma!$F$3:$W$1107,18,0),"")</f>
        <v/>
      </c>
      <c r="BU59" s="310" t="str">
        <f>_xlfn.IFNA(VLOOKUP($BC59,Programma!$F$3:$X$1107,19,0),"")</f>
        <v/>
      </c>
      <c r="BV59" s="310" t="str">
        <f>_xlfn.IFNA(VLOOKUP($BC59,Programma!$F$3:$Y$1107,20,0),"")</f>
        <v/>
      </c>
    </row>
    <row r="60" spans="1:74" ht="15" customHeight="1">
      <c r="A60" s="33">
        <v>1</v>
      </c>
      <c r="B60" s="173" t="s">
        <v>1619</v>
      </c>
      <c r="C60" s="173" t="str">
        <f>VLOOKUP(Ruimtestaat[[#This Row],[Code]],Locaties[[#All],[Code]:[Adres]],4,FALSE)</f>
        <v>Stationslaan 26</v>
      </c>
      <c r="D60" s="173" t="str">
        <f>VLOOKUP(Ruimtestaat[[#This Row],[Code]],Locaties[[#All],[Code]:[Postcode]],5,FALSE)</f>
        <v>3842 LA</v>
      </c>
      <c r="E60" s="173" t="str">
        <f>VLOOKUP(Ruimtestaat[[#This Row],[Code]],Locaties[#All],6,FALSE)</f>
        <v>Harderwijk</v>
      </c>
      <c r="F60" s="21" t="s">
        <v>1622</v>
      </c>
      <c r="G60" s="33" t="s">
        <v>1614</v>
      </c>
      <c r="H60" s="311"/>
      <c r="I60" s="312" t="s">
        <v>1766</v>
      </c>
      <c r="J60" s="21">
        <v>6</v>
      </c>
      <c r="K60" s="69" t="str">
        <f>VLOOKUP(Ruimtestaat[[#This Row],[Ruimte code]],Ruimtegroepen[[#All],[Code]:[Ruimte omschrijving]],2,FALSE)</f>
        <v>Gangen/hallen</v>
      </c>
      <c r="L60" s="33" t="s">
        <v>100</v>
      </c>
      <c r="M60" s="312" t="s">
        <v>1803</v>
      </c>
      <c r="N60" s="148">
        <v>32</v>
      </c>
      <c r="O60" s="33"/>
      <c r="P60" s="134" t="str">
        <f>VLOOKUP(Ruimtestaat[[#This Row],[Ruimte code]],Ruimtegroepen[],4,FALSE)</f>
        <v>Ve</v>
      </c>
      <c r="Q60" s="33">
        <v>40</v>
      </c>
      <c r="R60" s="33" t="s">
        <v>2</v>
      </c>
      <c r="S60" s="33">
        <f>IF(Q60&gt;0,IF(RIGHT(Ruimtestaat[[#This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0" s="33">
        <f>IF(S60&gt;0,VLOOKUP($J60,Ruimtegroepen[],3,FALSE)*VLOOKUP($L60,Vloersoorten[],3,FALSE)*VLOOKUP($R60,Frequenties[],3,FALSE)*VLOOKUP($A60,Locaties[],3,FALSE),0)</f>
        <v>0</v>
      </c>
      <c r="U60" s="33">
        <f>Ruimtestaat[[#This Row],[Uitvoeringen werkdagen]]*Ruimtestaat[[#This Row],[Oppervlak (netto)]]</f>
        <v>6400</v>
      </c>
      <c r="V60" s="170">
        <f>IF(T60&gt;0,Ruimtestaat[[#This Row],[Prest. (m2 /jaar) werkdagen]]/Ruimtestaat[[#This Row],[Norm (m2/uur) werkdagen]],0)</f>
        <v>0</v>
      </c>
      <c r="W60" s="171">
        <f>Ruimtestaat[[#This Row],[uren / jaar werkdagen]]*Tariefsopbouw!$E$35</f>
        <v>0</v>
      </c>
      <c r="X60" s="33"/>
      <c r="Y60" s="33">
        <f>IF(Ruimtestaat[[#This Row],[Frequentie weekend]]&gt;0,VALUE(LEFT(X60,1))*Q60,0)</f>
        <v>0</v>
      </c>
      <c r="Z60" s="104">
        <f>IF($Y60&gt;0,VLOOKUP($J60,Ruimtegroepen[],3,FALSE)*VLOOKUP($L60,Vloersoorten[],3,FALSE)*VLOOKUP($X60,Frequenties[],3,FALSE)*VLOOKUP(Ruimtestaat[[#This Row],[Code]],Locaties[],3,FALSE),0)</f>
        <v>0</v>
      </c>
      <c r="AA60" s="104">
        <f>Ruimtestaat[[#This Row],[Uitvoeringen weekend]]*Ruimtestaat[[#This Row],[Oppervlak (netto)]]</f>
        <v>0</v>
      </c>
      <c r="AB60" s="104">
        <f>IF(Z60&gt;0,Ruimtestaat[[#This Row],[Prest. (m2 /jaar) weekend]]/Ruimtestaat[[#This Row],[Norm (m2/uur) weekend]],0)</f>
        <v>0</v>
      </c>
      <c r="AC60" s="171">
        <f>Ruimtestaat[[#This Row],[uren / jaar weekend]]*Tariefsopbouw!$D$40</f>
        <v>0</v>
      </c>
      <c r="AD60" s="170">
        <f>Ruimtestaat[[#This Row],[Prest. (m2 /jaar) weekend]]+Ruimtestaat[[#This Row],[Prest. (m2 /jaar) werkdagen]]</f>
        <v>6400</v>
      </c>
      <c r="AE60" s="170">
        <f>Ruimtestaat[[#This Row],[uren / jaar weekend]]+Ruimtestaat[[#This Row],[uren / jaar werkdagen]]</f>
        <v>0</v>
      </c>
      <c r="AF60" s="76">
        <f>Ruimtestaat[[#This Row],[kosten / jaar weekend]]+Ruimtestaat[[#This Row],[kosten / jaar werkdagen]]</f>
        <v>0</v>
      </c>
      <c r="AG60" s="76"/>
      <c r="AH60" s="272" t="str">
        <f>IF(Ruimtestaat[[#This Row],[Frequentie werkdagen]]="","",_xlfn.CONCAT(Ruimtestaat[[#This Row],[Ruimte code]],"-",Ruimtestaat[[#This Row],[Frequentie werkdagen]]," ",Ruimtestaat[[#This Row],[Vloer code]]))</f>
        <v>6-5w T</v>
      </c>
      <c r="AI60" s="310" t="str">
        <f>_xlfn.IFNA(VLOOKUP($AH60,Programma!$F$3:$G$1107,2,0),"")</f>
        <v>_</v>
      </c>
      <c r="AJ60" s="310" t="str">
        <f>_xlfn.IFNA(VLOOKUP($AH60,Programma!$F$3:$H$1107,3,0),"")</f>
        <v>5w</v>
      </c>
      <c r="AK60" s="310" t="str">
        <f>_xlfn.IFNA(VLOOKUP($AH60,Programma!$F$3:$I$1107,4,0),"")</f>
        <v>_</v>
      </c>
      <c r="AL60" s="310" t="str">
        <f>_xlfn.IFNA(VLOOKUP($AH60,Programma!$F$3:$J$1107,5,0),"")</f>
        <v>_</v>
      </c>
      <c r="AM60" s="310" t="str">
        <f>_xlfn.IFNA(VLOOKUP($AH60,Programma!$F$3:$K$1107,6,0),"")</f>
        <v>_</v>
      </c>
      <c r="AN60" s="310" t="str">
        <f>_xlfn.IFNA(VLOOKUP($AH60,Programma!$F$3:$L$1107,7,0),"")</f>
        <v>_</v>
      </c>
      <c r="AO60" s="310" t="str">
        <f>_xlfn.IFNA(VLOOKUP($AH60,Programma!$F$3:$M$1107,8,0),"")</f>
        <v>_</v>
      </c>
      <c r="AP60" s="310" t="str">
        <f>_xlfn.IFNA(VLOOKUP($AH60,Programma!$F$3:$N$1107,9,0),"")</f>
        <v>_</v>
      </c>
      <c r="AQ60" s="310" t="str">
        <f>_xlfn.IFNA(VLOOKUP($AH60,Programma!$F$3:$O$1107,10,0),"")</f>
        <v>5w</v>
      </c>
      <c r="AR60" s="310" t="str">
        <f>_xlfn.IFNA(VLOOKUP($AH60,Programma!$F$3:$P$1107,11,0),"")</f>
        <v>5w</v>
      </c>
      <c r="AS60" s="310" t="str">
        <f>_xlfn.IFNA(VLOOKUP($AH60,Programma!$F$3:$Q$1107,12,0),"")</f>
        <v>1w</v>
      </c>
      <c r="AT60" s="310" t="str">
        <f>_xlfn.IFNA(VLOOKUP($AH60,Programma!$F$3:$R$1107,13,0),"")</f>
        <v>1w</v>
      </c>
      <c r="AU60" s="310" t="str">
        <f>_xlfn.IFNA(VLOOKUP($AH60,Programma!$F$3:$S$1107,14,0),"")</f>
        <v>1m</v>
      </c>
      <c r="AV60" s="310" t="str">
        <f>_xlfn.IFNA(VLOOKUP($AH60,Programma!$F$3:$T$1107,15,0),"")</f>
        <v>2j</v>
      </c>
      <c r="AW60" s="310" t="str">
        <f>_xlfn.IFNA(VLOOKUP($AH60,Programma!$F$3:$U$1107,16,0),"")</f>
        <v>1j</v>
      </c>
      <c r="AX60" s="310" t="str">
        <f>_xlfn.IFNA(VLOOKUP($AH60,Programma!$F$3:$V$1107,17,0),"")</f>
        <v>_</v>
      </c>
      <c r="AY60" s="310" t="str">
        <f>_xlfn.IFNA(VLOOKUP($AH60,Programma!$F$3:$W$1107,18,0),"")</f>
        <v>_</v>
      </c>
      <c r="AZ60" s="310" t="str">
        <f>_xlfn.IFNA(VLOOKUP($AH60,Programma!$F$3:$X$1107,19,0),"")</f>
        <v>_</v>
      </c>
      <c r="BA60" s="310" t="str">
        <f>_xlfn.IFNA(VLOOKUP($AH60,Programma!$F$3:$Y$1107,20,0),"")</f>
        <v>_</v>
      </c>
      <c r="BB60" s="273"/>
      <c r="BC60" s="272" t="str">
        <f>IF(Ruimtestaat[[#This Row],[Frequentie weekend]]="","",_xlfn.CONCAT(Ruimtestaat[[#This Row],[Ruimte code]],"-",Ruimtestaat[[#This Row],[Frequentie weekend]]," ",Ruimtestaat[[#This Row],[Vloer code]]))</f>
        <v/>
      </c>
      <c r="BD60" s="310" t="str">
        <f>_xlfn.IFNA(VLOOKUP($BC60,Programma!$F$3:$G$1107,2,0),"")</f>
        <v/>
      </c>
      <c r="BE60" s="310" t="str">
        <f>_xlfn.IFNA(VLOOKUP($BC60,Programma!$F$3:$H$1107,3,0),"")</f>
        <v/>
      </c>
      <c r="BF60" s="310" t="str">
        <f>_xlfn.IFNA(VLOOKUP($BC60,Programma!$F$3:$I$1107,4,0),"")</f>
        <v/>
      </c>
      <c r="BG60" s="310" t="str">
        <f>_xlfn.IFNA(VLOOKUP($BC60,Programma!$F$3:$J$1107,5,0),"")</f>
        <v/>
      </c>
      <c r="BH60" s="310" t="str">
        <f>_xlfn.IFNA(VLOOKUP($BC60,Programma!$F$3:$K$1107,6,0),"")</f>
        <v/>
      </c>
      <c r="BI60" s="310" t="str">
        <f>_xlfn.IFNA(VLOOKUP($BC60,Programma!$F$3:$L$1107,7,0),"")</f>
        <v/>
      </c>
      <c r="BJ60" s="310" t="str">
        <f>_xlfn.IFNA(VLOOKUP($BC60,Programma!$F$3:$M$1107,8,0),"")</f>
        <v/>
      </c>
      <c r="BK60" s="310" t="str">
        <f>_xlfn.IFNA(VLOOKUP($BC60,Programma!$F$3:$N$1107,9,0),"")</f>
        <v/>
      </c>
      <c r="BL60" s="310" t="str">
        <f>_xlfn.IFNA(VLOOKUP($BC60,Programma!$F$3:$O$1107,10,0),"")</f>
        <v/>
      </c>
      <c r="BM60" s="310" t="str">
        <f>_xlfn.IFNA(VLOOKUP($BC60,Programma!$F$3:$P$1107,11,0),"")</f>
        <v/>
      </c>
      <c r="BN60" s="310" t="str">
        <f>_xlfn.IFNA(VLOOKUP($BC60,Programma!$F$3:$Q$1107,12,0),"")</f>
        <v/>
      </c>
      <c r="BO60" s="310" t="str">
        <f>_xlfn.IFNA(VLOOKUP($BC60,Programma!$F$3:$R$1107,13,0),"")</f>
        <v/>
      </c>
      <c r="BP60" s="310" t="str">
        <f>_xlfn.IFNA(VLOOKUP($BC60,Programma!$F$3:$S$1107,14,0),"")</f>
        <v/>
      </c>
      <c r="BQ60" s="310" t="str">
        <f>_xlfn.IFNA(VLOOKUP($BC60,Programma!$F$3:$T$1107,15,0),"")</f>
        <v/>
      </c>
      <c r="BR60" s="310" t="str">
        <f>_xlfn.IFNA(VLOOKUP($BC60,Programma!$F$3:$U$1107,16,0),"")</f>
        <v/>
      </c>
      <c r="BS60" s="310" t="str">
        <f>_xlfn.IFNA(VLOOKUP($BC60,Programma!$F$3:$V$1107,17,0),"")</f>
        <v/>
      </c>
      <c r="BT60" s="310" t="str">
        <f>_xlfn.IFNA(VLOOKUP($BC60,Programma!$F$3:$W$1107,18,0),"")</f>
        <v/>
      </c>
      <c r="BU60" s="310" t="str">
        <f>_xlfn.IFNA(VLOOKUP($BC60,Programma!$F$3:$X$1107,19,0),"")</f>
        <v/>
      </c>
      <c r="BV60" s="310" t="str">
        <f>_xlfn.IFNA(VLOOKUP($BC60,Programma!$F$3:$Y$1107,20,0),"")</f>
        <v/>
      </c>
    </row>
    <row r="61" spans="1:74" ht="15" customHeight="1">
      <c r="A61" s="33">
        <v>1</v>
      </c>
      <c r="B61" s="173" t="s">
        <v>1619</v>
      </c>
      <c r="C61" s="173" t="str">
        <f>VLOOKUP(Ruimtestaat[[#This Row],[Code]],Locaties[[#All],[Code]:[Adres]],4,FALSE)</f>
        <v>Stationslaan 26</v>
      </c>
      <c r="D61" s="173" t="str">
        <f>VLOOKUP(Ruimtestaat[[#This Row],[Code]],Locaties[[#All],[Code]:[Postcode]],5,FALSE)</f>
        <v>3842 LA</v>
      </c>
      <c r="E61" s="173" t="str">
        <f>VLOOKUP(Ruimtestaat[[#This Row],[Code]],Locaties[#All],6,FALSE)</f>
        <v>Harderwijk</v>
      </c>
      <c r="F61" s="21" t="s">
        <v>1622</v>
      </c>
      <c r="G61" s="33" t="s">
        <v>1614</v>
      </c>
      <c r="H61" s="311"/>
      <c r="I61" s="312" t="s">
        <v>1766</v>
      </c>
      <c r="J61" s="21">
        <v>6</v>
      </c>
      <c r="K61" s="69" t="str">
        <f>VLOOKUP(Ruimtestaat[[#This Row],[Ruimte code]],Ruimtegroepen[[#All],[Code]:[Ruimte omschrijving]],2,FALSE)</f>
        <v>Gangen/hallen</v>
      </c>
      <c r="L61" s="33" t="s">
        <v>100</v>
      </c>
      <c r="M61" s="312" t="s">
        <v>1803</v>
      </c>
      <c r="N61" s="148">
        <v>27</v>
      </c>
      <c r="O61" s="150"/>
      <c r="P61" s="134" t="str">
        <f>VLOOKUP(Ruimtestaat[[#This Row],[Ruimte code]],Ruimtegroepen[],4,FALSE)</f>
        <v>Ve</v>
      </c>
      <c r="Q61" s="33">
        <v>40</v>
      </c>
      <c r="R61" s="33" t="s">
        <v>2</v>
      </c>
      <c r="S61" s="33">
        <f>IF(Q61&gt;0,IF(RIGHT(Ruimtestaat[[#This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1" s="33">
        <f>IF(S61&gt;0,VLOOKUP($J61,Ruimtegroepen[],3,FALSE)*VLOOKUP($L61,Vloersoorten[],3,FALSE)*VLOOKUP($R61,Frequenties[],3,FALSE)*VLOOKUP($A61,Locaties[],3,FALSE),0)</f>
        <v>0</v>
      </c>
      <c r="U61" s="33">
        <f>Ruimtestaat[[#This Row],[Uitvoeringen werkdagen]]*Ruimtestaat[[#This Row],[Oppervlak (netto)]]</f>
        <v>5400</v>
      </c>
      <c r="V61" s="170">
        <f>IF(T61&gt;0,Ruimtestaat[[#This Row],[Prest. (m2 /jaar) werkdagen]]/Ruimtestaat[[#This Row],[Norm (m2/uur) werkdagen]],0)</f>
        <v>0</v>
      </c>
      <c r="W61" s="171">
        <f>Ruimtestaat[[#This Row],[uren / jaar werkdagen]]*Tariefsopbouw!$E$35</f>
        <v>0</v>
      </c>
      <c r="X61" s="33"/>
      <c r="Y61" s="33">
        <f>IF(Ruimtestaat[[#This Row],[Frequentie weekend]]&gt;0,VALUE(LEFT(X61,1))*Q61,0)</f>
        <v>0</v>
      </c>
      <c r="Z61" s="104">
        <f>IF($Y61&gt;0,VLOOKUP($J61,Ruimtegroepen[],3,FALSE)*VLOOKUP($L61,Vloersoorten[],3,FALSE)*VLOOKUP($X61,Frequenties[],3,FALSE)*VLOOKUP(Ruimtestaat[[#This Row],[Code]],Locaties[],3,FALSE),0)</f>
        <v>0</v>
      </c>
      <c r="AA61" s="104">
        <f>Ruimtestaat[[#This Row],[Uitvoeringen weekend]]*Ruimtestaat[[#This Row],[Oppervlak (netto)]]</f>
        <v>0</v>
      </c>
      <c r="AB61" s="104">
        <f>IF(Z61&gt;0,Ruimtestaat[[#This Row],[Prest. (m2 /jaar) weekend]]/Ruimtestaat[[#This Row],[Norm (m2/uur) weekend]],0)</f>
        <v>0</v>
      </c>
      <c r="AC61" s="171">
        <f>Ruimtestaat[[#This Row],[uren / jaar weekend]]*Tariefsopbouw!$D$40</f>
        <v>0</v>
      </c>
      <c r="AD61" s="170">
        <f>Ruimtestaat[[#This Row],[Prest. (m2 /jaar) weekend]]+Ruimtestaat[[#This Row],[Prest. (m2 /jaar) werkdagen]]</f>
        <v>5400</v>
      </c>
      <c r="AE61" s="170">
        <f>Ruimtestaat[[#This Row],[uren / jaar weekend]]+Ruimtestaat[[#This Row],[uren / jaar werkdagen]]</f>
        <v>0</v>
      </c>
      <c r="AF61" s="76">
        <f>Ruimtestaat[[#This Row],[kosten / jaar weekend]]+Ruimtestaat[[#This Row],[kosten / jaar werkdagen]]</f>
        <v>0</v>
      </c>
      <c r="AG61" s="76"/>
      <c r="AH61" s="272" t="str">
        <f>IF(Ruimtestaat[[#This Row],[Frequentie werkdagen]]="","",_xlfn.CONCAT(Ruimtestaat[[#This Row],[Ruimte code]],"-",Ruimtestaat[[#This Row],[Frequentie werkdagen]]," ",Ruimtestaat[[#This Row],[Vloer code]]))</f>
        <v>6-5w T</v>
      </c>
      <c r="AI61" s="310" t="str">
        <f>_xlfn.IFNA(VLOOKUP($AH61,Programma!$F$3:$G$1107,2,0),"")</f>
        <v>_</v>
      </c>
      <c r="AJ61" s="310" t="str">
        <f>_xlfn.IFNA(VLOOKUP($AH61,Programma!$F$3:$H$1107,3,0),"")</f>
        <v>5w</v>
      </c>
      <c r="AK61" s="310" t="str">
        <f>_xlfn.IFNA(VLOOKUP($AH61,Programma!$F$3:$I$1107,4,0),"")</f>
        <v>_</v>
      </c>
      <c r="AL61" s="310" t="str">
        <f>_xlfn.IFNA(VLOOKUP($AH61,Programma!$F$3:$J$1107,5,0),"")</f>
        <v>_</v>
      </c>
      <c r="AM61" s="310" t="str">
        <f>_xlfn.IFNA(VLOOKUP($AH61,Programma!$F$3:$K$1107,6,0),"")</f>
        <v>_</v>
      </c>
      <c r="AN61" s="310" t="str">
        <f>_xlfn.IFNA(VLOOKUP($AH61,Programma!$F$3:$L$1107,7,0),"")</f>
        <v>_</v>
      </c>
      <c r="AO61" s="310" t="str">
        <f>_xlfn.IFNA(VLOOKUP($AH61,Programma!$F$3:$M$1107,8,0),"")</f>
        <v>_</v>
      </c>
      <c r="AP61" s="310" t="str">
        <f>_xlfn.IFNA(VLOOKUP($AH61,Programma!$F$3:$N$1107,9,0),"")</f>
        <v>_</v>
      </c>
      <c r="AQ61" s="310" t="str">
        <f>_xlfn.IFNA(VLOOKUP($AH61,Programma!$F$3:$O$1107,10,0),"")</f>
        <v>5w</v>
      </c>
      <c r="AR61" s="310" t="str">
        <f>_xlfn.IFNA(VLOOKUP($AH61,Programma!$F$3:$P$1107,11,0),"")</f>
        <v>5w</v>
      </c>
      <c r="AS61" s="310" t="str">
        <f>_xlfn.IFNA(VLOOKUP($AH61,Programma!$F$3:$Q$1107,12,0),"")</f>
        <v>1w</v>
      </c>
      <c r="AT61" s="310" t="str">
        <f>_xlfn.IFNA(VLOOKUP($AH61,Programma!$F$3:$R$1107,13,0),"")</f>
        <v>1w</v>
      </c>
      <c r="AU61" s="310" t="str">
        <f>_xlfn.IFNA(VLOOKUP($AH61,Programma!$F$3:$S$1107,14,0),"")</f>
        <v>1m</v>
      </c>
      <c r="AV61" s="310" t="str">
        <f>_xlfn.IFNA(VLOOKUP($AH61,Programma!$F$3:$T$1107,15,0),"")</f>
        <v>2j</v>
      </c>
      <c r="AW61" s="310" t="str">
        <f>_xlfn.IFNA(VLOOKUP($AH61,Programma!$F$3:$U$1107,16,0),"")</f>
        <v>1j</v>
      </c>
      <c r="AX61" s="310" t="str">
        <f>_xlfn.IFNA(VLOOKUP($AH61,Programma!$F$3:$V$1107,17,0),"")</f>
        <v>_</v>
      </c>
      <c r="AY61" s="310" t="str">
        <f>_xlfn.IFNA(VLOOKUP($AH61,Programma!$F$3:$W$1107,18,0),"")</f>
        <v>_</v>
      </c>
      <c r="AZ61" s="310" t="str">
        <f>_xlfn.IFNA(VLOOKUP($AH61,Programma!$F$3:$X$1107,19,0),"")</f>
        <v>_</v>
      </c>
      <c r="BA61" s="310" t="str">
        <f>_xlfn.IFNA(VLOOKUP($AH61,Programma!$F$3:$Y$1107,20,0),"")</f>
        <v>_</v>
      </c>
      <c r="BB61" s="273"/>
      <c r="BC61" s="272" t="str">
        <f>IF(Ruimtestaat[[#This Row],[Frequentie weekend]]="","",_xlfn.CONCAT(Ruimtestaat[[#This Row],[Ruimte code]],"-",Ruimtestaat[[#This Row],[Frequentie weekend]]," ",Ruimtestaat[[#This Row],[Vloer code]]))</f>
        <v/>
      </c>
      <c r="BD61" s="310" t="str">
        <f>_xlfn.IFNA(VLOOKUP($BC61,Programma!$F$3:$G$1107,2,0),"")</f>
        <v/>
      </c>
      <c r="BE61" s="310" t="str">
        <f>_xlfn.IFNA(VLOOKUP($BC61,Programma!$F$3:$H$1107,3,0),"")</f>
        <v/>
      </c>
      <c r="BF61" s="310" t="str">
        <f>_xlfn.IFNA(VLOOKUP($BC61,Programma!$F$3:$I$1107,4,0),"")</f>
        <v/>
      </c>
      <c r="BG61" s="310" t="str">
        <f>_xlfn.IFNA(VLOOKUP($BC61,Programma!$F$3:$J$1107,5,0),"")</f>
        <v/>
      </c>
      <c r="BH61" s="310" t="str">
        <f>_xlfn.IFNA(VLOOKUP($BC61,Programma!$F$3:$K$1107,6,0),"")</f>
        <v/>
      </c>
      <c r="BI61" s="310" t="str">
        <f>_xlfn.IFNA(VLOOKUP($BC61,Programma!$F$3:$L$1107,7,0),"")</f>
        <v/>
      </c>
      <c r="BJ61" s="310" t="str">
        <f>_xlfn.IFNA(VLOOKUP($BC61,Programma!$F$3:$M$1107,8,0),"")</f>
        <v/>
      </c>
      <c r="BK61" s="310" t="str">
        <f>_xlfn.IFNA(VLOOKUP($BC61,Programma!$F$3:$N$1107,9,0),"")</f>
        <v/>
      </c>
      <c r="BL61" s="310" t="str">
        <f>_xlfn.IFNA(VLOOKUP($BC61,Programma!$F$3:$O$1107,10,0),"")</f>
        <v/>
      </c>
      <c r="BM61" s="310" t="str">
        <f>_xlfn.IFNA(VLOOKUP($BC61,Programma!$F$3:$P$1107,11,0),"")</f>
        <v/>
      </c>
      <c r="BN61" s="310" t="str">
        <f>_xlfn.IFNA(VLOOKUP($BC61,Programma!$F$3:$Q$1107,12,0),"")</f>
        <v/>
      </c>
      <c r="BO61" s="310" t="str">
        <f>_xlfn.IFNA(VLOOKUP($BC61,Programma!$F$3:$R$1107,13,0),"")</f>
        <v/>
      </c>
      <c r="BP61" s="310" t="str">
        <f>_xlfn.IFNA(VLOOKUP($BC61,Programma!$F$3:$S$1107,14,0),"")</f>
        <v/>
      </c>
      <c r="BQ61" s="310" t="str">
        <f>_xlfn.IFNA(VLOOKUP($BC61,Programma!$F$3:$T$1107,15,0),"")</f>
        <v/>
      </c>
      <c r="BR61" s="310" t="str">
        <f>_xlfn.IFNA(VLOOKUP($BC61,Programma!$F$3:$U$1107,16,0),"")</f>
        <v/>
      </c>
      <c r="BS61" s="310" t="str">
        <f>_xlfn.IFNA(VLOOKUP($BC61,Programma!$F$3:$V$1107,17,0),"")</f>
        <v/>
      </c>
      <c r="BT61" s="310" t="str">
        <f>_xlfn.IFNA(VLOOKUP($BC61,Programma!$F$3:$W$1107,18,0),"")</f>
        <v/>
      </c>
      <c r="BU61" s="310" t="str">
        <f>_xlfn.IFNA(VLOOKUP($BC61,Programma!$F$3:$X$1107,19,0),"")</f>
        <v/>
      </c>
      <c r="BV61" s="310" t="str">
        <f>_xlfn.IFNA(VLOOKUP($BC61,Programma!$F$3:$Y$1107,20,0),"")</f>
        <v/>
      </c>
    </row>
    <row r="62" spans="1:74" ht="15" customHeight="1">
      <c r="A62" s="33">
        <v>1</v>
      </c>
      <c r="B62" s="173" t="s">
        <v>1619</v>
      </c>
      <c r="C62" s="173" t="str">
        <f>VLOOKUP(Ruimtestaat[[#This Row],[Code]],Locaties[[#All],[Code]:[Adres]],4,FALSE)</f>
        <v>Stationslaan 26</v>
      </c>
      <c r="D62" s="173" t="str">
        <f>VLOOKUP(Ruimtestaat[[#This Row],[Code]],Locaties[[#All],[Code]:[Postcode]],5,FALSE)</f>
        <v>3842 LA</v>
      </c>
      <c r="E62" s="173" t="str">
        <f>VLOOKUP(Ruimtestaat[[#This Row],[Code]],Locaties[#All],6,FALSE)</f>
        <v>Harderwijk</v>
      </c>
      <c r="F62" s="21" t="s">
        <v>1623</v>
      </c>
      <c r="G62" s="33"/>
      <c r="H62" s="311"/>
      <c r="I62" s="312" t="s">
        <v>1786</v>
      </c>
      <c r="J62" s="21">
        <v>11</v>
      </c>
      <c r="K62" s="69" t="str">
        <f>VLOOKUP(Ruimtestaat[[#This Row],[Ruimte code]],Ruimtegroepen[[#All],[Code]:[Ruimte omschrijving]],2,FALSE)</f>
        <v>Garderobes</v>
      </c>
      <c r="L62" s="33" t="s">
        <v>102</v>
      </c>
      <c r="M62" s="312" t="s">
        <v>1805</v>
      </c>
      <c r="N62" s="148">
        <v>125</v>
      </c>
      <c r="O62" s="150"/>
      <c r="P62" s="134" t="str">
        <f>VLOOKUP(Ruimtestaat[[#This Row],[Ruimte code]],Ruimtegroepen[],4,FALSE)</f>
        <v>Ve</v>
      </c>
      <c r="Q62" s="33">
        <v>40</v>
      </c>
      <c r="R62" s="33" t="s">
        <v>15</v>
      </c>
      <c r="S62" s="33">
        <f>IF(Q62&gt;0,IF(RIGHT(Ruimtestaat[[#This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62" s="33">
        <f>IF(S62&gt;0,VLOOKUP($J62,Ruimtegroepen[],3,FALSE)*VLOOKUP($L62,Vloersoorten[],3,FALSE)*VLOOKUP($R62,Frequenties[],3,FALSE)*VLOOKUP($A62,Locaties[],3,FALSE),0)</f>
        <v>0</v>
      </c>
      <c r="U62" s="33">
        <f>Ruimtestaat[[#This Row],[Uitvoeringen werkdagen]]*Ruimtestaat[[#This Row],[Oppervlak (netto)]]</f>
        <v>5000</v>
      </c>
      <c r="V62" s="170">
        <f>IF(T62&gt;0,Ruimtestaat[[#This Row],[Prest. (m2 /jaar) werkdagen]]/Ruimtestaat[[#This Row],[Norm (m2/uur) werkdagen]],0)</f>
        <v>0</v>
      </c>
      <c r="W62" s="171">
        <f>Ruimtestaat[[#This Row],[uren / jaar werkdagen]]*Tariefsopbouw!$E$35</f>
        <v>0</v>
      </c>
      <c r="X62" s="33"/>
      <c r="Y62" s="33">
        <f>IF(Ruimtestaat[[#This Row],[Frequentie weekend]]&gt;0,VALUE(LEFT(X62,1))*Q62,0)</f>
        <v>0</v>
      </c>
      <c r="Z62" s="104">
        <f>IF($Y62&gt;0,VLOOKUP($J62,Ruimtegroepen[],3,FALSE)*VLOOKUP($L62,Vloersoorten[],3,FALSE)*VLOOKUP($X62,Frequenties[],3,FALSE)*VLOOKUP(Ruimtestaat[[#This Row],[Code]],Locaties[],3,FALSE),0)</f>
        <v>0</v>
      </c>
      <c r="AA62" s="104">
        <f>Ruimtestaat[[#This Row],[Uitvoeringen weekend]]*Ruimtestaat[[#This Row],[Oppervlak (netto)]]</f>
        <v>0</v>
      </c>
      <c r="AB62" s="104">
        <f>IF(Z62&gt;0,Ruimtestaat[[#This Row],[Prest. (m2 /jaar) weekend]]/Ruimtestaat[[#This Row],[Norm (m2/uur) weekend]],0)</f>
        <v>0</v>
      </c>
      <c r="AC62" s="171">
        <f>Ruimtestaat[[#This Row],[uren / jaar weekend]]*Tariefsopbouw!$D$40</f>
        <v>0</v>
      </c>
      <c r="AD62" s="170">
        <f>Ruimtestaat[[#This Row],[Prest. (m2 /jaar) weekend]]+Ruimtestaat[[#This Row],[Prest. (m2 /jaar) werkdagen]]</f>
        <v>5000</v>
      </c>
      <c r="AE62" s="170">
        <f>Ruimtestaat[[#This Row],[uren / jaar weekend]]+Ruimtestaat[[#This Row],[uren / jaar werkdagen]]</f>
        <v>0</v>
      </c>
      <c r="AF62" s="76">
        <f>Ruimtestaat[[#This Row],[kosten / jaar weekend]]+Ruimtestaat[[#This Row],[kosten / jaar werkdagen]]</f>
        <v>0</v>
      </c>
      <c r="AG62" s="76"/>
      <c r="AH62" s="272" t="str">
        <f>IF(Ruimtestaat[[#This Row],[Frequentie werkdagen]]="","",_xlfn.CONCAT(Ruimtestaat[[#This Row],[Ruimte code]],"-",Ruimtestaat[[#This Row],[Frequentie werkdagen]]," ",Ruimtestaat[[#This Row],[Vloer code]]))</f>
        <v>11-1w S</v>
      </c>
      <c r="AI62" s="310" t="str">
        <f>_xlfn.IFNA(VLOOKUP($AH62,Programma!$F$3:$G$1107,2,0),"")</f>
        <v>_</v>
      </c>
      <c r="AJ62" s="310" t="str">
        <f>_xlfn.IFNA(VLOOKUP($AH62,Programma!$F$3:$H$1107,3,0),"")</f>
        <v>_</v>
      </c>
      <c r="AK62" s="310" t="str">
        <f>_xlfn.IFNA(VLOOKUP($AH62,Programma!$F$3:$I$1107,4,0),"")</f>
        <v>_</v>
      </c>
      <c r="AL62" s="310" t="str">
        <f>_xlfn.IFNA(VLOOKUP($AH62,Programma!$F$3:$J$1107,5,0),"")</f>
        <v>1w</v>
      </c>
      <c r="AM62" s="310" t="str">
        <f>_xlfn.IFNA(VLOOKUP($AH62,Programma!$F$3:$K$1107,6,0),"")</f>
        <v>4j</v>
      </c>
      <c r="AN62" s="310" t="str">
        <f>_xlfn.IFNA(VLOOKUP($AH62,Programma!$F$3:$L$1107,7,0),"")</f>
        <v>_</v>
      </c>
      <c r="AO62" s="310" t="str">
        <f>_xlfn.IFNA(VLOOKUP($AH62,Programma!$F$3:$M$1107,8,0),"")</f>
        <v>_</v>
      </c>
      <c r="AP62" s="310" t="str">
        <f>_xlfn.IFNA(VLOOKUP($AH62,Programma!$F$3:$N$1107,9,0),"")</f>
        <v>_</v>
      </c>
      <c r="AQ62" s="310" t="str">
        <f>_xlfn.IFNA(VLOOKUP($AH62,Programma!$F$3:$O$1107,10,0),"")</f>
        <v>1w</v>
      </c>
      <c r="AR62" s="310" t="str">
        <f>_xlfn.IFNA(VLOOKUP($AH62,Programma!$F$3:$P$1107,11,0),"")</f>
        <v>1w</v>
      </c>
      <c r="AS62" s="310" t="str">
        <f>_xlfn.IFNA(VLOOKUP($AH62,Programma!$F$3:$Q$1107,12,0),"")</f>
        <v>1w</v>
      </c>
      <c r="AT62" s="310" t="str">
        <f>_xlfn.IFNA(VLOOKUP($AH62,Programma!$F$3:$R$1107,13,0),"")</f>
        <v>1w</v>
      </c>
      <c r="AU62" s="310" t="str">
        <f>_xlfn.IFNA(VLOOKUP($AH62,Programma!$F$3:$S$1107,14,0),"")</f>
        <v>1m</v>
      </c>
      <c r="AV62" s="310" t="str">
        <f>_xlfn.IFNA(VLOOKUP($AH62,Programma!$F$3:$T$1107,15,0),"")</f>
        <v>2j</v>
      </c>
      <c r="AW62" s="310" t="str">
        <f>_xlfn.IFNA(VLOOKUP($AH62,Programma!$F$3:$U$1107,16,0),"")</f>
        <v>1j</v>
      </c>
      <c r="AX62" s="310" t="str">
        <f>_xlfn.IFNA(VLOOKUP($AH62,Programma!$F$3:$V$1107,17,0),"")</f>
        <v>_</v>
      </c>
      <c r="AY62" s="310" t="str">
        <f>_xlfn.IFNA(VLOOKUP($AH62,Programma!$F$3:$W$1107,18,0),"")</f>
        <v>_</v>
      </c>
      <c r="AZ62" s="310" t="str">
        <f>_xlfn.IFNA(VLOOKUP($AH62,Programma!$F$3:$X$1107,19,0),"")</f>
        <v>_</v>
      </c>
      <c r="BA62" s="310" t="str">
        <f>_xlfn.IFNA(VLOOKUP($AH62,Programma!$F$3:$Y$1107,20,0),"")</f>
        <v>_</v>
      </c>
      <c r="BB62" s="273"/>
      <c r="BC62" s="272" t="str">
        <f>IF(Ruimtestaat[[#This Row],[Frequentie weekend]]="","",_xlfn.CONCAT(Ruimtestaat[[#This Row],[Ruimte code]],"-",Ruimtestaat[[#This Row],[Frequentie weekend]]," ",Ruimtestaat[[#This Row],[Vloer code]]))</f>
        <v/>
      </c>
      <c r="BD62" s="310" t="str">
        <f>_xlfn.IFNA(VLOOKUP($BC62,Programma!$F$3:$G$1107,2,0),"")</f>
        <v/>
      </c>
      <c r="BE62" s="310" t="str">
        <f>_xlfn.IFNA(VLOOKUP($BC62,Programma!$F$3:$H$1107,3,0),"")</f>
        <v/>
      </c>
      <c r="BF62" s="310" t="str">
        <f>_xlfn.IFNA(VLOOKUP($BC62,Programma!$F$3:$I$1107,4,0),"")</f>
        <v/>
      </c>
      <c r="BG62" s="310" t="str">
        <f>_xlfn.IFNA(VLOOKUP($BC62,Programma!$F$3:$J$1107,5,0),"")</f>
        <v/>
      </c>
      <c r="BH62" s="310" t="str">
        <f>_xlfn.IFNA(VLOOKUP($BC62,Programma!$F$3:$K$1107,6,0),"")</f>
        <v/>
      </c>
      <c r="BI62" s="310" t="str">
        <f>_xlfn.IFNA(VLOOKUP($BC62,Programma!$F$3:$L$1107,7,0),"")</f>
        <v/>
      </c>
      <c r="BJ62" s="310" t="str">
        <f>_xlfn.IFNA(VLOOKUP($BC62,Programma!$F$3:$M$1107,8,0),"")</f>
        <v/>
      </c>
      <c r="BK62" s="310" t="str">
        <f>_xlfn.IFNA(VLOOKUP($BC62,Programma!$F$3:$N$1107,9,0),"")</f>
        <v/>
      </c>
      <c r="BL62" s="310" t="str">
        <f>_xlfn.IFNA(VLOOKUP($BC62,Programma!$F$3:$O$1107,10,0),"")</f>
        <v/>
      </c>
      <c r="BM62" s="310" t="str">
        <f>_xlfn.IFNA(VLOOKUP($BC62,Programma!$F$3:$P$1107,11,0),"")</f>
        <v/>
      </c>
      <c r="BN62" s="310" t="str">
        <f>_xlfn.IFNA(VLOOKUP($BC62,Programma!$F$3:$Q$1107,12,0),"")</f>
        <v/>
      </c>
      <c r="BO62" s="310" t="str">
        <f>_xlfn.IFNA(VLOOKUP($BC62,Programma!$F$3:$R$1107,13,0),"")</f>
        <v/>
      </c>
      <c r="BP62" s="310" t="str">
        <f>_xlfn.IFNA(VLOOKUP($BC62,Programma!$F$3:$S$1107,14,0),"")</f>
        <v/>
      </c>
      <c r="BQ62" s="310" t="str">
        <f>_xlfn.IFNA(VLOOKUP($BC62,Programma!$F$3:$T$1107,15,0),"")</f>
        <v/>
      </c>
      <c r="BR62" s="310" t="str">
        <f>_xlfn.IFNA(VLOOKUP($BC62,Programma!$F$3:$U$1107,16,0),"")</f>
        <v/>
      </c>
      <c r="BS62" s="310" t="str">
        <f>_xlfn.IFNA(VLOOKUP($BC62,Programma!$F$3:$V$1107,17,0),"")</f>
        <v/>
      </c>
      <c r="BT62" s="310" t="str">
        <f>_xlfn.IFNA(VLOOKUP($BC62,Programma!$F$3:$W$1107,18,0),"")</f>
        <v/>
      </c>
      <c r="BU62" s="310" t="str">
        <f>_xlfn.IFNA(VLOOKUP($BC62,Programma!$F$3:$X$1107,19,0),"")</f>
        <v/>
      </c>
      <c r="BV62" s="310" t="str">
        <f>_xlfn.IFNA(VLOOKUP($BC62,Programma!$F$3:$Y$1107,20,0),"")</f>
        <v/>
      </c>
    </row>
    <row r="63" spans="1:74" ht="15" customHeight="1">
      <c r="A63" s="33">
        <v>1</v>
      </c>
      <c r="B63" s="173" t="s">
        <v>1619</v>
      </c>
      <c r="C63" s="173" t="str">
        <f>VLOOKUP(Ruimtestaat[[#This Row],[Code]],Locaties[[#All],[Code]:[Adres]],4,FALSE)</f>
        <v>Stationslaan 26</v>
      </c>
      <c r="D63" s="173" t="str">
        <f>VLOOKUP(Ruimtestaat[[#This Row],[Code]],Locaties[[#All],[Code]:[Postcode]],5,FALSE)</f>
        <v>3842 LA</v>
      </c>
      <c r="E63" s="173" t="str">
        <f>VLOOKUP(Ruimtestaat[[#This Row],[Code]],Locaties[#All],6,FALSE)</f>
        <v>Harderwijk</v>
      </c>
      <c r="F63" s="21" t="s">
        <v>1623</v>
      </c>
      <c r="G63" s="33"/>
      <c r="H63" s="311" t="s">
        <v>1678</v>
      </c>
      <c r="I63" s="312" t="s">
        <v>1783</v>
      </c>
      <c r="J63" s="21">
        <v>20</v>
      </c>
      <c r="K63" s="69" t="str">
        <f>VLOOKUP(Ruimtestaat[[#This Row],[Ruimte code]],Ruimtegroepen[[#All],[Code]:[Ruimte omschrijving]],2,FALSE)</f>
        <v>Niet in Onderhoud</v>
      </c>
      <c r="L63" s="33" t="s">
        <v>102</v>
      </c>
      <c r="M63" s="312" t="s">
        <v>1805</v>
      </c>
      <c r="N63" s="148"/>
      <c r="O63" s="33"/>
      <c r="P63" s="134">
        <f>VLOOKUP(Ruimtestaat[[#This Row],[Ruimte code]],Ruimtegroepen[],4,FALSE)</f>
        <v>0</v>
      </c>
      <c r="Q63" s="33"/>
      <c r="R63" s="33"/>
      <c r="S63" s="33">
        <f>IF(Q63&gt;0,IF(RIGHT(Ruimtestaat[[#This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3" s="33">
        <f>IF(S63&gt;0,VLOOKUP($J63,Ruimtegroepen[],3,FALSE)*VLOOKUP($L63,Vloersoorten[],3,FALSE)*VLOOKUP($R63,Frequenties[],3,FALSE)*VLOOKUP($A63,Locaties[],3,FALSE),0)</f>
        <v>0</v>
      </c>
      <c r="U63" s="33">
        <f>Ruimtestaat[[#This Row],[Uitvoeringen werkdagen]]*Ruimtestaat[[#This Row],[Oppervlak (netto)]]</f>
        <v>0</v>
      </c>
      <c r="V63" s="170">
        <f>IF(T63&gt;0,Ruimtestaat[[#This Row],[Prest. (m2 /jaar) werkdagen]]/Ruimtestaat[[#This Row],[Norm (m2/uur) werkdagen]],0)</f>
        <v>0</v>
      </c>
      <c r="W63" s="171">
        <f>Ruimtestaat[[#This Row],[uren / jaar werkdagen]]*Tariefsopbouw!$E$35</f>
        <v>0</v>
      </c>
      <c r="X63" s="33"/>
      <c r="Y63" s="33">
        <f>IF(Ruimtestaat[[#This Row],[Frequentie weekend]]&gt;0,VALUE(LEFT(X63,1))*Q63,0)</f>
        <v>0</v>
      </c>
      <c r="Z63" s="104">
        <f>IF($Y63&gt;0,VLOOKUP($J63,Ruimtegroepen[],3,FALSE)*VLOOKUP($L63,Vloersoorten[],3,FALSE)*VLOOKUP($X63,Frequenties[],3,FALSE)*VLOOKUP(Ruimtestaat[[#This Row],[Code]],Locaties[],3,FALSE),0)</f>
        <v>0</v>
      </c>
      <c r="AA63" s="104">
        <f>Ruimtestaat[[#This Row],[Uitvoeringen weekend]]*Ruimtestaat[[#This Row],[Oppervlak (netto)]]</f>
        <v>0</v>
      </c>
      <c r="AB63" s="104">
        <f>IF(Z63&gt;0,Ruimtestaat[[#This Row],[Prest. (m2 /jaar) weekend]]/Ruimtestaat[[#This Row],[Norm (m2/uur) weekend]],0)</f>
        <v>0</v>
      </c>
      <c r="AC63" s="171">
        <f>Ruimtestaat[[#This Row],[uren / jaar weekend]]*Tariefsopbouw!$D$40</f>
        <v>0</v>
      </c>
      <c r="AD63" s="170">
        <f>Ruimtestaat[[#This Row],[Prest. (m2 /jaar) weekend]]+Ruimtestaat[[#This Row],[Prest. (m2 /jaar) werkdagen]]</f>
        <v>0</v>
      </c>
      <c r="AE63" s="170">
        <f>Ruimtestaat[[#This Row],[uren / jaar weekend]]+Ruimtestaat[[#This Row],[uren / jaar werkdagen]]</f>
        <v>0</v>
      </c>
      <c r="AF63" s="76">
        <f>Ruimtestaat[[#This Row],[kosten / jaar weekend]]+Ruimtestaat[[#This Row],[kosten / jaar werkdagen]]</f>
        <v>0</v>
      </c>
      <c r="AG63" s="76"/>
      <c r="AH63" s="272" t="str">
        <f>IF(Ruimtestaat[[#This Row],[Frequentie werkdagen]]="","",_xlfn.CONCAT(Ruimtestaat[[#This Row],[Ruimte code]],"-",Ruimtestaat[[#This Row],[Frequentie werkdagen]]," ",Ruimtestaat[[#This Row],[Vloer code]]))</f>
        <v/>
      </c>
      <c r="AI63" s="310" t="str">
        <f>_xlfn.IFNA(VLOOKUP($AH63,Programma!$F$3:$G$1107,2,0),"")</f>
        <v/>
      </c>
      <c r="AJ63" s="310" t="str">
        <f>_xlfn.IFNA(VLOOKUP($AH63,Programma!$F$3:$H$1107,3,0),"")</f>
        <v/>
      </c>
      <c r="AK63" s="310" t="str">
        <f>_xlfn.IFNA(VLOOKUP($AH63,Programma!$F$3:$I$1107,4,0),"")</f>
        <v/>
      </c>
      <c r="AL63" s="310" t="str">
        <f>_xlfn.IFNA(VLOOKUP($AH63,Programma!$F$3:$J$1107,5,0),"")</f>
        <v/>
      </c>
      <c r="AM63" s="310" t="str">
        <f>_xlfn.IFNA(VLOOKUP($AH63,Programma!$F$3:$K$1107,6,0),"")</f>
        <v/>
      </c>
      <c r="AN63" s="310" t="str">
        <f>_xlfn.IFNA(VLOOKUP($AH63,Programma!$F$3:$L$1107,7,0),"")</f>
        <v/>
      </c>
      <c r="AO63" s="310" t="str">
        <f>_xlfn.IFNA(VLOOKUP($AH63,Programma!$F$3:$M$1107,8,0),"")</f>
        <v/>
      </c>
      <c r="AP63" s="310" t="str">
        <f>_xlfn.IFNA(VLOOKUP($AH63,Programma!$F$3:$N$1107,9,0),"")</f>
        <v/>
      </c>
      <c r="AQ63" s="310" t="str">
        <f>_xlfn.IFNA(VLOOKUP($AH63,Programma!$F$3:$O$1107,10,0),"")</f>
        <v/>
      </c>
      <c r="AR63" s="310" t="str">
        <f>_xlfn.IFNA(VLOOKUP($AH63,Programma!$F$3:$P$1107,11,0),"")</f>
        <v/>
      </c>
      <c r="AS63" s="310" t="str">
        <f>_xlfn.IFNA(VLOOKUP($AH63,Programma!$F$3:$Q$1107,12,0),"")</f>
        <v/>
      </c>
      <c r="AT63" s="310" t="str">
        <f>_xlfn.IFNA(VLOOKUP($AH63,Programma!$F$3:$R$1107,13,0),"")</f>
        <v/>
      </c>
      <c r="AU63" s="310" t="str">
        <f>_xlfn.IFNA(VLOOKUP($AH63,Programma!$F$3:$S$1107,14,0),"")</f>
        <v/>
      </c>
      <c r="AV63" s="310" t="str">
        <f>_xlfn.IFNA(VLOOKUP($AH63,Programma!$F$3:$T$1107,15,0),"")</f>
        <v/>
      </c>
      <c r="AW63" s="310" t="str">
        <f>_xlfn.IFNA(VLOOKUP($AH63,Programma!$F$3:$U$1107,16,0),"")</f>
        <v/>
      </c>
      <c r="AX63" s="310" t="str">
        <f>_xlfn.IFNA(VLOOKUP($AH63,Programma!$F$3:$V$1107,17,0),"")</f>
        <v/>
      </c>
      <c r="AY63" s="310" t="str">
        <f>_xlfn.IFNA(VLOOKUP($AH63,Programma!$F$3:$W$1107,18,0),"")</f>
        <v/>
      </c>
      <c r="AZ63" s="310" t="str">
        <f>_xlfn.IFNA(VLOOKUP($AH63,Programma!$F$3:$X$1107,19,0),"")</f>
        <v/>
      </c>
      <c r="BA63" s="310" t="str">
        <f>_xlfn.IFNA(VLOOKUP($AH63,Programma!$F$3:$Y$1107,20,0),"")</f>
        <v/>
      </c>
      <c r="BB63" s="273"/>
      <c r="BC63" s="272" t="str">
        <f>IF(Ruimtestaat[[#This Row],[Frequentie weekend]]="","",_xlfn.CONCAT(Ruimtestaat[[#This Row],[Ruimte code]],"-",Ruimtestaat[[#This Row],[Frequentie weekend]]," ",Ruimtestaat[[#This Row],[Vloer code]]))</f>
        <v/>
      </c>
      <c r="BD63" s="310" t="str">
        <f>_xlfn.IFNA(VLOOKUP($BC63,Programma!$F$3:$G$1107,2,0),"")</f>
        <v/>
      </c>
      <c r="BE63" s="310" t="str">
        <f>_xlfn.IFNA(VLOOKUP($BC63,Programma!$F$3:$H$1107,3,0),"")</f>
        <v/>
      </c>
      <c r="BF63" s="310" t="str">
        <f>_xlfn.IFNA(VLOOKUP($BC63,Programma!$F$3:$I$1107,4,0),"")</f>
        <v/>
      </c>
      <c r="BG63" s="310" t="str">
        <f>_xlfn.IFNA(VLOOKUP($BC63,Programma!$F$3:$J$1107,5,0),"")</f>
        <v/>
      </c>
      <c r="BH63" s="310" t="str">
        <f>_xlfn.IFNA(VLOOKUP($BC63,Programma!$F$3:$K$1107,6,0),"")</f>
        <v/>
      </c>
      <c r="BI63" s="310" t="str">
        <f>_xlfn.IFNA(VLOOKUP($BC63,Programma!$F$3:$L$1107,7,0),"")</f>
        <v/>
      </c>
      <c r="BJ63" s="310" t="str">
        <f>_xlfn.IFNA(VLOOKUP($BC63,Programma!$F$3:$M$1107,8,0),"")</f>
        <v/>
      </c>
      <c r="BK63" s="310" t="str">
        <f>_xlfn.IFNA(VLOOKUP($BC63,Programma!$F$3:$N$1107,9,0),"")</f>
        <v/>
      </c>
      <c r="BL63" s="310" t="str">
        <f>_xlfn.IFNA(VLOOKUP($BC63,Programma!$F$3:$O$1107,10,0),"")</f>
        <v/>
      </c>
      <c r="BM63" s="310" t="str">
        <f>_xlfn.IFNA(VLOOKUP($BC63,Programma!$F$3:$P$1107,11,0),"")</f>
        <v/>
      </c>
      <c r="BN63" s="310" t="str">
        <f>_xlfn.IFNA(VLOOKUP($BC63,Programma!$F$3:$Q$1107,12,0),"")</f>
        <v/>
      </c>
      <c r="BO63" s="310" t="str">
        <f>_xlfn.IFNA(VLOOKUP($BC63,Programma!$F$3:$R$1107,13,0),"")</f>
        <v/>
      </c>
      <c r="BP63" s="310" t="str">
        <f>_xlfn.IFNA(VLOOKUP($BC63,Programma!$F$3:$S$1107,14,0),"")</f>
        <v/>
      </c>
      <c r="BQ63" s="310" t="str">
        <f>_xlfn.IFNA(VLOOKUP($BC63,Programma!$F$3:$T$1107,15,0),"")</f>
        <v/>
      </c>
      <c r="BR63" s="310" t="str">
        <f>_xlfn.IFNA(VLOOKUP($BC63,Programma!$F$3:$U$1107,16,0),"")</f>
        <v/>
      </c>
      <c r="BS63" s="310" t="str">
        <f>_xlfn.IFNA(VLOOKUP($BC63,Programma!$F$3:$V$1107,17,0),"")</f>
        <v/>
      </c>
      <c r="BT63" s="310" t="str">
        <f>_xlfn.IFNA(VLOOKUP($BC63,Programma!$F$3:$W$1107,18,0),"")</f>
        <v/>
      </c>
      <c r="BU63" s="310" t="str">
        <f>_xlfn.IFNA(VLOOKUP($BC63,Programma!$F$3:$X$1107,19,0),"")</f>
        <v/>
      </c>
      <c r="BV63" s="310" t="str">
        <f>_xlfn.IFNA(VLOOKUP($BC63,Programma!$F$3:$Y$1107,20,0),"")</f>
        <v/>
      </c>
    </row>
    <row r="64" spans="1:74" ht="15" customHeight="1">
      <c r="A64" s="33">
        <v>1</v>
      </c>
      <c r="B64" s="173" t="s">
        <v>1619</v>
      </c>
      <c r="C64" s="173" t="str">
        <f>VLOOKUP(Ruimtestaat[[#This Row],[Code]],Locaties[[#All],[Code]:[Adres]],4,FALSE)</f>
        <v>Stationslaan 26</v>
      </c>
      <c r="D64" s="173" t="str">
        <f>VLOOKUP(Ruimtestaat[[#This Row],[Code]],Locaties[[#All],[Code]:[Postcode]],5,FALSE)</f>
        <v>3842 LA</v>
      </c>
      <c r="E64" s="173" t="str">
        <f>VLOOKUP(Ruimtestaat[[#This Row],[Code]],Locaties[#All],6,FALSE)</f>
        <v>Harderwijk</v>
      </c>
      <c r="F64" s="21" t="s">
        <v>1623</v>
      </c>
      <c r="G64" s="33"/>
      <c r="H64" s="311" t="s">
        <v>1679</v>
      </c>
      <c r="I64" s="312" t="s">
        <v>1787</v>
      </c>
      <c r="J64" s="21">
        <v>12</v>
      </c>
      <c r="K64" s="69" t="str">
        <f>VLOOKUP(Ruimtestaat[[#This Row],[Ruimte code]],Ruimtegroepen[[#All],[Code]:[Ruimte omschrijving]],2,FALSE)</f>
        <v>Kantine/Aula</v>
      </c>
      <c r="L64" s="33" t="s">
        <v>102</v>
      </c>
      <c r="M64" s="312" t="s">
        <v>1805</v>
      </c>
      <c r="N64" s="148">
        <v>865</v>
      </c>
      <c r="O64" s="150"/>
      <c r="P64" s="134" t="str">
        <f>VLOOKUP(Ruimtestaat[[#This Row],[Ruimte code]],Ruimtegroepen[],4,FALSE)</f>
        <v>Ve</v>
      </c>
      <c r="Q64" s="33">
        <v>40</v>
      </c>
      <c r="R64" s="33" t="s">
        <v>2</v>
      </c>
      <c r="S64" s="33">
        <f>IF(Q64&gt;0,IF(RIGHT(Ruimtestaat[[#This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4" s="33">
        <f>IF(S64&gt;0,VLOOKUP($J64,Ruimtegroepen[],3,FALSE)*VLOOKUP($L64,Vloersoorten[],3,FALSE)*VLOOKUP($R64,Frequenties[],3,FALSE)*VLOOKUP($A64,Locaties[],3,FALSE),0)</f>
        <v>0</v>
      </c>
      <c r="U64" s="33">
        <f>Ruimtestaat[[#This Row],[Uitvoeringen werkdagen]]*Ruimtestaat[[#This Row],[Oppervlak (netto)]]</f>
        <v>173000</v>
      </c>
      <c r="V64" s="170">
        <f>IF(T64&gt;0,Ruimtestaat[[#This Row],[Prest. (m2 /jaar) werkdagen]]/Ruimtestaat[[#This Row],[Norm (m2/uur) werkdagen]],0)</f>
        <v>0</v>
      </c>
      <c r="W64" s="171">
        <f>Ruimtestaat[[#This Row],[uren / jaar werkdagen]]*Tariefsopbouw!$E$35</f>
        <v>0</v>
      </c>
      <c r="X64" s="33"/>
      <c r="Y64" s="33">
        <f>IF(Ruimtestaat[[#This Row],[Frequentie weekend]]&gt;0,VALUE(LEFT(X64,1))*Q64,0)</f>
        <v>0</v>
      </c>
      <c r="Z64" s="104">
        <f>IF($Y64&gt;0,VLOOKUP($J64,Ruimtegroepen[],3,FALSE)*VLOOKUP($L64,Vloersoorten[],3,FALSE)*VLOOKUP($X64,Frequenties[],3,FALSE)*VLOOKUP(Ruimtestaat[[#This Row],[Code]],Locaties[],3,FALSE),0)</f>
        <v>0</v>
      </c>
      <c r="AA64" s="104">
        <f>Ruimtestaat[[#This Row],[Uitvoeringen weekend]]*Ruimtestaat[[#This Row],[Oppervlak (netto)]]</f>
        <v>0</v>
      </c>
      <c r="AB64" s="104">
        <f>IF(Z64&gt;0,Ruimtestaat[[#This Row],[Prest. (m2 /jaar) weekend]]/Ruimtestaat[[#This Row],[Norm (m2/uur) weekend]],0)</f>
        <v>0</v>
      </c>
      <c r="AC64" s="171">
        <f>Ruimtestaat[[#This Row],[uren / jaar weekend]]*Tariefsopbouw!$D$40</f>
        <v>0</v>
      </c>
      <c r="AD64" s="170">
        <f>Ruimtestaat[[#This Row],[Prest. (m2 /jaar) weekend]]+Ruimtestaat[[#This Row],[Prest. (m2 /jaar) werkdagen]]</f>
        <v>173000</v>
      </c>
      <c r="AE64" s="170">
        <f>Ruimtestaat[[#This Row],[uren / jaar weekend]]+Ruimtestaat[[#This Row],[uren / jaar werkdagen]]</f>
        <v>0</v>
      </c>
      <c r="AF64" s="76">
        <f>Ruimtestaat[[#This Row],[kosten / jaar weekend]]+Ruimtestaat[[#This Row],[kosten / jaar werkdagen]]</f>
        <v>0</v>
      </c>
      <c r="AG64" s="76"/>
      <c r="AH64" s="272" t="str">
        <f>IF(Ruimtestaat[[#This Row],[Frequentie werkdagen]]="","",_xlfn.CONCAT(Ruimtestaat[[#This Row],[Ruimte code]],"-",Ruimtestaat[[#This Row],[Frequentie werkdagen]]," ",Ruimtestaat[[#This Row],[Vloer code]]))</f>
        <v>12-5w S</v>
      </c>
      <c r="AI64" s="310" t="str">
        <f>_xlfn.IFNA(VLOOKUP($AH64,Programma!$F$3:$G$1107,2,0),"")</f>
        <v>_</v>
      </c>
      <c r="AJ64" s="310" t="str">
        <f>_xlfn.IFNA(VLOOKUP($AH64,Programma!$F$3:$H$1107,3,0),"")</f>
        <v>_</v>
      </c>
      <c r="AK64" s="310" t="str">
        <f>_xlfn.IFNA(VLOOKUP($AH64,Programma!$F$3:$I$1107,4,0),"")</f>
        <v>5w</v>
      </c>
      <c r="AL64" s="310" t="str">
        <f>_xlfn.IFNA(VLOOKUP($AH64,Programma!$F$3:$J$1107,5,0),"")</f>
        <v>_</v>
      </c>
      <c r="AM64" s="310" t="str">
        <f>_xlfn.IFNA(VLOOKUP($AH64,Programma!$F$3:$K$1107,6,0),"")</f>
        <v>5w</v>
      </c>
      <c r="AN64" s="310" t="str">
        <f>_xlfn.IFNA(VLOOKUP($AH64,Programma!$F$3:$L$1107,7,0),"")</f>
        <v>_</v>
      </c>
      <c r="AO64" s="310" t="str">
        <f>_xlfn.IFNA(VLOOKUP($AH64,Programma!$F$3:$M$1107,8,0),"")</f>
        <v>_</v>
      </c>
      <c r="AP64" s="310" t="str">
        <f>_xlfn.IFNA(VLOOKUP($AH64,Programma!$F$3:$N$1107,9,0),"")</f>
        <v>_</v>
      </c>
      <c r="AQ64" s="310" t="str">
        <f>_xlfn.IFNA(VLOOKUP($AH64,Programma!$F$3:$O$1107,10,0),"")</f>
        <v>5w</v>
      </c>
      <c r="AR64" s="310" t="str">
        <f>_xlfn.IFNA(VLOOKUP($AH64,Programma!$F$3:$P$1107,11,0),"")</f>
        <v>5w</v>
      </c>
      <c r="AS64" s="310" t="str">
        <f>_xlfn.IFNA(VLOOKUP($AH64,Programma!$F$3:$Q$1107,12,0),"")</f>
        <v>1w</v>
      </c>
      <c r="AT64" s="310" t="str">
        <f>_xlfn.IFNA(VLOOKUP($AH64,Programma!$F$3:$R$1107,13,0),"")</f>
        <v>1w</v>
      </c>
      <c r="AU64" s="310" t="str">
        <f>_xlfn.IFNA(VLOOKUP($AH64,Programma!$F$3:$S$1107,14,0),"")</f>
        <v>1m</v>
      </c>
      <c r="AV64" s="310" t="str">
        <f>_xlfn.IFNA(VLOOKUP($AH64,Programma!$F$3:$T$1107,15,0),"")</f>
        <v>2j</v>
      </c>
      <c r="AW64" s="310" t="str">
        <f>_xlfn.IFNA(VLOOKUP($AH64,Programma!$F$3:$U$1107,16,0),"")</f>
        <v>1j</v>
      </c>
      <c r="AX64" s="310" t="str">
        <f>_xlfn.IFNA(VLOOKUP($AH64,Programma!$F$3:$V$1107,17,0),"")</f>
        <v>_</v>
      </c>
      <c r="AY64" s="310" t="str">
        <f>_xlfn.IFNA(VLOOKUP($AH64,Programma!$F$3:$W$1107,18,0),"")</f>
        <v>_</v>
      </c>
      <c r="AZ64" s="310" t="str">
        <f>_xlfn.IFNA(VLOOKUP($AH64,Programma!$F$3:$X$1107,19,0),"")</f>
        <v>_</v>
      </c>
      <c r="BA64" s="310" t="str">
        <f>_xlfn.IFNA(VLOOKUP($AH64,Programma!$F$3:$Y$1107,20,0),"")</f>
        <v>_</v>
      </c>
      <c r="BB64" s="273"/>
      <c r="BC64" s="272" t="str">
        <f>IF(Ruimtestaat[[#This Row],[Frequentie weekend]]="","",_xlfn.CONCAT(Ruimtestaat[[#This Row],[Ruimte code]],"-",Ruimtestaat[[#This Row],[Frequentie weekend]]," ",Ruimtestaat[[#This Row],[Vloer code]]))</f>
        <v/>
      </c>
      <c r="BD64" s="310" t="str">
        <f>_xlfn.IFNA(VLOOKUP($BC64,Programma!$F$3:$G$1107,2,0),"")</f>
        <v/>
      </c>
      <c r="BE64" s="310" t="str">
        <f>_xlfn.IFNA(VLOOKUP($BC64,Programma!$F$3:$H$1107,3,0),"")</f>
        <v/>
      </c>
      <c r="BF64" s="310" t="str">
        <f>_xlfn.IFNA(VLOOKUP($BC64,Programma!$F$3:$I$1107,4,0),"")</f>
        <v/>
      </c>
      <c r="BG64" s="310" t="str">
        <f>_xlfn.IFNA(VLOOKUP($BC64,Programma!$F$3:$J$1107,5,0),"")</f>
        <v/>
      </c>
      <c r="BH64" s="310" t="str">
        <f>_xlfn.IFNA(VLOOKUP($BC64,Programma!$F$3:$K$1107,6,0),"")</f>
        <v/>
      </c>
      <c r="BI64" s="310" t="str">
        <f>_xlfn.IFNA(VLOOKUP($BC64,Programma!$F$3:$L$1107,7,0),"")</f>
        <v/>
      </c>
      <c r="BJ64" s="310" t="str">
        <f>_xlfn.IFNA(VLOOKUP($BC64,Programma!$F$3:$M$1107,8,0),"")</f>
        <v/>
      </c>
      <c r="BK64" s="310" t="str">
        <f>_xlfn.IFNA(VLOOKUP($BC64,Programma!$F$3:$N$1107,9,0),"")</f>
        <v/>
      </c>
      <c r="BL64" s="310" t="str">
        <f>_xlfn.IFNA(VLOOKUP($BC64,Programma!$F$3:$O$1107,10,0),"")</f>
        <v/>
      </c>
      <c r="BM64" s="310" t="str">
        <f>_xlfn.IFNA(VLOOKUP($BC64,Programma!$F$3:$P$1107,11,0),"")</f>
        <v/>
      </c>
      <c r="BN64" s="310" t="str">
        <f>_xlfn.IFNA(VLOOKUP($BC64,Programma!$F$3:$Q$1107,12,0),"")</f>
        <v/>
      </c>
      <c r="BO64" s="310" t="str">
        <f>_xlfn.IFNA(VLOOKUP($BC64,Programma!$F$3:$R$1107,13,0),"")</f>
        <v/>
      </c>
      <c r="BP64" s="310" t="str">
        <f>_xlfn.IFNA(VLOOKUP($BC64,Programma!$F$3:$S$1107,14,0),"")</f>
        <v/>
      </c>
      <c r="BQ64" s="310" t="str">
        <f>_xlfn.IFNA(VLOOKUP($BC64,Programma!$F$3:$T$1107,15,0),"")</f>
        <v/>
      </c>
      <c r="BR64" s="310" t="str">
        <f>_xlfn.IFNA(VLOOKUP($BC64,Programma!$F$3:$U$1107,16,0),"")</f>
        <v/>
      </c>
      <c r="BS64" s="310" t="str">
        <f>_xlfn.IFNA(VLOOKUP($BC64,Programma!$F$3:$V$1107,17,0),"")</f>
        <v/>
      </c>
      <c r="BT64" s="310" t="str">
        <f>_xlfn.IFNA(VLOOKUP($BC64,Programma!$F$3:$W$1107,18,0),"")</f>
        <v/>
      </c>
      <c r="BU64" s="310" t="str">
        <f>_xlfn.IFNA(VLOOKUP($BC64,Programma!$F$3:$X$1107,19,0),"")</f>
        <v/>
      </c>
      <c r="BV64" s="310" t="str">
        <f>_xlfn.IFNA(VLOOKUP($BC64,Programma!$F$3:$Y$1107,20,0),"")</f>
        <v/>
      </c>
    </row>
    <row r="65" spans="1:74" ht="15" customHeight="1">
      <c r="A65" s="33">
        <v>1</v>
      </c>
      <c r="B65" s="173" t="s">
        <v>1619</v>
      </c>
      <c r="C65" s="173" t="str">
        <f>VLOOKUP(Ruimtestaat[[#This Row],[Code]],Locaties[[#All],[Code]:[Adres]],4,FALSE)</f>
        <v>Stationslaan 26</v>
      </c>
      <c r="D65" s="173" t="str">
        <f>VLOOKUP(Ruimtestaat[[#This Row],[Code]],Locaties[[#All],[Code]:[Postcode]],5,FALSE)</f>
        <v>3842 LA</v>
      </c>
      <c r="E65" s="173" t="str">
        <f>VLOOKUP(Ruimtestaat[[#This Row],[Code]],Locaties[#All],6,FALSE)</f>
        <v>Harderwijk</v>
      </c>
      <c r="F65" s="21" t="s">
        <v>1623</v>
      </c>
      <c r="G65" s="33"/>
      <c r="H65" s="311" t="s">
        <v>1680</v>
      </c>
      <c r="I65" s="312" t="s">
        <v>1623</v>
      </c>
      <c r="J65" s="21">
        <v>20</v>
      </c>
      <c r="K65" s="69" t="str">
        <f>VLOOKUP(Ruimtestaat[[#This Row],[Ruimte code]],Ruimtegroepen[[#All],[Code]:[Ruimte omschrijving]],2,FALSE)</f>
        <v>Niet in Onderhoud</v>
      </c>
      <c r="L65" s="33" t="s">
        <v>102</v>
      </c>
      <c r="M65" s="312" t="s">
        <v>1805</v>
      </c>
      <c r="N65" s="148"/>
      <c r="O65" s="150"/>
      <c r="P65" s="134">
        <f>VLOOKUP(Ruimtestaat[[#This Row],[Ruimte code]],Ruimtegroepen[],4,FALSE)</f>
        <v>0</v>
      </c>
      <c r="Q65" s="33"/>
      <c r="R65" s="33"/>
      <c r="S65" s="33">
        <f>IF(Q65&gt;0,IF(RIGHT(Ruimtestaat[[#This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5" s="33">
        <f>IF(S65&gt;0,VLOOKUP($J65,Ruimtegroepen[],3,FALSE)*VLOOKUP($L65,Vloersoorten[],3,FALSE)*VLOOKUP($R65,Frequenties[],3,FALSE)*VLOOKUP($A65,Locaties[],3,FALSE),0)</f>
        <v>0</v>
      </c>
      <c r="U65" s="33">
        <f>Ruimtestaat[[#This Row],[Uitvoeringen werkdagen]]*Ruimtestaat[[#This Row],[Oppervlak (netto)]]</f>
        <v>0</v>
      </c>
      <c r="V65" s="170">
        <f>IF(T65&gt;0,Ruimtestaat[[#This Row],[Prest. (m2 /jaar) werkdagen]]/Ruimtestaat[[#This Row],[Norm (m2/uur) werkdagen]],0)</f>
        <v>0</v>
      </c>
      <c r="W65" s="171">
        <f>Ruimtestaat[[#This Row],[uren / jaar werkdagen]]*Tariefsopbouw!$E$35</f>
        <v>0</v>
      </c>
      <c r="X65" s="33"/>
      <c r="Y65" s="33">
        <f>IF(Ruimtestaat[[#This Row],[Frequentie weekend]]&gt;0,VALUE(LEFT(X65,1))*Q65,0)</f>
        <v>0</v>
      </c>
      <c r="Z65" s="104">
        <f>IF($Y65&gt;0,VLOOKUP($J65,Ruimtegroepen[],3,FALSE)*VLOOKUP($L65,Vloersoorten[],3,FALSE)*VLOOKUP($X65,Frequenties[],3,FALSE)*VLOOKUP(Ruimtestaat[[#This Row],[Code]],Locaties[],3,FALSE),0)</f>
        <v>0</v>
      </c>
      <c r="AA65" s="104">
        <f>Ruimtestaat[[#This Row],[Uitvoeringen weekend]]*Ruimtestaat[[#This Row],[Oppervlak (netto)]]</f>
        <v>0</v>
      </c>
      <c r="AB65" s="104">
        <f>IF(Z65&gt;0,Ruimtestaat[[#This Row],[Prest. (m2 /jaar) weekend]]/Ruimtestaat[[#This Row],[Norm (m2/uur) weekend]],0)</f>
        <v>0</v>
      </c>
      <c r="AC65" s="171">
        <f>Ruimtestaat[[#This Row],[uren / jaar weekend]]*Tariefsopbouw!$D$40</f>
        <v>0</v>
      </c>
      <c r="AD65" s="170">
        <f>Ruimtestaat[[#This Row],[Prest. (m2 /jaar) weekend]]+Ruimtestaat[[#This Row],[Prest. (m2 /jaar) werkdagen]]</f>
        <v>0</v>
      </c>
      <c r="AE65" s="170">
        <f>Ruimtestaat[[#This Row],[uren / jaar weekend]]+Ruimtestaat[[#This Row],[uren / jaar werkdagen]]</f>
        <v>0</v>
      </c>
      <c r="AF65" s="76">
        <f>Ruimtestaat[[#This Row],[kosten / jaar weekend]]+Ruimtestaat[[#This Row],[kosten / jaar werkdagen]]</f>
        <v>0</v>
      </c>
      <c r="AG65" s="76"/>
      <c r="AH65" s="272" t="str">
        <f>IF(Ruimtestaat[[#This Row],[Frequentie werkdagen]]="","",_xlfn.CONCAT(Ruimtestaat[[#This Row],[Ruimte code]],"-",Ruimtestaat[[#This Row],[Frequentie werkdagen]]," ",Ruimtestaat[[#This Row],[Vloer code]]))</f>
        <v/>
      </c>
      <c r="AI65" s="310" t="str">
        <f>_xlfn.IFNA(VLOOKUP($AH65,Programma!$F$3:$G$1107,2,0),"")</f>
        <v/>
      </c>
      <c r="AJ65" s="310" t="str">
        <f>_xlfn.IFNA(VLOOKUP($AH65,Programma!$F$3:$H$1107,3,0),"")</f>
        <v/>
      </c>
      <c r="AK65" s="310" t="str">
        <f>_xlfn.IFNA(VLOOKUP($AH65,Programma!$F$3:$I$1107,4,0),"")</f>
        <v/>
      </c>
      <c r="AL65" s="310" t="str">
        <f>_xlfn.IFNA(VLOOKUP($AH65,Programma!$F$3:$J$1107,5,0),"")</f>
        <v/>
      </c>
      <c r="AM65" s="310" t="str">
        <f>_xlfn.IFNA(VLOOKUP($AH65,Programma!$F$3:$K$1107,6,0),"")</f>
        <v/>
      </c>
      <c r="AN65" s="310" t="str">
        <f>_xlfn.IFNA(VLOOKUP($AH65,Programma!$F$3:$L$1107,7,0),"")</f>
        <v/>
      </c>
      <c r="AO65" s="310" t="str">
        <f>_xlfn.IFNA(VLOOKUP($AH65,Programma!$F$3:$M$1107,8,0),"")</f>
        <v/>
      </c>
      <c r="AP65" s="310" t="str">
        <f>_xlfn.IFNA(VLOOKUP($AH65,Programma!$F$3:$N$1107,9,0),"")</f>
        <v/>
      </c>
      <c r="AQ65" s="310" t="str">
        <f>_xlfn.IFNA(VLOOKUP($AH65,Programma!$F$3:$O$1107,10,0),"")</f>
        <v/>
      </c>
      <c r="AR65" s="310" t="str">
        <f>_xlfn.IFNA(VLOOKUP($AH65,Programma!$F$3:$P$1107,11,0),"")</f>
        <v/>
      </c>
      <c r="AS65" s="310" t="str">
        <f>_xlfn.IFNA(VLOOKUP($AH65,Programma!$F$3:$Q$1107,12,0),"")</f>
        <v/>
      </c>
      <c r="AT65" s="310" t="str">
        <f>_xlfn.IFNA(VLOOKUP($AH65,Programma!$F$3:$R$1107,13,0),"")</f>
        <v/>
      </c>
      <c r="AU65" s="310" t="str">
        <f>_xlfn.IFNA(VLOOKUP($AH65,Programma!$F$3:$S$1107,14,0),"")</f>
        <v/>
      </c>
      <c r="AV65" s="310" t="str">
        <f>_xlfn.IFNA(VLOOKUP($AH65,Programma!$F$3:$T$1107,15,0),"")</f>
        <v/>
      </c>
      <c r="AW65" s="310" t="str">
        <f>_xlfn.IFNA(VLOOKUP($AH65,Programma!$F$3:$U$1107,16,0),"")</f>
        <v/>
      </c>
      <c r="AX65" s="310" t="str">
        <f>_xlfn.IFNA(VLOOKUP($AH65,Programma!$F$3:$V$1107,17,0),"")</f>
        <v/>
      </c>
      <c r="AY65" s="310" t="str">
        <f>_xlfn.IFNA(VLOOKUP($AH65,Programma!$F$3:$W$1107,18,0),"")</f>
        <v/>
      </c>
      <c r="AZ65" s="310" t="str">
        <f>_xlfn.IFNA(VLOOKUP($AH65,Programma!$F$3:$X$1107,19,0),"")</f>
        <v/>
      </c>
      <c r="BA65" s="310" t="str">
        <f>_xlfn.IFNA(VLOOKUP($AH65,Programma!$F$3:$Y$1107,20,0),"")</f>
        <v/>
      </c>
      <c r="BB65" s="273"/>
      <c r="BC65" s="272" t="str">
        <f>IF(Ruimtestaat[[#This Row],[Frequentie weekend]]="","",_xlfn.CONCAT(Ruimtestaat[[#This Row],[Ruimte code]],"-",Ruimtestaat[[#This Row],[Frequentie weekend]]," ",Ruimtestaat[[#This Row],[Vloer code]]))</f>
        <v/>
      </c>
      <c r="BD65" s="310" t="str">
        <f>_xlfn.IFNA(VLOOKUP($BC65,Programma!$F$3:$G$1107,2,0),"")</f>
        <v/>
      </c>
      <c r="BE65" s="310" t="str">
        <f>_xlfn.IFNA(VLOOKUP($BC65,Programma!$F$3:$H$1107,3,0),"")</f>
        <v/>
      </c>
      <c r="BF65" s="310" t="str">
        <f>_xlfn.IFNA(VLOOKUP($BC65,Programma!$F$3:$I$1107,4,0),"")</f>
        <v/>
      </c>
      <c r="BG65" s="310" t="str">
        <f>_xlfn.IFNA(VLOOKUP($BC65,Programma!$F$3:$J$1107,5,0),"")</f>
        <v/>
      </c>
      <c r="BH65" s="310" t="str">
        <f>_xlfn.IFNA(VLOOKUP($BC65,Programma!$F$3:$K$1107,6,0),"")</f>
        <v/>
      </c>
      <c r="BI65" s="310" t="str">
        <f>_xlfn.IFNA(VLOOKUP($BC65,Programma!$F$3:$L$1107,7,0),"")</f>
        <v/>
      </c>
      <c r="BJ65" s="310" t="str">
        <f>_xlfn.IFNA(VLOOKUP($BC65,Programma!$F$3:$M$1107,8,0),"")</f>
        <v/>
      </c>
      <c r="BK65" s="310" t="str">
        <f>_xlfn.IFNA(VLOOKUP($BC65,Programma!$F$3:$N$1107,9,0),"")</f>
        <v/>
      </c>
      <c r="BL65" s="310" t="str">
        <f>_xlfn.IFNA(VLOOKUP($BC65,Programma!$F$3:$O$1107,10,0),"")</f>
        <v/>
      </c>
      <c r="BM65" s="310" t="str">
        <f>_xlfn.IFNA(VLOOKUP($BC65,Programma!$F$3:$P$1107,11,0),"")</f>
        <v/>
      </c>
      <c r="BN65" s="310" t="str">
        <f>_xlfn.IFNA(VLOOKUP($BC65,Programma!$F$3:$Q$1107,12,0),"")</f>
        <v/>
      </c>
      <c r="BO65" s="310" t="str">
        <f>_xlfn.IFNA(VLOOKUP($BC65,Programma!$F$3:$R$1107,13,0),"")</f>
        <v/>
      </c>
      <c r="BP65" s="310" t="str">
        <f>_xlfn.IFNA(VLOOKUP($BC65,Programma!$F$3:$S$1107,14,0),"")</f>
        <v/>
      </c>
      <c r="BQ65" s="310" t="str">
        <f>_xlfn.IFNA(VLOOKUP($BC65,Programma!$F$3:$T$1107,15,0),"")</f>
        <v/>
      </c>
      <c r="BR65" s="310" t="str">
        <f>_xlfn.IFNA(VLOOKUP($BC65,Programma!$F$3:$U$1107,16,0),"")</f>
        <v/>
      </c>
      <c r="BS65" s="310" t="str">
        <f>_xlfn.IFNA(VLOOKUP($BC65,Programma!$F$3:$V$1107,17,0),"")</f>
        <v/>
      </c>
      <c r="BT65" s="310" t="str">
        <f>_xlfn.IFNA(VLOOKUP($BC65,Programma!$F$3:$W$1107,18,0),"")</f>
        <v/>
      </c>
      <c r="BU65" s="310" t="str">
        <f>_xlfn.IFNA(VLOOKUP($BC65,Programma!$F$3:$X$1107,19,0),"")</f>
        <v/>
      </c>
      <c r="BV65" s="310" t="str">
        <f>_xlfn.IFNA(VLOOKUP($BC65,Programma!$F$3:$Y$1107,20,0),"")</f>
        <v/>
      </c>
    </row>
    <row r="66" spans="1:74" ht="15" customHeight="1">
      <c r="A66" s="33">
        <v>1</v>
      </c>
      <c r="B66" s="173" t="s">
        <v>1619</v>
      </c>
      <c r="C66" s="173" t="str">
        <f>VLOOKUP(Ruimtestaat[[#This Row],[Code]],Locaties[[#All],[Code]:[Adres]],4,FALSE)</f>
        <v>Stationslaan 26</v>
      </c>
      <c r="D66" s="173" t="str">
        <f>VLOOKUP(Ruimtestaat[[#This Row],[Code]],Locaties[[#All],[Code]:[Postcode]],5,FALSE)</f>
        <v>3842 LA</v>
      </c>
      <c r="E66" s="173" t="str">
        <f>VLOOKUP(Ruimtestaat[[#This Row],[Code]],Locaties[#All],6,FALSE)</f>
        <v>Harderwijk</v>
      </c>
      <c r="F66" s="21" t="s">
        <v>1624</v>
      </c>
      <c r="G66" s="33" t="s">
        <v>1612</v>
      </c>
      <c r="H66" s="311" t="s">
        <v>1681</v>
      </c>
      <c r="I66" s="312" t="s">
        <v>1785</v>
      </c>
      <c r="J66" s="21">
        <v>10</v>
      </c>
      <c r="K66" s="69" t="str">
        <f>VLOOKUP(Ruimtestaat[[#This Row],[Ruimte code]],Ruimtegroepen[[#All],[Code]:[Ruimte omschrijving]],2,FALSE)</f>
        <v>Trappenhuizen/lift</v>
      </c>
      <c r="L66" s="33" t="s">
        <v>102</v>
      </c>
      <c r="M66" s="312" t="s">
        <v>1805</v>
      </c>
      <c r="N66" s="148">
        <v>120</v>
      </c>
      <c r="O66" s="33"/>
      <c r="P66" s="134" t="str">
        <f>VLOOKUP(Ruimtestaat[[#This Row],[Ruimte code]],Ruimtegroepen[],4,FALSE)</f>
        <v>Ve</v>
      </c>
      <c r="Q66" s="33">
        <v>40</v>
      </c>
      <c r="R66" s="33" t="s">
        <v>2</v>
      </c>
      <c r="S66" s="33">
        <f>IF(Q66&gt;0,IF(RIGHT(Ruimtestaat[[#This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 s="33">
        <f>IF(S66&gt;0,VLOOKUP($J66,Ruimtegroepen[],3,FALSE)*VLOOKUP($L66,Vloersoorten[],3,FALSE)*VLOOKUP($R66,Frequenties[],3,FALSE)*VLOOKUP($A66,Locaties[],3,FALSE),0)</f>
        <v>0</v>
      </c>
      <c r="U66" s="33">
        <f>Ruimtestaat[[#This Row],[Uitvoeringen werkdagen]]*Ruimtestaat[[#This Row],[Oppervlak (netto)]]</f>
        <v>24000</v>
      </c>
      <c r="V66" s="170">
        <f>IF(T66&gt;0,Ruimtestaat[[#This Row],[Prest. (m2 /jaar) werkdagen]]/Ruimtestaat[[#This Row],[Norm (m2/uur) werkdagen]],0)</f>
        <v>0</v>
      </c>
      <c r="W66" s="171">
        <f>Ruimtestaat[[#This Row],[uren / jaar werkdagen]]*Tariefsopbouw!$E$35</f>
        <v>0</v>
      </c>
      <c r="X66" s="33"/>
      <c r="Y66" s="33">
        <f>IF(Ruimtestaat[[#This Row],[Frequentie weekend]]&gt;0,VALUE(LEFT(X66,1))*Q66,0)</f>
        <v>0</v>
      </c>
      <c r="Z66" s="104">
        <f>IF($Y66&gt;0,VLOOKUP($J66,Ruimtegroepen[],3,FALSE)*VLOOKUP($L66,Vloersoorten[],3,FALSE)*VLOOKUP($X66,Frequenties[],3,FALSE)*VLOOKUP(Ruimtestaat[[#This Row],[Code]],Locaties[],3,FALSE),0)</f>
        <v>0</v>
      </c>
      <c r="AA66" s="104">
        <f>Ruimtestaat[[#This Row],[Uitvoeringen weekend]]*Ruimtestaat[[#This Row],[Oppervlak (netto)]]</f>
        <v>0</v>
      </c>
      <c r="AB66" s="104">
        <f>IF(Z66&gt;0,Ruimtestaat[[#This Row],[Prest. (m2 /jaar) weekend]]/Ruimtestaat[[#This Row],[Norm (m2/uur) weekend]],0)</f>
        <v>0</v>
      </c>
      <c r="AC66" s="171">
        <f>Ruimtestaat[[#This Row],[uren / jaar weekend]]*Tariefsopbouw!$D$40</f>
        <v>0</v>
      </c>
      <c r="AD66" s="170">
        <f>Ruimtestaat[[#This Row],[Prest. (m2 /jaar) weekend]]+Ruimtestaat[[#This Row],[Prest. (m2 /jaar) werkdagen]]</f>
        <v>24000</v>
      </c>
      <c r="AE66" s="170">
        <f>Ruimtestaat[[#This Row],[uren / jaar weekend]]+Ruimtestaat[[#This Row],[uren / jaar werkdagen]]</f>
        <v>0</v>
      </c>
      <c r="AF66" s="76">
        <f>Ruimtestaat[[#This Row],[kosten / jaar weekend]]+Ruimtestaat[[#This Row],[kosten / jaar werkdagen]]</f>
        <v>0</v>
      </c>
      <c r="AG66" s="76"/>
      <c r="AH66" s="272" t="str">
        <f>IF(Ruimtestaat[[#This Row],[Frequentie werkdagen]]="","",_xlfn.CONCAT(Ruimtestaat[[#This Row],[Ruimte code]],"-",Ruimtestaat[[#This Row],[Frequentie werkdagen]]," ",Ruimtestaat[[#This Row],[Vloer code]]))</f>
        <v>10-5w S</v>
      </c>
      <c r="AI66" s="310" t="str">
        <f>_xlfn.IFNA(VLOOKUP($AH66,Programma!$F$3:$G$1107,2,0),"")</f>
        <v>_</v>
      </c>
      <c r="AJ66" s="310" t="str">
        <f>_xlfn.IFNA(VLOOKUP($AH66,Programma!$F$3:$H$1107,3,0),"")</f>
        <v>_</v>
      </c>
      <c r="AK66" s="310" t="str">
        <f>_xlfn.IFNA(VLOOKUP($AH66,Programma!$F$3:$I$1107,4,0),"")</f>
        <v>4w</v>
      </c>
      <c r="AL66" s="310" t="str">
        <f>_xlfn.IFNA(VLOOKUP($AH66,Programma!$F$3:$J$1107,5,0),"")</f>
        <v>1w</v>
      </c>
      <c r="AM66" s="310" t="str">
        <f>_xlfn.IFNA(VLOOKUP($AH66,Programma!$F$3:$K$1107,6,0),"")</f>
        <v>4j</v>
      </c>
      <c r="AN66" s="310" t="str">
        <f>_xlfn.IFNA(VLOOKUP($AH66,Programma!$F$3:$L$1107,7,0),"")</f>
        <v>_</v>
      </c>
      <c r="AO66" s="310" t="str">
        <f>_xlfn.IFNA(VLOOKUP($AH66,Programma!$F$3:$M$1107,8,0),"")</f>
        <v>_</v>
      </c>
      <c r="AP66" s="310" t="str">
        <f>_xlfn.IFNA(VLOOKUP($AH66,Programma!$F$3:$N$1107,9,0),"")</f>
        <v>_</v>
      </c>
      <c r="AQ66" s="310" t="str">
        <f>_xlfn.IFNA(VLOOKUP($AH66,Programma!$F$3:$O$1107,10,0),"")</f>
        <v>5w</v>
      </c>
      <c r="AR66" s="310" t="str">
        <f>_xlfn.IFNA(VLOOKUP($AH66,Programma!$F$3:$P$1107,11,0),"")</f>
        <v>5w</v>
      </c>
      <c r="AS66" s="310" t="str">
        <f>_xlfn.IFNA(VLOOKUP($AH66,Programma!$F$3:$Q$1107,12,0),"")</f>
        <v>1w</v>
      </c>
      <c r="AT66" s="310" t="str">
        <f>_xlfn.IFNA(VLOOKUP($AH66,Programma!$F$3:$R$1107,13,0),"")</f>
        <v>1w</v>
      </c>
      <c r="AU66" s="310" t="str">
        <f>_xlfn.IFNA(VLOOKUP($AH66,Programma!$F$3:$S$1107,14,0),"")</f>
        <v>1m</v>
      </c>
      <c r="AV66" s="310" t="str">
        <f>_xlfn.IFNA(VLOOKUP($AH66,Programma!$F$3:$T$1107,15,0),"")</f>
        <v>2j</v>
      </c>
      <c r="AW66" s="310" t="str">
        <f>_xlfn.IFNA(VLOOKUP($AH66,Programma!$F$3:$U$1107,16,0),"")</f>
        <v>1j</v>
      </c>
      <c r="AX66" s="310" t="str">
        <f>_xlfn.IFNA(VLOOKUP($AH66,Programma!$F$3:$V$1107,17,0),"")</f>
        <v>_</v>
      </c>
      <c r="AY66" s="310" t="str">
        <f>_xlfn.IFNA(VLOOKUP($AH66,Programma!$F$3:$W$1107,18,0),"")</f>
        <v>_</v>
      </c>
      <c r="AZ66" s="310" t="str">
        <f>_xlfn.IFNA(VLOOKUP($AH66,Programma!$F$3:$X$1107,19,0),"")</f>
        <v>_</v>
      </c>
      <c r="BA66" s="310" t="str">
        <f>_xlfn.IFNA(VLOOKUP($AH66,Programma!$F$3:$Y$1107,20,0),"")</f>
        <v>_</v>
      </c>
      <c r="BB66" s="273"/>
      <c r="BC66" s="272" t="str">
        <f>IF(Ruimtestaat[[#This Row],[Frequentie weekend]]="","",_xlfn.CONCAT(Ruimtestaat[[#This Row],[Ruimte code]],"-",Ruimtestaat[[#This Row],[Frequentie weekend]]," ",Ruimtestaat[[#This Row],[Vloer code]]))</f>
        <v/>
      </c>
      <c r="BD66" s="310" t="str">
        <f>_xlfn.IFNA(VLOOKUP($BC66,Programma!$F$3:$G$1107,2,0),"")</f>
        <v/>
      </c>
      <c r="BE66" s="310" t="str">
        <f>_xlfn.IFNA(VLOOKUP($BC66,Programma!$F$3:$H$1107,3,0),"")</f>
        <v/>
      </c>
      <c r="BF66" s="310" t="str">
        <f>_xlfn.IFNA(VLOOKUP($BC66,Programma!$F$3:$I$1107,4,0),"")</f>
        <v/>
      </c>
      <c r="BG66" s="310" t="str">
        <f>_xlfn.IFNA(VLOOKUP($BC66,Programma!$F$3:$J$1107,5,0),"")</f>
        <v/>
      </c>
      <c r="BH66" s="310" t="str">
        <f>_xlfn.IFNA(VLOOKUP($BC66,Programma!$F$3:$K$1107,6,0),"")</f>
        <v/>
      </c>
      <c r="BI66" s="310" t="str">
        <f>_xlfn.IFNA(VLOOKUP($BC66,Programma!$F$3:$L$1107,7,0),"")</f>
        <v/>
      </c>
      <c r="BJ66" s="310" t="str">
        <f>_xlfn.IFNA(VLOOKUP($BC66,Programma!$F$3:$M$1107,8,0),"")</f>
        <v/>
      </c>
      <c r="BK66" s="310" t="str">
        <f>_xlfn.IFNA(VLOOKUP($BC66,Programma!$F$3:$N$1107,9,0),"")</f>
        <v/>
      </c>
      <c r="BL66" s="310" t="str">
        <f>_xlfn.IFNA(VLOOKUP($BC66,Programma!$F$3:$O$1107,10,0),"")</f>
        <v/>
      </c>
      <c r="BM66" s="310" t="str">
        <f>_xlfn.IFNA(VLOOKUP($BC66,Programma!$F$3:$P$1107,11,0),"")</f>
        <v/>
      </c>
      <c r="BN66" s="310" t="str">
        <f>_xlfn.IFNA(VLOOKUP($BC66,Programma!$F$3:$Q$1107,12,0),"")</f>
        <v/>
      </c>
      <c r="BO66" s="310" t="str">
        <f>_xlfn.IFNA(VLOOKUP($BC66,Programma!$F$3:$R$1107,13,0),"")</f>
        <v/>
      </c>
      <c r="BP66" s="310" t="str">
        <f>_xlfn.IFNA(VLOOKUP($BC66,Programma!$F$3:$S$1107,14,0),"")</f>
        <v/>
      </c>
      <c r="BQ66" s="310" t="str">
        <f>_xlfn.IFNA(VLOOKUP($BC66,Programma!$F$3:$T$1107,15,0),"")</f>
        <v/>
      </c>
      <c r="BR66" s="310" t="str">
        <f>_xlfn.IFNA(VLOOKUP($BC66,Programma!$F$3:$U$1107,16,0),"")</f>
        <v/>
      </c>
      <c r="BS66" s="310" t="str">
        <f>_xlfn.IFNA(VLOOKUP($BC66,Programma!$F$3:$V$1107,17,0),"")</f>
        <v/>
      </c>
      <c r="BT66" s="310" t="str">
        <f>_xlfn.IFNA(VLOOKUP($BC66,Programma!$F$3:$W$1107,18,0),"")</f>
        <v/>
      </c>
      <c r="BU66" s="310" t="str">
        <f>_xlfn.IFNA(VLOOKUP($BC66,Programma!$F$3:$X$1107,19,0),"")</f>
        <v/>
      </c>
      <c r="BV66" s="310" t="str">
        <f>_xlfn.IFNA(VLOOKUP($BC66,Programma!$F$3:$Y$1107,20,0),"")</f>
        <v/>
      </c>
    </row>
    <row r="67" spans="1:74" ht="15" customHeight="1">
      <c r="A67" s="33">
        <v>1</v>
      </c>
      <c r="B67" s="173" t="s">
        <v>1619</v>
      </c>
      <c r="C67" s="173" t="str">
        <f>VLOOKUP(Ruimtestaat[[#This Row],[Code]],Locaties[[#All],[Code]:[Adres]],4,FALSE)</f>
        <v>Stationslaan 26</v>
      </c>
      <c r="D67" s="173" t="str">
        <f>VLOOKUP(Ruimtestaat[[#This Row],[Code]],Locaties[[#All],[Code]:[Postcode]],5,FALSE)</f>
        <v>3842 LA</v>
      </c>
      <c r="E67" s="173" t="str">
        <f>VLOOKUP(Ruimtestaat[[#This Row],[Code]],Locaties[#All],6,FALSE)</f>
        <v>Harderwijk</v>
      </c>
      <c r="F67" s="21" t="s">
        <v>1624</v>
      </c>
      <c r="G67" s="33" t="s">
        <v>1612</v>
      </c>
      <c r="H67" s="311" t="s">
        <v>1682</v>
      </c>
      <c r="I67" s="312" t="s">
        <v>1785</v>
      </c>
      <c r="J67" s="21">
        <v>10</v>
      </c>
      <c r="K67" s="69" t="str">
        <f>VLOOKUP(Ruimtestaat[[#This Row],[Ruimte code]],Ruimtegroepen[[#All],[Code]:[Ruimte omschrijving]],2,FALSE)</f>
        <v>Trappenhuizen/lift</v>
      </c>
      <c r="L67" s="33" t="s">
        <v>102</v>
      </c>
      <c r="M67" s="312" t="s">
        <v>1805</v>
      </c>
      <c r="N67" s="148">
        <v>120</v>
      </c>
      <c r="O67" s="150"/>
      <c r="P67" s="134" t="str">
        <f>VLOOKUP(Ruimtestaat[[#This Row],[Ruimte code]],Ruimtegroepen[],4,FALSE)</f>
        <v>Ve</v>
      </c>
      <c r="Q67" s="33">
        <v>40</v>
      </c>
      <c r="R67" s="33" t="s">
        <v>2</v>
      </c>
      <c r="S67" s="33">
        <f>IF(Q67&gt;0,IF(RIGHT(Ruimtestaat[[#This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7" s="33">
        <f>IF(S67&gt;0,VLOOKUP($J67,Ruimtegroepen[],3,FALSE)*VLOOKUP($L67,Vloersoorten[],3,FALSE)*VLOOKUP($R67,Frequenties[],3,FALSE)*VLOOKUP($A67,Locaties[],3,FALSE),0)</f>
        <v>0</v>
      </c>
      <c r="U67" s="33">
        <f>Ruimtestaat[[#This Row],[Uitvoeringen werkdagen]]*Ruimtestaat[[#This Row],[Oppervlak (netto)]]</f>
        <v>24000</v>
      </c>
      <c r="V67" s="170">
        <f>IF(T67&gt;0,Ruimtestaat[[#This Row],[Prest. (m2 /jaar) werkdagen]]/Ruimtestaat[[#This Row],[Norm (m2/uur) werkdagen]],0)</f>
        <v>0</v>
      </c>
      <c r="W67" s="171">
        <f>Ruimtestaat[[#This Row],[uren / jaar werkdagen]]*Tariefsopbouw!$E$35</f>
        <v>0</v>
      </c>
      <c r="X67" s="33"/>
      <c r="Y67" s="33">
        <f>IF(Ruimtestaat[[#This Row],[Frequentie weekend]]&gt;0,VALUE(LEFT(X67,1))*Q67,0)</f>
        <v>0</v>
      </c>
      <c r="Z67" s="104">
        <f>IF($Y67&gt;0,VLOOKUP($J67,Ruimtegroepen[],3,FALSE)*VLOOKUP($L67,Vloersoorten[],3,FALSE)*VLOOKUP($X67,Frequenties[],3,FALSE)*VLOOKUP(Ruimtestaat[[#This Row],[Code]],Locaties[],3,FALSE),0)</f>
        <v>0</v>
      </c>
      <c r="AA67" s="104">
        <f>Ruimtestaat[[#This Row],[Uitvoeringen weekend]]*Ruimtestaat[[#This Row],[Oppervlak (netto)]]</f>
        <v>0</v>
      </c>
      <c r="AB67" s="104">
        <f>IF(Z67&gt;0,Ruimtestaat[[#This Row],[Prest. (m2 /jaar) weekend]]/Ruimtestaat[[#This Row],[Norm (m2/uur) weekend]],0)</f>
        <v>0</v>
      </c>
      <c r="AC67" s="171">
        <f>Ruimtestaat[[#This Row],[uren / jaar weekend]]*Tariefsopbouw!$D$40</f>
        <v>0</v>
      </c>
      <c r="AD67" s="170">
        <f>Ruimtestaat[[#This Row],[Prest. (m2 /jaar) weekend]]+Ruimtestaat[[#This Row],[Prest. (m2 /jaar) werkdagen]]</f>
        <v>24000</v>
      </c>
      <c r="AE67" s="170">
        <f>Ruimtestaat[[#This Row],[uren / jaar weekend]]+Ruimtestaat[[#This Row],[uren / jaar werkdagen]]</f>
        <v>0</v>
      </c>
      <c r="AF67" s="76">
        <f>Ruimtestaat[[#This Row],[kosten / jaar weekend]]+Ruimtestaat[[#This Row],[kosten / jaar werkdagen]]</f>
        <v>0</v>
      </c>
      <c r="AG67" s="76"/>
      <c r="AH67" s="272" t="str">
        <f>IF(Ruimtestaat[[#This Row],[Frequentie werkdagen]]="","",_xlfn.CONCAT(Ruimtestaat[[#This Row],[Ruimte code]],"-",Ruimtestaat[[#This Row],[Frequentie werkdagen]]," ",Ruimtestaat[[#This Row],[Vloer code]]))</f>
        <v>10-5w S</v>
      </c>
      <c r="AI67" s="310" t="str">
        <f>_xlfn.IFNA(VLOOKUP($AH67,Programma!$F$3:$G$1107,2,0),"")</f>
        <v>_</v>
      </c>
      <c r="AJ67" s="310" t="str">
        <f>_xlfn.IFNA(VLOOKUP($AH67,Programma!$F$3:$H$1107,3,0),"")</f>
        <v>_</v>
      </c>
      <c r="AK67" s="310" t="str">
        <f>_xlfn.IFNA(VLOOKUP($AH67,Programma!$F$3:$I$1107,4,0),"")</f>
        <v>4w</v>
      </c>
      <c r="AL67" s="310" t="str">
        <f>_xlfn.IFNA(VLOOKUP($AH67,Programma!$F$3:$J$1107,5,0),"")</f>
        <v>1w</v>
      </c>
      <c r="AM67" s="310" t="str">
        <f>_xlfn.IFNA(VLOOKUP($AH67,Programma!$F$3:$K$1107,6,0),"")</f>
        <v>4j</v>
      </c>
      <c r="AN67" s="310" t="str">
        <f>_xlfn.IFNA(VLOOKUP($AH67,Programma!$F$3:$L$1107,7,0),"")</f>
        <v>_</v>
      </c>
      <c r="AO67" s="310" t="str">
        <f>_xlfn.IFNA(VLOOKUP($AH67,Programma!$F$3:$M$1107,8,0),"")</f>
        <v>_</v>
      </c>
      <c r="AP67" s="310" t="str">
        <f>_xlfn.IFNA(VLOOKUP($AH67,Programma!$F$3:$N$1107,9,0),"")</f>
        <v>_</v>
      </c>
      <c r="AQ67" s="310" t="str">
        <f>_xlfn.IFNA(VLOOKUP($AH67,Programma!$F$3:$O$1107,10,0),"")</f>
        <v>5w</v>
      </c>
      <c r="AR67" s="310" t="str">
        <f>_xlfn.IFNA(VLOOKUP($AH67,Programma!$F$3:$P$1107,11,0),"")</f>
        <v>5w</v>
      </c>
      <c r="AS67" s="310" t="str">
        <f>_xlfn.IFNA(VLOOKUP($AH67,Programma!$F$3:$Q$1107,12,0),"")</f>
        <v>1w</v>
      </c>
      <c r="AT67" s="310" t="str">
        <f>_xlfn.IFNA(VLOOKUP($AH67,Programma!$F$3:$R$1107,13,0),"")</f>
        <v>1w</v>
      </c>
      <c r="AU67" s="310" t="str">
        <f>_xlfn.IFNA(VLOOKUP($AH67,Programma!$F$3:$S$1107,14,0),"")</f>
        <v>1m</v>
      </c>
      <c r="AV67" s="310" t="str">
        <f>_xlfn.IFNA(VLOOKUP($AH67,Programma!$F$3:$T$1107,15,0),"")</f>
        <v>2j</v>
      </c>
      <c r="AW67" s="310" t="str">
        <f>_xlfn.IFNA(VLOOKUP($AH67,Programma!$F$3:$U$1107,16,0),"")</f>
        <v>1j</v>
      </c>
      <c r="AX67" s="310" t="str">
        <f>_xlfn.IFNA(VLOOKUP($AH67,Programma!$F$3:$V$1107,17,0),"")</f>
        <v>_</v>
      </c>
      <c r="AY67" s="310" t="str">
        <f>_xlfn.IFNA(VLOOKUP($AH67,Programma!$F$3:$W$1107,18,0),"")</f>
        <v>_</v>
      </c>
      <c r="AZ67" s="310" t="str">
        <f>_xlfn.IFNA(VLOOKUP($AH67,Programma!$F$3:$X$1107,19,0),"")</f>
        <v>_</v>
      </c>
      <c r="BA67" s="310" t="str">
        <f>_xlfn.IFNA(VLOOKUP($AH67,Programma!$F$3:$Y$1107,20,0),"")</f>
        <v>_</v>
      </c>
      <c r="BB67" s="273"/>
      <c r="BC67" s="272" t="str">
        <f>IF(Ruimtestaat[[#This Row],[Frequentie weekend]]="","",_xlfn.CONCAT(Ruimtestaat[[#This Row],[Ruimte code]],"-",Ruimtestaat[[#This Row],[Frequentie weekend]]," ",Ruimtestaat[[#This Row],[Vloer code]]))</f>
        <v/>
      </c>
      <c r="BD67" s="310" t="str">
        <f>_xlfn.IFNA(VLOOKUP($BC67,Programma!$F$3:$G$1107,2,0),"")</f>
        <v/>
      </c>
      <c r="BE67" s="310" t="str">
        <f>_xlfn.IFNA(VLOOKUP($BC67,Programma!$F$3:$H$1107,3,0),"")</f>
        <v/>
      </c>
      <c r="BF67" s="310" t="str">
        <f>_xlfn.IFNA(VLOOKUP($BC67,Programma!$F$3:$I$1107,4,0),"")</f>
        <v/>
      </c>
      <c r="BG67" s="310" t="str">
        <f>_xlfn.IFNA(VLOOKUP($BC67,Programma!$F$3:$J$1107,5,0),"")</f>
        <v/>
      </c>
      <c r="BH67" s="310" t="str">
        <f>_xlfn.IFNA(VLOOKUP($BC67,Programma!$F$3:$K$1107,6,0),"")</f>
        <v/>
      </c>
      <c r="BI67" s="310" t="str">
        <f>_xlfn.IFNA(VLOOKUP($BC67,Programma!$F$3:$L$1107,7,0),"")</f>
        <v/>
      </c>
      <c r="BJ67" s="310" t="str">
        <f>_xlfn.IFNA(VLOOKUP($BC67,Programma!$F$3:$M$1107,8,0),"")</f>
        <v/>
      </c>
      <c r="BK67" s="310" t="str">
        <f>_xlfn.IFNA(VLOOKUP($BC67,Programma!$F$3:$N$1107,9,0),"")</f>
        <v/>
      </c>
      <c r="BL67" s="310" t="str">
        <f>_xlfn.IFNA(VLOOKUP($BC67,Programma!$F$3:$O$1107,10,0),"")</f>
        <v/>
      </c>
      <c r="BM67" s="310" t="str">
        <f>_xlfn.IFNA(VLOOKUP($BC67,Programma!$F$3:$P$1107,11,0),"")</f>
        <v/>
      </c>
      <c r="BN67" s="310" t="str">
        <f>_xlfn.IFNA(VLOOKUP($BC67,Programma!$F$3:$Q$1107,12,0),"")</f>
        <v/>
      </c>
      <c r="BO67" s="310" t="str">
        <f>_xlfn.IFNA(VLOOKUP($BC67,Programma!$F$3:$R$1107,13,0),"")</f>
        <v/>
      </c>
      <c r="BP67" s="310" t="str">
        <f>_xlfn.IFNA(VLOOKUP($BC67,Programma!$F$3:$S$1107,14,0),"")</f>
        <v/>
      </c>
      <c r="BQ67" s="310" t="str">
        <f>_xlfn.IFNA(VLOOKUP($BC67,Programma!$F$3:$T$1107,15,0),"")</f>
        <v/>
      </c>
      <c r="BR67" s="310" t="str">
        <f>_xlfn.IFNA(VLOOKUP($BC67,Programma!$F$3:$U$1107,16,0),"")</f>
        <v/>
      </c>
      <c r="BS67" s="310" t="str">
        <f>_xlfn.IFNA(VLOOKUP($BC67,Programma!$F$3:$V$1107,17,0),"")</f>
        <v/>
      </c>
      <c r="BT67" s="310" t="str">
        <f>_xlfn.IFNA(VLOOKUP($BC67,Programma!$F$3:$W$1107,18,0),"")</f>
        <v/>
      </c>
      <c r="BU67" s="310" t="str">
        <f>_xlfn.IFNA(VLOOKUP($BC67,Programma!$F$3:$X$1107,19,0),"")</f>
        <v/>
      </c>
      <c r="BV67" s="310" t="str">
        <f>_xlfn.IFNA(VLOOKUP($BC67,Programma!$F$3:$Y$1107,20,0),"")</f>
        <v/>
      </c>
    </row>
    <row r="68" spans="1:74" ht="15" customHeight="1">
      <c r="A68" s="33">
        <v>1</v>
      </c>
      <c r="B68" s="173" t="s">
        <v>1619</v>
      </c>
      <c r="C68" s="173" t="str">
        <f>VLOOKUP(Ruimtestaat[[#This Row],[Code]],Locaties[[#All],[Code]:[Adres]],4,FALSE)</f>
        <v>Stationslaan 26</v>
      </c>
      <c r="D68" s="173" t="str">
        <f>VLOOKUP(Ruimtestaat[[#This Row],[Code]],Locaties[[#All],[Code]:[Postcode]],5,FALSE)</f>
        <v>3842 LA</v>
      </c>
      <c r="E68" s="173" t="str">
        <f>VLOOKUP(Ruimtestaat[[#This Row],[Code]],Locaties[#All],6,FALSE)</f>
        <v>Harderwijk</v>
      </c>
      <c r="F68" s="21" t="s">
        <v>1624</v>
      </c>
      <c r="G68" s="33" t="s">
        <v>1612</v>
      </c>
      <c r="H68" s="311"/>
      <c r="I68" s="312" t="s">
        <v>1766</v>
      </c>
      <c r="J68" s="21">
        <v>6</v>
      </c>
      <c r="K68" s="69" t="str">
        <f>VLOOKUP(Ruimtestaat[[#This Row],[Ruimte code]],Ruimtegroepen[[#All],[Code]:[Ruimte omschrijving]],2,FALSE)</f>
        <v>Gangen/hallen</v>
      </c>
      <c r="L68" s="33" t="s">
        <v>102</v>
      </c>
      <c r="M68" s="312" t="s">
        <v>1805</v>
      </c>
      <c r="N68" s="148">
        <v>125</v>
      </c>
      <c r="O68" s="150"/>
      <c r="P68" s="134" t="str">
        <f>VLOOKUP(Ruimtestaat[[#This Row],[Ruimte code]],Ruimtegroepen[],4,FALSE)</f>
        <v>Ve</v>
      </c>
      <c r="Q68" s="33">
        <v>40</v>
      </c>
      <c r="R68" s="33" t="s">
        <v>2</v>
      </c>
      <c r="S68" s="33">
        <f>IF(Q68&gt;0,IF(RIGHT(Ruimtestaat[[#This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8" s="33">
        <f>IF(S68&gt;0,VLOOKUP($J68,Ruimtegroepen[],3,FALSE)*VLOOKUP($L68,Vloersoorten[],3,FALSE)*VLOOKUP($R68,Frequenties[],3,FALSE)*VLOOKUP($A68,Locaties[],3,FALSE),0)</f>
        <v>0</v>
      </c>
      <c r="U68" s="33">
        <f>Ruimtestaat[[#This Row],[Uitvoeringen werkdagen]]*Ruimtestaat[[#This Row],[Oppervlak (netto)]]</f>
        <v>25000</v>
      </c>
      <c r="V68" s="170">
        <f>IF(T68&gt;0,Ruimtestaat[[#This Row],[Prest. (m2 /jaar) werkdagen]]/Ruimtestaat[[#This Row],[Norm (m2/uur) werkdagen]],0)</f>
        <v>0</v>
      </c>
      <c r="W68" s="171">
        <f>Ruimtestaat[[#This Row],[uren / jaar werkdagen]]*Tariefsopbouw!$E$35</f>
        <v>0</v>
      </c>
      <c r="X68" s="33"/>
      <c r="Y68" s="33">
        <f>IF(Ruimtestaat[[#This Row],[Frequentie weekend]]&gt;0,VALUE(LEFT(X68,1))*Q68,0)</f>
        <v>0</v>
      </c>
      <c r="Z68" s="104">
        <f>IF($Y68&gt;0,VLOOKUP($J68,Ruimtegroepen[],3,FALSE)*VLOOKUP($L68,Vloersoorten[],3,FALSE)*VLOOKUP($X68,Frequenties[],3,FALSE)*VLOOKUP(Ruimtestaat[[#This Row],[Code]],Locaties[],3,FALSE),0)</f>
        <v>0</v>
      </c>
      <c r="AA68" s="104">
        <f>Ruimtestaat[[#This Row],[Uitvoeringen weekend]]*Ruimtestaat[[#This Row],[Oppervlak (netto)]]</f>
        <v>0</v>
      </c>
      <c r="AB68" s="104">
        <f>IF(Z68&gt;0,Ruimtestaat[[#This Row],[Prest. (m2 /jaar) weekend]]/Ruimtestaat[[#This Row],[Norm (m2/uur) weekend]],0)</f>
        <v>0</v>
      </c>
      <c r="AC68" s="171">
        <f>Ruimtestaat[[#This Row],[uren / jaar weekend]]*Tariefsopbouw!$D$40</f>
        <v>0</v>
      </c>
      <c r="AD68" s="170">
        <f>Ruimtestaat[[#This Row],[Prest. (m2 /jaar) weekend]]+Ruimtestaat[[#This Row],[Prest. (m2 /jaar) werkdagen]]</f>
        <v>25000</v>
      </c>
      <c r="AE68" s="170">
        <f>Ruimtestaat[[#This Row],[uren / jaar weekend]]+Ruimtestaat[[#This Row],[uren / jaar werkdagen]]</f>
        <v>0</v>
      </c>
      <c r="AF68" s="76">
        <f>Ruimtestaat[[#This Row],[kosten / jaar weekend]]+Ruimtestaat[[#This Row],[kosten / jaar werkdagen]]</f>
        <v>0</v>
      </c>
      <c r="AG68" s="76"/>
      <c r="AH68" s="272" t="str">
        <f>IF(Ruimtestaat[[#This Row],[Frequentie werkdagen]]="","",_xlfn.CONCAT(Ruimtestaat[[#This Row],[Ruimte code]],"-",Ruimtestaat[[#This Row],[Frequentie werkdagen]]," ",Ruimtestaat[[#This Row],[Vloer code]]))</f>
        <v>6-5w S</v>
      </c>
      <c r="AI68" s="310" t="str">
        <f>_xlfn.IFNA(VLOOKUP($AH68,Programma!$F$3:$G$1107,2,0),"")</f>
        <v>_</v>
      </c>
      <c r="AJ68" s="310" t="str">
        <f>_xlfn.IFNA(VLOOKUP($AH68,Programma!$F$3:$H$1107,3,0),"")</f>
        <v>_</v>
      </c>
      <c r="AK68" s="310" t="str">
        <f>_xlfn.IFNA(VLOOKUP($AH68,Programma!$F$3:$I$1107,4,0),"")</f>
        <v>5w</v>
      </c>
      <c r="AL68" s="310" t="str">
        <f>_xlfn.IFNA(VLOOKUP($AH68,Programma!$F$3:$J$1107,5,0),"")</f>
        <v>_</v>
      </c>
      <c r="AM68" s="310" t="str">
        <f>_xlfn.IFNA(VLOOKUP($AH68,Programma!$F$3:$K$1107,6,0),"")</f>
        <v>5w</v>
      </c>
      <c r="AN68" s="310" t="str">
        <f>_xlfn.IFNA(VLOOKUP($AH68,Programma!$F$3:$L$1107,7,0),"")</f>
        <v>_</v>
      </c>
      <c r="AO68" s="310" t="str">
        <f>_xlfn.IFNA(VLOOKUP($AH68,Programma!$F$3:$M$1107,8,0),"")</f>
        <v>_</v>
      </c>
      <c r="AP68" s="310" t="str">
        <f>_xlfn.IFNA(VLOOKUP($AH68,Programma!$F$3:$N$1107,9,0),"")</f>
        <v>_</v>
      </c>
      <c r="AQ68" s="310" t="str">
        <f>_xlfn.IFNA(VLOOKUP($AH68,Programma!$F$3:$O$1107,10,0),"")</f>
        <v>5w</v>
      </c>
      <c r="AR68" s="310" t="str">
        <f>_xlfn.IFNA(VLOOKUP($AH68,Programma!$F$3:$P$1107,11,0),"")</f>
        <v>5w</v>
      </c>
      <c r="AS68" s="310" t="str">
        <f>_xlfn.IFNA(VLOOKUP($AH68,Programma!$F$3:$Q$1107,12,0),"")</f>
        <v>1w</v>
      </c>
      <c r="AT68" s="310" t="str">
        <f>_xlfn.IFNA(VLOOKUP($AH68,Programma!$F$3:$R$1107,13,0),"")</f>
        <v>1w</v>
      </c>
      <c r="AU68" s="310" t="str">
        <f>_xlfn.IFNA(VLOOKUP($AH68,Programma!$F$3:$S$1107,14,0),"")</f>
        <v>1m</v>
      </c>
      <c r="AV68" s="310" t="str">
        <f>_xlfn.IFNA(VLOOKUP($AH68,Programma!$F$3:$T$1107,15,0),"")</f>
        <v>2j</v>
      </c>
      <c r="AW68" s="310" t="str">
        <f>_xlfn.IFNA(VLOOKUP($AH68,Programma!$F$3:$U$1107,16,0),"")</f>
        <v>1j</v>
      </c>
      <c r="AX68" s="310" t="str">
        <f>_xlfn.IFNA(VLOOKUP($AH68,Programma!$F$3:$V$1107,17,0),"")</f>
        <v>_</v>
      </c>
      <c r="AY68" s="310" t="str">
        <f>_xlfn.IFNA(VLOOKUP($AH68,Programma!$F$3:$W$1107,18,0),"")</f>
        <v>_</v>
      </c>
      <c r="AZ68" s="310" t="str">
        <f>_xlfn.IFNA(VLOOKUP($AH68,Programma!$F$3:$X$1107,19,0),"")</f>
        <v>_</v>
      </c>
      <c r="BA68" s="310" t="str">
        <f>_xlfn.IFNA(VLOOKUP($AH68,Programma!$F$3:$Y$1107,20,0),"")</f>
        <v>_</v>
      </c>
      <c r="BB68" s="273"/>
      <c r="BC68" s="272" t="str">
        <f>IF(Ruimtestaat[[#This Row],[Frequentie weekend]]="","",_xlfn.CONCAT(Ruimtestaat[[#This Row],[Ruimte code]],"-",Ruimtestaat[[#This Row],[Frequentie weekend]]," ",Ruimtestaat[[#This Row],[Vloer code]]))</f>
        <v/>
      </c>
      <c r="BD68" s="310" t="str">
        <f>_xlfn.IFNA(VLOOKUP($BC68,Programma!$F$3:$G$1107,2,0),"")</f>
        <v/>
      </c>
      <c r="BE68" s="310" t="str">
        <f>_xlfn.IFNA(VLOOKUP($BC68,Programma!$F$3:$H$1107,3,0),"")</f>
        <v/>
      </c>
      <c r="BF68" s="310" t="str">
        <f>_xlfn.IFNA(VLOOKUP($BC68,Programma!$F$3:$I$1107,4,0),"")</f>
        <v/>
      </c>
      <c r="BG68" s="310" t="str">
        <f>_xlfn.IFNA(VLOOKUP($BC68,Programma!$F$3:$J$1107,5,0),"")</f>
        <v/>
      </c>
      <c r="BH68" s="310" t="str">
        <f>_xlfn.IFNA(VLOOKUP($BC68,Programma!$F$3:$K$1107,6,0),"")</f>
        <v/>
      </c>
      <c r="BI68" s="310" t="str">
        <f>_xlfn.IFNA(VLOOKUP($BC68,Programma!$F$3:$L$1107,7,0),"")</f>
        <v/>
      </c>
      <c r="BJ68" s="310" t="str">
        <f>_xlfn.IFNA(VLOOKUP($BC68,Programma!$F$3:$M$1107,8,0),"")</f>
        <v/>
      </c>
      <c r="BK68" s="310" t="str">
        <f>_xlfn.IFNA(VLOOKUP($BC68,Programma!$F$3:$N$1107,9,0),"")</f>
        <v/>
      </c>
      <c r="BL68" s="310" t="str">
        <f>_xlfn.IFNA(VLOOKUP($BC68,Programma!$F$3:$O$1107,10,0),"")</f>
        <v/>
      </c>
      <c r="BM68" s="310" t="str">
        <f>_xlfn.IFNA(VLOOKUP($BC68,Programma!$F$3:$P$1107,11,0),"")</f>
        <v/>
      </c>
      <c r="BN68" s="310" t="str">
        <f>_xlfn.IFNA(VLOOKUP($BC68,Programma!$F$3:$Q$1107,12,0),"")</f>
        <v/>
      </c>
      <c r="BO68" s="310" t="str">
        <f>_xlfn.IFNA(VLOOKUP($BC68,Programma!$F$3:$R$1107,13,0),"")</f>
        <v/>
      </c>
      <c r="BP68" s="310" t="str">
        <f>_xlfn.IFNA(VLOOKUP($BC68,Programma!$F$3:$S$1107,14,0),"")</f>
        <v/>
      </c>
      <c r="BQ68" s="310" t="str">
        <f>_xlfn.IFNA(VLOOKUP($BC68,Programma!$F$3:$T$1107,15,0),"")</f>
        <v/>
      </c>
      <c r="BR68" s="310" t="str">
        <f>_xlfn.IFNA(VLOOKUP($BC68,Programma!$F$3:$U$1107,16,0),"")</f>
        <v/>
      </c>
      <c r="BS68" s="310" t="str">
        <f>_xlfn.IFNA(VLOOKUP($BC68,Programma!$F$3:$V$1107,17,0),"")</f>
        <v/>
      </c>
      <c r="BT68" s="310" t="str">
        <f>_xlfn.IFNA(VLOOKUP($BC68,Programma!$F$3:$W$1107,18,0),"")</f>
        <v/>
      </c>
      <c r="BU68" s="310" t="str">
        <f>_xlfn.IFNA(VLOOKUP($BC68,Programma!$F$3:$X$1107,19,0),"")</f>
        <v/>
      </c>
      <c r="BV68" s="310" t="str">
        <f>_xlfn.IFNA(VLOOKUP($BC68,Programma!$F$3:$Y$1107,20,0),"")</f>
        <v/>
      </c>
    </row>
    <row r="69" spans="1:74" ht="15" customHeight="1">
      <c r="A69" s="33">
        <v>1</v>
      </c>
      <c r="B69" s="173" t="s">
        <v>1619</v>
      </c>
      <c r="C69" s="173" t="str">
        <f>VLOOKUP(Ruimtestaat[[#This Row],[Code]],Locaties[[#All],[Code]:[Adres]],4,FALSE)</f>
        <v>Stationslaan 26</v>
      </c>
      <c r="D69" s="173" t="str">
        <f>VLOOKUP(Ruimtestaat[[#This Row],[Code]],Locaties[[#All],[Code]:[Postcode]],5,FALSE)</f>
        <v>3842 LA</v>
      </c>
      <c r="E69" s="173" t="str">
        <f>VLOOKUP(Ruimtestaat[[#This Row],[Code]],Locaties[#All],6,FALSE)</f>
        <v>Harderwijk</v>
      </c>
      <c r="F69" s="21" t="s">
        <v>1624</v>
      </c>
      <c r="G69" s="33" t="s">
        <v>1612</v>
      </c>
      <c r="H69" s="311" t="s">
        <v>1683</v>
      </c>
      <c r="I69" s="312" t="s">
        <v>1730</v>
      </c>
      <c r="J69" s="21">
        <v>5</v>
      </c>
      <c r="K69" s="69" t="str">
        <f>VLOOKUP(Ruimtestaat[[#This Row],[Ruimte code]],Ruimtegroepen[[#All],[Code]:[Ruimte omschrijving]],2,FALSE)</f>
        <v>Sanitair</v>
      </c>
      <c r="L69" s="33" t="s">
        <v>102</v>
      </c>
      <c r="M69" s="312" t="s">
        <v>1805</v>
      </c>
      <c r="N69" s="148">
        <v>10</v>
      </c>
      <c r="O69" s="33"/>
      <c r="P69" s="134" t="str">
        <f>VLOOKUP(Ruimtestaat[[#This Row],[Ruimte code]],Ruimtegroepen[],4,FALSE)</f>
        <v>Sa</v>
      </c>
      <c r="Q69" s="33">
        <v>40</v>
      </c>
      <c r="R69" s="33" t="s">
        <v>2</v>
      </c>
      <c r="S69" s="33">
        <f>IF(Q69&gt;0,IF(RIGHT(Ruimtestaat[[#This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9" s="33">
        <f>IF(S69&gt;0,VLOOKUP($J69,Ruimtegroepen[],3,FALSE)*VLOOKUP($L69,Vloersoorten[],3,FALSE)*VLOOKUP($R69,Frequenties[],3,FALSE)*VLOOKUP($A69,Locaties[],3,FALSE),0)</f>
        <v>0</v>
      </c>
      <c r="U69" s="33">
        <f>Ruimtestaat[[#This Row],[Uitvoeringen werkdagen]]*Ruimtestaat[[#This Row],[Oppervlak (netto)]]</f>
        <v>2000</v>
      </c>
      <c r="V69" s="170">
        <f>IF(T69&gt;0,Ruimtestaat[[#This Row],[Prest. (m2 /jaar) werkdagen]]/Ruimtestaat[[#This Row],[Norm (m2/uur) werkdagen]],0)</f>
        <v>0</v>
      </c>
      <c r="W69" s="171">
        <f>Ruimtestaat[[#This Row],[uren / jaar werkdagen]]*Tariefsopbouw!$E$35</f>
        <v>0</v>
      </c>
      <c r="X69" s="33"/>
      <c r="Y69" s="33">
        <f>IF(Ruimtestaat[[#This Row],[Frequentie weekend]]&gt;0,VALUE(LEFT(X69,1))*Q69,0)</f>
        <v>0</v>
      </c>
      <c r="Z69" s="104">
        <f>IF($Y69&gt;0,VLOOKUP($J69,Ruimtegroepen[],3,FALSE)*VLOOKUP($L69,Vloersoorten[],3,FALSE)*VLOOKUP($X69,Frequenties[],3,FALSE)*VLOOKUP(Ruimtestaat[[#This Row],[Code]],Locaties[],3,FALSE),0)</f>
        <v>0</v>
      </c>
      <c r="AA69" s="104">
        <f>Ruimtestaat[[#This Row],[Uitvoeringen weekend]]*Ruimtestaat[[#This Row],[Oppervlak (netto)]]</f>
        <v>0</v>
      </c>
      <c r="AB69" s="104">
        <f>IF(Z69&gt;0,Ruimtestaat[[#This Row],[Prest. (m2 /jaar) weekend]]/Ruimtestaat[[#This Row],[Norm (m2/uur) weekend]],0)</f>
        <v>0</v>
      </c>
      <c r="AC69" s="171">
        <f>Ruimtestaat[[#This Row],[uren / jaar weekend]]*Tariefsopbouw!$D$40</f>
        <v>0</v>
      </c>
      <c r="AD69" s="170">
        <f>Ruimtestaat[[#This Row],[Prest. (m2 /jaar) weekend]]+Ruimtestaat[[#This Row],[Prest. (m2 /jaar) werkdagen]]</f>
        <v>2000</v>
      </c>
      <c r="AE69" s="170">
        <f>Ruimtestaat[[#This Row],[uren / jaar weekend]]+Ruimtestaat[[#This Row],[uren / jaar werkdagen]]</f>
        <v>0</v>
      </c>
      <c r="AF69" s="76">
        <f>Ruimtestaat[[#This Row],[kosten / jaar weekend]]+Ruimtestaat[[#This Row],[kosten / jaar werkdagen]]</f>
        <v>0</v>
      </c>
      <c r="AG69" s="76"/>
      <c r="AH69" s="272" t="str">
        <f>IF(Ruimtestaat[[#This Row],[Frequentie werkdagen]]="","",_xlfn.CONCAT(Ruimtestaat[[#This Row],[Ruimte code]],"-",Ruimtestaat[[#This Row],[Frequentie werkdagen]]," ",Ruimtestaat[[#This Row],[Vloer code]]))</f>
        <v>5-5w S</v>
      </c>
      <c r="AI69" s="310" t="str">
        <f>_xlfn.IFNA(VLOOKUP($AH69,Programma!$F$3:$G$1107,2,0),"")</f>
        <v>_</v>
      </c>
      <c r="AJ69" s="310" t="str">
        <f>_xlfn.IFNA(VLOOKUP($AH69,Programma!$F$3:$H$1107,3,0),"")</f>
        <v>_</v>
      </c>
      <c r="AK69" s="310" t="str">
        <f>_xlfn.IFNA(VLOOKUP($AH69,Programma!$F$3:$I$1107,4,0),"")</f>
        <v>_</v>
      </c>
      <c r="AL69" s="310" t="str">
        <f>_xlfn.IFNA(VLOOKUP($AH69,Programma!$F$3:$J$1107,5,0),"")</f>
        <v>4w</v>
      </c>
      <c r="AM69" s="310" t="str">
        <f>_xlfn.IFNA(VLOOKUP($AH69,Programma!$F$3:$K$1107,6,0),"")</f>
        <v>1w</v>
      </c>
      <c r="AN69" s="310" t="str">
        <f>_xlfn.IFNA(VLOOKUP($AH69,Programma!$F$3:$L$1107,7,0),"")</f>
        <v>_</v>
      </c>
      <c r="AO69" s="310" t="str">
        <f>_xlfn.IFNA(VLOOKUP($AH69,Programma!$F$3:$M$1107,8,0),"")</f>
        <v>_</v>
      </c>
      <c r="AP69" s="310" t="str">
        <f>_xlfn.IFNA(VLOOKUP($AH69,Programma!$F$3:$N$1107,9,0),"")</f>
        <v>_</v>
      </c>
      <c r="AQ69" s="310" t="str">
        <f>_xlfn.IFNA(VLOOKUP($AH69,Programma!$F$3:$O$1107,10,0),"")</f>
        <v>_</v>
      </c>
      <c r="AR69" s="310" t="str">
        <f>_xlfn.IFNA(VLOOKUP($AH69,Programma!$F$3:$P$1107,11,0),"")</f>
        <v>_</v>
      </c>
      <c r="AS69" s="310" t="str">
        <f>_xlfn.IFNA(VLOOKUP($AH69,Programma!$F$3:$Q$1107,12,0),"")</f>
        <v>_</v>
      </c>
      <c r="AT69" s="310" t="str">
        <f>_xlfn.IFNA(VLOOKUP($AH69,Programma!$F$3:$R$1107,13,0),"")</f>
        <v>_</v>
      </c>
      <c r="AU69" s="310" t="str">
        <f>_xlfn.IFNA(VLOOKUP($AH69,Programma!$F$3:$S$1107,14,0),"")</f>
        <v>_</v>
      </c>
      <c r="AV69" s="310" t="str">
        <f>_xlfn.IFNA(VLOOKUP($AH69,Programma!$F$3:$T$1107,15,0),"")</f>
        <v>_</v>
      </c>
      <c r="AW69" s="310" t="str">
        <f>_xlfn.IFNA(VLOOKUP($AH69,Programma!$F$3:$U$1107,16,0),"")</f>
        <v>_</v>
      </c>
      <c r="AX69" s="310" t="str">
        <f>_xlfn.IFNA(VLOOKUP($AH69,Programma!$F$3:$V$1107,17,0),"")</f>
        <v>_</v>
      </c>
      <c r="AY69" s="310" t="str">
        <f>_xlfn.IFNA(VLOOKUP($AH69,Programma!$F$3:$W$1107,18,0),"")</f>
        <v>4w</v>
      </c>
      <c r="AZ69" s="310" t="str">
        <f>_xlfn.IFNA(VLOOKUP($AH69,Programma!$F$3:$X$1107,19,0),"")</f>
        <v>1w</v>
      </c>
      <c r="BA69" s="310" t="str">
        <f>_xlfn.IFNA(VLOOKUP($AH69,Programma!$F$3:$Y$1107,20,0),"")</f>
        <v>_</v>
      </c>
      <c r="BB69" s="273"/>
      <c r="BC69" s="272" t="str">
        <f>IF(Ruimtestaat[[#This Row],[Frequentie weekend]]="","",_xlfn.CONCAT(Ruimtestaat[[#This Row],[Ruimte code]],"-",Ruimtestaat[[#This Row],[Frequentie weekend]]," ",Ruimtestaat[[#This Row],[Vloer code]]))</f>
        <v/>
      </c>
      <c r="BD69" s="310" t="str">
        <f>_xlfn.IFNA(VLOOKUP($BC69,Programma!$F$3:$G$1107,2,0),"")</f>
        <v/>
      </c>
      <c r="BE69" s="310" t="str">
        <f>_xlfn.IFNA(VLOOKUP($BC69,Programma!$F$3:$H$1107,3,0),"")</f>
        <v/>
      </c>
      <c r="BF69" s="310" t="str">
        <f>_xlfn.IFNA(VLOOKUP($BC69,Programma!$F$3:$I$1107,4,0),"")</f>
        <v/>
      </c>
      <c r="BG69" s="310" t="str">
        <f>_xlfn.IFNA(VLOOKUP($BC69,Programma!$F$3:$J$1107,5,0),"")</f>
        <v/>
      </c>
      <c r="BH69" s="310" t="str">
        <f>_xlfn.IFNA(VLOOKUP($BC69,Programma!$F$3:$K$1107,6,0),"")</f>
        <v/>
      </c>
      <c r="BI69" s="310" t="str">
        <f>_xlfn.IFNA(VLOOKUP($BC69,Programma!$F$3:$L$1107,7,0),"")</f>
        <v/>
      </c>
      <c r="BJ69" s="310" t="str">
        <f>_xlfn.IFNA(VLOOKUP($BC69,Programma!$F$3:$M$1107,8,0),"")</f>
        <v/>
      </c>
      <c r="BK69" s="310" t="str">
        <f>_xlfn.IFNA(VLOOKUP($BC69,Programma!$F$3:$N$1107,9,0),"")</f>
        <v/>
      </c>
      <c r="BL69" s="310" t="str">
        <f>_xlfn.IFNA(VLOOKUP($BC69,Programma!$F$3:$O$1107,10,0),"")</f>
        <v/>
      </c>
      <c r="BM69" s="310" t="str">
        <f>_xlfn.IFNA(VLOOKUP($BC69,Programma!$F$3:$P$1107,11,0),"")</f>
        <v/>
      </c>
      <c r="BN69" s="310" t="str">
        <f>_xlfn.IFNA(VLOOKUP($BC69,Programma!$F$3:$Q$1107,12,0),"")</f>
        <v/>
      </c>
      <c r="BO69" s="310" t="str">
        <f>_xlfn.IFNA(VLOOKUP($BC69,Programma!$F$3:$R$1107,13,0),"")</f>
        <v/>
      </c>
      <c r="BP69" s="310" t="str">
        <f>_xlfn.IFNA(VLOOKUP($BC69,Programma!$F$3:$S$1107,14,0),"")</f>
        <v/>
      </c>
      <c r="BQ69" s="310" t="str">
        <f>_xlfn.IFNA(VLOOKUP($BC69,Programma!$F$3:$T$1107,15,0),"")</f>
        <v/>
      </c>
      <c r="BR69" s="310" t="str">
        <f>_xlfn.IFNA(VLOOKUP($BC69,Programma!$F$3:$U$1107,16,0),"")</f>
        <v/>
      </c>
      <c r="BS69" s="310" t="str">
        <f>_xlfn.IFNA(VLOOKUP($BC69,Programma!$F$3:$V$1107,17,0),"")</f>
        <v/>
      </c>
      <c r="BT69" s="310" t="str">
        <f>_xlfn.IFNA(VLOOKUP($BC69,Programma!$F$3:$W$1107,18,0),"")</f>
        <v/>
      </c>
      <c r="BU69" s="310" t="str">
        <f>_xlfn.IFNA(VLOOKUP($BC69,Programma!$F$3:$X$1107,19,0),"")</f>
        <v/>
      </c>
      <c r="BV69" s="310" t="str">
        <f>_xlfn.IFNA(VLOOKUP($BC69,Programma!$F$3:$Y$1107,20,0),"")</f>
        <v/>
      </c>
    </row>
    <row r="70" spans="1:74" ht="15" customHeight="1">
      <c r="A70" s="33">
        <v>1</v>
      </c>
      <c r="B70" s="173" t="str">
        <f>VLOOKUP(Ruimtestaat[[#This Row],[Code]],Locaties[[Code]:[Locatie]],2,FALSE)</f>
        <v>CCNV</v>
      </c>
      <c r="C70" s="173" t="str">
        <f>VLOOKUP(Ruimtestaat[[#This Row],[Code]],Locaties[[#All],[Code]:[Adres]],4,FALSE)</f>
        <v>Stationslaan 26</v>
      </c>
      <c r="D70" s="173" t="str">
        <f>VLOOKUP(Ruimtestaat[[#This Row],[Code]],Locaties[[#All],[Code]:[Postcode]],5,FALSE)</f>
        <v>3842 LA</v>
      </c>
      <c r="E70" s="173" t="str">
        <f>VLOOKUP(Ruimtestaat[[#This Row],[Code]],Locaties[#All],6,FALSE)</f>
        <v>Harderwijk</v>
      </c>
      <c r="F70" s="21" t="s">
        <v>1624</v>
      </c>
      <c r="G70" s="33" t="s">
        <v>1612</v>
      </c>
      <c r="H70" s="311" t="s">
        <v>1684</v>
      </c>
      <c r="I70" s="312" t="s">
        <v>1730</v>
      </c>
      <c r="J70" s="21">
        <v>5</v>
      </c>
      <c r="K70" s="69" t="str">
        <f>VLOOKUP(Ruimtestaat[[#This Row],[Ruimte code]],Ruimtegroepen[[#All],[Code]:[Ruimte omschrijving]],2,FALSE)</f>
        <v>Sanitair</v>
      </c>
      <c r="L70" s="33" t="s">
        <v>102</v>
      </c>
      <c r="M70" s="312" t="s">
        <v>1805</v>
      </c>
      <c r="N70" s="148">
        <v>12</v>
      </c>
      <c r="O70" s="150"/>
      <c r="P70" s="134" t="str">
        <f>VLOOKUP(Ruimtestaat[[#This Row],[Ruimte code]],Ruimtegroepen[],4,FALSE)</f>
        <v>Sa</v>
      </c>
      <c r="Q70" s="33">
        <v>40</v>
      </c>
      <c r="R70" s="33" t="s">
        <v>2</v>
      </c>
      <c r="S70" s="33">
        <f>IF(Q70&gt;0,IF(RIGHT(Ruimtestaat[[#This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0" s="33">
        <f>IF(S70&gt;0,VLOOKUP($J70,Ruimtegroepen[],3,FALSE)*VLOOKUP($L70,Vloersoorten[],3,FALSE)*VLOOKUP($R70,Frequenties[],3,FALSE)*VLOOKUP($A70,Locaties[],3,FALSE),0)</f>
        <v>0</v>
      </c>
      <c r="U70" s="33">
        <f>Ruimtestaat[[#This Row],[Uitvoeringen werkdagen]]*Ruimtestaat[[#This Row],[Oppervlak (netto)]]</f>
        <v>2400</v>
      </c>
      <c r="V70" s="170">
        <f>IF(T70&gt;0,Ruimtestaat[[#This Row],[Prest. (m2 /jaar) werkdagen]]/Ruimtestaat[[#This Row],[Norm (m2/uur) werkdagen]],0)</f>
        <v>0</v>
      </c>
      <c r="W70" s="171">
        <f>Ruimtestaat[[#This Row],[uren / jaar werkdagen]]*Tariefsopbouw!$E$35</f>
        <v>0</v>
      </c>
      <c r="X70" s="33"/>
      <c r="Y70" s="33">
        <f>IF(Ruimtestaat[[#This Row],[Frequentie weekend]]&gt;0,VALUE(LEFT(X70,1))*Q70,0)</f>
        <v>0</v>
      </c>
      <c r="Z70" s="104">
        <f>IF($Y70&gt;0,VLOOKUP($J70,Ruimtegroepen[],3,FALSE)*VLOOKUP($L70,Vloersoorten[],3,FALSE)*VLOOKUP($X70,Frequenties[],3,FALSE)*VLOOKUP(Ruimtestaat[[#This Row],[Code]],Locaties[],3,FALSE),0)</f>
        <v>0</v>
      </c>
      <c r="AA70" s="104">
        <f>Ruimtestaat[[#This Row],[Uitvoeringen weekend]]*Ruimtestaat[[#This Row],[Oppervlak (netto)]]</f>
        <v>0</v>
      </c>
      <c r="AB70" s="104">
        <f>IF(Z70&gt;0,Ruimtestaat[[#This Row],[Prest. (m2 /jaar) weekend]]/Ruimtestaat[[#This Row],[Norm (m2/uur) weekend]],0)</f>
        <v>0</v>
      </c>
      <c r="AC70" s="171">
        <f>Ruimtestaat[[#This Row],[uren / jaar weekend]]*Tariefsopbouw!$D$40</f>
        <v>0</v>
      </c>
      <c r="AD70" s="170">
        <f>Ruimtestaat[[#This Row],[Prest. (m2 /jaar) weekend]]+Ruimtestaat[[#This Row],[Prest. (m2 /jaar) werkdagen]]</f>
        <v>2400</v>
      </c>
      <c r="AE70" s="170">
        <f>Ruimtestaat[[#This Row],[uren / jaar weekend]]+Ruimtestaat[[#This Row],[uren / jaar werkdagen]]</f>
        <v>0</v>
      </c>
      <c r="AF70" s="76">
        <f>Ruimtestaat[[#This Row],[kosten / jaar weekend]]+Ruimtestaat[[#This Row],[kosten / jaar werkdagen]]</f>
        <v>0</v>
      </c>
      <c r="AG70" s="76"/>
      <c r="AH70" s="272" t="str">
        <f>IF(Ruimtestaat[[#This Row],[Frequentie werkdagen]]="","",_xlfn.CONCAT(Ruimtestaat[[#This Row],[Ruimte code]],"-",Ruimtestaat[[#This Row],[Frequentie werkdagen]]," ",Ruimtestaat[[#This Row],[Vloer code]]))</f>
        <v>5-5w S</v>
      </c>
      <c r="AI70" s="310" t="str">
        <f>_xlfn.IFNA(VLOOKUP($AH70,Programma!$F$3:$G$1107,2,0),"")</f>
        <v>_</v>
      </c>
      <c r="AJ70" s="310" t="str">
        <f>_xlfn.IFNA(VLOOKUP($AH70,Programma!$F$3:$H$1107,3,0),"")</f>
        <v>_</v>
      </c>
      <c r="AK70" s="310" t="str">
        <f>_xlfn.IFNA(VLOOKUP($AH70,Programma!$F$3:$I$1107,4,0),"")</f>
        <v>_</v>
      </c>
      <c r="AL70" s="310" t="str">
        <f>_xlfn.IFNA(VLOOKUP($AH70,Programma!$F$3:$J$1107,5,0),"")</f>
        <v>4w</v>
      </c>
      <c r="AM70" s="310" t="str">
        <f>_xlfn.IFNA(VLOOKUP($AH70,Programma!$F$3:$K$1107,6,0),"")</f>
        <v>1w</v>
      </c>
      <c r="AN70" s="310" t="str">
        <f>_xlfn.IFNA(VLOOKUP($AH70,Programma!$F$3:$L$1107,7,0),"")</f>
        <v>_</v>
      </c>
      <c r="AO70" s="310" t="str">
        <f>_xlfn.IFNA(VLOOKUP($AH70,Programma!$F$3:$M$1107,8,0),"")</f>
        <v>_</v>
      </c>
      <c r="AP70" s="310" t="str">
        <f>_xlfn.IFNA(VLOOKUP($AH70,Programma!$F$3:$N$1107,9,0),"")</f>
        <v>_</v>
      </c>
      <c r="AQ70" s="310" t="str">
        <f>_xlfn.IFNA(VLOOKUP($AH70,Programma!$F$3:$O$1107,10,0),"")</f>
        <v>_</v>
      </c>
      <c r="AR70" s="310" t="str">
        <f>_xlfn.IFNA(VLOOKUP($AH70,Programma!$F$3:$P$1107,11,0),"")</f>
        <v>_</v>
      </c>
      <c r="AS70" s="310" t="str">
        <f>_xlfn.IFNA(VLOOKUP($AH70,Programma!$F$3:$Q$1107,12,0),"")</f>
        <v>_</v>
      </c>
      <c r="AT70" s="310" t="str">
        <f>_xlfn.IFNA(VLOOKUP($AH70,Programma!$F$3:$R$1107,13,0),"")</f>
        <v>_</v>
      </c>
      <c r="AU70" s="310" t="str">
        <f>_xlfn.IFNA(VLOOKUP($AH70,Programma!$F$3:$S$1107,14,0),"")</f>
        <v>_</v>
      </c>
      <c r="AV70" s="310" t="str">
        <f>_xlfn.IFNA(VLOOKUP($AH70,Programma!$F$3:$T$1107,15,0),"")</f>
        <v>_</v>
      </c>
      <c r="AW70" s="310" t="str">
        <f>_xlfn.IFNA(VLOOKUP($AH70,Programma!$F$3:$U$1107,16,0),"")</f>
        <v>_</v>
      </c>
      <c r="AX70" s="310" t="str">
        <f>_xlfn.IFNA(VLOOKUP($AH70,Programma!$F$3:$V$1107,17,0),"")</f>
        <v>_</v>
      </c>
      <c r="AY70" s="310" t="str">
        <f>_xlfn.IFNA(VLOOKUP($AH70,Programma!$F$3:$W$1107,18,0),"")</f>
        <v>4w</v>
      </c>
      <c r="AZ70" s="310" t="str">
        <f>_xlfn.IFNA(VLOOKUP($AH70,Programma!$F$3:$X$1107,19,0),"")</f>
        <v>1w</v>
      </c>
      <c r="BA70" s="310" t="str">
        <f>_xlfn.IFNA(VLOOKUP($AH70,Programma!$F$3:$Y$1107,20,0),"")</f>
        <v>_</v>
      </c>
      <c r="BB70" s="273"/>
      <c r="BC70" s="272" t="str">
        <f>IF(Ruimtestaat[[#This Row],[Frequentie weekend]]="","",_xlfn.CONCAT(Ruimtestaat[[#This Row],[Ruimte code]],"-",Ruimtestaat[[#This Row],[Frequentie weekend]]," ",Ruimtestaat[[#This Row],[Vloer code]]))</f>
        <v/>
      </c>
      <c r="BD70" s="310" t="str">
        <f>_xlfn.IFNA(VLOOKUP($BC70,Programma!$F$3:$G$1107,2,0),"")</f>
        <v/>
      </c>
      <c r="BE70" s="310" t="str">
        <f>_xlfn.IFNA(VLOOKUP($BC70,Programma!$F$3:$H$1107,3,0),"")</f>
        <v/>
      </c>
      <c r="BF70" s="310" t="str">
        <f>_xlfn.IFNA(VLOOKUP($BC70,Programma!$F$3:$I$1107,4,0),"")</f>
        <v/>
      </c>
      <c r="BG70" s="310" t="str">
        <f>_xlfn.IFNA(VLOOKUP($BC70,Programma!$F$3:$J$1107,5,0),"")</f>
        <v/>
      </c>
      <c r="BH70" s="310" t="str">
        <f>_xlfn.IFNA(VLOOKUP($BC70,Programma!$F$3:$K$1107,6,0),"")</f>
        <v/>
      </c>
      <c r="BI70" s="310" t="str">
        <f>_xlfn.IFNA(VLOOKUP($BC70,Programma!$F$3:$L$1107,7,0),"")</f>
        <v/>
      </c>
      <c r="BJ70" s="310" t="str">
        <f>_xlfn.IFNA(VLOOKUP($BC70,Programma!$F$3:$M$1107,8,0),"")</f>
        <v/>
      </c>
      <c r="BK70" s="310" t="str">
        <f>_xlfn.IFNA(VLOOKUP($BC70,Programma!$F$3:$N$1107,9,0),"")</f>
        <v/>
      </c>
      <c r="BL70" s="310" t="str">
        <f>_xlfn.IFNA(VLOOKUP($BC70,Programma!$F$3:$O$1107,10,0),"")</f>
        <v/>
      </c>
      <c r="BM70" s="310" t="str">
        <f>_xlfn.IFNA(VLOOKUP($BC70,Programma!$F$3:$P$1107,11,0),"")</f>
        <v/>
      </c>
      <c r="BN70" s="310" t="str">
        <f>_xlfn.IFNA(VLOOKUP($BC70,Programma!$F$3:$Q$1107,12,0),"")</f>
        <v/>
      </c>
      <c r="BO70" s="310" t="str">
        <f>_xlfn.IFNA(VLOOKUP($BC70,Programma!$F$3:$R$1107,13,0),"")</f>
        <v/>
      </c>
      <c r="BP70" s="310" t="str">
        <f>_xlfn.IFNA(VLOOKUP($BC70,Programma!$F$3:$S$1107,14,0),"")</f>
        <v/>
      </c>
      <c r="BQ70" s="310" t="str">
        <f>_xlfn.IFNA(VLOOKUP($BC70,Programma!$F$3:$T$1107,15,0),"")</f>
        <v/>
      </c>
      <c r="BR70" s="310" t="str">
        <f>_xlfn.IFNA(VLOOKUP($BC70,Programma!$F$3:$U$1107,16,0),"")</f>
        <v/>
      </c>
      <c r="BS70" s="310" t="str">
        <f>_xlfn.IFNA(VLOOKUP($BC70,Programma!$F$3:$V$1107,17,0),"")</f>
        <v/>
      </c>
      <c r="BT70" s="310" t="str">
        <f>_xlfn.IFNA(VLOOKUP($BC70,Programma!$F$3:$W$1107,18,0),"")</f>
        <v/>
      </c>
      <c r="BU70" s="310" t="str">
        <f>_xlfn.IFNA(VLOOKUP($BC70,Programma!$F$3:$X$1107,19,0),"")</f>
        <v/>
      </c>
      <c r="BV70" s="310" t="str">
        <f>_xlfn.IFNA(VLOOKUP($BC70,Programma!$F$3:$Y$1107,20,0),"")</f>
        <v/>
      </c>
    </row>
    <row r="71" spans="1:74" ht="15" customHeight="1">
      <c r="A71" s="33">
        <v>1</v>
      </c>
      <c r="B71" s="173" t="str">
        <f>VLOOKUP(Ruimtestaat[[#This Row],[Code]],Locaties[[Code]:[Locatie]],2,FALSE)</f>
        <v>CCNV</v>
      </c>
      <c r="C71" s="173" t="str">
        <f>VLOOKUP(Ruimtestaat[[#This Row],[Code]],Locaties[[#All],[Code]:[Adres]],4,FALSE)</f>
        <v>Stationslaan 26</v>
      </c>
      <c r="D71" s="173" t="str">
        <f>VLOOKUP(Ruimtestaat[[#This Row],[Code]],Locaties[[#All],[Code]:[Postcode]],5,FALSE)</f>
        <v>3842 LA</v>
      </c>
      <c r="E71" s="173" t="str">
        <f>VLOOKUP(Ruimtestaat[[#This Row],[Code]],Locaties[#All],6,FALSE)</f>
        <v>Harderwijk</v>
      </c>
      <c r="F71" s="21" t="s">
        <v>1624</v>
      </c>
      <c r="G71" s="33" t="s">
        <v>1612</v>
      </c>
      <c r="H71" s="311" t="s">
        <v>1685</v>
      </c>
      <c r="I71" s="312" t="s">
        <v>1730</v>
      </c>
      <c r="J71" s="21">
        <v>5</v>
      </c>
      <c r="K71" s="69" t="str">
        <f>VLOOKUP(Ruimtestaat[[#This Row],[Ruimte code]],Ruimtegroepen[[#All],[Code]:[Ruimte omschrijving]],2,FALSE)</f>
        <v>Sanitair</v>
      </c>
      <c r="L71" s="33" t="s">
        <v>102</v>
      </c>
      <c r="M71" s="312" t="s">
        <v>1805</v>
      </c>
      <c r="N71" s="148">
        <v>10</v>
      </c>
      <c r="O71" s="150"/>
      <c r="P71" s="134" t="str">
        <f>VLOOKUP(Ruimtestaat[[#This Row],[Ruimte code]],Ruimtegroepen[],4,FALSE)</f>
        <v>Sa</v>
      </c>
      <c r="Q71" s="33">
        <v>40</v>
      </c>
      <c r="R71" s="33" t="s">
        <v>2</v>
      </c>
      <c r="S71" s="33">
        <f>IF(Q71&gt;0,IF(RIGHT(Ruimtestaat[[#This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1" s="33">
        <f>IF(S71&gt;0,VLOOKUP($J71,Ruimtegroepen[],3,FALSE)*VLOOKUP($L71,Vloersoorten[],3,FALSE)*VLOOKUP($R71,Frequenties[],3,FALSE)*VLOOKUP($A71,Locaties[],3,FALSE),0)</f>
        <v>0</v>
      </c>
      <c r="U71" s="33">
        <f>Ruimtestaat[[#This Row],[Uitvoeringen werkdagen]]*Ruimtestaat[[#This Row],[Oppervlak (netto)]]</f>
        <v>2000</v>
      </c>
      <c r="V71" s="170">
        <f>IF(T71&gt;0,Ruimtestaat[[#This Row],[Prest. (m2 /jaar) werkdagen]]/Ruimtestaat[[#This Row],[Norm (m2/uur) werkdagen]],0)</f>
        <v>0</v>
      </c>
      <c r="W71" s="171">
        <f>Ruimtestaat[[#This Row],[uren / jaar werkdagen]]*Tariefsopbouw!$E$35</f>
        <v>0</v>
      </c>
      <c r="X71" s="33"/>
      <c r="Y71" s="33">
        <f>IF(Ruimtestaat[[#This Row],[Frequentie weekend]]&gt;0,VALUE(LEFT(X71,1))*Q71,0)</f>
        <v>0</v>
      </c>
      <c r="Z71" s="104">
        <f>IF($Y71&gt;0,VLOOKUP($J71,Ruimtegroepen[],3,FALSE)*VLOOKUP($L71,Vloersoorten[],3,FALSE)*VLOOKUP($X71,Frequenties[],3,FALSE)*VLOOKUP(Ruimtestaat[[#This Row],[Code]],Locaties[],3,FALSE),0)</f>
        <v>0</v>
      </c>
      <c r="AA71" s="104">
        <f>Ruimtestaat[[#This Row],[Uitvoeringen weekend]]*Ruimtestaat[[#This Row],[Oppervlak (netto)]]</f>
        <v>0</v>
      </c>
      <c r="AB71" s="104">
        <f>IF(Z71&gt;0,Ruimtestaat[[#This Row],[Prest. (m2 /jaar) weekend]]/Ruimtestaat[[#This Row],[Norm (m2/uur) weekend]],0)</f>
        <v>0</v>
      </c>
      <c r="AC71" s="171">
        <f>Ruimtestaat[[#This Row],[uren / jaar weekend]]*Tariefsopbouw!$D$40</f>
        <v>0</v>
      </c>
      <c r="AD71" s="170">
        <f>Ruimtestaat[[#This Row],[Prest. (m2 /jaar) weekend]]+Ruimtestaat[[#This Row],[Prest. (m2 /jaar) werkdagen]]</f>
        <v>2000</v>
      </c>
      <c r="AE71" s="170">
        <f>Ruimtestaat[[#This Row],[uren / jaar weekend]]+Ruimtestaat[[#This Row],[uren / jaar werkdagen]]</f>
        <v>0</v>
      </c>
      <c r="AF71" s="76">
        <f>Ruimtestaat[[#This Row],[kosten / jaar weekend]]+Ruimtestaat[[#This Row],[kosten / jaar werkdagen]]</f>
        <v>0</v>
      </c>
      <c r="AG71" s="76"/>
      <c r="AH71" s="272" t="str">
        <f>IF(Ruimtestaat[[#This Row],[Frequentie werkdagen]]="","",_xlfn.CONCAT(Ruimtestaat[[#This Row],[Ruimte code]],"-",Ruimtestaat[[#This Row],[Frequentie werkdagen]]," ",Ruimtestaat[[#This Row],[Vloer code]]))</f>
        <v>5-5w S</v>
      </c>
      <c r="AI71" s="310" t="str">
        <f>_xlfn.IFNA(VLOOKUP($AH71,Programma!$F$3:$G$1107,2,0),"")</f>
        <v>_</v>
      </c>
      <c r="AJ71" s="310" t="str">
        <f>_xlfn.IFNA(VLOOKUP($AH71,Programma!$F$3:$H$1107,3,0),"")</f>
        <v>_</v>
      </c>
      <c r="AK71" s="310" t="str">
        <f>_xlfn.IFNA(VLOOKUP($AH71,Programma!$F$3:$I$1107,4,0),"")</f>
        <v>_</v>
      </c>
      <c r="AL71" s="310" t="str">
        <f>_xlfn.IFNA(VLOOKUP($AH71,Programma!$F$3:$J$1107,5,0),"")</f>
        <v>4w</v>
      </c>
      <c r="AM71" s="310" t="str">
        <f>_xlfn.IFNA(VLOOKUP($AH71,Programma!$F$3:$K$1107,6,0),"")</f>
        <v>1w</v>
      </c>
      <c r="AN71" s="310" t="str">
        <f>_xlfn.IFNA(VLOOKUP($AH71,Programma!$F$3:$L$1107,7,0),"")</f>
        <v>_</v>
      </c>
      <c r="AO71" s="310" t="str">
        <f>_xlfn.IFNA(VLOOKUP($AH71,Programma!$F$3:$M$1107,8,0),"")</f>
        <v>_</v>
      </c>
      <c r="AP71" s="310" t="str">
        <f>_xlfn.IFNA(VLOOKUP($AH71,Programma!$F$3:$N$1107,9,0),"")</f>
        <v>_</v>
      </c>
      <c r="AQ71" s="310" t="str">
        <f>_xlfn.IFNA(VLOOKUP($AH71,Programma!$F$3:$O$1107,10,0),"")</f>
        <v>_</v>
      </c>
      <c r="AR71" s="310" t="str">
        <f>_xlfn.IFNA(VLOOKUP($AH71,Programma!$F$3:$P$1107,11,0),"")</f>
        <v>_</v>
      </c>
      <c r="AS71" s="310" t="str">
        <f>_xlfn.IFNA(VLOOKUP($AH71,Programma!$F$3:$Q$1107,12,0),"")</f>
        <v>_</v>
      </c>
      <c r="AT71" s="310" t="str">
        <f>_xlfn.IFNA(VLOOKUP($AH71,Programma!$F$3:$R$1107,13,0),"")</f>
        <v>_</v>
      </c>
      <c r="AU71" s="310" t="str">
        <f>_xlfn.IFNA(VLOOKUP($AH71,Programma!$F$3:$S$1107,14,0),"")</f>
        <v>_</v>
      </c>
      <c r="AV71" s="310" t="str">
        <f>_xlfn.IFNA(VLOOKUP($AH71,Programma!$F$3:$T$1107,15,0),"")</f>
        <v>_</v>
      </c>
      <c r="AW71" s="310" t="str">
        <f>_xlfn.IFNA(VLOOKUP($AH71,Programma!$F$3:$U$1107,16,0),"")</f>
        <v>_</v>
      </c>
      <c r="AX71" s="310" t="str">
        <f>_xlfn.IFNA(VLOOKUP($AH71,Programma!$F$3:$V$1107,17,0),"")</f>
        <v>_</v>
      </c>
      <c r="AY71" s="310" t="str">
        <f>_xlfn.IFNA(VLOOKUP($AH71,Programma!$F$3:$W$1107,18,0),"")</f>
        <v>4w</v>
      </c>
      <c r="AZ71" s="310" t="str">
        <f>_xlfn.IFNA(VLOOKUP($AH71,Programma!$F$3:$X$1107,19,0),"")</f>
        <v>1w</v>
      </c>
      <c r="BA71" s="310" t="str">
        <f>_xlfn.IFNA(VLOOKUP($AH71,Programma!$F$3:$Y$1107,20,0),"")</f>
        <v>_</v>
      </c>
      <c r="BB71" s="273"/>
      <c r="BC71" s="272" t="str">
        <f>IF(Ruimtestaat[[#This Row],[Frequentie weekend]]="","",_xlfn.CONCAT(Ruimtestaat[[#This Row],[Ruimte code]],"-",Ruimtestaat[[#This Row],[Frequentie weekend]]," ",Ruimtestaat[[#This Row],[Vloer code]]))</f>
        <v/>
      </c>
      <c r="BD71" s="310" t="str">
        <f>_xlfn.IFNA(VLOOKUP($BC71,Programma!$F$3:$G$1107,2,0),"")</f>
        <v/>
      </c>
      <c r="BE71" s="310" t="str">
        <f>_xlfn.IFNA(VLOOKUP($BC71,Programma!$F$3:$H$1107,3,0),"")</f>
        <v/>
      </c>
      <c r="BF71" s="310" t="str">
        <f>_xlfn.IFNA(VLOOKUP($BC71,Programma!$F$3:$I$1107,4,0),"")</f>
        <v/>
      </c>
      <c r="BG71" s="310" t="str">
        <f>_xlfn.IFNA(VLOOKUP($BC71,Programma!$F$3:$J$1107,5,0),"")</f>
        <v/>
      </c>
      <c r="BH71" s="310" t="str">
        <f>_xlfn.IFNA(VLOOKUP($BC71,Programma!$F$3:$K$1107,6,0),"")</f>
        <v/>
      </c>
      <c r="BI71" s="310" t="str">
        <f>_xlfn.IFNA(VLOOKUP($BC71,Programma!$F$3:$L$1107,7,0),"")</f>
        <v/>
      </c>
      <c r="BJ71" s="310" t="str">
        <f>_xlfn.IFNA(VLOOKUP($BC71,Programma!$F$3:$M$1107,8,0),"")</f>
        <v/>
      </c>
      <c r="BK71" s="310" t="str">
        <f>_xlfn.IFNA(VLOOKUP($BC71,Programma!$F$3:$N$1107,9,0),"")</f>
        <v/>
      </c>
      <c r="BL71" s="310" t="str">
        <f>_xlfn.IFNA(VLOOKUP($BC71,Programma!$F$3:$O$1107,10,0),"")</f>
        <v/>
      </c>
      <c r="BM71" s="310" t="str">
        <f>_xlfn.IFNA(VLOOKUP($BC71,Programma!$F$3:$P$1107,11,0),"")</f>
        <v/>
      </c>
      <c r="BN71" s="310" t="str">
        <f>_xlfn.IFNA(VLOOKUP($BC71,Programma!$F$3:$Q$1107,12,0),"")</f>
        <v/>
      </c>
      <c r="BO71" s="310" t="str">
        <f>_xlfn.IFNA(VLOOKUP($BC71,Programma!$F$3:$R$1107,13,0),"")</f>
        <v/>
      </c>
      <c r="BP71" s="310" t="str">
        <f>_xlfn.IFNA(VLOOKUP($BC71,Programma!$F$3:$S$1107,14,0),"")</f>
        <v/>
      </c>
      <c r="BQ71" s="310" t="str">
        <f>_xlfn.IFNA(VLOOKUP($BC71,Programma!$F$3:$T$1107,15,0),"")</f>
        <v/>
      </c>
      <c r="BR71" s="310" t="str">
        <f>_xlfn.IFNA(VLOOKUP($BC71,Programma!$F$3:$U$1107,16,0),"")</f>
        <v/>
      </c>
      <c r="BS71" s="310" t="str">
        <f>_xlfn.IFNA(VLOOKUP($BC71,Programma!$F$3:$V$1107,17,0),"")</f>
        <v/>
      </c>
      <c r="BT71" s="310" t="str">
        <f>_xlfn.IFNA(VLOOKUP($BC71,Programma!$F$3:$W$1107,18,0),"")</f>
        <v/>
      </c>
      <c r="BU71" s="310" t="str">
        <f>_xlfn.IFNA(VLOOKUP($BC71,Programma!$F$3:$X$1107,19,0),"")</f>
        <v/>
      </c>
      <c r="BV71" s="310" t="str">
        <f>_xlfn.IFNA(VLOOKUP($BC71,Programma!$F$3:$Y$1107,20,0),"")</f>
        <v/>
      </c>
    </row>
    <row r="72" spans="1:74" ht="15" customHeight="1">
      <c r="A72" s="33">
        <v>1</v>
      </c>
      <c r="B72" s="173" t="str">
        <f>VLOOKUP(Ruimtestaat[[#This Row],[Code]],Locaties[[Code]:[Locatie]],2,FALSE)</f>
        <v>CCNV</v>
      </c>
      <c r="C72" s="173" t="str">
        <f>VLOOKUP(Ruimtestaat[[#This Row],[Code]],Locaties[[#All],[Code]:[Adres]],4,FALSE)</f>
        <v>Stationslaan 26</v>
      </c>
      <c r="D72" s="173" t="str">
        <f>VLOOKUP(Ruimtestaat[[#This Row],[Code]],Locaties[[#All],[Code]:[Postcode]],5,FALSE)</f>
        <v>3842 LA</v>
      </c>
      <c r="E72" s="173" t="str">
        <f>VLOOKUP(Ruimtestaat[[#This Row],[Code]],Locaties[#All],6,FALSE)</f>
        <v>Harderwijk</v>
      </c>
      <c r="F72" s="21" t="s">
        <v>1624</v>
      </c>
      <c r="G72" s="33" t="s">
        <v>1612</v>
      </c>
      <c r="H72" s="311" t="s">
        <v>1686</v>
      </c>
      <c r="I72" s="312" t="s">
        <v>1730</v>
      </c>
      <c r="J72" s="21">
        <v>5</v>
      </c>
      <c r="K72" s="69" t="str">
        <f>VLOOKUP(Ruimtestaat[[#This Row],[Ruimte code]],Ruimtegroepen[[#All],[Code]:[Ruimte omschrijving]],2,FALSE)</f>
        <v>Sanitair</v>
      </c>
      <c r="L72" s="33" t="s">
        <v>102</v>
      </c>
      <c r="M72" s="312" t="s">
        <v>1805</v>
      </c>
      <c r="N72" s="148">
        <v>12</v>
      </c>
      <c r="O72" s="33"/>
      <c r="P72" s="134" t="str">
        <f>VLOOKUP(Ruimtestaat[[#This Row],[Ruimte code]],Ruimtegroepen[],4,FALSE)</f>
        <v>Sa</v>
      </c>
      <c r="Q72" s="33">
        <v>40</v>
      </c>
      <c r="R72" s="33" t="s">
        <v>2</v>
      </c>
      <c r="S72" s="33">
        <f>IF(Q72&gt;0,IF(RIGHT(Ruimtestaat[[#This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2" s="33">
        <f>IF(S72&gt;0,VLOOKUP($J72,Ruimtegroepen[],3,FALSE)*VLOOKUP($L72,Vloersoorten[],3,FALSE)*VLOOKUP($R72,Frequenties[],3,FALSE)*VLOOKUP($A72,Locaties[],3,FALSE),0)</f>
        <v>0</v>
      </c>
      <c r="U72" s="33">
        <f>Ruimtestaat[[#This Row],[Uitvoeringen werkdagen]]*Ruimtestaat[[#This Row],[Oppervlak (netto)]]</f>
        <v>2400</v>
      </c>
      <c r="V72" s="170">
        <f>IF(T72&gt;0,Ruimtestaat[[#This Row],[Prest. (m2 /jaar) werkdagen]]/Ruimtestaat[[#This Row],[Norm (m2/uur) werkdagen]],0)</f>
        <v>0</v>
      </c>
      <c r="W72" s="171">
        <f>Ruimtestaat[[#This Row],[uren / jaar werkdagen]]*Tariefsopbouw!$E$35</f>
        <v>0</v>
      </c>
      <c r="X72" s="33"/>
      <c r="Y72" s="33">
        <f>IF(Ruimtestaat[[#This Row],[Frequentie weekend]]&gt;0,VALUE(LEFT(X72,1))*Q72,0)</f>
        <v>0</v>
      </c>
      <c r="Z72" s="104">
        <f>IF($Y72&gt;0,VLOOKUP($J72,Ruimtegroepen[],3,FALSE)*VLOOKUP($L72,Vloersoorten[],3,FALSE)*VLOOKUP($X72,Frequenties[],3,FALSE)*VLOOKUP(Ruimtestaat[[#This Row],[Code]],Locaties[],3,FALSE),0)</f>
        <v>0</v>
      </c>
      <c r="AA72" s="104">
        <f>Ruimtestaat[[#This Row],[Uitvoeringen weekend]]*Ruimtestaat[[#This Row],[Oppervlak (netto)]]</f>
        <v>0</v>
      </c>
      <c r="AB72" s="104">
        <f>IF(Z72&gt;0,Ruimtestaat[[#This Row],[Prest. (m2 /jaar) weekend]]/Ruimtestaat[[#This Row],[Norm (m2/uur) weekend]],0)</f>
        <v>0</v>
      </c>
      <c r="AC72" s="171">
        <f>Ruimtestaat[[#This Row],[uren / jaar weekend]]*Tariefsopbouw!$D$40</f>
        <v>0</v>
      </c>
      <c r="AD72" s="170">
        <f>Ruimtestaat[[#This Row],[Prest. (m2 /jaar) weekend]]+Ruimtestaat[[#This Row],[Prest. (m2 /jaar) werkdagen]]</f>
        <v>2400</v>
      </c>
      <c r="AE72" s="170">
        <f>Ruimtestaat[[#This Row],[uren / jaar weekend]]+Ruimtestaat[[#This Row],[uren / jaar werkdagen]]</f>
        <v>0</v>
      </c>
      <c r="AF72" s="76">
        <f>Ruimtestaat[[#This Row],[kosten / jaar weekend]]+Ruimtestaat[[#This Row],[kosten / jaar werkdagen]]</f>
        <v>0</v>
      </c>
      <c r="AG72" s="76"/>
      <c r="AH72" s="272" t="str">
        <f>IF(Ruimtestaat[[#This Row],[Frequentie werkdagen]]="","",_xlfn.CONCAT(Ruimtestaat[[#This Row],[Ruimte code]],"-",Ruimtestaat[[#This Row],[Frequentie werkdagen]]," ",Ruimtestaat[[#This Row],[Vloer code]]))</f>
        <v>5-5w S</v>
      </c>
      <c r="AI72" s="310" t="str">
        <f>_xlfn.IFNA(VLOOKUP($AH72,Programma!$F$3:$G$1107,2,0),"")</f>
        <v>_</v>
      </c>
      <c r="AJ72" s="310" t="str">
        <f>_xlfn.IFNA(VLOOKUP($AH72,Programma!$F$3:$H$1107,3,0),"")</f>
        <v>_</v>
      </c>
      <c r="AK72" s="310" t="str">
        <f>_xlfn.IFNA(VLOOKUP($AH72,Programma!$F$3:$I$1107,4,0),"")</f>
        <v>_</v>
      </c>
      <c r="AL72" s="310" t="str">
        <f>_xlfn.IFNA(VLOOKUP($AH72,Programma!$F$3:$J$1107,5,0),"")</f>
        <v>4w</v>
      </c>
      <c r="AM72" s="310" t="str">
        <f>_xlfn.IFNA(VLOOKUP($AH72,Programma!$F$3:$K$1107,6,0),"")</f>
        <v>1w</v>
      </c>
      <c r="AN72" s="310" t="str">
        <f>_xlfn.IFNA(VLOOKUP($AH72,Programma!$F$3:$L$1107,7,0),"")</f>
        <v>_</v>
      </c>
      <c r="AO72" s="310" t="str">
        <f>_xlfn.IFNA(VLOOKUP($AH72,Programma!$F$3:$M$1107,8,0),"")</f>
        <v>_</v>
      </c>
      <c r="AP72" s="310" t="str">
        <f>_xlfn.IFNA(VLOOKUP($AH72,Programma!$F$3:$N$1107,9,0),"")</f>
        <v>_</v>
      </c>
      <c r="AQ72" s="310" t="str">
        <f>_xlfn.IFNA(VLOOKUP($AH72,Programma!$F$3:$O$1107,10,0),"")</f>
        <v>_</v>
      </c>
      <c r="AR72" s="310" t="str">
        <f>_xlfn.IFNA(VLOOKUP($AH72,Programma!$F$3:$P$1107,11,0),"")</f>
        <v>_</v>
      </c>
      <c r="AS72" s="310" t="str">
        <f>_xlfn.IFNA(VLOOKUP($AH72,Programma!$F$3:$Q$1107,12,0),"")</f>
        <v>_</v>
      </c>
      <c r="AT72" s="310" t="str">
        <f>_xlfn.IFNA(VLOOKUP($AH72,Programma!$F$3:$R$1107,13,0),"")</f>
        <v>_</v>
      </c>
      <c r="AU72" s="310" t="str">
        <f>_xlfn.IFNA(VLOOKUP($AH72,Programma!$F$3:$S$1107,14,0),"")</f>
        <v>_</v>
      </c>
      <c r="AV72" s="310" t="str">
        <f>_xlfn.IFNA(VLOOKUP($AH72,Programma!$F$3:$T$1107,15,0),"")</f>
        <v>_</v>
      </c>
      <c r="AW72" s="310" t="str">
        <f>_xlfn.IFNA(VLOOKUP($AH72,Programma!$F$3:$U$1107,16,0),"")</f>
        <v>_</v>
      </c>
      <c r="AX72" s="310" t="str">
        <f>_xlfn.IFNA(VLOOKUP($AH72,Programma!$F$3:$V$1107,17,0),"")</f>
        <v>_</v>
      </c>
      <c r="AY72" s="310" t="str">
        <f>_xlfn.IFNA(VLOOKUP($AH72,Programma!$F$3:$W$1107,18,0),"")</f>
        <v>4w</v>
      </c>
      <c r="AZ72" s="310" t="str">
        <f>_xlfn.IFNA(VLOOKUP($AH72,Programma!$F$3:$X$1107,19,0),"")</f>
        <v>1w</v>
      </c>
      <c r="BA72" s="310" t="str">
        <f>_xlfn.IFNA(VLOOKUP($AH72,Programma!$F$3:$Y$1107,20,0),"")</f>
        <v>_</v>
      </c>
      <c r="BB72" s="273"/>
      <c r="BC72" s="272" t="str">
        <f>IF(Ruimtestaat[[#This Row],[Frequentie weekend]]="","",_xlfn.CONCAT(Ruimtestaat[[#This Row],[Ruimte code]],"-",Ruimtestaat[[#This Row],[Frequentie weekend]]," ",Ruimtestaat[[#This Row],[Vloer code]]))</f>
        <v/>
      </c>
      <c r="BD72" s="310" t="str">
        <f>_xlfn.IFNA(VLOOKUP($BC72,Programma!$F$3:$G$1107,2,0),"")</f>
        <v/>
      </c>
      <c r="BE72" s="310" t="str">
        <f>_xlfn.IFNA(VLOOKUP($BC72,Programma!$F$3:$H$1107,3,0),"")</f>
        <v/>
      </c>
      <c r="BF72" s="310" t="str">
        <f>_xlfn.IFNA(VLOOKUP($BC72,Programma!$F$3:$I$1107,4,0),"")</f>
        <v/>
      </c>
      <c r="BG72" s="310" t="str">
        <f>_xlfn.IFNA(VLOOKUP($BC72,Programma!$F$3:$J$1107,5,0),"")</f>
        <v/>
      </c>
      <c r="BH72" s="310" t="str">
        <f>_xlfn.IFNA(VLOOKUP($BC72,Programma!$F$3:$K$1107,6,0),"")</f>
        <v/>
      </c>
      <c r="BI72" s="310" t="str">
        <f>_xlfn.IFNA(VLOOKUP($BC72,Programma!$F$3:$L$1107,7,0),"")</f>
        <v/>
      </c>
      <c r="BJ72" s="310" t="str">
        <f>_xlfn.IFNA(VLOOKUP($BC72,Programma!$F$3:$M$1107,8,0),"")</f>
        <v/>
      </c>
      <c r="BK72" s="310" t="str">
        <f>_xlfn.IFNA(VLOOKUP($BC72,Programma!$F$3:$N$1107,9,0),"")</f>
        <v/>
      </c>
      <c r="BL72" s="310" t="str">
        <f>_xlfn.IFNA(VLOOKUP($BC72,Programma!$F$3:$O$1107,10,0),"")</f>
        <v/>
      </c>
      <c r="BM72" s="310" t="str">
        <f>_xlfn.IFNA(VLOOKUP($BC72,Programma!$F$3:$P$1107,11,0),"")</f>
        <v/>
      </c>
      <c r="BN72" s="310" t="str">
        <f>_xlfn.IFNA(VLOOKUP($BC72,Programma!$F$3:$Q$1107,12,0),"")</f>
        <v/>
      </c>
      <c r="BO72" s="310" t="str">
        <f>_xlfn.IFNA(VLOOKUP($BC72,Programma!$F$3:$R$1107,13,0),"")</f>
        <v/>
      </c>
      <c r="BP72" s="310" t="str">
        <f>_xlfn.IFNA(VLOOKUP($BC72,Programma!$F$3:$S$1107,14,0),"")</f>
        <v/>
      </c>
      <c r="BQ72" s="310" t="str">
        <f>_xlfn.IFNA(VLOOKUP($BC72,Programma!$F$3:$T$1107,15,0),"")</f>
        <v/>
      </c>
      <c r="BR72" s="310" t="str">
        <f>_xlfn.IFNA(VLOOKUP($BC72,Programma!$F$3:$U$1107,16,0),"")</f>
        <v/>
      </c>
      <c r="BS72" s="310" t="str">
        <f>_xlfn.IFNA(VLOOKUP($BC72,Programma!$F$3:$V$1107,17,0),"")</f>
        <v/>
      </c>
      <c r="BT72" s="310" t="str">
        <f>_xlfn.IFNA(VLOOKUP($BC72,Programma!$F$3:$W$1107,18,0),"")</f>
        <v/>
      </c>
      <c r="BU72" s="310" t="str">
        <f>_xlfn.IFNA(VLOOKUP($BC72,Programma!$F$3:$X$1107,19,0),"")</f>
        <v/>
      </c>
      <c r="BV72" s="310" t="str">
        <f>_xlfn.IFNA(VLOOKUP($BC72,Programma!$F$3:$Y$1107,20,0),"")</f>
        <v/>
      </c>
    </row>
    <row r="73" spans="1:74" ht="15" customHeight="1">
      <c r="A73" s="33">
        <v>1</v>
      </c>
      <c r="B73" s="173" t="str">
        <f>VLOOKUP(Ruimtestaat[[#This Row],[Code]],Locaties[[Code]:[Locatie]],2,FALSE)</f>
        <v>CCNV</v>
      </c>
      <c r="C73" s="173" t="str">
        <f>VLOOKUP(Ruimtestaat[[#This Row],[Code]],Locaties[[#All],[Code]:[Adres]],4,FALSE)</f>
        <v>Stationslaan 26</v>
      </c>
      <c r="D73" s="173" t="str">
        <f>VLOOKUP(Ruimtestaat[[#This Row],[Code]],Locaties[[#All],[Code]:[Postcode]],5,FALSE)</f>
        <v>3842 LA</v>
      </c>
      <c r="E73" s="173" t="str">
        <f>VLOOKUP(Ruimtestaat[[#This Row],[Code]],Locaties[#All],6,FALSE)</f>
        <v>Harderwijk</v>
      </c>
      <c r="F73" s="21" t="s">
        <v>1624</v>
      </c>
      <c r="G73" s="33" t="s">
        <v>1612</v>
      </c>
      <c r="H73" s="311" t="s">
        <v>1687</v>
      </c>
      <c r="I73" s="312" t="s">
        <v>1615</v>
      </c>
      <c r="J73" s="21">
        <v>16</v>
      </c>
      <c r="K73" s="69" t="str">
        <f>VLOOKUP(Ruimtestaat[[#This Row],[Ruimte code]],Ruimtegroepen[[#All],[Code]:[Ruimte omschrijving]],2,FALSE)</f>
        <v>Leslokalen</v>
      </c>
      <c r="L73" s="33" t="s">
        <v>101</v>
      </c>
      <c r="M73" s="312" t="s">
        <v>1804</v>
      </c>
      <c r="N73" s="148">
        <v>48</v>
      </c>
      <c r="O73" s="150"/>
      <c r="P73" s="134" t="str">
        <f>VLOOKUP(Ruimtestaat[[#This Row],[Ruimte code]],Ruimtegroepen[],4,FALSE)</f>
        <v>Le</v>
      </c>
      <c r="Q73" s="33">
        <v>40</v>
      </c>
      <c r="R73" s="33" t="s">
        <v>2</v>
      </c>
      <c r="S73" s="33">
        <f>IF(Q73&gt;0,IF(RIGHT(Ruimtestaat[[#This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3" s="33">
        <f>IF(S73&gt;0,VLOOKUP($J73,Ruimtegroepen[],3,FALSE)*VLOOKUP($L73,Vloersoorten[],3,FALSE)*VLOOKUP($R73,Frequenties[],3,FALSE)*VLOOKUP($A73,Locaties[],3,FALSE),0)</f>
        <v>0</v>
      </c>
      <c r="U73" s="33">
        <f>Ruimtestaat[[#This Row],[Uitvoeringen werkdagen]]*Ruimtestaat[[#This Row],[Oppervlak (netto)]]</f>
        <v>9600</v>
      </c>
      <c r="V73" s="170">
        <f>IF(T73&gt;0,Ruimtestaat[[#This Row],[Prest. (m2 /jaar) werkdagen]]/Ruimtestaat[[#This Row],[Norm (m2/uur) werkdagen]],0)</f>
        <v>0</v>
      </c>
      <c r="W73" s="171">
        <f>Ruimtestaat[[#This Row],[uren / jaar werkdagen]]*Tariefsopbouw!$E$35</f>
        <v>0</v>
      </c>
      <c r="X73" s="33"/>
      <c r="Y73" s="33">
        <f>IF(Ruimtestaat[[#This Row],[Frequentie weekend]]&gt;0,VALUE(LEFT(X73,1))*Q73,0)</f>
        <v>0</v>
      </c>
      <c r="Z73" s="104">
        <f>IF($Y73&gt;0,VLOOKUP($J73,Ruimtegroepen[],3,FALSE)*VLOOKUP($L73,Vloersoorten[],3,FALSE)*VLOOKUP($X73,Frequenties[],3,FALSE)*VLOOKUP(Ruimtestaat[[#This Row],[Code]],Locaties[],3,FALSE),0)</f>
        <v>0</v>
      </c>
      <c r="AA73" s="104">
        <f>Ruimtestaat[[#This Row],[Uitvoeringen weekend]]*Ruimtestaat[[#This Row],[Oppervlak (netto)]]</f>
        <v>0</v>
      </c>
      <c r="AB73" s="104">
        <f>IF(Z73&gt;0,Ruimtestaat[[#This Row],[Prest. (m2 /jaar) weekend]]/Ruimtestaat[[#This Row],[Norm (m2/uur) weekend]],0)</f>
        <v>0</v>
      </c>
      <c r="AC73" s="171">
        <f>Ruimtestaat[[#This Row],[uren / jaar weekend]]*Tariefsopbouw!$D$40</f>
        <v>0</v>
      </c>
      <c r="AD73" s="170">
        <f>Ruimtestaat[[#This Row],[Prest. (m2 /jaar) weekend]]+Ruimtestaat[[#This Row],[Prest. (m2 /jaar) werkdagen]]</f>
        <v>9600</v>
      </c>
      <c r="AE73" s="170">
        <f>Ruimtestaat[[#This Row],[uren / jaar weekend]]+Ruimtestaat[[#This Row],[uren / jaar werkdagen]]</f>
        <v>0</v>
      </c>
      <c r="AF73" s="76">
        <f>Ruimtestaat[[#This Row],[kosten / jaar weekend]]+Ruimtestaat[[#This Row],[kosten / jaar werkdagen]]</f>
        <v>0</v>
      </c>
      <c r="AG73" s="76"/>
      <c r="AH73" s="272" t="str">
        <f>IF(Ruimtestaat[[#This Row],[Frequentie werkdagen]]="","",_xlfn.CONCAT(Ruimtestaat[[#This Row],[Ruimte code]],"-",Ruimtestaat[[#This Row],[Frequentie werkdagen]]," ",Ruimtestaat[[#This Row],[Vloer code]]))</f>
        <v>16-5w L</v>
      </c>
      <c r="AI73" s="310" t="str">
        <f>_xlfn.IFNA(VLOOKUP($AH73,Programma!$F$3:$G$1107,2,0),"")</f>
        <v>_</v>
      </c>
      <c r="AJ73" s="310" t="str">
        <f>_xlfn.IFNA(VLOOKUP($AH73,Programma!$F$3:$H$1107,3,0),"")</f>
        <v>_</v>
      </c>
      <c r="AK73" s="310" t="str">
        <f>_xlfn.IFNA(VLOOKUP($AH73,Programma!$F$3:$I$1107,4,0),"")</f>
        <v>4w</v>
      </c>
      <c r="AL73" s="310" t="str">
        <f>_xlfn.IFNA(VLOOKUP($AH73,Programma!$F$3:$J$1107,5,0),"")</f>
        <v>1w</v>
      </c>
      <c r="AM73" s="310" t="str">
        <f>_xlfn.IFNA(VLOOKUP($AH73,Programma!$F$3:$K$1107,6,0),"")</f>
        <v>_</v>
      </c>
      <c r="AN73" s="310" t="str">
        <f>_xlfn.IFNA(VLOOKUP($AH73,Programma!$F$3:$L$1107,7,0),"")</f>
        <v>_</v>
      </c>
      <c r="AO73" s="310" t="str">
        <f>_xlfn.IFNA(VLOOKUP($AH73,Programma!$F$3:$M$1107,8,0),"")</f>
        <v>_</v>
      </c>
      <c r="AP73" s="310" t="str">
        <f>_xlfn.IFNA(VLOOKUP($AH73,Programma!$F$3:$N$1107,9,0),"")</f>
        <v>_</v>
      </c>
      <c r="AQ73" s="310" t="str">
        <f>_xlfn.IFNA(VLOOKUP($AH73,Programma!$F$3:$O$1107,10,0),"")</f>
        <v>5w</v>
      </c>
      <c r="AR73" s="310" t="str">
        <f>_xlfn.IFNA(VLOOKUP($AH73,Programma!$F$3:$P$1107,11,0),"")</f>
        <v>5w</v>
      </c>
      <c r="AS73" s="310" t="str">
        <f>_xlfn.IFNA(VLOOKUP($AH73,Programma!$F$3:$Q$1107,12,0),"")</f>
        <v>1w</v>
      </c>
      <c r="AT73" s="310" t="str">
        <f>_xlfn.IFNA(VLOOKUP($AH73,Programma!$F$3:$R$1107,13,0),"")</f>
        <v>1w</v>
      </c>
      <c r="AU73" s="310" t="str">
        <f>_xlfn.IFNA(VLOOKUP($AH73,Programma!$F$3:$S$1107,14,0),"")</f>
        <v>1m</v>
      </c>
      <c r="AV73" s="310" t="str">
        <f>_xlfn.IFNA(VLOOKUP($AH73,Programma!$F$3:$T$1107,15,0),"")</f>
        <v>2j</v>
      </c>
      <c r="AW73" s="310" t="str">
        <f>_xlfn.IFNA(VLOOKUP($AH73,Programma!$F$3:$U$1107,16,0),"")</f>
        <v>1j</v>
      </c>
      <c r="AX73" s="310" t="str">
        <f>_xlfn.IFNA(VLOOKUP($AH73,Programma!$F$3:$V$1107,17,0),"")</f>
        <v>_</v>
      </c>
      <c r="AY73" s="310" t="str">
        <f>_xlfn.IFNA(VLOOKUP($AH73,Programma!$F$3:$W$1107,18,0),"")</f>
        <v>_</v>
      </c>
      <c r="AZ73" s="310" t="str">
        <f>_xlfn.IFNA(VLOOKUP($AH73,Programma!$F$3:$X$1107,19,0),"")</f>
        <v>_</v>
      </c>
      <c r="BA73" s="310" t="str">
        <f>_xlfn.IFNA(VLOOKUP($AH73,Programma!$F$3:$Y$1107,20,0),"")</f>
        <v>_</v>
      </c>
      <c r="BB73" s="273"/>
      <c r="BC73" s="272" t="str">
        <f>IF(Ruimtestaat[[#This Row],[Frequentie weekend]]="","",_xlfn.CONCAT(Ruimtestaat[[#This Row],[Ruimte code]],"-",Ruimtestaat[[#This Row],[Frequentie weekend]]," ",Ruimtestaat[[#This Row],[Vloer code]]))</f>
        <v/>
      </c>
      <c r="BD73" s="310" t="str">
        <f>_xlfn.IFNA(VLOOKUP($BC73,Programma!$F$3:$G$1107,2,0),"")</f>
        <v/>
      </c>
      <c r="BE73" s="310" t="str">
        <f>_xlfn.IFNA(VLOOKUP($BC73,Programma!$F$3:$H$1107,3,0),"")</f>
        <v/>
      </c>
      <c r="BF73" s="310" t="str">
        <f>_xlfn.IFNA(VLOOKUP($BC73,Programma!$F$3:$I$1107,4,0),"")</f>
        <v/>
      </c>
      <c r="BG73" s="310" t="str">
        <f>_xlfn.IFNA(VLOOKUP($BC73,Programma!$F$3:$J$1107,5,0),"")</f>
        <v/>
      </c>
      <c r="BH73" s="310" t="str">
        <f>_xlfn.IFNA(VLOOKUP($BC73,Programma!$F$3:$K$1107,6,0),"")</f>
        <v/>
      </c>
      <c r="BI73" s="310" t="str">
        <f>_xlfn.IFNA(VLOOKUP($BC73,Programma!$F$3:$L$1107,7,0),"")</f>
        <v/>
      </c>
      <c r="BJ73" s="310" t="str">
        <f>_xlfn.IFNA(VLOOKUP($BC73,Programma!$F$3:$M$1107,8,0),"")</f>
        <v/>
      </c>
      <c r="BK73" s="310" t="str">
        <f>_xlfn.IFNA(VLOOKUP($BC73,Programma!$F$3:$N$1107,9,0),"")</f>
        <v/>
      </c>
      <c r="BL73" s="310" t="str">
        <f>_xlfn.IFNA(VLOOKUP($BC73,Programma!$F$3:$O$1107,10,0),"")</f>
        <v/>
      </c>
      <c r="BM73" s="310" t="str">
        <f>_xlfn.IFNA(VLOOKUP($BC73,Programma!$F$3:$P$1107,11,0),"")</f>
        <v/>
      </c>
      <c r="BN73" s="310" t="str">
        <f>_xlfn.IFNA(VLOOKUP($BC73,Programma!$F$3:$Q$1107,12,0),"")</f>
        <v/>
      </c>
      <c r="BO73" s="310" t="str">
        <f>_xlfn.IFNA(VLOOKUP($BC73,Programma!$F$3:$R$1107,13,0),"")</f>
        <v/>
      </c>
      <c r="BP73" s="310" t="str">
        <f>_xlfn.IFNA(VLOOKUP($BC73,Programma!$F$3:$S$1107,14,0),"")</f>
        <v/>
      </c>
      <c r="BQ73" s="310" t="str">
        <f>_xlfn.IFNA(VLOOKUP($BC73,Programma!$F$3:$T$1107,15,0),"")</f>
        <v/>
      </c>
      <c r="BR73" s="310" t="str">
        <f>_xlfn.IFNA(VLOOKUP($BC73,Programma!$F$3:$U$1107,16,0),"")</f>
        <v/>
      </c>
      <c r="BS73" s="310" t="str">
        <f>_xlfn.IFNA(VLOOKUP($BC73,Programma!$F$3:$V$1107,17,0),"")</f>
        <v/>
      </c>
      <c r="BT73" s="310" t="str">
        <f>_xlfn.IFNA(VLOOKUP($BC73,Programma!$F$3:$W$1107,18,0),"")</f>
        <v/>
      </c>
      <c r="BU73" s="310" t="str">
        <f>_xlfn.IFNA(VLOOKUP($BC73,Programma!$F$3:$X$1107,19,0),"")</f>
        <v/>
      </c>
      <c r="BV73" s="310" t="str">
        <f>_xlfn.IFNA(VLOOKUP($BC73,Programma!$F$3:$Y$1107,20,0),"")</f>
        <v/>
      </c>
    </row>
    <row r="74" spans="1:74" ht="15" customHeight="1">
      <c r="A74" s="33">
        <v>1</v>
      </c>
      <c r="B74" s="173" t="str">
        <f>VLOOKUP(Ruimtestaat[[#This Row],[Code]],Locaties[[Code]:[Locatie]],2,FALSE)</f>
        <v>CCNV</v>
      </c>
      <c r="C74" s="173" t="str">
        <f>VLOOKUP(Ruimtestaat[[#This Row],[Code]],Locaties[[#All],[Code]:[Adres]],4,FALSE)</f>
        <v>Stationslaan 26</v>
      </c>
      <c r="D74" s="173" t="str">
        <f>VLOOKUP(Ruimtestaat[[#This Row],[Code]],Locaties[[#All],[Code]:[Postcode]],5,FALSE)</f>
        <v>3842 LA</v>
      </c>
      <c r="E74" s="173" t="str">
        <f>VLOOKUP(Ruimtestaat[[#This Row],[Code]],Locaties[#All],6,FALSE)</f>
        <v>Harderwijk</v>
      </c>
      <c r="F74" s="21" t="s">
        <v>1624</v>
      </c>
      <c r="G74" s="33" t="s">
        <v>1612</v>
      </c>
      <c r="H74" s="311" t="s">
        <v>1688</v>
      </c>
      <c r="I74" s="312" t="s">
        <v>1615</v>
      </c>
      <c r="J74" s="21">
        <v>16</v>
      </c>
      <c r="K74" s="69" t="str">
        <f>VLOOKUP(Ruimtestaat[[#This Row],[Ruimte code]],Ruimtegroepen[[#All],[Code]:[Ruimte omschrijving]],2,FALSE)</f>
        <v>Leslokalen</v>
      </c>
      <c r="L74" s="33" t="s">
        <v>101</v>
      </c>
      <c r="M74" s="312" t="s">
        <v>1804</v>
      </c>
      <c r="N74" s="148">
        <v>48</v>
      </c>
      <c r="O74" s="150"/>
      <c r="P74" s="134" t="str">
        <f>VLOOKUP(Ruimtestaat[[#This Row],[Ruimte code]],Ruimtegroepen[],4,FALSE)</f>
        <v>Le</v>
      </c>
      <c r="Q74" s="33">
        <v>40</v>
      </c>
      <c r="R74" s="33" t="s">
        <v>2</v>
      </c>
      <c r="S74" s="33">
        <f>IF(Q74&gt;0,IF(RIGHT(Ruimtestaat[[#This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4" s="33">
        <f>IF(S74&gt;0,VLOOKUP($J74,Ruimtegroepen[],3,FALSE)*VLOOKUP($L74,Vloersoorten[],3,FALSE)*VLOOKUP($R74,Frequenties[],3,FALSE)*VLOOKUP($A74,Locaties[],3,FALSE),0)</f>
        <v>0</v>
      </c>
      <c r="U74" s="33">
        <f>Ruimtestaat[[#This Row],[Uitvoeringen werkdagen]]*Ruimtestaat[[#This Row],[Oppervlak (netto)]]</f>
        <v>9600</v>
      </c>
      <c r="V74" s="170">
        <f>IF(T74&gt;0,Ruimtestaat[[#This Row],[Prest. (m2 /jaar) werkdagen]]/Ruimtestaat[[#This Row],[Norm (m2/uur) werkdagen]],0)</f>
        <v>0</v>
      </c>
      <c r="W74" s="171">
        <f>Ruimtestaat[[#This Row],[uren / jaar werkdagen]]*Tariefsopbouw!$E$35</f>
        <v>0</v>
      </c>
      <c r="X74" s="33"/>
      <c r="Y74" s="33">
        <f>IF(Ruimtestaat[[#This Row],[Frequentie weekend]]&gt;0,VALUE(LEFT(X74,1))*Q74,0)</f>
        <v>0</v>
      </c>
      <c r="Z74" s="104">
        <f>IF($Y74&gt;0,VLOOKUP($J74,Ruimtegroepen[],3,FALSE)*VLOOKUP($L74,Vloersoorten[],3,FALSE)*VLOOKUP($X74,Frequenties[],3,FALSE)*VLOOKUP(Ruimtestaat[[#This Row],[Code]],Locaties[],3,FALSE),0)</f>
        <v>0</v>
      </c>
      <c r="AA74" s="104">
        <f>Ruimtestaat[[#This Row],[Uitvoeringen weekend]]*Ruimtestaat[[#This Row],[Oppervlak (netto)]]</f>
        <v>0</v>
      </c>
      <c r="AB74" s="104">
        <f>IF(Z74&gt;0,Ruimtestaat[[#This Row],[Prest. (m2 /jaar) weekend]]/Ruimtestaat[[#This Row],[Norm (m2/uur) weekend]],0)</f>
        <v>0</v>
      </c>
      <c r="AC74" s="171">
        <f>Ruimtestaat[[#This Row],[uren / jaar weekend]]*Tariefsopbouw!$D$40</f>
        <v>0</v>
      </c>
      <c r="AD74" s="170">
        <f>Ruimtestaat[[#This Row],[Prest. (m2 /jaar) weekend]]+Ruimtestaat[[#This Row],[Prest. (m2 /jaar) werkdagen]]</f>
        <v>9600</v>
      </c>
      <c r="AE74" s="170">
        <f>Ruimtestaat[[#This Row],[uren / jaar weekend]]+Ruimtestaat[[#This Row],[uren / jaar werkdagen]]</f>
        <v>0</v>
      </c>
      <c r="AF74" s="76">
        <f>Ruimtestaat[[#This Row],[kosten / jaar weekend]]+Ruimtestaat[[#This Row],[kosten / jaar werkdagen]]</f>
        <v>0</v>
      </c>
      <c r="AG74" s="76"/>
      <c r="AH74" s="272" t="str">
        <f>IF(Ruimtestaat[[#This Row],[Frequentie werkdagen]]="","",_xlfn.CONCAT(Ruimtestaat[[#This Row],[Ruimte code]],"-",Ruimtestaat[[#This Row],[Frequentie werkdagen]]," ",Ruimtestaat[[#This Row],[Vloer code]]))</f>
        <v>16-5w L</v>
      </c>
      <c r="AI74" s="310" t="str">
        <f>_xlfn.IFNA(VLOOKUP($AH74,Programma!$F$3:$G$1107,2,0),"")</f>
        <v>_</v>
      </c>
      <c r="AJ74" s="310" t="str">
        <f>_xlfn.IFNA(VLOOKUP($AH74,Programma!$F$3:$H$1107,3,0),"")</f>
        <v>_</v>
      </c>
      <c r="AK74" s="310" t="str">
        <f>_xlfn.IFNA(VLOOKUP($AH74,Programma!$F$3:$I$1107,4,0),"")</f>
        <v>4w</v>
      </c>
      <c r="AL74" s="310" t="str">
        <f>_xlfn.IFNA(VLOOKUP($AH74,Programma!$F$3:$J$1107,5,0),"")</f>
        <v>1w</v>
      </c>
      <c r="AM74" s="310" t="str">
        <f>_xlfn.IFNA(VLOOKUP($AH74,Programma!$F$3:$K$1107,6,0),"")</f>
        <v>_</v>
      </c>
      <c r="AN74" s="310" t="str">
        <f>_xlfn.IFNA(VLOOKUP($AH74,Programma!$F$3:$L$1107,7,0),"")</f>
        <v>_</v>
      </c>
      <c r="AO74" s="310" t="str">
        <f>_xlfn.IFNA(VLOOKUP($AH74,Programma!$F$3:$M$1107,8,0),"")</f>
        <v>_</v>
      </c>
      <c r="AP74" s="310" t="str">
        <f>_xlfn.IFNA(VLOOKUP($AH74,Programma!$F$3:$N$1107,9,0),"")</f>
        <v>_</v>
      </c>
      <c r="AQ74" s="310" t="str">
        <f>_xlfn.IFNA(VLOOKUP($AH74,Programma!$F$3:$O$1107,10,0),"")</f>
        <v>5w</v>
      </c>
      <c r="AR74" s="310" t="str">
        <f>_xlfn.IFNA(VLOOKUP($AH74,Programma!$F$3:$P$1107,11,0),"")</f>
        <v>5w</v>
      </c>
      <c r="AS74" s="310" t="str">
        <f>_xlfn.IFNA(VLOOKUP($AH74,Programma!$F$3:$Q$1107,12,0),"")</f>
        <v>1w</v>
      </c>
      <c r="AT74" s="310" t="str">
        <f>_xlfn.IFNA(VLOOKUP($AH74,Programma!$F$3:$R$1107,13,0),"")</f>
        <v>1w</v>
      </c>
      <c r="AU74" s="310" t="str">
        <f>_xlfn.IFNA(VLOOKUP($AH74,Programma!$F$3:$S$1107,14,0),"")</f>
        <v>1m</v>
      </c>
      <c r="AV74" s="310" t="str">
        <f>_xlfn.IFNA(VLOOKUP($AH74,Programma!$F$3:$T$1107,15,0),"")</f>
        <v>2j</v>
      </c>
      <c r="AW74" s="310" t="str">
        <f>_xlfn.IFNA(VLOOKUP($AH74,Programma!$F$3:$U$1107,16,0),"")</f>
        <v>1j</v>
      </c>
      <c r="AX74" s="310" t="str">
        <f>_xlfn.IFNA(VLOOKUP($AH74,Programma!$F$3:$V$1107,17,0),"")</f>
        <v>_</v>
      </c>
      <c r="AY74" s="310" t="str">
        <f>_xlfn.IFNA(VLOOKUP($AH74,Programma!$F$3:$W$1107,18,0),"")</f>
        <v>_</v>
      </c>
      <c r="AZ74" s="310" t="str">
        <f>_xlfn.IFNA(VLOOKUP($AH74,Programma!$F$3:$X$1107,19,0),"")</f>
        <v>_</v>
      </c>
      <c r="BA74" s="310" t="str">
        <f>_xlfn.IFNA(VLOOKUP($AH74,Programma!$F$3:$Y$1107,20,0),"")</f>
        <v>_</v>
      </c>
      <c r="BB74" s="273"/>
      <c r="BC74" s="272" t="str">
        <f>IF(Ruimtestaat[[#This Row],[Frequentie weekend]]="","",_xlfn.CONCAT(Ruimtestaat[[#This Row],[Ruimte code]],"-",Ruimtestaat[[#This Row],[Frequentie weekend]]," ",Ruimtestaat[[#This Row],[Vloer code]]))</f>
        <v/>
      </c>
      <c r="BD74" s="310" t="str">
        <f>_xlfn.IFNA(VLOOKUP($BC74,Programma!$F$3:$G$1107,2,0),"")</f>
        <v/>
      </c>
      <c r="BE74" s="310" t="str">
        <f>_xlfn.IFNA(VLOOKUP($BC74,Programma!$F$3:$H$1107,3,0),"")</f>
        <v/>
      </c>
      <c r="BF74" s="310" t="str">
        <f>_xlfn.IFNA(VLOOKUP($BC74,Programma!$F$3:$I$1107,4,0),"")</f>
        <v/>
      </c>
      <c r="BG74" s="310" t="str">
        <f>_xlfn.IFNA(VLOOKUP($BC74,Programma!$F$3:$J$1107,5,0),"")</f>
        <v/>
      </c>
      <c r="BH74" s="310" t="str">
        <f>_xlfn.IFNA(VLOOKUP($BC74,Programma!$F$3:$K$1107,6,0),"")</f>
        <v/>
      </c>
      <c r="BI74" s="310" t="str">
        <f>_xlfn.IFNA(VLOOKUP($BC74,Programma!$F$3:$L$1107,7,0),"")</f>
        <v/>
      </c>
      <c r="BJ74" s="310" t="str">
        <f>_xlfn.IFNA(VLOOKUP($BC74,Programma!$F$3:$M$1107,8,0),"")</f>
        <v/>
      </c>
      <c r="BK74" s="310" t="str">
        <f>_xlfn.IFNA(VLOOKUP($BC74,Programma!$F$3:$N$1107,9,0),"")</f>
        <v/>
      </c>
      <c r="BL74" s="310" t="str">
        <f>_xlfn.IFNA(VLOOKUP($BC74,Programma!$F$3:$O$1107,10,0),"")</f>
        <v/>
      </c>
      <c r="BM74" s="310" t="str">
        <f>_xlfn.IFNA(VLOOKUP($BC74,Programma!$F$3:$P$1107,11,0),"")</f>
        <v/>
      </c>
      <c r="BN74" s="310" t="str">
        <f>_xlfn.IFNA(VLOOKUP($BC74,Programma!$F$3:$Q$1107,12,0),"")</f>
        <v/>
      </c>
      <c r="BO74" s="310" t="str">
        <f>_xlfn.IFNA(VLOOKUP($BC74,Programma!$F$3:$R$1107,13,0),"")</f>
        <v/>
      </c>
      <c r="BP74" s="310" t="str">
        <f>_xlfn.IFNA(VLOOKUP($BC74,Programma!$F$3:$S$1107,14,0),"")</f>
        <v/>
      </c>
      <c r="BQ74" s="310" t="str">
        <f>_xlfn.IFNA(VLOOKUP($BC74,Programma!$F$3:$T$1107,15,0),"")</f>
        <v/>
      </c>
      <c r="BR74" s="310" t="str">
        <f>_xlfn.IFNA(VLOOKUP($BC74,Programma!$F$3:$U$1107,16,0),"")</f>
        <v/>
      </c>
      <c r="BS74" s="310" t="str">
        <f>_xlfn.IFNA(VLOOKUP($BC74,Programma!$F$3:$V$1107,17,0),"")</f>
        <v/>
      </c>
      <c r="BT74" s="310" t="str">
        <f>_xlfn.IFNA(VLOOKUP($BC74,Programma!$F$3:$W$1107,18,0),"")</f>
        <v/>
      </c>
      <c r="BU74" s="310" t="str">
        <f>_xlfn.IFNA(VLOOKUP($BC74,Programma!$F$3:$X$1107,19,0),"")</f>
        <v/>
      </c>
      <c r="BV74" s="310" t="str">
        <f>_xlfn.IFNA(VLOOKUP($BC74,Programma!$F$3:$Y$1107,20,0),"")</f>
        <v/>
      </c>
    </row>
    <row r="75" spans="1:74" ht="15" customHeight="1">
      <c r="A75" s="33">
        <v>1</v>
      </c>
      <c r="B75" s="173" t="str">
        <f>VLOOKUP(Ruimtestaat[[#This Row],[Code]],Locaties[[Code]:[Locatie]],2,FALSE)</f>
        <v>CCNV</v>
      </c>
      <c r="C75" s="173" t="str">
        <f>VLOOKUP(Ruimtestaat[[#This Row],[Code]],Locaties[[#All],[Code]:[Adres]],4,FALSE)</f>
        <v>Stationslaan 26</v>
      </c>
      <c r="D75" s="173" t="str">
        <f>VLOOKUP(Ruimtestaat[[#This Row],[Code]],Locaties[[#All],[Code]:[Postcode]],5,FALSE)</f>
        <v>3842 LA</v>
      </c>
      <c r="E75" s="173" t="str">
        <f>VLOOKUP(Ruimtestaat[[#This Row],[Code]],Locaties[#All],6,FALSE)</f>
        <v>Harderwijk</v>
      </c>
      <c r="F75" s="21" t="s">
        <v>1624</v>
      </c>
      <c r="G75" s="33" t="s">
        <v>1612</v>
      </c>
      <c r="H75" s="311" t="s">
        <v>1689</v>
      </c>
      <c r="I75" s="312" t="s">
        <v>1615</v>
      </c>
      <c r="J75" s="21">
        <v>16</v>
      </c>
      <c r="K75" s="69" t="str">
        <f>VLOOKUP(Ruimtestaat[[#This Row],[Ruimte code]],Ruimtegroepen[[#All],[Code]:[Ruimte omschrijving]],2,FALSE)</f>
        <v>Leslokalen</v>
      </c>
      <c r="L75" s="33" t="s">
        <v>101</v>
      </c>
      <c r="M75" s="312" t="s">
        <v>1804</v>
      </c>
      <c r="N75" s="148">
        <v>48</v>
      </c>
      <c r="O75" s="33"/>
      <c r="P75" s="134" t="str">
        <f>VLOOKUP(Ruimtestaat[[#This Row],[Ruimte code]],Ruimtegroepen[],4,FALSE)</f>
        <v>Le</v>
      </c>
      <c r="Q75" s="33">
        <v>40</v>
      </c>
      <c r="R75" s="33" t="s">
        <v>2</v>
      </c>
      <c r="S75" s="33">
        <f>IF(Q75&gt;0,IF(RIGHT(Ruimtestaat[[#This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5" s="33">
        <f>IF(S75&gt;0,VLOOKUP($J75,Ruimtegroepen[],3,FALSE)*VLOOKUP($L75,Vloersoorten[],3,FALSE)*VLOOKUP($R75,Frequenties[],3,FALSE)*VLOOKUP($A75,Locaties[],3,FALSE),0)</f>
        <v>0</v>
      </c>
      <c r="U75" s="33">
        <f>Ruimtestaat[[#This Row],[Uitvoeringen werkdagen]]*Ruimtestaat[[#This Row],[Oppervlak (netto)]]</f>
        <v>9600</v>
      </c>
      <c r="V75" s="170">
        <f>IF(T75&gt;0,Ruimtestaat[[#This Row],[Prest. (m2 /jaar) werkdagen]]/Ruimtestaat[[#This Row],[Norm (m2/uur) werkdagen]],0)</f>
        <v>0</v>
      </c>
      <c r="W75" s="171">
        <f>Ruimtestaat[[#This Row],[uren / jaar werkdagen]]*Tariefsopbouw!$E$35</f>
        <v>0</v>
      </c>
      <c r="X75" s="33"/>
      <c r="Y75" s="33">
        <f>IF(Ruimtestaat[[#This Row],[Frequentie weekend]]&gt;0,VALUE(LEFT(X75,1))*Q75,0)</f>
        <v>0</v>
      </c>
      <c r="Z75" s="104">
        <f>IF($Y75&gt;0,VLOOKUP($J75,Ruimtegroepen[],3,FALSE)*VLOOKUP($L75,Vloersoorten[],3,FALSE)*VLOOKUP($X75,Frequenties[],3,FALSE)*VLOOKUP(Ruimtestaat[[#This Row],[Code]],Locaties[],3,FALSE),0)</f>
        <v>0</v>
      </c>
      <c r="AA75" s="104">
        <f>Ruimtestaat[[#This Row],[Uitvoeringen weekend]]*Ruimtestaat[[#This Row],[Oppervlak (netto)]]</f>
        <v>0</v>
      </c>
      <c r="AB75" s="104">
        <f>IF(Z75&gt;0,Ruimtestaat[[#This Row],[Prest. (m2 /jaar) weekend]]/Ruimtestaat[[#This Row],[Norm (m2/uur) weekend]],0)</f>
        <v>0</v>
      </c>
      <c r="AC75" s="171">
        <f>Ruimtestaat[[#This Row],[uren / jaar weekend]]*Tariefsopbouw!$D$40</f>
        <v>0</v>
      </c>
      <c r="AD75" s="170">
        <f>Ruimtestaat[[#This Row],[Prest. (m2 /jaar) weekend]]+Ruimtestaat[[#This Row],[Prest. (m2 /jaar) werkdagen]]</f>
        <v>9600</v>
      </c>
      <c r="AE75" s="170">
        <f>Ruimtestaat[[#This Row],[uren / jaar weekend]]+Ruimtestaat[[#This Row],[uren / jaar werkdagen]]</f>
        <v>0</v>
      </c>
      <c r="AF75" s="76">
        <f>Ruimtestaat[[#This Row],[kosten / jaar weekend]]+Ruimtestaat[[#This Row],[kosten / jaar werkdagen]]</f>
        <v>0</v>
      </c>
      <c r="AG75" s="76"/>
      <c r="AH75" s="272" t="str">
        <f>IF(Ruimtestaat[[#This Row],[Frequentie werkdagen]]="","",_xlfn.CONCAT(Ruimtestaat[[#This Row],[Ruimte code]],"-",Ruimtestaat[[#This Row],[Frequentie werkdagen]]," ",Ruimtestaat[[#This Row],[Vloer code]]))</f>
        <v>16-5w L</v>
      </c>
      <c r="AI75" s="310" t="str">
        <f>_xlfn.IFNA(VLOOKUP($AH75,Programma!$F$3:$G$1107,2,0),"")</f>
        <v>_</v>
      </c>
      <c r="AJ75" s="310" t="str">
        <f>_xlfn.IFNA(VLOOKUP($AH75,Programma!$F$3:$H$1107,3,0),"")</f>
        <v>_</v>
      </c>
      <c r="AK75" s="310" t="str">
        <f>_xlfn.IFNA(VLOOKUP($AH75,Programma!$F$3:$I$1107,4,0),"")</f>
        <v>4w</v>
      </c>
      <c r="AL75" s="310" t="str">
        <f>_xlfn.IFNA(VLOOKUP($AH75,Programma!$F$3:$J$1107,5,0),"")</f>
        <v>1w</v>
      </c>
      <c r="AM75" s="310" t="str">
        <f>_xlfn.IFNA(VLOOKUP($AH75,Programma!$F$3:$K$1107,6,0),"")</f>
        <v>_</v>
      </c>
      <c r="AN75" s="310" t="str">
        <f>_xlfn.IFNA(VLOOKUP($AH75,Programma!$F$3:$L$1107,7,0),"")</f>
        <v>_</v>
      </c>
      <c r="AO75" s="310" t="str">
        <f>_xlfn.IFNA(VLOOKUP($AH75,Programma!$F$3:$M$1107,8,0),"")</f>
        <v>_</v>
      </c>
      <c r="AP75" s="310" t="str">
        <f>_xlfn.IFNA(VLOOKUP($AH75,Programma!$F$3:$N$1107,9,0),"")</f>
        <v>_</v>
      </c>
      <c r="AQ75" s="310" t="str">
        <f>_xlfn.IFNA(VLOOKUP($AH75,Programma!$F$3:$O$1107,10,0),"")</f>
        <v>5w</v>
      </c>
      <c r="AR75" s="310" t="str">
        <f>_xlfn.IFNA(VLOOKUP($AH75,Programma!$F$3:$P$1107,11,0),"")</f>
        <v>5w</v>
      </c>
      <c r="AS75" s="310" t="str">
        <f>_xlfn.IFNA(VLOOKUP($AH75,Programma!$F$3:$Q$1107,12,0),"")</f>
        <v>1w</v>
      </c>
      <c r="AT75" s="310" t="str">
        <f>_xlfn.IFNA(VLOOKUP($AH75,Programma!$F$3:$R$1107,13,0),"")</f>
        <v>1w</v>
      </c>
      <c r="AU75" s="310" t="str">
        <f>_xlfn.IFNA(VLOOKUP($AH75,Programma!$F$3:$S$1107,14,0),"")</f>
        <v>1m</v>
      </c>
      <c r="AV75" s="310" t="str">
        <f>_xlfn.IFNA(VLOOKUP($AH75,Programma!$F$3:$T$1107,15,0),"")</f>
        <v>2j</v>
      </c>
      <c r="AW75" s="310" t="str">
        <f>_xlfn.IFNA(VLOOKUP($AH75,Programma!$F$3:$U$1107,16,0),"")</f>
        <v>1j</v>
      </c>
      <c r="AX75" s="310" t="str">
        <f>_xlfn.IFNA(VLOOKUP($AH75,Programma!$F$3:$V$1107,17,0),"")</f>
        <v>_</v>
      </c>
      <c r="AY75" s="310" t="str">
        <f>_xlfn.IFNA(VLOOKUP($AH75,Programma!$F$3:$W$1107,18,0),"")</f>
        <v>_</v>
      </c>
      <c r="AZ75" s="310" t="str">
        <f>_xlfn.IFNA(VLOOKUP($AH75,Programma!$F$3:$X$1107,19,0),"")</f>
        <v>_</v>
      </c>
      <c r="BA75" s="310" t="str">
        <f>_xlfn.IFNA(VLOOKUP($AH75,Programma!$F$3:$Y$1107,20,0),"")</f>
        <v>_</v>
      </c>
      <c r="BB75" s="273"/>
      <c r="BC75" s="272" t="str">
        <f>IF(Ruimtestaat[[#This Row],[Frequentie weekend]]="","",_xlfn.CONCAT(Ruimtestaat[[#This Row],[Ruimte code]],"-",Ruimtestaat[[#This Row],[Frequentie weekend]]," ",Ruimtestaat[[#This Row],[Vloer code]]))</f>
        <v/>
      </c>
      <c r="BD75" s="310" t="str">
        <f>_xlfn.IFNA(VLOOKUP($BC75,Programma!$F$3:$G$1107,2,0),"")</f>
        <v/>
      </c>
      <c r="BE75" s="310" t="str">
        <f>_xlfn.IFNA(VLOOKUP($BC75,Programma!$F$3:$H$1107,3,0),"")</f>
        <v/>
      </c>
      <c r="BF75" s="310" t="str">
        <f>_xlfn.IFNA(VLOOKUP($BC75,Programma!$F$3:$I$1107,4,0),"")</f>
        <v/>
      </c>
      <c r="BG75" s="310" t="str">
        <f>_xlfn.IFNA(VLOOKUP($BC75,Programma!$F$3:$J$1107,5,0),"")</f>
        <v/>
      </c>
      <c r="BH75" s="310" t="str">
        <f>_xlfn.IFNA(VLOOKUP($BC75,Programma!$F$3:$K$1107,6,0),"")</f>
        <v/>
      </c>
      <c r="BI75" s="310" t="str">
        <f>_xlfn.IFNA(VLOOKUP($BC75,Programma!$F$3:$L$1107,7,0),"")</f>
        <v/>
      </c>
      <c r="BJ75" s="310" t="str">
        <f>_xlfn.IFNA(VLOOKUP($BC75,Programma!$F$3:$M$1107,8,0),"")</f>
        <v/>
      </c>
      <c r="BK75" s="310" t="str">
        <f>_xlfn.IFNA(VLOOKUP($BC75,Programma!$F$3:$N$1107,9,0),"")</f>
        <v/>
      </c>
      <c r="BL75" s="310" t="str">
        <f>_xlfn.IFNA(VLOOKUP($BC75,Programma!$F$3:$O$1107,10,0),"")</f>
        <v/>
      </c>
      <c r="BM75" s="310" t="str">
        <f>_xlfn.IFNA(VLOOKUP($BC75,Programma!$F$3:$P$1107,11,0),"")</f>
        <v/>
      </c>
      <c r="BN75" s="310" t="str">
        <f>_xlfn.IFNA(VLOOKUP($BC75,Programma!$F$3:$Q$1107,12,0),"")</f>
        <v/>
      </c>
      <c r="BO75" s="310" t="str">
        <f>_xlfn.IFNA(VLOOKUP($BC75,Programma!$F$3:$R$1107,13,0),"")</f>
        <v/>
      </c>
      <c r="BP75" s="310" t="str">
        <f>_xlfn.IFNA(VLOOKUP($BC75,Programma!$F$3:$S$1107,14,0),"")</f>
        <v/>
      </c>
      <c r="BQ75" s="310" t="str">
        <f>_xlfn.IFNA(VLOOKUP($BC75,Programma!$F$3:$T$1107,15,0),"")</f>
        <v/>
      </c>
      <c r="BR75" s="310" t="str">
        <f>_xlfn.IFNA(VLOOKUP($BC75,Programma!$F$3:$U$1107,16,0),"")</f>
        <v/>
      </c>
      <c r="BS75" s="310" t="str">
        <f>_xlfn.IFNA(VLOOKUP($BC75,Programma!$F$3:$V$1107,17,0),"")</f>
        <v/>
      </c>
      <c r="BT75" s="310" t="str">
        <f>_xlfn.IFNA(VLOOKUP($BC75,Programma!$F$3:$W$1107,18,0),"")</f>
        <v/>
      </c>
      <c r="BU75" s="310" t="str">
        <f>_xlfn.IFNA(VLOOKUP($BC75,Programma!$F$3:$X$1107,19,0),"")</f>
        <v/>
      </c>
      <c r="BV75" s="310" t="str">
        <f>_xlfn.IFNA(VLOOKUP($BC75,Programma!$F$3:$Y$1107,20,0),"")</f>
        <v/>
      </c>
    </row>
    <row r="76" spans="1:74" ht="15" customHeight="1">
      <c r="A76" s="33">
        <v>1</v>
      </c>
      <c r="B76" s="173" t="str">
        <f>VLOOKUP(Ruimtestaat[[#This Row],[Code]],Locaties[[Code]:[Locatie]],2,FALSE)</f>
        <v>CCNV</v>
      </c>
      <c r="C76" s="173" t="str">
        <f>VLOOKUP(Ruimtestaat[[#This Row],[Code]],Locaties[[#All],[Code]:[Adres]],4,FALSE)</f>
        <v>Stationslaan 26</v>
      </c>
      <c r="D76" s="173" t="str">
        <f>VLOOKUP(Ruimtestaat[[#This Row],[Code]],Locaties[[#All],[Code]:[Postcode]],5,FALSE)</f>
        <v>3842 LA</v>
      </c>
      <c r="E76" s="173" t="str">
        <f>VLOOKUP(Ruimtestaat[[#This Row],[Code]],Locaties[#All],6,FALSE)</f>
        <v>Harderwijk</v>
      </c>
      <c r="F76" s="21" t="s">
        <v>1624</v>
      </c>
      <c r="G76" s="33" t="s">
        <v>1612</v>
      </c>
      <c r="H76" s="311" t="s">
        <v>1690</v>
      </c>
      <c r="I76" s="312" t="s">
        <v>1615</v>
      </c>
      <c r="J76" s="21">
        <v>16</v>
      </c>
      <c r="K76" s="69" t="str">
        <f>VLOOKUP(Ruimtestaat[[#This Row],[Ruimte code]],Ruimtegroepen[[#All],[Code]:[Ruimte omschrijving]],2,FALSE)</f>
        <v>Leslokalen</v>
      </c>
      <c r="L76" s="33" t="s">
        <v>101</v>
      </c>
      <c r="M76" s="312" t="s">
        <v>1804</v>
      </c>
      <c r="N76" s="148">
        <v>48</v>
      </c>
      <c r="O76" s="150"/>
      <c r="P76" s="134" t="str">
        <f>VLOOKUP(Ruimtestaat[[#This Row],[Ruimte code]],Ruimtegroepen[],4,FALSE)</f>
        <v>Le</v>
      </c>
      <c r="Q76" s="33">
        <v>40</v>
      </c>
      <c r="R76" s="33" t="s">
        <v>2</v>
      </c>
      <c r="S76" s="33">
        <f>IF(Q76&gt;0,IF(RIGHT(Ruimtestaat[[#This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6" s="33">
        <f>IF(S76&gt;0,VLOOKUP($J76,Ruimtegroepen[],3,FALSE)*VLOOKUP($L76,Vloersoorten[],3,FALSE)*VLOOKUP($R76,Frequenties[],3,FALSE)*VLOOKUP($A76,Locaties[],3,FALSE),0)</f>
        <v>0</v>
      </c>
      <c r="U76" s="33">
        <f>Ruimtestaat[[#This Row],[Uitvoeringen werkdagen]]*Ruimtestaat[[#This Row],[Oppervlak (netto)]]</f>
        <v>9600</v>
      </c>
      <c r="V76" s="170">
        <f>IF(T76&gt;0,Ruimtestaat[[#This Row],[Prest. (m2 /jaar) werkdagen]]/Ruimtestaat[[#This Row],[Norm (m2/uur) werkdagen]],0)</f>
        <v>0</v>
      </c>
      <c r="W76" s="171">
        <f>Ruimtestaat[[#This Row],[uren / jaar werkdagen]]*Tariefsopbouw!$E$35</f>
        <v>0</v>
      </c>
      <c r="X76" s="33"/>
      <c r="Y76" s="33">
        <f>IF(Ruimtestaat[[#This Row],[Frequentie weekend]]&gt;0,VALUE(LEFT(X76,1))*Q76,0)</f>
        <v>0</v>
      </c>
      <c r="Z76" s="104">
        <f>IF($Y76&gt;0,VLOOKUP($J76,Ruimtegroepen[],3,FALSE)*VLOOKUP($L76,Vloersoorten[],3,FALSE)*VLOOKUP($X76,Frequenties[],3,FALSE)*VLOOKUP(Ruimtestaat[[#This Row],[Code]],Locaties[],3,FALSE),0)</f>
        <v>0</v>
      </c>
      <c r="AA76" s="104">
        <f>Ruimtestaat[[#This Row],[Uitvoeringen weekend]]*Ruimtestaat[[#This Row],[Oppervlak (netto)]]</f>
        <v>0</v>
      </c>
      <c r="AB76" s="104">
        <f>IF(Z76&gt;0,Ruimtestaat[[#This Row],[Prest. (m2 /jaar) weekend]]/Ruimtestaat[[#This Row],[Norm (m2/uur) weekend]],0)</f>
        <v>0</v>
      </c>
      <c r="AC76" s="171">
        <f>Ruimtestaat[[#This Row],[uren / jaar weekend]]*Tariefsopbouw!$D$40</f>
        <v>0</v>
      </c>
      <c r="AD76" s="170">
        <f>Ruimtestaat[[#This Row],[Prest. (m2 /jaar) weekend]]+Ruimtestaat[[#This Row],[Prest. (m2 /jaar) werkdagen]]</f>
        <v>9600</v>
      </c>
      <c r="AE76" s="170">
        <f>Ruimtestaat[[#This Row],[uren / jaar weekend]]+Ruimtestaat[[#This Row],[uren / jaar werkdagen]]</f>
        <v>0</v>
      </c>
      <c r="AF76" s="76">
        <f>Ruimtestaat[[#This Row],[kosten / jaar weekend]]+Ruimtestaat[[#This Row],[kosten / jaar werkdagen]]</f>
        <v>0</v>
      </c>
      <c r="AG76" s="76"/>
      <c r="AH76" s="272" t="str">
        <f>IF(Ruimtestaat[[#This Row],[Frequentie werkdagen]]="","",_xlfn.CONCAT(Ruimtestaat[[#This Row],[Ruimte code]],"-",Ruimtestaat[[#This Row],[Frequentie werkdagen]]," ",Ruimtestaat[[#This Row],[Vloer code]]))</f>
        <v>16-5w L</v>
      </c>
      <c r="AI76" s="310" t="str">
        <f>_xlfn.IFNA(VLOOKUP($AH76,Programma!$F$3:$G$1107,2,0),"")</f>
        <v>_</v>
      </c>
      <c r="AJ76" s="310" t="str">
        <f>_xlfn.IFNA(VLOOKUP($AH76,Programma!$F$3:$H$1107,3,0),"")</f>
        <v>_</v>
      </c>
      <c r="AK76" s="310" t="str">
        <f>_xlfn.IFNA(VLOOKUP($AH76,Programma!$F$3:$I$1107,4,0),"")</f>
        <v>4w</v>
      </c>
      <c r="AL76" s="310" t="str">
        <f>_xlfn.IFNA(VLOOKUP($AH76,Programma!$F$3:$J$1107,5,0),"")</f>
        <v>1w</v>
      </c>
      <c r="AM76" s="310" t="str">
        <f>_xlfn.IFNA(VLOOKUP($AH76,Programma!$F$3:$K$1107,6,0),"")</f>
        <v>_</v>
      </c>
      <c r="AN76" s="310" t="str">
        <f>_xlfn.IFNA(VLOOKUP($AH76,Programma!$F$3:$L$1107,7,0),"")</f>
        <v>_</v>
      </c>
      <c r="AO76" s="310" t="str">
        <f>_xlfn.IFNA(VLOOKUP($AH76,Programma!$F$3:$M$1107,8,0),"")</f>
        <v>_</v>
      </c>
      <c r="AP76" s="310" t="str">
        <f>_xlfn.IFNA(VLOOKUP($AH76,Programma!$F$3:$N$1107,9,0),"")</f>
        <v>_</v>
      </c>
      <c r="AQ76" s="310" t="str">
        <f>_xlfn.IFNA(VLOOKUP($AH76,Programma!$F$3:$O$1107,10,0),"")</f>
        <v>5w</v>
      </c>
      <c r="AR76" s="310" t="str">
        <f>_xlfn.IFNA(VLOOKUP($AH76,Programma!$F$3:$P$1107,11,0),"")</f>
        <v>5w</v>
      </c>
      <c r="AS76" s="310" t="str">
        <f>_xlfn.IFNA(VLOOKUP($AH76,Programma!$F$3:$Q$1107,12,0),"")</f>
        <v>1w</v>
      </c>
      <c r="AT76" s="310" t="str">
        <f>_xlfn.IFNA(VLOOKUP($AH76,Programma!$F$3:$R$1107,13,0),"")</f>
        <v>1w</v>
      </c>
      <c r="AU76" s="310" t="str">
        <f>_xlfn.IFNA(VLOOKUP($AH76,Programma!$F$3:$S$1107,14,0),"")</f>
        <v>1m</v>
      </c>
      <c r="AV76" s="310" t="str">
        <f>_xlfn.IFNA(VLOOKUP($AH76,Programma!$F$3:$T$1107,15,0),"")</f>
        <v>2j</v>
      </c>
      <c r="AW76" s="310" t="str">
        <f>_xlfn.IFNA(VLOOKUP($AH76,Programma!$F$3:$U$1107,16,0),"")</f>
        <v>1j</v>
      </c>
      <c r="AX76" s="310" t="str">
        <f>_xlfn.IFNA(VLOOKUP($AH76,Programma!$F$3:$V$1107,17,0),"")</f>
        <v>_</v>
      </c>
      <c r="AY76" s="310" t="str">
        <f>_xlfn.IFNA(VLOOKUP($AH76,Programma!$F$3:$W$1107,18,0),"")</f>
        <v>_</v>
      </c>
      <c r="AZ76" s="310" t="str">
        <f>_xlfn.IFNA(VLOOKUP($AH76,Programma!$F$3:$X$1107,19,0),"")</f>
        <v>_</v>
      </c>
      <c r="BA76" s="310" t="str">
        <f>_xlfn.IFNA(VLOOKUP($AH76,Programma!$F$3:$Y$1107,20,0),"")</f>
        <v>_</v>
      </c>
      <c r="BB76" s="273"/>
      <c r="BC76" s="272" t="str">
        <f>IF(Ruimtestaat[[#This Row],[Frequentie weekend]]="","",_xlfn.CONCAT(Ruimtestaat[[#This Row],[Ruimte code]],"-",Ruimtestaat[[#This Row],[Frequentie weekend]]," ",Ruimtestaat[[#This Row],[Vloer code]]))</f>
        <v/>
      </c>
      <c r="BD76" s="310" t="str">
        <f>_xlfn.IFNA(VLOOKUP($BC76,Programma!$F$3:$G$1107,2,0),"")</f>
        <v/>
      </c>
      <c r="BE76" s="310" t="str">
        <f>_xlfn.IFNA(VLOOKUP($BC76,Programma!$F$3:$H$1107,3,0),"")</f>
        <v/>
      </c>
      <c r="BF76" s="310" t="str">
        <f>_xlfn.IFNA(VLOOKUP($BC76,Programma!$F$3:$I$1107,4,0),"")</f>
        <v/>
      </c>
      <c r="BG76" s="310" t="str">
        <f>_xlfn.IFNA(VLOOKUP($BC76,Programma!$F$3:$J$1107,5,0),"")</f>
        <v/>
      </c>
      <c r="BH76" s="310" t="str">
        <f>_xlfn.IFNA(VLOOKUP($BC76,Programma!$F$3:$K$1107,6,0),"")</f>
        <v/>
      </c>
      <c r="BI76" s="310" t="str">
        <f>_xlfn.IFNA(VLOOKUP($BC76,Programma!$F$3:$L$1107,7,0),"")</f>
        <v/>
      </c>
      <c r="BJ76" s="310" t="str">
        <f>_xlfn.IFNA(VLOOKUP($BC76,Programma!$F$3:$M$1107,8,0),"")</f>
        <v/>
      </c>
      <c r="BK76" s="310" t="str">
        <f>_xlfn.IFNA(VLOOKUP($BC76,Programma!$F$3:$N$1107,9,0),"")</f>
        <v/>
      </c>
      <c r="BL76" s="310" t="str">
        <f>_xlfn.IFNA(VLOOKUP($BC76,Programma!$F$3:$O$1107,10,0),"")</f>
        <v/>
      </c>
      <c r="BM76" s="310" t="str">
        <f>_xlfn.IFNA(VLOOKUP($BC76,Programma!$F$3:$P$1107,11,0),"")</f>
        <v/>
      </c>
      <c r="BN76" s="310" t="str">
        <f>_xlfn.IFNA(VLOOKUP($BC76,Programma!$F$3:$Q$1107,12,0),"")</f>
        <v/>
      </c>
      <c r="BO76" s="310" t="str">
        <f>_xlfn.IFNA(VLOOKUP($BC76,Programma!$F$3:$R$1107,13,0),"")</f>
        <v/>
      </c>
      <c r="BP76" s="310" t="str">
        <f>_xlfn.IFNA(VLOOKUP($BC76,Programma!$F$3:$S$1107,14,0),"")</f>
        <v/>
      </c>
      <c r="BQ76" s="310" t="str">
        <f>_xlfn.IFNA(VLOOKUP($BC76,Programma!$F$3:$T$1107,15,0),"")</f>
        <v/>
      </c>
      <c r="BR76" s="310" t="str">
        <f>_xlfn.IFNA(VLOOKUP($BC76,Programma!$F$3:$U$1107,16,0),"")</f>
        <v/>
      </c>
      <c r="BS76" s="310" t="str">
        <f>_xlfn.IFNA(VLOOKUP($BC76,Programma!$F$3:$V$1107,17,0),"")</f>
        <v/>
      </c>
      <c r="BT76" s="310" t="str">
        <f>_xlfn.IFNA(VLOOKUP($BC76,Programma!$F$3:$W$1107,18,0),"")</f>
        <v/>
      </c>
      <c r="BU76" s="310" t="str">
        <f>_xlfn.IFNA(VLOOKUP($BC76,Programma!$F$3:$X$1107,19,0),"")</f>
        <v/>
      </c>
      <c r="BV76" s="310" t="str">
        <f>_xlfn.IFNA(VLOOKUP($BC76,Programma!$F$3:$Y$1107,20,0),"")</f>
        <v/>
      </c>
    </row>
    <row r="77" spans="1:74" ht="15" customHeight="1">
      <c r="A77" s="33">
        <v>1</v>
      </c>
      <c r="B77" s="173" t="str">
        <f>VLOOKUP(Ruimtestaat[[#This Row],[Code]],Locaties[[Code]:[Locatie]],2,FALSE)</f>
        <v>CCNV</v>
      </c>
      <c r="C77" s="173" t="str">
        <f>VLOOKUP(Ruimtestaat[[#This Row],[Code]],Locaties[[#All],[Code]:[Adres]],4,FALSE)</f>
        <v>Stationslaan 26</v>
      </c>
      <c r="D77" s="173" t="str">
        <f>VLOOKUP(Ruimtestaat[[#This Row],[Code]],Locaties[[#All],[Code]:[Postcode]],5,FALSE)</f>
        <v>3842 LA</v>
      </c>
      <c r="E77" s="173" t="str">
        <f>VLOOKUP(Ruimtestaat[[#This Row],[Code]],Locaties[#All],6,FALSE)</f>
        <v>Harderwijk</v>
      </c>
      <c r="F77" s="21" t="s">
        <v>1624</v>
      </c>
      <c r="G77" s="33" t="s">
        <v>1612</v>
      </c>
      <c r="H77" s="311" t="s">
        <v>1691</v>
      </c>
      <c r="I77" s="312" t="s">
        <v>1615</v>
      </c>
      <c r="J77" s="21">
        <v>16</v>
      </c>
      <c r="K77" s="69" t="str">
        <f>VLOOKUP(Ruimtestaat[[#This Row],[Ruimte code]],Ruimtegroepen[[#All],[Code]:[Ruimte omschrijving]],2,FALSE)</f>
        <v>Leslokalen</v>
      </c>
      <c r="L77" s="33" t="s">
        <v>101</v>
      </c>
      <c r="M77" s="312" t="s">
        <v>1804</v>
      </c>
      <c r="N77" s="148">
        <v>48</v>
      </c>
      <c r="O77" s="150"/>
      <c r="P77" s="134" t="str">
        <f>VLOOKUP(Ruimtestaat[[#This Row],[Ruimte code]],Ruimtegroepen[],4,FALSE)</f>
        <v>Le</v>
      </c>
      <c r="Q77" s="33">
        <v>40</v>
      </c>
      <c r="R77" s="33" t="s">
        <v>2</v>
      </c>
      <c r="S77" s="33">
        <f>IF(Q77&gt;0,IF(RIGHT(Ruimtestaat[[#This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7" s="33">
        <f>IF(S77&gt;0,VLOOKUP($J77,Ruimtegroepen[],3,FALSE)*VLOOKUP($L77,Vloersoorten[],3,FALSE)*VLOOKUP($R77,Frequenties[],3,FALSE)*VLOOKUP($A77,Locaties[],3,FALSE),0)</f>
        <v>0</v>
      </c>
      <c r="U77" s="33">
        <f>Ruimtestaat[[#This Row],[Uitvoeringen werkdagen]]*Ruimtestaat[[#This Row],[Oppervlak (netto)]]</f>
        <v>9600</v>
      </c>
      <c r="V77" s="170">
        <f>IF(T77&gt;0,Ruimtestaat[[#This Row],[Prest. (m2 /jaar) werkdagen]]/Ruimtestaat[[#This Row],[Norm (m2/uur) werkdagen]],0)</f>
        <v>0</v>
      </c>
      <c r="W77" s="171">
        <f>Ruimtestaat[[#This Row],[uren / jaar werkdagen]]*Tariefsopbouw!$E$35</f>
        <v>0</v>
      </c>
      <c r="X77" s="33"/>
      <c r="Y77" s="33">
        <f>IF(Ruimtestaat[[#This Row],[Frequentie weekend]]&gt;0,VALUE(LEFT(X77,1))*Q77,0)</f>
        <v>0</v>
      </c>
      <c r="Z77" s="104">
        <f>IF($Y77&gt;0,VLOOKUP($J77,Ruimtegroepen[],3,FALSE)*VLOOKUP($L77,Vloersoorten[],3,FALSE)*VLOOKUP($X77,Frequenties[],3,FALSE)*VLOOKUP(Ruimtestaat[[#This Row],[Code]],Locaties[],3,FALSE),0)</f>
        <v>0</v>
      </c>
      <c r="AA77" s="104">
        <f>Ruimtestaat[[#This Row],[Uitvoeringen weekend]]*Ruimtestaat[[#This Row],[Oppervlak (netto)]]</f>
        <v>0</v>
      </c>
      <c r="AB77" s="104">
        <f>IF(Z77&gt;0,Ruimtestaat[[#This Row],[Prest. (m2 /jaar) weekend]]/Ruimtestaat[[#This Row],[Norm (m2/uur) weekend]],0)</f>
        <v>0</v>
      </c>
      <c r="AC77" s="171">
        <f>Ruimtestaat[[#This Row],[uren / jaar weekend]]*Tariefsopbouw!$D$40</f>
        <v>0</v>
      </c>
      <c r="AD77" s="170">
        <f>Ruimtestaat[[#This Row],[Prest. (m2 /jaar) weekend]]+Ruimtestaat[[#This Row],[Prest. (m2 /jaar) werkdagen]]</f>
        <v>9600</v>
      </c>
      <c r="AE77" s="170">
        <f>Ruimtestaat[[#This Row],[uren / jaar weekend]]+Ruimtestaat[[#This Row],[uren / jaar werkdagen]]</f>
        <v>0</v>
      </c>
      <c r="AF77" s="76">
        <f>Ruimtestaat[[#This Row],[kosten / jaar weekend]]+Ruimtestaat[[#This Row],[kosten / jaar werkdagen]]</f>
        <v>0</v>
      </c>
      <c r="AG77" s="76"/>
      <c r="AH77" s="272" t="str">
        <f>IF(Ruimtestaat[[#This Row],[Frequentie werkdagen]]="","",_xlfn.CONCAT(Ruimtestaat[[#This Row],[Ruimte code]],"-",Ruimtestaat[[#This Row],[Frequentie werkdagen]]," ",Ruimtestaat[[#This Row],[Vloer code]]))</f>
        <v>16-5w L</v>
      </c>
      <c r="AI77" s="310" t="str">
        <f>_xlfn.IFNA(VLOOKUP($AH77,Programma!$F$3:$G$1107,2,0),"")</f>
        <v>_</v>
      </c>
      <c r="AJ77" s="310" t="str">
        <f>_xlfn.IFNA(VLOOKUP($AH77,Programma!$F$3:$H$1107,3,0),"")</f>
        <v>_</v>
      </c>
      <c r="AK77" s="310" t="str">
        <f>_xlfn.IFNA(VLOOKUP($AH77,Programma!$F$3:$I$1107,4,0),"")</f>
        <v>4w</v>
      </c>
      <c r="AL77" s="310" t="str">
        <f>_xlfn.IFNA(VLOOKUP($AH77,Programma!$F$3:$J$1107,5,0),"")</f>
        <v>1w</v>
      </c>
      <c r="AM77" s="310" t="str">
        <f>_xlfn.IFNA(VLOOKUP($AH77,Programma!$F$3:$K$1107,6,0),"")</f>
        <v>_</v>
      </c>
      <c r="AN77" s="310" t="str">
        <f>_xlfn.IFNA(VLOOKUP($AH77,Programma!$F$3:$L$1107,7,0),"")</f>
        <v>_</v>
      </c>
      <c r="AO77" s="310" t="str">
        <f>_xlfn.IFNA(VLOOKUP($AH77,Programma!$F$3:$M$1107,8,0),"")</f>
        <v>_</v>
      </c>
      <c r="AP77" s="310" t="str">
        <f>_xlfn.IFNA(VLOOKUP($AH77,Programma!$F$3:$N$1107,9,0),"")</f>
        <v>_</v>
      </c>
      <c r="AQ77" s="310" t="str">
        <f>_xlfn.IFNA(VLOOKUP($AH77,Programma!$F$3:$O$1107,10,0),"")</f>
        <v>5w</v>
      </c>
      <c r="AR77" s="310" t="str">
        <f>_xlfn.IFNA(VLOOKUP($AH77,Programma!$F$3:$P$1107,11,0),"")</f>
        <v>5w</v>
      </c>
      <c r="AS77" s="310" t="str">
        <f>_xlfn.IFNA(VLOOKUP($AH77,Programma!$F$3:$Q$1107,12,0),"")</f>
        <v>1w</v>
      </c>
      <c r="AT77" s="310" t="str">
        <f>_xlfn.IFNA(VLOOKUP($AH77,Programma!$F$3:$R$1107,13,0),"")</f>
        <v>1w</v>
      </c>
      <c r="AU77" s="310" t="str">
        <f>_xlfn.IFNA(VLOOKUP($AH77,Programma!$F$3:$S$1107,14,0),"")</f>
        <v>1m</v>
      </c>
      <c r="AV77" s="310" t="str">
        <f>_xlfn.IFNA(VLOOKUP($AH77,Programma!$F$3:$T$1107,15,0),"")</f>
        <v>2j</v>
      </c>
      <c r="AW77" s="310" t="str">
        <f>_xlfn.IFNA(VLOOKUP($AH77,Programma!$F$3:$U$1107,16,0),"")</f>
        <v>1j</v>
      </c>
      <c r="AX77" s="310" t="str">
        <f>_xlfn.IFNA(VLOOKUP($AH77,Programma!$F$3:$V$1107,17,0),"")</f>
        <v>_</v>
      </c>
      <c r="AY77" s="310" t="str">
        <f>_xlfn.IFNA(VLOOKUP($AH77,Programma!$F$3:$W$1107,18,0),"")</f>
        <v>_</v>
      </c>
      <c r="AZ77" s="310" t="str">
        <f>_xlfn.IFNA(VLOOKUP($AH77,Programma!$F$3:$X$1107,19,0),"")</f>
        <v>_</v>
      </c>
      <c r="BA77" s="310" t="str">
        <f>_xlfn.IFNA(VLOOKUP($AH77,Programma!$F$3:$Y$1107,20,0),"")</f>
        <v>_</v>
      </c>
      <c r="BB77" s="273"/>
      <c r="BC77" s="272" t="str">
        <f>IF(Ruimtestaat[[#This Row],[Frequentie weekend]]="","",_xlfn.CONCAT(Ruimtestaat[[#This Row],[Ruimte code]],"-",Ruimtestaat[[#This Row],[Frequentie weekend]]," ",Ruimtestaat[[#This Row],[Vloer code]]))</f>
        <v/>
      </c>
      <c r="BD77" s="310" t="str">
        <f>_xlfn.IFNA(VLOOKUP($BC77,Programma!$F$3:$G$1107,2,0),"")</f>
        <v/>
      </c>
      <c r="BE77" s="310" t="str">
        <f>_xlfn.IFNA(VLOOKUP($BC77,Programma!$F$3:$H$1107,3,0),"")</f>
        <v/>
      </c>
      <c r="BF77" s="310" t="str">
        <f>_xlfn.IFNA(VLOOKUP($BC77,Programma!$F$3:$I$1107,4,0),"")</f>
        <v/>
      </c>
      <c r="BG77" s="310" t="str">
        <f>_xlfn.IFNA(VLOOKUP($BC77,Programma!$F$3:$J$1107,5,0),"")</f>
        <v/>
      </c>
      <c r="BH77" s="310" t="str">
        <f>_xlfn.IFNA(VLOOKUP($BC77,Programma!$F$3:$K$1107,6,0),"")</f>
        <v/>
      </c>
      <c r="BI77" s="310" t="str">
        <f>_xlfn.IFNA(VLOOKUP($BC77,Programma!$F$3:$L$1107,7,0),"")</f>
        <v/>
      </c>
      <c r="BJ77" s="310" t="str">
        <f>_xlfn.IFNA(VLOOKUP($BC77,Programma!$F$3:$M$1107,8,0),"")</f>
        <v/>
      </c>
      <c r="BK77" s="310" t="str">
        <f>_xlfn.IFNA(VLOOKUP($BC77,Programma!$F$3:$N$1107,9,0),"")</f>
        <v/>
      </c>
      <c r="BL77" s="310" t="str">
        <f>_xlfn.IFNA(VLOOKUP($BC77,Programma!$F$3:$O$1107,10,0),"")</f>
        <v/>
      </c>
      <c r="BM77" s="310" t="str">
        <f>_xlfn.IFNA(VLOOKUP($BC77,Programma!$F$3:$P$1107,11,0),"")</f>
        <v/>
      </c>
      <c r="BN77" s="310" t="str">
        <f>_xlfn.IFNA(VLOOKUP($BC77,Programma!$F$3:$Q$1107,12,0),"")</f>
        <v/>
      </c>
      <c r="BO77" s="310" t="str">
        <f>_xlfn.IFNA(VLOOKUP($BC77,Programma!$F$3:$R$1107,13,0),"")</f>
        <v/>
      </c>
      <c r="BP77" s="310" t="str">
        <f>_xlfn.IFNA(VLOOKUP($BC77,Programma!$F$3:$S$1107,14,0),"")</f>
        <v/>
      </c>
      <c r="BQ77" s="310" t="str">
        <f>_xlfn.IFNA(VLOOKUP($BC77,Programma!$F$3:$T$1107,15,0),"")</f>
        <v/>
      </c>
      <c r="BR77" s="310" t="str">
        <f>_xlfn.IFNA(VLOOKUP($BC77,Programma!$F$3:$U$1107,16,0),"")</f>
        <v/>
      </c>
      <c r="BS77" s="310" t="str">
        <f>_xlfn.IFNA(VLOOKUP($BC77,Programma!$F$3:$V$1107,17,0),"")</f>
        <v/>
      </c>
      <c r="BT77" s="310" t="str">
        <f>_xlfn.IFNA(VLOOKUP($BC77,Programma!$F$3:$W$1107,18,0),"")</f>
        <v/>
      </c>
      <c r="BU77" s="310" t="str">
        <f>_xlfn.IFNA(VLOOKUP($BC77,Programma!$F$3:$X$1107,19,0),"")</f>
        <v/>
      </c>
      <c r="BV77" s="310" t="str">
        <f>_xlfn.IFNA(VLOOKUP($BC77,Programma!$F$3:$Y$1107,20,0),"")</f>
        <v/>
      </c>
    </row>
    <row r="78" spans="1:74" ht="15" customHeight="1">
      <c r="A78" s="33">
        <v>1</v>
      </c>
      <c r="B78" s="173" t="str">
        <f>VLOOKUP(Ruimtestaat[[#This Row],[Code]],Locaties[[Code]:[Locatie]],2,FALSE)</f>
        <v>CCNV</v>
      </c>
      <c r="C78" s="173" t="str">
        <f>VLOOKUP(Ruimtestaat[[#This Row],[Code]],Locaties[[#All],[Code]:[Adres]],4,FALSE)</f>
        <v>Stationslaan 26</v>
      </c>
      <c r="D78" s="173" t="str">
        <f>VLOOKUP(Ruimtestaat[[#This Row],[Code]],Locaties[[#All],[Code]:[Postcode]],5,FALSE)</f>
        <v>3842 LA</v>
      </c>
      <c r="E78" s="173" t="str">
        <f>VLOOKUP(Ruimtestaat[[#This Row],[Code]],Locaties[#All],6,FALSE)</f>
        <v>Harderwijk</v>
      </c>
      <c r="F78" s="21" t="s">
        <v>1624</v>
      </c>
      <c r="G78" s="33" t="s">
        <v>1612</v>
      </c>
      <c r="H78" s="311" t="s">
        <v>1692</v>
      </c>
      <c r="I78" s="312" t="s">
        <v>1615</v>
      </c>
      <c r="J78" s="21">
        <v>16</v>
      </c>
      <c r="K78" s="69" t="str">
        <f>VLOOKUP(Ruimtestaat[[#This Row],[Ruimte code]],Ruimtegroepen[[#All],[Code]:[Ruimte omschrijving]],2,FALSE)</f>
        <v>Leslokalen</v>
      </c>
      <c r="L78" s="33" t="s">
        <v>1817</v>
      </c>
      <c r="M78" s="312" t="s">
        <v>1802</v>
      </c>
      <c r="N78" s="148">
        <v>52</v>
      </c>
      <c r="O78" s="33"/>
      <c r="P78" s="134" t="str">
        <f>VLOOKUP(Ruimtestaat[[#This Row],[Ruimte code]],Ruimtegroepen[],4,FALSE)</f>
        <v>Le</v>
      </c>
      <c r="Q78" s="33">
        <v>40</v>
      </c>
      <c r="R78" s="33" t="s">
        <v>2</v>
      </c>
      <c r="S78" s="33">
        <f>IF(Q78&gt;0,IF(RIGHT(Ruimtestaat[[#This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8" s="33">
        <f>IF(S78&gt;0,VLOOKUP($J78,Ruimtegroepen[],3,FALSE)*VLOOKUP($L78,Vloersoorten[],3,FALSE)*VLOOKUP($R78,Frequenties[],3,FALSE)*VLOOKUP($A78,Locaties[],3,FALSE),0)</f>
        <v>0</v>
      </c>
      <c r="U78" s="33">
        <f>Ruimtestaat[[#This Row],[Uitvoeringen werkdagen]]*Ruimtestaat[[#This Row],[Oppervlak (netto)]]</f>
        <v>10400</v>
      </c>
      <c r="V78" s="170">
        <f>IF(T78&gt;0,Ruimtestaat[[#This Row],[Prest. (m2 /jaar) werkdagen]]/Ruimtestaat[[#This Row],[Norm (m2/uur) werkdagen]],0)</f>
        <v>0</v>
      </c>
      <c r="W78" s="171">
        <f>Ruimtestaat[[#This Row],[uren / jaar werkdagen]]*Tariefsopbouw!$E$35</f>
        <v>0</v>
      </c>
      <c r="X78" s="33"/>
      <c r="Y78" s="33">
        <f>IF(Ruimtestaat[[#This Row],[Frequentie weekend]]&gt;0,VALUE(LEFT(X78,1))*Q78,0)</f>
        <v>0</v>
      </c>
      <c r="Z78" s="104">
        <f>IF($Y78&gt;0,VLOOKUP($J78,Ruimtegroepen[],3,FALSE)*VLOOKUP($L78,Vloersoorten[],3,FALSE)*VLOOKUP($X78,Frequenties[],3,FALSE)*VLOOKUP(Ruimtestaat[[#This Row],[Code]],Locaties[],3,FALSE),0)</f>
        <v>0</v>
      </c>
      <c r="AA78" s="104">
        <f>Ruimtestaat[[#This Row],[Uitvoeringen weekend]]*Ruimtestaat[[#This Row],[Oppervlak (netto)]]</f>
        <v>0</v>
      </c>
      <c r="AB78" s="104">
        <f>IF(Z78&gt;0,Ruimtestaat[[#This Row],[Prest. (m2 /jaar) weekend]]/Ruimtestaat[[#This Row],[Norm (m2/uur) weekend]],0)</f>
        <v>0</v>
      </c>
      <c r="AC78" s="171">
        <f>Ruimtestaat[[#This Row],[uren / jaar weekend]]*Tariefsopbouw!$D$40</f>
        <v>0</v>
      </c>
      <c r="AD78" s="170">
        <f>Ruimtestaat[[#This Row],[Prest. (m2 /jaar) weekend]]+Ruimtestaat[[#This Row],[Prest. (m2 /jaar) werkdagen]]</f>
        <v>10400</v>
      </c>
      <c r="AE78" s="170">
        <f>Ruimtestaat[[#This Row],[uren / jaar weekend]]+Ruimtestaat[[#This Row],[uren / jaar werkdagen]]</f>
        <v>0</v>
      </c>
      <c r="AF78" s="76">
        <f>Ruimtestaat[[#This Row],[kosten / jaar weekend]]+Ruimtestaat[[#This Row],[kosten / jaar werkdagen]]</f>
        <v>0</v>
      </c>
      <c r="AG78" s="76"/>
      <c r="AH78" s="272" t="str">
        <f>IF(Ruimtestaat[[#This Row],[Frequentie werkdagen]]="","",_xlfn.CONCAT(Ruimtestaat[[#This Row],[Ruimte code]],"-",Ruimtestaat[[#This Row],[Frequentie werkdagen]]," ",Ruimtestaat[[#This Row],[Vloer code]]))</f>
        <v>16-5w p</v>
      </c>
      <c r="AI78" s="310" t="str">
        <f>_xlfn.IFNA(VLOOKUP($AH78,Programma!$F$3:$G$1107,2,0),"")</f>
        <v>_</v>
      </c>
      <c r="AJ78" s="310" t="str">
        <f>_xlfn.IFNA(VLOOKUP($AH78,Programma!$F$3:$H$1107,3,0),"")</f>
        <v>_</v>
      </c>
      <c r="AK78" s="310" t="str">
        <f>_xlfn.IFNA(VLOOKUP($AH78,Programma!$F$3:$I$1107,4,0),"")</f>
        <v>4w</v>
      </c>
      <c r="AL78" s="310" t="str">
        <f>_xlfn.IFNA(VLOOKUP($AH78,Programma!$F$3:$J$1107,5,0),"")</f>
        <v>1w</v>
      </c>
      <c r="AM78" s="310" t="str">
        <f>_xlfn.IFNA(VLOOKUP($AH78,Programma!$F$3:$K$1107,6,0),"")</f>
        <v>1m</v>
      </c>
      <c r="AN78" s="310" t="str">
        <f>_xlfn.IFNA(VLOOKUP($AH78,Programma!$F$3:$L$1107,7,0),"")</f>
        <v>_</v>
      </c>
      <c r="AO78" s="310" t="str">
        <f>_xlfn.IFNA(VLOOKUP($AH78,Programma!$F$3:$M$1107,8,0),"")</f>
        <v>_</v>
      </c>
      <c r="AP78" s="310" t="str">
        <f>_xlfn.IFNA(VLOOKUP($AH78,Programma!$F$3:$N$1107,9,0),"")</f>
        <v>_</v>
      </c>
      <c r="AQ78" s="310" t="str">
        <f>_xlfn.IFNA(VLOOKUP($AH78,Programma!$F$3:$O$1107,10,0),"")</f>
        <v>5w</v>
      </c>
      <c r="AR78" s="310" t="str">
        <f>_xlfn.IFNA(VLOOKUP($AH78,Programma!$F$3:$P$1107,11,0),"")</f>
        <v>5w</v>
      </c>
      <c r="AS78" s="310" t="str">
        <f>_xlfn.IFNA(VLOOKUP($AH78,Programma!$F$3:$Q$1107,12,0),"")</f>
        <v>1w</v>
      </c>
      <c r="AT78" s="310" t="str">
        <f>_xlfn.IFNA(VLOOKUP($AH78,Programma!$F$3:$R$1107,13,0),"")</f>
        <v>1w</v>
      </c>
      <c r="AU78" s="310" t="str">
        <f>_xlfn.IFNA(VLOOKUP($AH78,Programma!$F$3:$S$1107,14,0),"")</f>
        <v>1m</v>
      </c>
      <c r="AV78" s="310" t="str">
        <f>_xlfn.IFNA(VLOOKUP($AH78,Programma!$F$3:$T$1107,15,0),"")</f>
        <v>2j</v>
      </c>
      <c r="AW78" s="310" t="str">
        <f>_xlfn.IFNA(VLOOKUP($AH78,Programma!$F$3:$U$1107,16,0),"")</f>
        <v>1j</v>
      </c>
      <c r="AX78" s="310" t="str">
        <f>_xlfn.IFNA(VLOOKUP($AH78,Programma!$F$3:$V$1107,17,0),"")</f>
        <v>_</v>
      </c>
      <c r="AY78" s="310" t="str">
        <f>_xlfn.IFNA(VLOOKUP($AH78,Programma!$F$3:$W$1107,18,0),"")</f>
        <v>_</v>
      </c>
      <c r="AZ78" s="310" t="str">
        <f>_xlfn.IFNA(VLOOKUP($AH78,Programma!$F$3:$X$1107,19,0),"")</f>
        <v>_</v>
      </c>
      <c r="BA78" s="310" t="str">
        <f>_xlfn.IFNA(VLOOKUP($AH78,Programma!$F$3:$Y$1107,20,0),"")</f>
        <v>_</v>
      </c>
      <c r="BB78" s="273"/>
      <c r="BC78" s="272" t="str">
        <f>IF(Ruimtestaat[[#This Row],[Frequentie weekend]]="","",_xlfn.CONCAT(Ruimtestaat[[#This Row],[Ruimte code]],"-",Ruimtestaat[[#This Row],[Frequentie weekend]]," ",Ruimtestaat[[#This Row],[Vloer code]]))</f>
        <v/>
      </c>
      <c r="BD78" s="310" t="str">
        <f>_xlfn.IFNA(VLOOKUP($BC78,Programma!$F$3:$G$1107,2,0),"")</f>
        <v/>
      </c>
      <c r="BE78" s="310" t="str">
        <f>_xlfn.IFNA(VLOOKUP($BC78,Programma!$F$3:$H$1107,3,0),"")</f>
        <v/>
      </c>
      <c r="BF78" s="310" t="str">
        <f>_xlfn.IFNA(VLOOKUP($BC78,Programma!$F$3:$I$1107,4,0),"")</f>
        <v/>
      </c>
      <c r="BG78" s="310" t="str">
        <f>_xlfn.IFNA(VLOOKUP($BC78,Programma!$F$3:$J$1107,5,0),"")</f>
        <v/>
      </c>
      <c r="BH78" s="310" t="str">
        <f>_xlfn.IFNA(VLOOKUP($BC78,Programma!$F$3:$K$1107,6,0),"")</f>
        <v/>
      </c>
      <c r="BI78" s="310" t="str">
        <f>_xlfn.IFNA(VLOOKUP($BC78,Programma!$F$3:$L$1107,7,0),"")</f>
        <v/>
      </c>
      <c r="BJ78" s="310" t="str">
        <f>_xlfn.IFNA(VLOOKUP($BC78,Programma!$F$3:$M$1107,8,0),"")</f>
        <v/>
      </c>
      <c r="BK78" s="310" t="str">
        <f>_xlfn.IFNA(VLOOKUP($BC78,Programma!$F$3:$N$1107,9,0),"")</f>
        <v/>
      </c>
      <c r="BL78" s="310" t="str">
        <f>_xlfn.IFNA(VLOOKUP($BC78,Programma!$F$3:$O$1107,10,0),"")</f>
        <v/>
      </c>
      <c r="BM78" s="310" t="str">
        <f>_xlfn.IFNA(VLOOKUP($BC78,Programma!$F$3:$P$1107,11,0),"")</f>
        <v/>
      </c>
      <c r="BN78" s="310" t="str">
        <f>_xlfn.IFNA(VLOOKUP($BC78,Programma!$F$3:$Q$1107,12,0),"")</f>
        <v/>
      </c>
      <c r="BO78" s="310" t="str">
        <f>_xlfn.IFNA(VLOOKUP($BC78,Programma!$F$3:$R$1107,13,0),"")</f>
        <v/>
      </c>
      <c r="BP78" s="310" t="str">
        <f>_xlfn.IFNA(VLOOKUP($BC78,Programma!$F$3:$S$1107,14,0),"")</f>
        <v/>
      </c>
      <c r="BQ78" s="310" t="str">
        <f>_xlfn.IFNA(VLOOKUP($BC78,Programma!$F$3:$T$1107,15,0),"")</f>
        <v/>
      </c>
      <c r="BR78" s="310" t="str">
        <f>_xlfn.IFNA(VLOOKUP($BC78,Programma!$F$3:$U$1107,16,0),"")</f>
        <v/>
      </c>
      <c r="BS78" s="310" t="str">
        <f>_xlfn.IFNA(VLOOKUP($BC78,Programma!$F$3:$V$1107,17,0),"")</f>
        <v/>
      </c>
      <c r="BT78" s="310" t="str">
        <f>_xlfn.IFNA(VLOOKUP($BC78,Programma!$F$3:$W$1107,18,0),"")</f>
        <v/>
      </c>
      <c r="BU78" s="310" t="str">
        <f>_xlfn.IFNA(VLOOKUP($BC78,Programma!$F$3:$X$1107,19,0),"")</f>
        <v/>
      </c>
      <c r="BV78" s="310" t="str">
        <f>_xlfn.IFNA(VLOOKUP($BC78,Programma!$F$3:$Y$1107,20,0),"")</f>
        <v/>
      </c>
    </row>
    <row r="79" spans="1:74" ht="15" customHeight="1">
      <c r="A79" s="33">
        <v>1</v>
      </c>
      <c r="B79" s="173" t="str">
        <f>VLOOKUP(Ruimtestaat[[#This Row],[Code]],Locaties[[Code]:[Locatie]],2,FALSE)</f>
        <v>CCNV</v>
      </c>
      <c r="C79" s="173" t="str">
        <f>VLOOKUP(Ruimtestaat[[#This Row],[Code]],Locaties[[#All],[Code]:[Adres]],4,FALSE)</f>
        <v>Stationslaan 26</v>
      </c>
      <c r="D79" s="173" t="str">
        <f>VLOOKUP(Ruimtestaat[[#This Row],[Code]],Locaties[[#All],[Code]:[Postcode]],5,FALSE)</f>
        <v>3842 LA</v>
      </c>
      <c r="E79" s="173" t="str">
        <f>VLOOKUP(Ruimtestaat[[#This Row],[Code]],Locaties[#All],6,FALSE)</f>
        <v>Harderwijk</v>
      </c>
      <c r="F79" s="21" t="s">
        <v>1624</v>
      </c>
      <c r="G79" s="33" t="s">
        <v>1612</v>
      </c>
      <c r="H79" s="311" t="s">
        <v>1693</v>
      </c>
      <c r="I79" s="312" t="s">
        <v>1615</v>
      </c>
      <c r="J79" s="21">
        <v>16</v>
      </c>
      <c r="K79" s="69" t="str">
        <f>VLOOKUP(Ruimtestaat[[#This Row],[Ruimte code]],Ruimtegroepen[[#All],[Code]:[Ruimte omschrijving]],2,FALSE)</f>
        <v>Leslokalen</v>
      </c>
      <c r="L79" s="33" t="s">
        <v>1817</v>
      </c>
      <c r="M79" s="312" t="s">
        <v>1802</v>
      </c>
      <c r="N79" s="148">
        <v>52</v>
      </c>
      <c r="O79" s="150"/>
      <c r="P79" s="134" t="str">
        <f>VLOOKUP(Ruimtestaat[[#This Row],[Ruimte code]],Ruimtegroepen[],4,FALSE)</f>
        <v>Le</v>
      </c>
      <c r="Q79" s="33">
        <v>40</v>
      </c>
      <c r="R79" s="33" t="s">
        <v>2</v>
      </c>
      <c r="S79" s="33">
        <f>IF(Q79&gt;0,IF(RIGHT(Ruimtestaat[[#This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9" s="33">
        <f>IF(S79&gt;0,VLOOKUP($J79,Ruimtegroepen[],3,FALSE)*VLOOKUP($L79,Vloersoorten[],3,FALSE)*VLOOKUP($R79,Frequenties[],3,FALSE)*VLOOKUP($A79,Locaties[],3,FALSE),0)</f>
        <v>0</v>
      </c>
      <c r="U79" s="33">
        <f>Ruimtestaat[[#This Row],[Uitvoeringen werkdagen]]*Ruimtestaat[[#This Row],[Oppervlak (netto)]]</f>
        <v>10400</v>
      </c>
      <c r="V79" s="170">
        <f>IF(T79&gt;0,Ruimtestaat[[#This Row],[Prest. (m2 /jaar) werkdagen]]/Ruimtestaat[[#This Row],[Norm (m2/uur) werkdagen]],0)</f>
        <v>0</v>
      </c>
      <c r="W79" s="171">
        <f>Ruimtestaat[[#This Row],[uren / jaar werkdagen]]*Tariefsopbouw!$E$35</f>
        <v>0</v>
      </c>
      <c r="X79" s="33"/>
      <c r="Y79" s="33">
        <f>IF(Ruimtestaat[[#This Row],[Frequentie weekend]]&gt;0,VALUE(LEFT(X79,1))*Q79,0)</f>
        <v>0</v>
      </c>
      <c r="Z79" s="104">
        <f>IF($Y79&gt;0,VLOOKUP($J79,Ruimtegroepen[],3,FALSE)*VLOOKUP($L79,Vloersoorten[],3,FALSE)*VLOOKUP($X79,Frequenties[],3,FALSE)*VLOOKUP(Ruimtestaat[[#This Row],[Code]],Locaties[],3,FALSE),0)</f>
        <v>0</v>
      </c>
      <c r="AA79" s="104">
        <f>Ruimtestaat[[#This Row],[Uitvoeringen weekend]]*Ruimtestaat[[#This Row],[Oppervlak (netto)]]</f>
        <v>0</v>
      </c>
      <c r="AB79" s="104">
        <f>IF(Z79&gt;0,Ruimtestaat[[#This Row],[Prest. (m2 /jaar) weekend]]/Ruimtestaat[[#This Row],[Norm (m2/uur) weekend]],0)</f>
        <v>0</v>
      </c>
      <c r="AC79" s="171">
        <f>Ruimtestaat[[#This Row],[uren / jaar weekend]]*Tariefsopbouw!$D$40</f>
        <v>0</v>
      </c>
      <c r="AD79" s="170">
        <f>Ruimtestaat[[#This Row],[Prest. (m2 /jaar) weekend]]+Ruimtestaat[[#This Row],[Prest. (m2 /jaar) werkdagen]]</f>
        <v>10400</v>
      </c>
      <c r="AE79" s="170">
        <f>Ruimtestaat[[#This Row],[uren / jaar weekend]]+Ruimtestaat[[#This Row],[uren / jaar werkdagen]]</f>
        <v>0</v>
      </c>
      <c r="AF79" s="76">
        <f>Ruimtestaat[[#This Row],[kosten / jaar weekend]]+Ruimtestaat[[#This Row],[kosten / jaar werkdagen]]</f>
        <v>0</v>
      </c>
      <c r="AG79" s="76"/>
      <c r="AH79" s="272" t="str">
        <f>IF(Ruimtestaat[[#This Row],[Frequentie werkdagen]]="","",_xlfn.CONCAT(Ruimtestaat[[#This Row],[Ruimte code]],"-",Ruimtestaat[[#This Row],[Frequentie werkdagen]]," ",Ruimtestaat[[#This Row],[Vloer code]]))</f>
        <v>16-5w p</v>
      </c>
      <c r="AI79" s="310" t="str">
        <f>_xlfn.IFNA(VLOOKUP($AH79,Programma!$F$3:$G$1107,2,0),"")</f>
        <v>_</v>
      </c>
      <c r="AJ79" s="310" t="str">
        <f>_xlfn.IFNA(VLOOKUP($AH79,Programma!$F$3:$H$1107,3,0),"")</f>
        <v>_</v>
      </c>
      <c r="AK79" s="310" t="str">
        <f>_xlfn.IFNA(VLOOKUP($AH79,Programma!$F$3:$I$1107,4,0),"")</f>
        <v>4w</v>
      </c>
      <c r="AL79" s="310" t="str">
        <f>_xlfn.IFNA(VLOOKUP($AH79,Programma!$F$3:$J$1107,5,0),"")</f>
        <v>1w</v>
      </c>
      <c r="AM79" s="310" t="str">
        <f>_xlfn.IFNA(VLOOKUP($AH79,Programma!$F$3:$K$1107,6,0),"")</f>
        <v>1m</v>
      </c>
      <c r="AN79" s="310" t="str">
        <f>_xlfn.IFNA(VLOOKUP($AH79,Programma!$F$3:$L$1107,7,0),"")</f>
        <v>_</v>
      </c>
      <c r="AO79" s="310" t="str">
        <f>_xlfn.IFNA(VLOOKUP($AH79,Programma!$F$3:$M$1107,8,0),"")</f>
        <v>_</v>
      </c>
      <c r="AP79" s="310" t="str">
        <f>_xlfn.IFNA(VLOOKUP($AH79,Programma!$F$3:$N$1107,9,0),"")</f>
        <v>_</v>
      </c>
      <c r="AQ79" s="310" t="str">
        <f>_xlfn.IFNA(VLOOKUP($AH79,Programma!$F$3:$O$1107,10,0),"")</f>
        <v>5w</v>
      </c>
      <c r="AR79" s="310" t="str">
        <f>_xlfn.IFNA(VLOOKUP($AH79,Programma!$F$3:$P$1107,11,0),"")</f>
        <v>5w</v>
      </c>
      <c r="AS79" s="310" t="str">
        <f>_xlfn.IFNA(VLOOKUP($AH79,Programma!$F$3:$Q$1107,12,0),"")</f>
        <v>1w</v>
      </c>
      <c r="AT79" s="310" t="str">
        <f>_xlfn.IFNA(VLOOKUP($AH79,Programma!$F$3:$R$1107,13,0),"")</f>
        <v>1w</v>
      </c>
      <c r="AU79" s="310" t="str">
        <f>_xlfn.IFNA(VLOOKUP($AH79,Programma!$F$3:$S$1107,14,0),"")</f>
        <v>1m</v>
      </c>
      <c r="AV79" s="310" t="str">
        <f>_xlfn.IFNA(VLOOKUP($AH79,Programma!$F$3:$T$1107,15,0),"")</f>
        <v>2j</v>
      </c>
      <c r="AW79" s="310" t="str">
        <f>_xlfn.IFNA(VLOOKUP($AH79,Programma!$F$3:$U$1107,16,0),"")</f>
        <v>1j</v>
      </c>
      <c r="AX79" s="310" t="str">
        <f>_xlfn.IFNA(VLOOKUP($AH79,Programma!$F$3:$V$1107,17,0),"")</f>
        <v>_</v>
      </c>
      <c r="AY79" s="310" t="str">
        <f>_xlfn.IFNA(VLOOKUP($AH79,Programma!$F$3:$W$1107,18,0),"")</f>
        <v>_</v>
      </c>
      <c r="AZ79" s="310" t="str">
        <f>_xlfn.IFNA(VLOOKUP($AH79,Programma!$F$3:$X$1107,19,0),"")</f>
        <v>_</v>
      </c>
      <c r="BA79" s="310" t="str">
        <f>_xlfn.IFNA(VLOOKUP($AH79,Programma!$F$3:$Y$1107,20,0),"")</f>
        <v>_</v>
      </c>
      <c r="BB79" s="273"/>
      <c r="BC79" s="272" t="str">
        <f>IF(Ruimtestaat[[#This Row],[Frequentie weekend]]="","",_xlfn.CONCAT(Ruimtestaat[[#This Row],[Ruimte code]],"-",Ruimtestaat[[#This Row],[Frequentie weekend]]," ",Ruimtestaat[[#This Row],[Vloer code]]))</f>
        <v/>
      </c>
      <c r="BD79" s="310" t="str">
        <f>_xlfn.IFNA(VLOOKUP($BC79,Programma!$F$3:$G$1107,2,0),"")</f>
        <v/>
      </c>
      <c r="BE79" s="310" t="str">
        <f>_xlfn.IFNA(VLOOKUP($BC79,Programma!$F$3:$H$1107,3,0),"")</f>
        <v/>
      </c>
      <c r="BF79" s="310" t="str">
        <f>_xlfn.IFNA(VLOOKUP($BC79,Programma!$F$3:$I$1107,4,0),"")</f>
        <v/>
      </c>
      <c r="BG79" s="310" t="str">
        <f>_xlfn.IFNA(VLOOKUP($BC79,Programma!$F$3:$J$1107,5,0),"")</f>
        <v/>
      </c>
      <c r="BH79" s="310" t="str">
        <f>_xlfn.IFNA(VLOOKUP($BC79,Programma!$F$3:$K$1107,6,0),"")</f>
        <v/>
      </c>
      <c r="BI79" s="310" t="str">
        <f>_xlfn.IFNA(VLOOKUP($BC79,Programma!$F$3:$L$1107,7,0),"")</f>
        <v/>
      </c>
      <c r="BJ79" s="310" t="str">
        <f>_xlfn.IFNA(VLOOKUP($BC79,Programma!$F$3:$M$1107,8,0),"")</f>
        <v/>
      </c>
      <c r="BK79" s="310" t="str">
        <f>_xlfn.IFNA(VLOOKUP($BC79,Programma!$F$3:$N$1107,9,0),"")</f>
        <v/>
      </c>
      <c r="BL79" s="310" t="str">
        <f>_xlfn.IFNA(VLOOKUP($BC79,Programma!$F$3:$O$1107,10,0),"")</f>
        <v/>
      </c>
      <c r="BM79" s="310" t="str">
        <f>_xlfn.IFNA(VLOOKUP($BC79,Programma!$F$3:$P$1107,11,0),"")</f>
        <v/>
      </c>
      <c r="BN79" s="310" t="str">
        <f>_xlfn.IFNA(VLOOKUP($BC79,Programma!$F$3:$Q$1107,12,0),"")</f>
        <v/>
      </c>
      <c r="BO79" s="310" t="str">
        <f>_xlfn.IFNA(VLOOKUP($BC79,Programma!$F$3:$R$1107,13,0),"")</f>
        <v/>
      </c>
      <c r="BP79" s="310" t="str">
        <f>_xlfn.IFNA(VLOOKUP($BC79,Programma!$F$3:$S$1107,14,0),"")</f>
        <v/>
      </c>
      <c r="BQ79" s="310" t="str">
        <f>_xlfn.IFNA(VLOOKUP($BC79,Programma!$F$3:$T$1107,15,0),"")</f>
        <v/>
      </c>
      <c r="BR79" s="310" t="str">
        <f>_xlfn.IFNA(VLOOKUP($BC79,Programma!$F$3:$U$1107,16,0),"")</f>
        <v/>
      </c>
      <c r="BS79" s="310" t="str">
        <f>_xlfn.IFNA(VLOOKUP($BC79,Programma!$F$3:$V$1107,17,0),"")</f>
        <v/>
      </c>
      <c r="BT79" s="310" t="str">
        <f>_xlfn.IFNA(VLOOKUP($BC79,Programma!$F$3:$W$1107,18,0),"")</f>
        <v/>
      </c>
      <c r="BU79" s="310" t="str">
        <f>_xlfn.IFNA(VLOOKUP($BC79,Programma!$F$3:$X$1107,19,0),"")</f>
        <v/>
      </c>
      <c r="BV79" s="310" t="str">
        <f>_xlfn.IFNA(VLOOKUP($BC79,Programma!$F$3:$Y$1107,20,0),"")</f>
        <v/>
      </c>
    </row>
    <row r="80" spans="1:74" ht="15" customHeight="1">
      <c r="A80" s="33">
        <v>1</v>
      </c>
      <c r="B80" s="173" t="str">
        <f>VLOOKUP(Ruimtestaat[[#This Row],[Code]],Locaties[[Code]:[Locatie]],2,FALSE)</f>
        <v>CCNV</v>
      </c>
      <c r="C80" s="173" t="str">
        <f>VLOOKUP(Ruimtestaat[[#This Row],[Code]],Locaties[[#All],[Code]:[Adres]],4,FALSE)</f>
        <v>Stationslaan 26</v>
      </c>
      <c r="D80" s="173" t="str">
        <f>VLOOKUP(Ruimtestaat[[#This Row],[Code]],Locaties[[#All],[Code]:[Postcode]],5,FALSE)</f>
        <v>3842 LA</v>
      </c>
      <c r="E80" s="173" t="str">
        <f>VLOOKUP(Ruimtestaat[[#This Row],[Code]],Locaties[#All],6,FALSE)</f>
        <v>Harderwijk</v>
      </c>
      <c r="F80" s="21" t="s">
        <v>1624</v>
      </c>
      <c r="G80" s="33" t="s">
        <v>1612</v>
      </c>
      <c r="H80" s="311" t="s">
        <v>1694</v>
      </c>
      <c r="I80" s="312" t="s">
        <v>1615</v>
      </c>
      <c r="J80" s="33">
        <v>16</v>
      </c>
      <c r="K80" s="69" t="str">
        <f>VLOOKUP(Ruimtestaat[[#This Row],[Ruimte code]],Ruimtegroepen[[#All],[Code]:[Ruimte omschrijving]],2,FALSE)</f>
        <v>Leslokalen</v>
      </c>
      <c r="L80" s="33" t="s">
        <v>1817</v>
      </c>
      <c r="M80" s="312" t="s">
        <v>1802</v>
      </c>
      <c r="N80" s="148">
        <v>52</v>
      </c>
      <c r="O80" s="150"/>
      <c r="P80" s="134" t="str">
        <f>VLOOKUP(Ruimtestaat[[#This Row],[Ruimte code]],Ruimtegroepen[],4,FALSE)</f>
        <v>Le</v>
      </c>
      <c r="Q80" s="33">
        <v>40</v>
      </c>
      <c r="R80" s="33" t="s">
        <v>2</v>
      </c>
      <c r="S80" s="33">
        <f>IF(Q80&gt;0,IF(RIGHT(Ruimtestaat[[#This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0" s="33">
        <f>IF(S80&gt;0,VLOOKUP($J80,Ruimtegroepen[],3,FALSE)*VLOOKUP($L80,Vloersoorten[],3,FALSE)*VLOOKUP($R80,Frequenties[],3,FALSE)*VLOOKUP($A80,Locaties[],3,FALSE),0)</f>
        <v>0</v>
      </c>
      <c r="U80" s="33">
        <f>Ruimtestaat[[#This Row],[Uitvoeringen werkdagen]]*Ruimtestaat[[#This Row],[Oppervlak (netto)]]</f>
        <v>10400</v>
      </c>
      <c r="V80" s="170">
        <f>IF(T80&gt;0,Ruimtestaat[[#This Row],[Prest. (m2 /jaar) werkdagen]]/Ruimtestaat[[#This Row],[Norm (m2/uur) werkdagen]],0)</f>
        <v>0</v>
      </c>
      <c r="W80" s="171">
        <f>Ruimtestaat[[#This Row],[uren / jaar werkdagen]]*Tariefsopbouw!$E$35</f>
        <v>0</v>
      </c>
      <c r="X80" s="33"/>
      <c r="Y80" s="33">
        <f>IF(Ruimtestaat[[#This Row],[Frequentie weekend]]&gt;0,VALUE(LEFT(X80,1))*Q80,0)</f>
        <v>0</v>
      </c>
      <c r="Z80" s="104">
        <f>IF($Y80&gt;0,VLOOKUP($J80,Ruimtegroepen[],3,FALSE)*VLOOKUP($L80,Vloersoorten[],3,FALSE)*VLOOKUP($X80,Frequenties[],3,FALSE)*VLOOKUP(Ruimtestaat[[#This Row],[Code]],Locaties[],3,FALSE),0)</f>
        <v>0</v>
      </c>
      <c r="AA80" s="104">
        <f>Ruimtestaat[[#This Row],[Uitvoeringen weekend]]*Ruimtestaat[[#This Row],[Oppervlak (netto)]]</f>
        <v>0</v>
      </c>
      <c r="AB80" s="104">
        <f>IF(Z80&gt;0,Ruimtestaat[[#This Row],[Prest. (m2 /jaar) weekend]]/Ruimtestaat[[#This Row],[Norm (m2/uur) weekend]],0)</f>
        <v>0</v>
      </c>
      <c r="AC80" s="171">
        <f>Ruimtestaat[[#This Row],[uren / jaar weekend]]*Tariefsopbouw!$D$40</f>
        <v>0</v>
      </c>
      <c r="AD80" s="170">
        <f>Ruimtestaat[[#This Row],[Prest. (m2 /jaar) weekend]]+Ruimtestaat[[#This Row],[Prest. (m2 /jaar) werkdagen]]</f>
        <v>10400</v>
      </c>
      <c r="AE80" s="170">
        <f>Ruimtestaat[[#This Row],[uren / jaar weekend]]+Ruimtestaat[[#This Row],[uren / jaar werkdagen]]</f>
        <v>0</v>
      </c>
      <c r="AF80" s="76">
        <f>Ruimtestaat[[#This Row],[kosten / jaar weekend]]+Ruimtestaat[[#This Row],[kosten / jaar werkdagen]]</f>
        <v>0</v>
      </c>
      <c r="AG80" s="76"/>
      <c r="AH80" s="272" t="str">
        <f>IF(Ruimtestaat[[#This Row],[Frequentie werkdagen]]="","",_xlfn.CONCAT(Ruimtestaat[[#This Row],[Ruimte code]],"-",Ruimtestaat[[#This Row],[Frequentie werkdagen]]," ",Ruimtestaat[[#This Row],[Vloer code]]))</f>
        <v>16-5w p</v>
      </c>
      <c r="AI80" s="310" t="str">
        <f>_xlfn.IFNA(VLOOKUP($AH80,Programma!$F$3:$G$1107,2,0),"")</f>
        <v>_</v>
      </c>
      <c r="AJ80" s="310" t="str">
        <f>_xlfn.IFNA(VLOOKUP($AH80,Programma!$F$3:$H$1107,3,0),"")</f>
        <v>_</v>
      </c>
      <c r="AK80" s="310" t="str">
        <f>_xlfn.IFNA(VLOOKUP($AH80,Programma!$F$3:$I$1107,4,0),"")</f>
        <v>4w</v>
      </c>
      <c r="AL80" s="310" t="str">
        <f>_xlfn.IFNA(VLOOKUP($AH80,Programma!$F$3:$J$1107,5,0),"")</f>
        <v>1w</v>
      </c>
      <c r="AM80" s="310" t="str">
        <f>_xlfn.IFNA(VLOOKUP($AH80,Programma!$F$3:$K$1107,6,0),"")</f>
        <v>1m</v>
      </c>
      <c r="AN80" s="310" t="str">
        <f>_xlfn.IFNA(VLOOKUP($AH80,Programma!$F$3:$L$1107,7,0),"")</f>
        <v>_</v>
      </c>
      <c r="AO80" s="310" t="str">
        <f>_xlfn.IFNA(VLOOKUP($AH80,Programma!$F$3:$M$1107,8,0),"")</f>
        <v>_</v>
      </c>
      <c r="AP80" s="310" t="str">
        <f>_xlfn.IFNA(VLOOKUP($AH80,Programma!$F$3:$N$1107,9,0),"")</f>
        <v>_</v>
      </c>
      <c r="AQ80" s="310" t="str">
        <f>_xlfn.IFNA(VLOOKUP($AH80,Programma!$F$3:$O$1107,10,0),"")</f>
        <v>5w</v>
      </c>
      <c r="AR80" s="310" t="str">
        <f>_xlfn.IFNA(VLOOKUP($AH80,Programma!$F$3:$P$1107,11,0),"")</f>
        <v>5w</v>
      </c>
      <c r="AS80" s="310" t="str">
        <f>_xlfn.IFNA(VLOOKUP($AH80,Programma!$F$3:$Q$1107,12,0),"")</f>
        <v>1w</v>
      </c>
      <c r="AT80" s="310" t="str">
        <f>_xlfn.IFNA(VLOOKUP($AH80,Programma!$F$3:$R$1107,13,0),"")</f>
        <v>1w</v>
      </c>
      <c r="AU80" s="310" t="str">
        <f>_xlfn.IFNA(VLOOKUP($AH80,Programma!$F$3:$S$1107,14,0),"")</f>
        <v>1m</v>
      </c>
      <c r="AV80" s="310" t="str">
        <f>_xlfn.IFNA(VLOOKUP($AH80,Programma!$F$3:$T$1107,15,0),"")</f>
        <v>2j</v>
      </c>
      <c r="AW80" s="310" t="str">
        <f>_xlfn.IFNA(VLOOKUP($AH80,Programma!$F$3:$U$1107,16,0),"")</f>
        <v>1j</v>
      </c>
      <c r="AX80" s="310" t="str">
        <f>_xlfn.IFNA(VLOOKUP($AH80,Programma!$F$3:$V$1107,17,0),"")</f>
        <v>_</v>
      </c>
      <c r="AY80" s="310" t="str">
        <f>_xlfn.IFNA(VLOOKUP($AH80,Programma!$F$3:$W$1107,18,0),"")</f>
        <v>_</v>
      </c>
      <c r="AZ80" s="310" t="str">
        <f>_xlfn.IFNA(VLOOKUP($AH80,Programma!$F$3:$X$1107,19,0),"")</f>
        <v>_</v>
      </c>
      <c r="BA80" s="310" t="str">
        <f>_xlfn.IFNA(VLOOKUP($AH80,Programma!$F$3:$Y$1107,20,0),"")</f>
        <v>_</v>
      </c>
      <c r="BB80" s="273"/>
      <c r="BC80" s="272" t="str">
        <f>IF(Ruimtestaat[[#This Row],[Frequentie weekend]]="","",_xlfn.CONCAT(Ruimtestaat[[#This Row],[Ruimte code]],"-",Ruimtestaat[[#This Row],[Frequentie weekend]]," ",Ruimtestaat[[#This Row],[Vloer code]]))</f>
        <v/>
      </c>
      <c r="BD80" s="310" t="str">
        <f>_xlfn.IFNA(VLOOKUP($BC80,Programma!$F$3:$G$1107,2,0),"")</f>
        <v/>
      </c>
      <c r="BE80" s="310" t="str">
        <f>_xlfn.IFNA(VLOOKUP($BC80,Programma!$F$3:$H$1107,3,0),"")</f>
        <v/>
      </c>
      <c r="BF80" s="310" t="str">
        <f>_xlfn.IFNA(VLOOKUP($BC80,Programma!$F$3:$I$1107,4,0),"")</f>
        <v/>
      </c>
      <c r="BG80" s="310" t="str">
        <f>_xlfn.IFNA(VLOOKUP($BC80,Programma!$F$3:$J$1107,5,0),"")</f>
        <v/>
      </c>
      <c r="BH80" s="310" t="str">
        <f>_xlfn.IFNA(VLOOKUP($BC80,Programma!$F$3:$K$1107,6,0),"")</f>
        <v/>
      </c>
      <c r="BI80" s="310" t="str">
        <f>_xlfn.IFNA(VLOOKUP($BC80,Programma!$F$3:$L$1107,7,0),"")</f>
        <v/>
      </c>
      <c r="BJ80" s="310" t="str">
        <f>_xlfn.IFNA(VLOOKUP($BC80,Programma!$F$3:$M$1107,8,0),"")</f>
        <v/>
      </c>
      <c r="BK80" s="310" t="str">
        <f>_xlfn.IFNA(VLOOKUP($BC80,Programma!$F$3:$N$1107,9,0),"")</f>
        <v/>
      </c>
      <c r="BL80" s="310" t="str">
        <f>_xlfn.IFNA(VLOOKUP($BC80,Programma!$F$3:$O$1107,10,0),"")</f>
        <v/>
      </c>
      <c r="BM80" s="310" t="str">
        <f>_xlfn.IFNA(VLOOKUP($BC80,Programma!$F$3:$P$1107,11,0),"")</f>
        <v/>
      </c>
      <c r="BN80" s="310" t="str">
        <f>_xlfn.IFNA(VLOOKUP($BC80,Programma!$F$3:$Q$1107,12,0),"")</f>
        <v/>
      </c>
      <c r="BO80" s="310" t="str">
        <f>_xlfn.IFNA(VLOOKUP($BC80,Programma!$F$3:$R$1107,13,0),"")</f>
        <v/>
      </c>
      <c r="BP80" s="310" t="str">
        <f>_xlfn.IFNA(VLOOKUP($BC80,Programma!$F$3:$S$1107,14,0),"")</f>
        <v/>
      </c>
      <c r="BQ80" s="310" t="str">
        <f>_xlfn.IFNA(VLOOKUP($BC80,Programma!$F$3:$T$1107,15,0),"")</f>
        <v/>
      </c>
      <c r="BR80" s="310" t="str">
        <f>_xlfn.IFNA(VLOOKUP($BC80,Programma!$F$3:$U$1107,16,0),"")</f>
        <v/>
      </c>
      <c r="BS80" s="310" t="str">
        <f>_xlfn.IFNA(VLOOKUP($BC80,Programma!$F$3:$V$1107,17,0),"")</f>
        <v/>
      </c>
      <c r="BT80" s="310" t="str">
        <f>_xlfn.IFNA(VLOOKUP($BC80,Programma!$F$3:$W$1107,18,0),"")</f>
        <v/>
      </c>
      <c r="BU80" s="310" t="str">
        <f>_xlfn.IFNA(VLOOKUP($BC80,Programma!$F$3:$X$1107,19,0),"")</f>
        <v/>
      </c>
      <c r="BV80" s="310" t="str">
        <f>_xlfn.IFNA(VLOOKUP($BC80,Programma!$F$3:$Y$1107,20,0),"")</f>
        <v/>
      </c>
    </row>
    <row r="81" spans="1:74" ht="15" customHeight="1">
      <c r="A81" s="33">
        <v>1</v>
      </c>
      <c r="B81" s="173" t="str">
        <f>VLOOKUP(Ruimtestaat[[#This Row],[Code]],Locaties[[Code]:[Locatie]],2,FALSE)</f>
        <v>CCNV</v>
      </c>
      <c r="C81" s="173" t="str">
        <f>VLOOKUP(Ruimtestaat[[#This Row],[Code]],Locaties[[#All],[Code]:[Adres]],4,FALSE)</f>
        <v>Stationslaan 26</v>
      </c>
      <c r="D81" s="173" t="str">
        <f>VLOOKUP(Ruimtestaat[[#This Row],[Code]],Locaties[[#All],[Code]:[Postcode]],5,FALSE)</f>
        <v>3842 LA</v>
      </c>
      <c r="E81" s="173" t="str">
        <f>VLOOKUP(Ruimtestaat[[#This Row],[Code]],Locaties[#All],6,FALSE)</f>
        <v>Harderwijk</v>
      </c>
      <c r="F81" s="21" t="s">
        <v>1624</v>
      </c>
      <c r="G81" s="33" t="s">
        <v>1612</v>
      </c>
      <c r="H81" s="311" t="s">
        <v>1695</v>
      </c>
      <c r="I81" s="312" t="s">
        <v>1615</v>
      </c>
      <c r="J81" s="33">
        <v>16</v>
      </c>
      <c r="K81" s="69" t="str">
        <f>VLOOKUP(Ruimtestaat[[#This Row],[Ruimte code]],Ruimtegroepen[[#All],[Code]:[Ruimte omschrijving]],2,FALSE)</f>
        <v>Leslokalen</v>
      </c>
      <c r="L81" s="33" t="s">
        <v>1817</v>
      </c>
      <c r="M81" s="312" t="s">
        <v>1802</v>
      </c>
      <c r="N81" s="148">
        <v>52</v>
      </c>
      <c r="O81" s="33"/>
      <c r="P81" s="134" t="str">
        <f>VLOOKUP(Ruimtestaat[[#This Row],[Ruimte code]],Ruimtegroepen[],4,FALSE)</f>
        <v>Le</v>
      </c>
      <c r="Q81" s="33">
        <v>40</v>
      </c>
      <c r="R81" s="33" t="s">
        <v>2</v>
      </c>
      <c r="S81" s="33">
        <f>IF(Q81&gt;0,IF(RIGHT(Ruimtestaat[[#This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1" s="33">
        <f>IF(S81&gt;0,VLOOKUP($J81,Ruimtegroepen[],3,FALSE)*VLOOKUP($L81,Vloersoorten[],3,FALSE)*VLOOKUP($R81,Frequenties[],3,FALSE)*VLOOKUP($A81,Locaties[],3,FALSE),0)</f>
        <v>0</v>
      </c>
      <c r="U81" s="33">
        <f>Ruimtestaat[[#This Row],[Uitvoeringen werkdagen]]*Ruimtestaat[[#This Row],[Oppervlak (netto)]]</f>
        <v>10400</v>
      </c>
      <c r="V81" s="170">
        <f>IF(T81&gt;0,Ruimtestaat[[#This Row],[Prest. (m2 /jaar) werkdagen]]/Ruimtestaat[[#This Row],[Norm (m2/uur) werkdagen]],0)</f>
        <v>0</v>
      </c>
      <c r="W81" s="171">
        <f>Ruimtestaat[[#This Row],[uren / jaar werkdagen]]*Tariefsopbouw!$E$35</f>
        <v>0</v>
      </c>
      <c r="X81" s="33"/>
      <c r="Y81" s="33">
        <f>IF(Ruimtestaat[[#This Row],[Frequentie weekend]]&gt;0,VALUE(LEFT(X81,1))*Q81,0)</f>
        <v>0</v>
      </c>
      <c r="Z81" s="104">
        <f>IF($Y81&gt;0,VLOOKUP($J81,Ruimtegroepen[],3,FALSE)*VLOOKUP($L81,Vloersoorten[],3,FALSE)*VLOOKUP($X81,Frequenties[],3,FALSE)*VLOOKUP(Ruimtestaat[[#This Row],[Code]],Locaties[],3,FALSE),0)</f>
        <v>0</v>
      </c>
      <c r="AA81" s="104">
        <f>Ruimtestaat[[#This Row],[Uitvoeringen weekend]]*Ruimtestaat[[#This Row],[Oppervlak (netto)]]</f>
        <v>0</v>
      </c>
      <c r="AB81" s="104">
        <f>IF(Z81&gt;0,Ruimtestaat[[#This Row],[Prest. (m2 /jaar) weekend]]/Ruimtestaat[[#This Row],[Norm (m2/uur) weekend]],0)</f>
        <v>0</v>
      </c>
      <c r="AC81" s="171">
        <f>Ruimtestaat[[#This Row],[uren / jaar weekend]]*Tariefsopbouw!$D$40</f>
        <v>0</v>
      </c>
      <c r="AD81" s="170">
        <f>Ruimtestaat[[#This Row],[Prest. (m2 /jaar) weekend]]+Ruimtestaat[[#This Row],[Prest. (m2 /jaar) werkdagen]]</f>
        <v>10400</v>
      </c>
      <c r="AE81" s="170">
        <f>Ruimtestaat[[#This Row],[uren / jaar weekend]]+Ruimtestaat[[#This Row],[uren / jaar werkdagen]]</f>
        <v>0</v>
      </c>
      <c r="AF81" s="76">
        <f>Ruimtestaat[[#This Row],[kosten / jaar weekend]]+Ruimtestaat[[#This Row],[kosten / jaar werkdagen]]</f>
        <v>0</v>
      </c>
      <c r="AG81" s="76"/>
      <c r="AH81" s="272" t="str">
        <f>IF(Ruimtestaat[[#This Row],[Frequentie werkdagen]]="","",_xlfn.CONCAT(Ruimtestaat[[#This Row],[Ruimte code]],"-",Ruimtestaat[[#This Row],[Frequentie werkdagen]]," ",Ruimtestaat[[#This Row],[Vloer code]]))</f>
        <v>16-5w p</v>
      </c>
      <c r="AI81" s="310" t="str">
        <f>_xlfn.IFNA(VLOOKUP($AH81,Programma!$F$3:$G$1107,2,0),"")</f>
        <v>_</v>
      </c>
      <c r="AJ81" s="310" t="str">
        <f>_xlfn.IFNA(VLOOKUP($AH81,Programma!$F$3:$H$1107,3,0),"")</f>
        <v>_</v>
      </c>
      <c r="AK81" s="310" t="str">
        <f>_xlfn.IFNA(VLOOKUP($AH81,Programma!$F$3:$I$1107,4,0),"")</f>
        <v>4w</v>
      </c>
      <c r="AL81" s="310" t="str">
        <f>_xlfn.IFNA(VLOOKUP($AH81,Programma!$F$3:$J$1107,5,0),"")</f>
        <v>1w</v>
      </c>
      <c r="AM81" s="310" t="str">
        <f>_xlfn.IFNA(VLOOKUP($AH81,Programma!$F$3:$K$1107,6,0),"")</f>
        <v>1m</v>
      </c>
      <c r="AN81" s="310" t="str">
        <f>_xlfn.IFNA(VLOOKUP($AH81,Programma!$F$3:$L$1107,7,0),"")</f>
        <v>_</v>
      </c>
      <c r="AO81" s="310" t="str">
        <f>_xlfn.IFNA(VLOOKUP($AH81,Programma!$F$3:$M$1107,8,0),"")</f>
        <v>_</v>
      </c>
      <c r="AP81" s="310" t="str">
        <f>_xlfn.IFNA(VLOOKUP($AH81,Programma!$F$3:$N$1107,9,0),"")</f>
        <v>_</v>
      </c>
      <c r="AQ81" s="310" t="str">
        <f>_xlfn.IFNA(VLOOKUP($AH81,Programma!$F$3:$O$1107,10,0),"")</f>
        <v>5w</v>
      </c>
      <c r="AR81" s="310" t="str">
        <f>_xlfn.IFNA(VLOOKUP($AH81,Programma!$F$3:$P$1107,11,0),"")</f>
        <v>5w</v>
      </c>
      <c r="AS81" s="310" t="str">
        <f>_xlfn.IFNA(VLOOKUP($AH81,Programma!$F$3:$Q$1107,12,0),"")</f>
        <v>1w</v>
      </c>
      <c r="AT81" s="310" t="str">
        <f>_xlfn.IFNA(VLOOKUP($AH81,Programma!$F$3:$R$1107,13,0),"")</f>
        <v>1w</v>
      </c>
      <c r="AU81" s="310" t="str">
        <f>_xlfn.IFNA(VLOOKUP($AH81,Programma!$F$3:$S$1107,14,0),"")</f>
        <v>1m</v>
      </c>
      <c r="AV81" s="310" t="str">
        <f>_xlfn.IFNA(VLOOKUP($AH81,Programma!$F$3:$T$1107,15,0),"")</f>
        <v>2j</v>
      </c>
      <c r="AW81" s="310" t="str">
        <f>_xlfn.IFNA(VLOOKUP($AH81,Programma!$F$3:$U$1107,16,0),"")</f>
        <v>1j</v>
      </c>
      <c r="AX81" s="310" t="str">
        <f>_xlfn.IFNA(VLOOKUP($AH81,Programma!$F$3:$V$1107,17,0),"")</f>
        <v>_</v>
      </c>
      <c r="AY81" s="310" t="str">
        <f>_xlfn.IFNA(VLOOKUP($AH81,Programma!$F$3:$W$1107,18,0),"")</f>
        <v>_</v>
      </c>
      <c r="AZ81" s="310" t="str">
        <f>_xlfn.IFNA(VLOOKUP($AH81,Programma!$F$3:$X$1107,19,0),"")</f>
        <v>_</v>
      </c>
      <c r="BA81" s="310" t="str">
        <f>_xlfn.IFNA(VLOOKUP($AH81,Programma!$F$3:$Y$1107,20,0),"")</f>
        <v>_</v>
      </c>
      <c r="BB81" s="273"/>
      <c r="BC81" s="272" t="str">
        <f>IF(Ruimtestaat[[#This Row],[Frequentie weekend]]="","",_xlfn.CONCAT(Ruimtestaat[[#This Row],[Ruimte code]],"-",Ruimtestaat[[#This Row],[Frequentie weekend]]," ",Ruimtestaat[[#This Row],[Vloer code]]))</f>
        <v/>
      </c>
      <c r="BD81" s="310" t="str">
        <f>_xlfn.IFNA(VLOOKUP($BC81,Programma!$F$3:$G$1107,2,0),"")</f>
        <v/>
      </c>
      <c r="BE81" s="310" t="str">
        <f>_xlfn.IFNA(VLOOKUP($BC81,Programma!$F$3:$H$1107,3,0),"")</f>
        <v/>
      </c>
      <c r="BF81" s="310" t="str">
        <f>_xlfn.IFNA(VLOOKUP($BC81,Programma!$F$3:$I$1107,4,0),"")</f>
        <v/>
      </c>
      <c r="BG81" s="310" t="str">
        <f>_xlfn.IFNA(VLOOKUP($BC81,Programma!$F$3:$J$1107,5,0),"")</f>
        <v/>
      </c>
      <c r="BH81" s="310" t="str">
        <f>_xlfn.IFNA(VLOOKUP($BC81,Programma!$F$3:$K$1107,6,0),"")</f>
        <v/>
      </c>
      <c r="BI81" s="310" t="str">
        <f>_xlfn.IFNA(VLOOKUP($BC81,Programma!$F$3:$L$1107,7,0),"")</f>
        <v/>
      </c>
      <c r="BJ81" s="310" t="str">
        <f>_xlfn.IFNA(VLOOKUP($BC81,Programma!$F$3:$M$1107,8,0),"")</f>
        <v/>
      </c>
      <c r="BK81" s="310" t="str">
        <f>_xlfn.IFNA(VLOOKUP($BC81,Programma!$F$3:$N$1107,9,0),"")</f>
        <v/>
      </c>
      <c r="BL81" s="310" t="str">
        <f>_xlfn.IFNA(VLOOKUP($BC81,Programma!$F$3:$O$1107,10,0),"")</f>
        <v/>
      </c>
      <c r="BM81" s="310" t="str">
        <f>_xlfn.IFNA(VLOOKUP($BC81,Programma!$F$3:$P$1107,11,0),"")</f>
        <v/>
      </c>
      <c r="BN81" s="310" t="str">
        <f>_xlfn.IFNA(VLOOKUP($BC81,Programma!$F$3:$Q$1107,12,0),"")</f>
        <v/>
      </c>
      <c r="BO81" s="310" t="str">
        <f>_xlfn.IFNA(VLOOKUP($BC81,Programma!$F$3:$R$1107,13,0),"")</f>
        <v/>
      </c>
      <c r="BP81" s="310" t="str">
        <f>_xlfn.IFNA(VLOOKUP($BC81,Programma!$F$3:$S$1107,14,0),"")</f>
        <v/>
      </c>
      <c r="BQ81" s="310" t="str">
        <f>_xlfn.IFNA(VLOOKUP($BC81,Programma!$F$3:$T$1107,15,0),"")</f>
        <v/>
      </c>
      <c r="BR81" s="310" t="str">
        <f>_xlfn.IFNA(VLOOKUP($BC81,Programma!$F$3:$U$1107,16,0),"")</f>
        <v/>
      </c>
      <c r="BS81" s="310" t="str">
        <f>_xlfn.IFNA(VLOOKUP($BC81,Programma!$F$3:$V$1107,17,0),"")</f>
        <v/>
      </c>
      <c r="BT81" s="310" t="str">
        <f>_xlfn.IFNA(VLOOKUP($BC81,Programma!$F$3:$W$1107,18,0),"")</f>
        <v/>
      </c>
      <c r="BU81" s="310" t="str">
        <f>_xlfn.IFNA(VLOOKUP($BC81,Programma!$F$3:$X$1107,19,0),"")</f>
        <v/>
      </c>
      <c r="BV81" s="310" t="str">
        <f>_xlfn.IFNA(VLOOKUP($BC81,Programma!$F$3:$Y$1107,20,0),"")</f>
        <v/>
      </c>
    </row>
    <row r="82" spans="1:74" ht="15" customHeight="1">
      <c r="A82" s="33">
        <v>1</v>
      </c>
      <c r="B82" s="173" t="str">
        <f>VLOOKUP(Ruimtestaat[[#This Row],[Code]],Locaties[[Code]:[Locatie]],2,FALSE)</f>
        <v>CCNV</v>
      </c>
      <c r="C82" s="173" t="str">
        <f>VLOOKUP(Ruimtestaat[[#This Row],[Code]],Locaties[[#All],[Code]:[Adres]],4,FALSE)</f>
        <v>Stationslaan 26</v>
      </c>
      <c r="D82" s="173" t="str">
        <f>VLOOKUP(Ruimtestaat[[#This Row],[Code]],Locaties[[#All],[Code]:[Postcode]],5,FALSE)</f>
        <v>3842 LA</v>
      </c>
      <c r="E82" s="173" t="str">
        <f>VLOOKUP(Ruimtestaat[[#This Row],[Code]],Locaties[#All],6,FALSE)</f>
        <v>Harderwijk</v>
      </c>
      <c r="F82" s="21" t="s">
        <v>1625</v>
      </c>
      <c r="G82" s="33" t="s">
        <v>1613</v>
      </c>
      <c r="H82" s="311" t="s">
        <v>1696</v>
      </c>
      <c r="I82" s="312" t="s">
        <v>1615</v>
      </c>
      <c r="J82" s="21">
        <v>16</v>
      </c>
      <c r="K82" s="69" t="str">
        <f>VLOOKUP(Ruimtestaat[[#This Row],[Ruimte code]],Ruimtegroepen[[#All],[Code]:[Ruimte omschrijving]],2,FALSE)</f>
        <v>Leslokalen</v>
      </c>
      <c r="L82" s="33" t="s">
        <v>101</v>
      </c>
      <c r="M82" s="312" t="s">
        <v>1804</v>
      </c>
      <c r="N82" s="148">
        <v>48</v>
      </c>
      <c r="O82" s="150"/>
      <c r="P82" s="134" t="str">
        <f>VLOOKUP(Ruimtestaat[[#This Row],[Ruimte code]],Ruimtegroepen[],4,FALSE)</f>
        <v>Le</v>
      </c>
      <c r="Q82" s="33">
        <v>40</v>
      </c>
      <c r="R82" s="33" t="s">
        <v>2</v>
      </c>
      <c r="S82" s="33">
        <f>IF(Q82&gt;0,IF(RIGHT(Ruimtestaat[[#This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2" s="33">
        <f>IF(S82&gt;0,VLOOKUP($J82,Ruimtegroepen[],3,FALSE)*VLOOKUP($L82,Vloersoorten[],3,FALSE)*VLOOKUP($R82,Frequenties[],3,FALSE)*VLOOKUP($A82,Locaties[],3,FALSE),0)</f>
        <v>0</v>
      </c>
      <c r="U82" s="33">
        <f>Ruimtestaat[[#This Row],[Uitvoeringen werkdagen]]*Ruimtestaat[[#This Row],[Oppervlak (netto)]]</f>
        <v>9600</v>
      </c>
      <c r="V82" s="170">
        <f>IF(T82&gt;0,Ruimtestaat[[#This Row],[Prest. (m2 /jaar) werkdagen]]/Ruimtestaat[[#This Row],[Norm (m2/uur) werkdagen]],0)</f>
        <v>0</v>
      </c>
      <c r="W82" s="171">
        <f>Ruimtestaat[[#This Row],[uren / jaar werkdagen]]*Tariefsopbouw!$E$35</f>
        <v>0</v>
      </c>
      <c r="X82" s="33"/>
      <c r="Y82" s="33">
        <f>IF(Ruimtestaat[[#This Row],[Frequentie weekend]]&gt;0,VALUE(LEFT(X82,1))*Q82,0)</f>
        <v>0</v>
      </c>
      <c r="Z82" s="104">
        <f>IF($Y82&gt;0,VLOOKUP($J82,Ruimtegroepen[],3,FALSE)*VLOOKUP($L82,Vloersoorten[],3,FALSE)*VLOOKUP($X82,Frequenties[],3,FALSE)*VLOOKUP(Ruimtestaat[[#This Row],[Code]],Locaties[],3,FALSE),0)</f>
        <v>0</v>
      </c>
      <c r="AA82" s="104">
        <f>Ruimtestaat[[#This Row],[Uitvoeringen weekend]]*Ruimtestaat[[#This Row],[Oppervlak (netto)]]</f>
        <v>0</v>
      </c>
      <c r="AB82" s="104">
        <f>IF(Z82&gt;0,Ruimtestaat[[#This Row],[Prest. (m2 /jaar) weekend]]/Ruimtestaat[[#This Row],[Norm (m2/uur) weekend]],0)</f>
        <v>0</v>
      </c>
      <c r="AC82" s="171">
        <f>Ruimtestaat[[#This Row],[uren / jaar weekend]]*Tariefsopbouw!$D$40</f>
        <v>0</v>
      </c>
      <c r="AD82" s="170">
        <f>Ruimtestaat[[#This Row],[Prest. (m2 /jaar) weekend]]+Ruimtestaat[[#This Row],[Prest. (m2 /jaar) werkdagen]]</f>
        <v>9600</v>
      </c>
      <c r="AE82" s="170">
        <f>Ruimtestaat[[#This Row],[uren / jaar weekend]]+Ruimtestaat[[#This Row],[uren / jaar werkdagen]]</f>
        <v>0</v>
      </c>
      <c r="AF82" s="76">
        <f>Ruimtestaat[[#This Row],[kosten / jaar weekend]]+Ruimtestaat[[#This Row],[kosten / jaar werkdagen]]</f>
        <v>0</v>
      </c>
      <c r="AG82" s="76"/>
      <c r="AH82" s="272" t="str">
        <f>IF(Ruimtestaat[[#This Row],[Frequentie werkdagen]]="","",_xlfn.CONCAT(Ruimtestaat[[#This Row],[Ruimte code]],"-",Ruimtestaat[[#This Row],[Frequentie werkdagen]]," ",Ruimtestaat[[#This Row],[Vloer code]]))</f>
        <v>16-5w L</v>
      </c>
      <c r="AI82" s="310" t="str">
        <f>_xlfn.IFNA(VLOOKUP($AH82,Programma!$F$3:$G$1107,2,0),"")</f>
        <v>_</v>
      </c>
      <c r="AJ82" s="310" t="str">
        <f>_xlfn.IFNA(VLOOKUP($AH82,Programma!$F$3:$H$1107,3,0),"")</f>
        <v>_</v>
      </c>
      <c r="AK82" s="310" t="str">
        <f>_xlfn.IFNA(VLOOKUP($AH82,Programma!$F$3:$I$1107,4,0),"")</f>
        <v>4w</v>
      </c>
      <c r="AL82" s="310" t="str">
        <f>_xlfn.IFNA(VLOOKUP($AH82,Programma!$F$3:$J$1107,5,0),"")</f>
        <v>1w</v>
      </c>
      <c r="AM82" s="310" t="str">
        <f>_xlfn.IFNA(VLOOKUP($AH82,Programma!$F$3:$K$1107,6,0),"")</f>
        <v>_</v>
      </c>
      <c r="AN82" s="310" t="str">
        <f>_xlfn.IFNA(VLOOKUP($AH82,Programma!$F$3:$L$1107,7,0),"")</f>
        <v>_</v>
      </c>
      <c r="AO82" s="310" t="str">
        <f>_xlfn.IFNA(VLOOKUP($AH82,Programma!$F$3:$M$1107,8,0),"")</f>
        <v>_</v>
      </c>
      <c r="AP82" s="310" t="str">
        <f>_xlfn.IFNA(VLOOKUP($AH82,Programma!$F$3:$N$1107,9,0),"")</f>
        <v>_</v>
      </c>
      <c r="AQ82" s="310" t="str">
        <f>_xlfn.IFNA(VLOOKUP($AH82,Programma!$F$3:$O$1107,10,0),"")</f>
        <v>5w</v>
      </c>
      <c r="AR82" s="310" t="str">
        <f>_xlfn.IFNA(VLOOKUP($AH82,Programma!$F$3:$P$1107,11,0),"")</f>
        <v>5w</v>
      </c>
      <c r="AS82" s="310" t="str">
        <f>_xlfn.IFNA(VLOOKUP($AH82,Programma!$F$3:$Q$1107,12,0),"")</f>
        <v>1w</v>
      </c>
      <c r="AT82" s="310" t="str">
        <f>_xlfn.IFNA(VLOOKUP($AH82,Programma!$F$3:$R$1107,13,0),"")</f>
        <v>1w</v>
      </c>
      <c r="AU82" s="310" t="str">
        <f>_xlfn.IFNA(VLOOKUP($AH82,Programma!$F$3:$S$1107,14,0),"")</f>
        <v>1m</v>
      </c>
      <c r="AV82" s="310" t="str">
        <f>_xlfn.IFNA(VLOOKUP($AH82,Programma!$F$3:$T$1107,15,0),"")</f>
        <v>2j</v>
      </c>
      <c r="AW82" s="310" t="str">
        <f>_xlfn.IFNA(VLOOKUP($AH82,Programma!$F$3:$U$1107,16,0),"")</f>
        <v>1j</v>
      </c>
      <c r="AX82" s="310" t="str">
        <f>_xlfn.IFNA(VLOOKUP($AH82,Programma!$F$3:$V$1107,17,0),"")</f>
        <v>_</v>
      </c>
      <c r="AY82" s="310" t="str">
        <f>_xlfn.IFNA(VLOOKUP($AH82,Programma!$F$3:$W$1107,18,0),"")</f>
        <v>_</v>
      </c>
      <c r="AZ82" s="310" t="str">
        <f>_xlfn.IFNA(VLOOKUP($AH82,Programma!$F$3:$X$1107,19,0),"")</f>
        <v>_</v>
      </c>
      <c r="BA82" s="310" t="str">
        <f>_xlfn.IFNA(VLOOKUP($AH82,Programma!$F$3:$Y$1107,20,0),"")</f>
        <v>_</v>
      </c>
      <c r="BB82" s="273"/>
      <c r="BC82" s="272" t="str">
        <f>IF(Ruimtestaat[[#This Row],[Frequentie weekend]]="","",_xlfn.CONCAT(Ruimtestaat[[#This Row],[Ruimte code]],"-",Ruimtestaat[[#This Row],[Frequentie weekend]]," ",Ruimtestaat[[#This Row],[Vloer code]]))</f>
        <v/>
      </c>
      <c r="BD82" s="310" t="str">
        <f>_xlfn.IFNA(VLOOKUP($BC82,Programma!$F$3:$G$1107,2,0),"")</f>
        <v/>
      </c>
      <c r="BE82" s="310" t="str">
        <f>_xlfn.IFNA(VLOOKUP($BC82,Programma!$F$3:$H$1107,3,0),"")</f>
        <v/>
      </c>
      <c r="BF82" s="310" t="str">
        <f>_xlfn.IFNA(VLOOKUP($BC82,Programma!$F$3:$I$1107,4,0),"")</f>
        <v/>
      </c>
      <c r="BG82" s="310" t="str">
        <f>_xlfn.IFNA(VLOOKUP($BC82,Programma!$F$3:$J$1107,5,0),"")</f>
        <v/>
      </c>
      <c r="BH82" s="310" t="str">
        <f>_xlfn.IFNA(VLOOKUP($BC82,Programma!$F$3:$K$1107,6,0),"")</f>
        <v/>
      </c>
      <c r="BI82" s="310" t="str">
        <f>_xlfn.IFNA(VLOOKUP($BC82,Programma!$F$3:$L$1107,7,0),"")</f>
        <v/>
      </c>
      <c r="BJ82" s="310" t="str">
        <f>_xlfn.IFNA(VLOOKUP($BC82,Programma!$F$3:$M$1107,8,0),"")</f>
        <v/>
      </c>
      <c r="BK82" s="310" t="str">
        <f>_xlfn.IFNA(VLOOKUP($BC82,Programma!$F$3:$N$1107,9,0),"")</f>
        <v/>
      </c>
      <c r="BL82" s="310" t="str">
        <f>_xlfn.IFNA(VLOOKUP($BC82,Programma!$F$3:$O$1107,10,0),"")</f>
        <v/>
      </c>
      <c r="BM82" s="310" t="str">
        <f>_xlfn.IFNA(VLOOKUP($BC82,Programma!$F$3:$P$1107,11,0),"")</f>
        <v/>
      </c>
      <c r="BN82" s="310" t="str">
        <f>_xlfn.IFNA(VLOOKUP($BC82,Programma!$F$3:$Q$1107,12,0),"")</f>
        <v/>
      </c>
      <c r="BO82" s="310" t="str">
        <f>_xlfn.IFNA(VLOOKUP($BC82,Programma!$F$3:$R$1107,13,0),"")</f>
        <v/>
      </c>
      <c r="BP82" s="310" t="str">
        <f>_xlfn.IFNA(VLOOKUP($BC82,Programma!$F$3:$S$1107,14,0),"")</f>
        <v/>
      </c>
      <c r="BQ82" s="310" t="str">
        <f>_xlfn.IFNA(VLOOKUP($BC82,Programma!$F$3:$T$1107,15,0),"")</f>
        <v/>
      </c>
      <c r="BR82" s="310" t="str">
        <f>_xlfn.IFNA(VLOOKUP($BC82,Programma!$F$3:$U$1107,16,0),"")</f>
        <v/>
      </c>
      <c r="BS82" s="310" t="str">
        <f>_xlfn.IFNA(VLOOKUP($BC82,Programma!$F$3:$V$1107,17,0),"")</f>
        <v/>
      </c>
      <c r="BT82" s="310" t="str">
        <f>_xlfn.IFNA(VLOOKUP($BC82,Programma!$F$3:$W$1107,18,0),"")</f>
        <v/>
      </c>
      <c r="BU82" s="310" t="str">
        <f>_xlfn.IFNA(VLOOKUP($BC82,Programma!$F$3:$X$1107,19,0),"")</f>
        <v/>
      </c>
      <c r="BV82" s="310" t="str">
        <f>_xlfn.IFNA(VLOOKUP($BC82,Programma!$F$3:$Y$1107,20,0),"")</f>
        <v/>
      </c>
    </row>
    <row r="83" spans="1:74" ht="15" customHeight="1">
      <c r="A83" s="33">
        <v>1</v>
      </c>
      <c r="B83" s="173" t="str">
        <f>VLOOKUP(Ruimtestaat[[#This Row],[Code]],Locaties[[Code]:[Locatie]],2,FALSE)</f>
        <v>CCNV</v>
      </c>
      <c r="C83" s="173" t="str">
        <f>VLOOKUP(Ruimtestaat[[#This Row],[Code]],Locaties[[#All],[Code]:[Adres]],4,FALSE)</f>
        <v>Stationslaan 26</v>
      </c>
      <c r="D83" s="173" t="str">
        <f>VLOOKUP(Ruimtestaat[[#This Row],[Code]],Locaties[[#All],[Code]:[Postcode]],5,FALSE)</f>
        <v>3842 LA</v>
      </c>
      <c r="E83" s="173" t="str">
        <f>VLOOKUP(Ruimtestaat[[#This Row],[Code]],Locaties[#All],6,FALSE)</f>
        <v>Harderwijk</v>
      </c>
      <c r="F83" s="21" t="s">
        <v>1625</v>
      </c>
      <c r="G83" s="33" t="s">
        <v>1613</v>
      </c>
      <c r="H83" s="311" t="s">
        <v>1697</v>
      </c>
      <c r="I83" s="312" t="s">
        <v>1615</v>
      </c>
      <c r="J83" s="21">
        <v>16</v>
      </c>
      <c r="K83" s="69" t="str">
        <f>VLOOKUP(Ruimtestaat[[#This Row],[Ruimte code]],Ruimtegroepen[[#All],[Code]:[Ruimte omschrijving]],2,FALSE)</f>
        <v>Leslokalen</v>
      </c>
      <c r="L83" s="33" t="s">
        <v>101</v>
      </c>
      <c r="M83" s="312" t="s">
        <v>1804</v>
      </c>
      <c r="N83" s="148">
        <v>48</v>
      </c>
      <c r="O83" s="150"/>
      <c r="P83" s="134" t="str">
        <f>VLOOKUP(Ruimtestaat[[#This Row],[Ruimte code]],Ruimtegroepen[],4,FALSE)</f>
        <v>Le</v>
      </c>
      <c r="Q83" s="33">
        <v>40</v>
      </c>
      <c r="R83" s="33" t="s">
        <v>2</v>
      </c>
      <c r="S83" s="33">
        <f>IF(Q83&gt;0,IF(RIGHT(Ruimtestaat[[#This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3" s="33">
        <f>IF(S83&gt;0,VLOOKUP($J83,Ruimtegroepen[],3,FALSE)*VLOOKUP($L83,Vloersoorten[],3,FALSE)*VLOOKUP($R83,Frequenties[],3,FALSE)*VLOOKUP($A83,Locaties[],3,FALSE),0)</f>
        <v>0</v>
      </c>
      <c r="U83" s="33">
        <f>Ruimtestaat[[#This Row],[Uitvoeringen werkdagen]]*Ruimtestaat[[#This Row],[Oppervlak (netto)]]</f>
        <v>9600</v>
      </c>
      <c r="V83" s="170">
        <f>IF(T83&gt;0,Ruimtestaat[[#This Row],[Prest. (m2 /jaar) werkdagen]]/Ruimtestaat[[#This Row],[Norm (m2/uur) werkdagen]],0)</f>
        <v>0</v>
      </c>
      <c r="W83" s="171">
        <f>Ruimtestaat[[#This Row],[uren / jaar werkdagen]]*Tariefsopbouw!$E$35</f>
        <v>0</v>
      </c>
      <c r="X83" s="33"/>
      <c r="Y83" s="33">
        <f>IF(Ruimtestaat[[#This Row],[Frequentie weekend]]&gt;0,VALUE(LEFT(X83,1))*Q83,0)</f>
        <v>0</v>
      </c>
      <c r="Z83" s="104">
        <f>IF($Y83&gt;0,VLOOKUP($J83,Ruimtegroepen[],3,FALSE)*VLOOKUP($L83,Vloersoorten[],3,FALSE)*VLOOKUP($X83,Frequenties[],3,FALSE)*VLOOKUP(Ruimtestaat[[#This Row],[Code]],Locaties[],3,FALSE),0)</f>
        <v>0</v>
      </c>
      <c r="AA83" s="104">
        <f>Ruimtestaat[[#This Row],[Uitvoeringen weekend]]*Ruimtestaat[[#This Row],[Oppervlak (netto)]]</f>
        <v>0</v>
      </c>
      <c r="AB83" s="104">
        <f>IF(Z83&gt;0,Ruimtestaat[[#This Row],[Prest. (m2 /jaar) weekend]]/Ruimtestaat[[#This Row],[Norm (m2/uur) weekend]],0)</f>
        <v>0</v>
      </c>
      <c r="AC83" s="171">
        <f>Ruimtestaat[[#This Row],[uren / jaar weekend]]*Tariefsopbouw!$D$40</f>
        <v>0</v>
      </c>
      <c r="AD83" s="170">
        <f>Ruimtestaat[[#This Row],[Prest. (m2 /jaar) weekend]]+Ruimtestaat[[#This Row],[Prest. (m2 /jaar) werkdagen]]</f>
        <v>9600</v>
      </c>
      <c r="AE83" s="170">
        <f>Ruimtestaat[[#This Row],[uren / jaar weekend]]+Ruimtestaat[[#This Row],[uren / jaar werkdagen]]</f>
        <v>0</v>
      </c>
      <c r="AF83" s="76">
        <f>Ruimtestaat[[#This Row],[kosten / jaar weekend]]+Ruimtestaat[[#This Row],[kosten / jaar werkdagen]]</f>
        <v>0</v>
      </c>
      <c r="AG83" s="76"/>
      <c r="AH83" s="272" t="str">
        <f>IF(Ruimtestaat[[#This Row],[Frequentie werkdagen]]="","",_xlfn.CONCAT(Ruimtestaat[[#This Row],[Ruimte code]],"-",Ruimtestaat[[#This Row],[Frequentie werkdagen]]," ",Ruimtestaat[[#This Row],[Vloer code]]))</f>
        <v>16-5w L</v>
      </c>
      <c r="AI83" s="310" t="str">
        <f>_xlfn.IFNA(VLOOKUP($AH83,Programma!$F$3:$G$1107,2,0),"")</f>
        <v>_</v>
      </c>
      <c r="AJ83" s="310" t="str">
        <f>_xlfn.IFNA(VLOOKUP($AH83,Programma!$F$3:$H$1107,3,0),"")</f>
        <v>_</v>
      </c>
      <c r="AK83" s="310" t="str">
        <f>_xlfn.IFNA(VLOOKUP($AH83,Programma!$F$3:$I$1107,4,0),"")</f>
        <v>4w</v>
      </c>
      <c r="AL83" s="310" t="str">
        <f>_xlfn.IFNA(VLOOKUP($AH83,Programma!$F$3:$J$1107,5,0),"")</f>
        <v>1w</v>
      </c>
      <c r="AM83" s="310" t="str">
        <f>_xlfn.IFNA(VLOOKUP($AH83,Programma!$F$3:$K$1107,6,0),"")</f>
        <v>_</v>
      </c>
      <c r="AN83" s="310" t="str">
        <f>_xlfn.IFNA(VLOOKUP($AH83,Programma!$F$3:$L$1107,7,0),"")</f>
        <v>_</v>
      </c>
      <c r="AO83" s="310" t="str">
        <f>_xlfn.IFNA(VLOOKUP($AH83,Programma!$F$3:$M$1107,8,0),"")</f>
        <v>_</v>
      </c>
      <c r="AP83" s="310" t="str">
        <f>_xlfn.IFNA(VLOOKUP($AH83,Programma!$F$3:$N$1107,9,0),"")</f>
        <v>_</v>
      </c>
      <c r="AQ83" s="310" t="str">
        <f>_xlfn.IFNA(VLOOKUP($AH83,Programma!$F$3:$O$1107,10,0),"")</f>
        <v>5w</v>
      </c>
      <c r="AR83" s="310" t="str">
        <f>_xlfn.IFNA(VLOOKUP($AH83,Programma!$F$3:$P$1107,11,0),"")</f>
        <v>5w</v>
      </c>
      <c r="AS83" s="310" t="str">
        <f>_xlfn.IFNA(VLOOKUP($AH83,Programma!$F$3:$Q$1107,12,0),"")</f>
        <v>1w</v>
      </c>
      <c r="AT83" s="310" t="str">
        <f>_xlfn.IFNA(VLOOKUP($AH83,Programma!$F$3:$R$1107,13,0),"")</f>
        <v>1w</v>
      </c>
      <c r="AU83" s="310" t="str">
        <f>_xlfn.IFNA(VLOOKUP($AH83,Programma!$F$3:$S$1107,14,0),"")</f>
        <v>1m</v>
      </c>
      <c r="AV83" s="310" t="str">
        <f>_xlfn.IFNA(VLOOKUP($AH83,Programma!$F$3:$T$1107,15,0),"")</f>
        <v>2j</v>
      </c>
      <c r="AW83" s="310" t="str">
        <f>_xlfn.IFNA(VLOOKUP($AH83,Programma!$F$3:$U$1107,16,0),"")</f>
        <v>1j</v>
      </c>
      <c r="AX83" s="310" t="str">
        <f>_xlfn.IFNA(VLOOKUP($AH83,Programma!$F$3:$V$1107,17,0),"")</f>
        <v>_</v>
      </c>
      <c r="AY83" s="310" t="str">
        <f>_xlfn.IFNA(VLOOKUP($AH83,Programma!$F$3:$W$1107,18,0),"")</f>
        <v>_</v>
      </c>
      <c r="AZ83" s="310" t="str">
        <f>_xlfn.IFNA(VLOOKUP($AH83,Programma!$F$3:$X$1107,19,0),"")</f>
        <v>_</v>
      </c>
      <c r="BA83" s="310" t="str">
        <f>_xlfn.IFNA(VLOOKUP($AH83,Programma!$F$3:$Y$1107,20,0),"")</f>
        <v>_</v>
      </c>
      <c r="BB83" s="273"/>
      <c r="BC83" s="272" t="str">
        <f>IF(Ruimtestaat[[#This Row],[Frequentie weekend]]="","",_xlfn.CONCAT(Ruimtestaat[[#This Row],[Ruimte code]],"-",Ruimtestaat[[#This Row],[Frequentie weekend]]," ",Ruimtestaat[[#This Row],[Vloer code]]))</f>
        <v/>
      </c>
      <c r="BD83" s="310" t="str">
        <f>_xlfn.IFNA(VLOOKUP($BC83,Programma!$F$3:$G$1107,2,0),"")</f>
        <v/>
      </c>
      <c r="BE83" s="310" t="str">
        <f>_xlfn.IFNA(VLOOKUP($BC83,Programma!$F$3:$H$1107,3,0),"")</f>
        <v/>
      </c>
      <c r="BF83" s="310" t="str">
        <f>_xlfn.IFNA(VLOOKUP($BC83,Programma!$F$3:$I$1107,4,0),"")</f>
        <v/>
      </c>
      <c r="BG83" s="310" t="str">
        <f>_xlfn.IFNA(VLOOKUP($BC83,Programma!$F$3:$J$1107,5,0),"")</f>
        <v/>
      </c>
      <c r="BH83" s="310" t="str">
        <f>_xlfn.IFNA(VLOOKUP($BC83,Programma!$F$3:$K$1107,6,0),"")</f>
        <v/>
      </c>
      <c r="BI83" s="310" t="str">
        <f>_xlfn.IFNA(VLOOKUP($BC83,Programma!$F$3:$L$1107,7,0),"")</f>
        <v/>
      </c>
      <c r="BJ83" s="310" t="str">
        <f>_xlfn.IFNA(VLOOKUP($BC83,Programma!$F$3:$M$1107,8,0),"")</f>
        <v/>
      </c>
      <c r="BK83" s="310" t="str">
        <f>_xlfn.IFNA(VLOOKUP($BC83,Programma!$F$3:$N$1107,9,0),"")</f>
        <v/>
      </c>
      <c r="BL83" s="310" t="str">
        <f>_xlfn.IFNA(VLOOKUP($BC83,Programma!$F$3:$O$1107,10,0),"")</f>
        <v/>
      </c>
      <c r="BM83" s="310" t="str">
        <f>_xlfn.IFNA(VLOOKUP($BC83,Programma!$F$3:$P$1107,11,0),"")</f>
        <v/>
      </c>
      <c r="BN83" s="310" t="str">
        <f>_xlfn.IFNA(VLOOKUP($BC83,Programma!$F$3:$Q$1107,12,0),"")</f>
        <v/>
      </c>
      <c r="BO83" s="310" t="str">
        <f>_xlfn.IFNA(VLOOKUP($BC83,Programma!$F$3:$R$1107,13,0),"")</f>
        <v/>
      </c>
      <c r="BP83" s="310" t="str">
        <f>_xlfn.IFNA(VLOOKUP($BC83,Programma!$F$3:$S$1107,14,0),"")</f>
        <v/>
      </c>
      <c r="BQ83" s="310" t="str">
        <f>_xlfn.IFNA(VLOOKUP($BC83,Programma!$F$3:$T$1107,15,0),"")</f>
        <v/>
      </c>
      <c r="BR83" s="310" t="str">
        <f>_xlfn.IFNA(VLOOKUP($BC83,Programma!$F$3:$U$1107,16,0),"")</f>
        <v/>
      </c>
      <c r="BS83" s="310" t="str">
        <f>_xlfn.IFNA(VLOOKUP($BC83,Programma!$F$3:$V$1107,17,0),"")</f>
        <v/>
      </c>
      <c r="BT83" s="310" t="str">
        <f>_xlfn.IFNA(VLOOKUP($BC83,Programma!$F$3:$W$1107,18,0),"")</f>
        <v/>
      </c>
      <c r="BU83" s="310" t="str">
        <f>_xlfn.IFNA(VLOOKUP($BC83,Programma!$F$3:$X$1107,19,0),"")</f>
        <v/>
      </c>
      <c r="BV83" s="310" t="str">
        <f>_xlfn.IFNA(VLOOKUP($BC83,Programma!$F$3:$Y$1107,20,0),"")</f>
        <v/>
      </c>
    </row>
    <row r="84" spans="1:74" ht="15" customHeight="1">
      <c r="A84" s="33">
        <v>1</v>
      </c>
      <c r="B84" s="173" t="str">
        <f>VLOOKUP(Ruimtestaat[[#This Row],[Code]],Locaties[[Code]:[Locatie]],2,FALSE)</f>
        <v>CCNV</v>
      </c>
      <c r="C84" s="173" t="str">
        <f>VLOOKUP(Ruimtestaat[[#This Row],[Code]],Locaties[[#All],[Code]:[Adres]],4,FALSE)</f>
        <v>Stationslaan 26</v>
      </c>
      <c r="D84" s="173" t="str">
        <f>VLOOKUP(Ruimtestaat[[#This Row],[Code]],Locaties[[#All],[Code]:[Postcode]],5,FALSE)</f>
        <v>3842 LA</v>
      </c>
      <c r="E84" s="173" t="str">
        <f>VLOOKUP(Ruimtestaat[[#This Row],[Code]],Locaties[#All],6,FALSE)</f>
        <v>Harderwijk</v>
      </c>
      <c r="F84" s="21" t="s">
        <v>1625</v>
      </c>
      <c r="G84" s="33" t="s">
        <v>1613</v>
      </c>
      <c r="H84" s="311" t="s">
        <v>1698</v>
      </c>
      <c r="I84" s="312" t="s">
        <v>1615</v>
      </c>
      <c r="J84" s="21">
        <v>16</v>
      </c>
      <c r="K84" s="69" t="str">
        <f>VLOOKUP(Ruimtestaat[[#This Row],[Ruimte code]],Ruimtegroepen[[#All],[Code]:[Ruimte omschrijving]],2,FALSE)</f>
        <v>Leslokalen</v>
      </c>
      <c r="L84" s="33" t="s">
        <v>101</v>
      </c>
      <c r="M84" s="312" t="s">
        <v>1804</v>
      </c>
      <c r="N84" s="148">
        <v>48</v>
      </c>
      <c r="O84" s="33"/>
      <c r="P84" s="134" t="str">
        <f>VLOOKUP(Ruimtestaat[[#This Row],[Ruimte code]],Ruimtegroepen[],4,FALSE)</f>
        <v>Le</v>
      </c>
      <c r="Q84" s="33">
        <v>40</v>
      </c>
      <c r="R84" s="33" t="s">
        <v>2</v>
      </c>
      <c r="S84" s="33">
        <f>IF(Q84&gt;0,IF(RIGHT(Ruimtestaat[[#This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4" s="33">
        <f>IF(S84&gt;0,VLOOKUP($J84,Ruimtegroepen[],3,FALSE)*VLOOKUP($L84,Vloersoorten[],3,FALSE)*VLOOKUP($R84,Frequenties[],3,FALSE)*VLOOKUP($A84,Locaties[],3,FALSE),0)</f>
        <v>0</v>
      </c>
      <c r="U84" s="33">
        <f>Ruimtestaat[[#This Row],[Uitvoeringen werkdagen]]*Ruimtestaat[[#This Row],[Oppervlak (netto)]]</f>
        <v>9600</v>
      </c>
      <c r="V84" s="170">
        <f>IF(T84&gt;0,Ruimtestaat[[#This Row],[Prest. (m2 /jaar) werkdagen]]/Ruimtestaat[[#This Row],[Norm (m2/uur) werkdagen]],0)</f>
        <v>0</v>
      </c>
      <c r="W84" s="171">
        <f>Ruimtestaat[[#This Row],[uren / jaar werkdagen]]*Tariefsopbouw!$E$35</f>
        <v>0</v>
      </c>
      <c r="X84" s="33"/>
      <c r="Y84" s="33">
        <f>IF(Ruimtestaat[[#This Row],[Frequentie weekend]]&gt;0,VALUE(LEFT(X84,1))*Q84,0)</f>
        <v>0</v>
      </c>
      <c r="Z84" s="104">
        <f>IF($Y84&gt;0,VLOOKUP($J84,Ruimtegroepen[],3,FALSE)*VLOOKUP($L84,Vloersoorten[],3,FALSE)*VLOOKUP($X84,Frequenties[],3,FALSE)*VLOOKUP(Ruimtestaat[[#This Row],[Code]],Locaties[],3,FALSE),0)</f>
        <v>0</v>
      </c>
      <c r="AA84" s="104">
        <f>Ruimtestaat[[#This Row],[Uitvoeringen weekend]]*Ruimtestaat[[#This Row],[Oppervlak (netto)]]</f>
        <v>0</v>
      </c>
      <c r="AB84" s="104">
        <f>IF(Z84&gt;0,Ruimtestaat[[#This Row],[Prest. (m2 /jaar) weekend]]/Ruimtestaat[[#This Row],[Norm (m2/uur) weekend]],0)</f>
        <v>0</v>
      </c>
      <c r="AC84" s="171">
        <f>Ruimtestaat[[#This Row],[uren / jaar weekend]]*Tariefsopbouw!$D$40</f>
        <v>0</v>
      </c>
      <c r="AD84" s="170">
        <f>Ruimtestaat[[#This Row],[Prest. (m2 /jaar) weekend]]+Ruimtestaat[[#This Row],[Prest. (m2 /jaar) werkdagen]]</f>
        <v>9600</v>
      </c>
      <c r="AE84" s="170">
        <f>Ruimtestaat[[#This Row],[uren / jaar weekend]]+Ruimtestaat[[#This Row],[uren / jaar werkdagen]]</f>
        <v>0</v>
      </c>
      <c r="AF84" s="76">
        <f>Ruimtestaat[[#This Row],[kosten / jaar weekend]]+Ruimtestaat[[#This Row],[kosten / jaar werkdagen]]</f>
        <v>0</v>
      </c>
      <c r="AG84" s="76"/>
      <c r="AH84" s="272" t="str">
        <f>IF(Ruimtestaat[[#This Row],[Frequentie werkdagen]]="","",_xlfn.CONCAT(Ruimtestaat[[#This Row],[Ruimte code]],"-",Ruimtestaat[[#This Row],[Frequentie werkdagen]]," ",Ruimtestaat[[#This Row],[Vloer code]]))</f>
        <v>16-5w L</v>
      </c>
      <c r="AI84" s="310" t="str">
        <f>_xlfn.IFNA(VLOOKUP($AH84,Programma!$F$3:$G$1107,2,0),"")</f>
        <v>_</v>
      </c>
      <c r="AJ84" s="310" t="str">
        <f>_xlfn.IFNA(VLOOKUP($AH84,Programma!$F$3:$H$1107,3,0),"")</f>
        <v>_</v>
      </c>
      <c r="AK84" s="310" t="str">
        <f>_xlfn.IFNA(VLOOKUP($AH84,Programma!$F$3:$I$1107,4,0),"")</f>
        <v>4w</v>
      </c>
      <c r="AL84" s="310" t="str">
        <f>_xlfn.IFNA(VLOOKUP($AH84,Programma!$F$3:$J$1107,5,0),"")</f>
        <v>1w</v>
      </c>
      <c r="AM84" s="310" t="str">
        <f>_xlfn.IFNA(VLOOKUP($AH84,Programma!$F$3:$K$1107,6,0),"")</f>
        <v>_</v>
      </c>
      <c r="AN84" s="310" t="str">
        <f>_xlfn.IFNA(VLOOKUP($AH84,Programma!$F$3:$L$1107,7,0),"")</f>
        <v>_</v>
      </c>
      <c r="AO84" s="310" t="str">
        <f>_xlfn.IFNA(VLOOKUP($AH84,Programma!$F$3:$M$1107,8,0),"")</f>
        <v>_</v>
      </c>
      <c r="AP84" s="310" t="str">
        <f>_xlfn.IFNA(VLOOKUP($AH84,Programma!$F$3:$N$1107,9,0),"")</f>
        <v>_</v>
      </c>
      <c r="AQ84" s="310" t="str">
        <f>_xlfn.IFNA(VLOOKUP($AH84,Programma!$F$3:$O$1107,10,0),"")</f>
        <v>5w</v>
      </c>
      <c r="AR84" s="310" t="str">
        <f>_xlfn.IFNA(VLOOKUP($AH84,Programma!$F$3:$P$1107,11,0),"")</f>
        <v>5w</v>
      </c>
      <c r="AS84" s="310" t="str">
        <f>_xlfn.IFNA(VLOOKUP($AH84,Programma!$F$3:$Q$1107,12,0),"")</f>
        <v>1w</v>
      </c>
      <c r="AT84" s="310" t="str">
        <f>_xlfn.IFNA(VLOOKUP($AH84,Programma!$F$3:$R$1107,13,0),"")</f>
        <v>1w</v>
      </c>
      <c r="AU84" s="310" t="str">
        <f>_xlfn.IFNA(VLOOKUP($AH84,Programma!$F$3:$S$1107,14,0),"")</f>
        <v>1m</v>
      </c>
      <c r="AV84" s="310" t="str">
        <f>_xlfn.IFNA(VLOOKUP($AH84,Programma!$F$3:$T$1107,15,0),"")</f>
        <v>2j</v>
      </c>
      <c r="AW84" s="310" t="str">
        <f>_xlfn.IFNA(VLOOKUP($AH84,Programma!$F$3:$U$1107,16,0),"")</f>
        <v>1j</v>
      </c>
      <c r="AX84" s="310" t="str">
        <f>_xlfn.IFNA(VLOOKUP($AH84,Programma!$F$3:$V$1107,17,0),"")</f>
        <v>_</v>
      </c>
      <c r="AY84" s="310" t="str">
        <f>_xlfn.IFNA(VLOOKUP($AH84,Programma!$F$3:$W$1107,18,0),"")</f>
        <v>_</v>
      </c>
      <c r="AZ84" s="310" t="str">
        <f>_xlfn.IFNA(VLOOKUP($AH84,Programma!$F$3:$X$1107,19,0),"")</f>
        <v>_</v>
      </c>
      <c r="BA84" s="310" t="str">
        <f>_xlfn.IFNA(VLOOKUP($AH84,Programma!$F$3:$Y$1107,20,0),"")</f>
        <v>_</v>
      </c>
      <c r="BB84" s="273"/>
      <c r="BC84" s="272" t="str">
        <f>IF(Ruimtestaat[[#This Row],[Frequentie weekend]]="","",_xlfn.CONCAT(Ruimtestaat[[#This Row],[Ruimte code]],"-",Ruimtestaat[[#This Row],[Frequentie weekend]]," ",Ruimtestaat[[#This Row],[Vloer code]]))</f>
        <v/>
      </c>
      <c r="BD84" s="310" t="str">
        <f>_xlfn.IFNA(VLOOKUP($BC84,Programma!$F$3:$G$1107,2,0),"")</f>
        <v/>
      </c>
      <c r="BE84" s="310" t="str">
        <f>_xlfn.IFNA(VLOOKUP($BC84,Programma!$F$3:$H$1107,3,0),"")</f>
        <v/>
      </c>
      <c r="BF84" s="310" t="str">
        <f>_xlfn.IFNA(VLOOKUP($BC84,Programma!$F$3:$I$1107,4,0),"")</f>
        <v/>
      </c>
      <c r="BG84" s="310" t="str">
        <f>_xlfn.IFNA(VLOOKUP($BC84,Programma!$F$3:$J$1107,5,0),"")</f>
        <v/>
      </c>
      <c r="BH84" s="310" t="str">
        <f>_xlfn.IFNA(VLOOKUP($BC84,Programma!$F$3:$K$1107,6,0),"")</f>
        <v/>
      </c>
      <c r="BI84" s="310" t="str">
        <f>_xlfn.IFNA(VLOOKUP($BC84,Programma!$F$3:$L$1107,7,0),"")</f>
        <v/>
      </c>
      <c r="BJ84" s="310" t="str">
        <f>_xlfn.IFNA(VLOOKUP($BC84,Programma!$F$3:$M$1107,8,0),"")</f>
        <v/>
      </c>
      <c r="BK84" s="310" t="str">
        <f>_xlfn.IFNA(VLOOKUP($BC84,Programma!$F$3:$N$1107,9,0),"")</f>
        <v/>
      </c>
      <c r="BL84" s="310" t="str">
        <f>_xlfn.IFNA(VLOOKUP($BC84,Programma!$F$3:$O$1107,10,0),"")</f>
        <v/>
      </c>
      <c r="BM84" s="310" t="str">
        <f>_xlfn.IFNA(VLOOKUP($BC84,Programma!$F$3:$P$1107,11,0),"")</f>
        <v/>
      </c>
      <c r="BN84" s="310" t="str">
        <f>_xlfn.IFNA(VLOOKUP($BC84,Programma!$F$3:$Q$1107,12,0),"")</f>
        <v/>
      </c>
      <c r="BO84" s="310" t="str">
        <f>_xlfn.IFNA(VLOOKUP($BC84,Programma!$F$3:$R$1107,13,0),"")</f>
        <v/>
      </c>
      <c r="BP84" s="310" t="str">
        <f>_xlfn.IFNA(VLOOKUP($BC84,Programma!$F$3:$S$1107,14,0),"")</f>
        <v/>
      </c>
      <c r="BQ84" s="310" t="str">
        <f>_xlfn.IFNA(VLOOKUP($BC84,Programma!$F$3:$T$1107,15,0),"")</f>
        <v/>
      </c>
      <c r="BR84" s="310" t="str">
        <f>_xlfn.IFNA(VLOOKUP($BC84,Programma!$F$3:$U$1107,16,0),"")</f>
        <v/>
      </c>
      <c r="BS84" s="310" t="str">
        <f>_xlfn.IFNA(VLOOKUP($BC84,Programma!$F$3:$V$1107,17,0),"")</f>
        <v/>
      </c>
      <c r="BT84" s="310" t="str">
        <f>_xlfn.IFNA(VLOOKUP($BC84,Programma!$F$3:$W$1107,18,0),"")</f>
        <v/>
      </c>
      <c r="BU84" s="310" t="str">
        <f>_xlfn.IFNA(VLOOKUP($BC84,Programma!$F$3:$X$1107,19,0),"")</f>
        <v/>
      </c>
      <c r="BV84" s="310" t="str">
        <f>_xlfn.IFNA(VLOOKUP($BC84,Programma!$F$3:$Y$1107,20,0),"")</f>
        <v/>
      </c>
    </row>
    <row r="85" spans="1:74" ht="15" customHeight="1">
      <c r="A85" s="33">
        <v>1</v>
      </c>
      <c r="B85" s="173" t="str">
        <f>VLOOKUP(Ruimtestaat[[#This Row],[Code]],Locaties[[Code]:[Locatie]],2,FALSE)</f>
        <v>CCNV</v>
      </c>
      <c r="C85" s="173" t="str">
        <f>VLOOKUP(Ruimtestaat[[#This Row],[Code]],Locaties[[#All],[Code]:[Adres]],4,FALSE)</f>
        <v>Stationslaan 26</v>
      </c>
      <c r="D85" s="173" t="str">
        <f>VLOOKUP(Ruimtestaat[[#This Row],[Code]],Locaties[[#All],[Code]:[Postcode]],5,FALSE)</f>
        <v>3842 LA</v>
      </c>
      <c r="E85" s="173" t="str">
        <f>VLOOKUP(Ruimtestaat[[#This Row],[Code]],Locaties[#All],6,FALSE)</f>
        <v>Harderwijk</v>
      </c>
      <c r="F85" s="21" t="s">
        <v>1625</v>
      </c>
      <c r="G85" s="33" t="s">
        <v>1613</v>
      </c>
      <c r="H85" s="311" t="s">
        <v>1699</v>
      </c>
      <c r="I85" s="312" t="s">
        <v>1615</v>
      </c>
      <c r="J85" s="21">
        <v>16</v>
      </c>
      <c r="K85" s="69" t="str">
        <f>VLOOKUP(Ruimtestaat[[#This Row],[Ruimte code]],Ruimtegroepen[[#All],[Code]:[Ruimte omschrijving]],2,FALSE)</f>
        <v>Leslokalen</v>
      </c>
      <c r="L85" s="33" t="s">
        <v>101</v>
      </c>
      <c r="M85" s="312" t="s">
        <v>1804</v>
      </c>
      <c r="N85" s="148">
        <v>48</v>
      </c>
      <c r="O85" s="150"/>
      <c r="P85" s="134" t="str">
        <f>VLOOKUP(Ruimtestaat[[#This Row],[Ruimte code]],Ruimtegroepen[],4,FALSE)</f>
        <v>Le</v>
      </c>
      <c r="Q85" s="33">
        <v>40</v>
      </c>
      <c r="R85" s="33" t="s">
        <v>2</v>
      </c>
      <c r="S85" s="33">
        <f>IF(Q85&gt;0,IF(RIGHT(Ruimtestaat[[#This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5" s="33">
        <f>IF(S85&gt;0,VLOOKUP($J85,Ruimtegroepen[],3,FALSE)*VLOOKUP($L85,Vloersoorten[],3,FALSE)*VLOOKUP($R85,Frequenties[],3,FALSE)*VLOOKUP($A85,Locaties[],3,FALSE),0)</f>
        <v>0</v>
      </c>
      <c r="U85" s="33">
        <f>Ruimtestaat[[#This Row],[Uitvoeringen werkdagen]]*Ruimtestaat[[#This Row],[Oppervlak (netto)]]</f>
        <v>9600</v>
      </c>
      <c r="V85" s="170">
        <f>IF(T85&gt;0,Ruimtestaat[[#This Row],[Prest. (m2 /jaar) werkdagen]]/Ruimtestaat[[#This Row],[Norm (m2/uur) werkdagen]],0)</f>
        <v>0</v>
      </c>
      <c r="W85" s="171">
        <f>Ruimtestaat[[#This Row],[uren / jaar werkdagen]]*Tariefsopbouw!$E$35</f>
        <v>0</v>
      </c>
      <c r="X85" s="33"/>
      <c r="Y85" s="33">
        <f>IF(Ruimtestaat[[#This Row],[Frequentie weekend]]&gt;0,VALUE(LEFT(X85,1))*Q85,0)</f>
        <v>0</v>
      </c>
      <c r="Z85" s="104">
        <f>IF($Y85&gt;0,VLOOKUP($J85,Ruimtegroepen[],3,FALSE)*VLOOKUP($L85,Vloersoorten[],3,FALSE)*VLOOKUP($X85,Frequenties[],3,FALSE)*VLOOKUP(Ruimtestaat[[#This Row],[Code]],Locaties[],3,FALSE),0)</f>
        <v>0</v>
      </c>
      <c r="AA85" s="104">
        <f>Ruimtestaat[[#This Row],[Uitvoeringen weekend]]*Ruimtestaat[[#This Row],[Oppervlak (netto)]]</f>
        <v>0</v>
      </c>
      <c r="AB85" s="104">
        <f>IF(Z85&gt;0,Ruimtestaat[[#This Row],[Prest. (m2 /jaar) weekend]]/Ruimtestaat[[#This Row],[Norm (m2/uur) weekend]],0)</f>
        <v>0</v>
      </c>
      <c r="AC85" s="171">
        <f>Ruimtestaat[[#This Row],[uren / jaar weekend]]*Tariefsopbouw!$D$40</f>
        <v>0</v>
      </c>
      <c r="AD85" s="170">
        <f>Ruimtestaat[[#This Row],[Prest. (m2 /jaar) weekend]]+Ruimtestaat[[#This Row],[Prest. (m2 /jaar) werkdagen]]</f>
        <v>9600</v>
      </c>
      <c r="AE85" s="170">
        <f>Ruimtestaat[[#This Row],[uren / jaar weekend]]+Ruimtestaat[[#This Row],[uren / jaar werkdagen]]</f>
        <v>0</v>
      </c>
      <c r="AF85" s="76">
        <f>Ruimtestaat[[#This Row],[kosten / jaar weekend]]+Ruimtestaat[[#This Row],[kosten / jaar werkdagen]]</f>
        <v>0</v>
      </c>
      <c r="AG85" s="76"/>
      <c r="AH85" s="272" t="str">
        <f>IF(Ruimtestaat[[#This Row],[Frequentie werkdagen]]="","",_xlfn.CONCAT(Ruimtestaat[[#This Row],[Ruimte code]],"-",Ruimtestaat[[#This Row],[Frequentie werkdagen]]," ",Ruimtestaat[[#This Row],[Vloer code]]))</f>
        <v>16-5w L</v>
      </c>
      <c r="AI85" s="310" t="str">
        <f>_xlfn.IFNA(VLOOKUP($AH85,Programma!$F$3:$G$1107,2,0),"")</f>
        <v>_</v>
      </c>
      <c r="AJ85" s="310" t="str">
        <f>_xlfn.IFNA(VLOOKUP($AH85,Programma!$F$3:$H$1107,3,0),"")</f>
        <v>_</v>
      </c>
      <c r="AK85" s="310" t="str">
        <f>_xlfn.IFNA(VLOOKUP($AH85,Programma!$F$3:$I$1107,4,0),"")</f>
        <v>4w</v>
      </c>
      <c r="AL85" s="310" t="str">
        <f>_xlfn.IFNA(VLOOKUP($AH85,Programma!$F$3:$J$1107,5,0),"")</f>
        <v>1w</v>
      </c>
      <c r="AM85" s="310" t="str">
        <f>_xlfn.IFNA(VLOOKUP($AH85,Programma!$F$3:$K$1107,6,0),"")</f>
        <v>_</v>
      </c>
      <c r="AN85" s="310" t="str">
        <f>_xlfn.IFNA(VLOOKUP($AH85,Programma!$F$3:$L$1107,7,0),"")</f>
        <v>_</v>
      </c>
      <c r="AO85" s="310" t="str">
        <f>_xlfn.IFNA(VLOOKUP($AH85,Programma!$F$3:$M$1107,8,0),"")</f>
        <v>_</v>
      </c>
      <c r="AP85" s="310" t="str">
        <f>_xlfn.IFNA(VLOOKUP($AH85,Programma!$F$3:$N$1107,9,0),"")</f>
        <v>_</v>
      </c>
      <c r="AQ85" s="310" t="str">
        <f>_xlfn.IFNA(VLOOKUP($AH85,Programma!$F$3:$O$1107,10,0),"")</f>
        <v>5w</v>
      </c>
      <c r="AR85" s="310" t="str">
        <f>_xlfn.IFNA(VLOOKUP($AH85,Programma!$F$3:$P$1107,11,0),"")</f>
        <v>5w</v>
      </c>
      <c r="AS85" s="310" t="str">
        <f>_xlfn.IFNA(VLOOKUP($AH85,Programma!$F$3:$Q$1107,12,0),"")</f>
        <v>1w</v>
      </c>
      <c r="AT85" s="310" t="str">
        <f>_xlfn.IFNA(VLOOKUP($AH85,Programma!$F$3:$R$1107,13,0),"")</f>
        <v>1w</v>
      </c>
      <c r="AU85" s="310" t="str">
        <f>_xlfn.IFNA(VLOOKUP($AH85,Programma!$F$3:$S$1107,14,0),"")</f>
        <v>1m</v>
      </c>
      <c r="AV85" s="310" t="str">
        <f>_xlfn.IFNA(VLOOKUP($AH85,Programma!$F$3:$T$1107,15,0),"")</f>
        <v>2j</v>
      </c>
      <c r="AW85" s="310" t="str">
        <f>_xlfn.IFNA(VLOOKUP($AH85,Programma!$F$3:$U$1107,16,0),"")</f>
        <v>1j</v>
      </c>
      <c r="AX85" s="310" t="str">
        <f>_xlfn.IFNA(VLOOKUP($AH85,Programma!$F$3:$V$1107,17,0),"")</f>
        <v>_</v>
      </c>
      <c r="AY85" s="310" t="str">
        <f>_xlfn.IFNA(VLOOKUP($AH85,Programma!$F$3:$W$1107,18,0),"")</f>
        <v>_</v>
      </c>
      <c r="AZ85" s="310" t="str">
        <f>_xlfn.IFNA(VLOOKUP($AH85,Programma!$F$3:$X$1107,19,0),"")</f>
        <v>_</v>
      </c>
      <c r="BA85" s="310" t="str">
        <f>_xlfn.IFNA(VLOOKUP($AH85,Programma!$F$3:$Y$1107,20,0),"")</f>
        <v>_</v>
      </c>
      <c r="BB85" s="273"/>
      <c r="BC85" s="272" t="str">
        <f>IF(Ruimtestaat[[#This Row],[Frequentie weekend]]="","",_xlfn.CONCAT(Ruimtestaat[[#This Row],[Ruimte code]],"-",Ruimtestaat[[#This Row],[Frequentie weekend]]," ",Ruimtestaat[[#This Row],[Vloer code]]))</f>
        <v/>
      </c>
      <c r="BD85" s="310" t="str">
        <f>_xlfn.IFNA(VLOOKUP($BC85,Programma!$F$3:$G$1107,2,0),"")</f>
        <v/>
      </c>
      <c r="BE85" s="310" t="str">
        <f>_xlfn.IFNA(VLOOKUP($BC85,Programma!$F$3:$H$1107,3,0),"")</f>
        <v/>
      </c>
      <c r="BF85" s="310" t="str">
        <f>_xlfn.IFNA(VLOOKUP($BC85,Programma!$F$3:$I$1107,4,0),"")</f>
        <v/>
      </c>
      <c r="BG85" s="310" t="str">
        <f>_xlfn.IFNA(VLOOKUP($BC85,Programma!$F$3:$J$1107,5,0),"")</f>
        <v/>
      </c>
      <c r="BH85" s="310" t="str">
        <f>_xlfn.IFNA(VLOOKUP($BC85,Programma!$F$3:$K$1107,6,0),"")</f>
        <v/>
      </c>
      <c r="BI85" s="310" t="str">
        <f>_xlfn.IFNA(VLOOKUP($BC85,Programma!$F$3:$L$1107,7,0),"")</f>
        <v/>
      </c>
      <c r="BJ85" s="310" t="str">
        <f>_xlfn.IFNA(VLOOKUP($BC85,Programma!$F$3:$M$1107,8,0),"")</f>
        <v/>
      </c>
      <c r="BK85" s="310" t="str">
        <f>_xlfn.IFNA(VLOOKUP($BC85,Programma!$F$3:$N$1107,9,0),"")</f>
        <v/>
      </c>
      <c r="BL85" s="310" t="str">
        <f>_xlfn.IFNA(VLOOKUP($BC85,Programma!$F$3:$O$1107,10,0),"")</f>
        <v/>
      </c>
      <c r="BM85" s="310" t="str">
        <f>_xlfn.IFNA(VLOOKUP($BC85,Programma!$F$3:$P$1107,11,0),"")</f>
        <v/>
      </c>
      <c r="BN85" s="310" t="str">
        <f>_xlfn.IFNA(VLOOKUP($BC85,Programma!$F$3:$Q$1107,12,0),"")</f>
        <v/>
      </c>
      <c r="BO85" s="310" t="str">
        <f>_xlfn.IFNA(VLOOKUP($BC85,Programma!$F$3:$R$1107,13,0),"")</f>
        <v/>
      </c>
      <c r="BP85" s="310" t="str">
        <f>_xlfn.IFNA(VLOOKUP($BC85,Programma!$F$3:$S$1107,14,0),"")</f>
        <v/>
      </c>
      <c r="BQ85" s="310" t="str">
        <f>_xlfn.IFNA(VLOOKUP($BC85,Programma!$F$3:$T$1107,15,0),"")</f>
        <v/>
      </c>
      <c r="BR85" s="310" t="str">
        <f>_xlfn.IFNA(VLOOKUP($BC85,Programma!$F$3:$U$1107,16,0),"")</f>
        <v/>
      </c>
      <c r="BS85" s="310" t="str">
        <f>_xlfn.IFNA(VLOOKUP($BC85,Programma!$F$3:$V$1107,17,0),"")</f>
        <v/>
      </c>
      <c r="BT85" s="310" t="str">
        <f>_xlfn.IFNA(VLOOKUP($BC85,Programma!$F$3:$W$1107,18,0),"")</f>
        <v/>
      </c>
      <c r="BU85" s="310" t="str">
        <f>_xlfn.IFNA(VLOOKUP($BC85,Programma!$F$3:$X$1107,19,0),"")</f>
        <v/>
      </c>
      <c r="BV85" s="310" t="str">
        <f>_xlfn.IFNA(VLOOKUP($BC85,Programma!$F$3:$Y$1107,20,0),"")</f>
        <v/>
      </c>
    </row>
    <row r="86" spans="1:74" ht="15" customHeight="1">
      <c r="A86" s="33">
        <v>1</v>
      </c>
      <c r="B86" s="173" t="str">
        <f>VLOOKUP(Ruimtestaat[[#This Row],[Code]],Locaties[[Code]:[Locatie]],2,FALSE)</f>
        <v>CCNV</v>
      </c>
      <c r="C86" s="173" t="str">
        <f>VLOOKUP(Ruimtestaat[[#This Row],[Code]],Locaties[[#All],[Code]:[Adres]],4,FALSE)</f>
        <v>Stationslaan 26</v>
      </c>
      <c r="D86" s="173" t="str">
        <f>VLOOKUP(Ruimtestaat[[#This Row],[Code]],Locaties[[#All],[Code]:[Postcode]],5,FALSE)</f>
        <v>3842 LA</v>
      </c>
      <c r="E86" s="173" t="str">
        <f>VLOOKUP(Ruimtestaat[[#This Row],[Code]],Locaties[#All],6,FALSE)</f>
        <v>Harderwijk</v>
      </c>
      <c r="F86" s="21" t="s">
        <v>1625</v>
      </c>
      <c r="G86" s="33" t="s">
        <v>1613</v>
      </c>
      <c r="H86" s="311" t="s">
        <v>1700</v>
      </c>
      <c r="I86" s="312" t="s">
        <v>1615</v>
      </c>
      <c r="J86" s="21">
        <v>16</v>
      </c>
      <c r="K86" s="69" t="str">
        <f>VLOOKUP(Ruimtestaat[[#This Row],[Ruimte code]],Ruimtegroepen[[#All],[Code]:[Ruimte omschrijving]],2,FALSE)</f>
        <v>Leslokalen</v>
      </c>
      <c r="L86" s="33" t="s">
        <v>101</v>
      </c>
      <c r="M86" s="312" t="s">
        <v>1804</v>
      </c>
      <c r="N86" s="148">
        <v>48</v>
      </c>
      <c r="O86" s="150"/>
      <c r="P86" s="134" t="str">
        <f>VLOOKUP(Ruimtestaat[[#This Row],[Ruimte code]],Ruimtegroepen[],4,FALSE)</f>
        <v>Le</v>
      </c>
      <c r="Q86" s="33">
        <v>40</v>
      </c>
      <c r="R86" s="33" t="s">
        <v>2</v>
      </c>
      <c r="S86" s="33">
        <f>IF(Q86&gt;0,IF(RIGHT(Ruimtestaat[[#This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6" s="33">
        <f>IF(S86&gt;0,VLOOKUP($J86,Ruimtegroepen[],3,FALSE)*VLOOKUP($L86,Vloersoorten[],3,FALSE)*VLOOKUP($R86,Frequenties[],3,FALSE)*VLOOKUP($A86,Locaties[],3,FALSE),0)</f>
        <v>0</v>
      </c>
      <c r="U86" s="33">
        <f>Ruimtestaat[[#This Row],[Uitvoeringen werkdagen]]*Ruimtestaat[[#This Row],[Oppervlak (netto)]]</f>
        <v>9600</v>
      </c>
      <c r="V86" s="170">
        <f>IF(T86&gt;0,Ruimtestaat[[#This Row],[Prest. (m2 /jaar) werkdagen]]/Ruimtestaat[[#This Row],[Norm (m2/uur) werkdagen]],0)</f>
        <v>0</v>
      </c>
      <c r="W86" s="171">
        <f>Ruimtestaat[[#This Row],[uren / jaar werkdagen]]*Tariefsopbouw!$E$35</f>
        <v>0</v>
      </c>
      <c r="X86" s="33"/>
      <c r="Y86" s="33">
        <f>IF(Ruimtestaat[[#This Row],[Frequentie weekend]]&gt;0,VALUE(LEFT(X86,1))*Q86,0)</f>
        <v>0</v>
      </c>
      <c r="Z86" s="104">
        <f>IF($Y86&gt;0,VLOOKUP($J86,Ruimtegroepen[],3,FALSE)*VLOOKUP($L86,Vloersoorten[],3,FALSE)*VLOOKUP($X86,Frequenties[],3,FALSE)*VLOOKUP(Ruimtestaat[[#This Row],[Code]],Locaties[],3,FALSE),0)</f>
        <v>0</v>
      </c>
      <c r="AA86" s="104">
        <f>Ruimtestaat[[#This Row],[Uitvoeringen weekend]]*Ruimtestaat[[#This Row],[Oppervlak (netto)]]</f>
        <v>0</v>
      </c>
      <c r="AB86" s="104">
        <f>IF(Z86&gt;0,Ruimtestaat[[#This Row],[Prest. (m2 /jaar) weekend]]/Ruimtestaat[[#This Row],[Norm (m2/uur) weekend]],0)</f>
        <v>0</v>
      </c>
      <c r="AC86" s="171">
        <f>Ruimtestaat[[#This Row],[uren / jaar weekend]]*Tariefsopbouw!$D$40</f>
        <v>0</v>
      </c>
      <c r="AD86" s="170">
        <f>Ruimtestaat[[#This Row],[Prest. (m2 /jaar) weekend]]+Ruimtestaat[[#This Row],[Prest. (m2 /jaar) werkdagen]]</f>
        <v>9600</v>
      </c>
      <c r="AE86" s="170">
        <f>Ruimtestaat[[#This Row],[uren / jaar weekend]]+Ruimtestaat[[#This Row],[uren / jaar werkdagen]]</f>
        <v>0</v>
      </c>
      <c r="AF86" s="76">
        <f>Ruimtestaat[[#This Row],[kosten / jaar weekend]]+Ruimtestaat[[#This Row],[kosten / jaar werkdagen]]</f>
        <v>0</v>
      </c>
      <c r="AG86" s="76"/>
      <c r="AH86" s="272" t="str">
        <f>IF(Ruimtestaat[[#This Row],[Frequentie werkdagen]]="","",_xlfn.CONCAT(Ruimtestaat[[#This Row],[Ruimte code]],"-",Ruimtestaat[[#This Row],[Frequentie werkdagen]]," ",Ruimtestaat[[#This Row],[Vloer code]]))</f>
        <v>16-5w L</v>
      </c>
      <c r="AI86" s="310" t="str">
        <f>_xlfn.IFNA(VLOOKUP($AH86,Programma!$F$3:$G$1107,2,0),"")</f>
        <v>_</v>
      </c>
      <c r="AJ86" s="310" t="str">
        <f>_xlfn.IFNA(VLOOKUP($AH86,Programma!$F$3:$H$1107,3,0),"")</f>
        <v>_</v>
      </c>
      <c r="AK86" s="310" t="str">
        <f>_xlfn.IFNA(VLOOKUP($AH86,Programma!$F$3:$I$1107,4,0),"")</f>
        <v>4w</v>
      </c>
      <c r="AL86" s="310" t="str">
        <f>_xlfn.IFNA(VLOOKUP($AH86,Programma!$F$3:$J$1107,5,0),"")</f>
        <v>1w</v>
      </c>
      <c r="AM86" s="310" t="str">
        <f>_xlfn.IFNA(VLOOKUP($AH86,Programma!$F$3:$K$1107,6,0),"")</f>
        <v>_</v>
      </c>
      <c r="AN86" s="310" t="str">
        <f>_xlfn.IFNA(VLOOKUP($AH86,Programma!$F$3:$L$1107,7,0),"")</f>
        <v>_</v>
      </c>
      <c r="AO86" s="310" t="str">
        <f>_xlfn.IFNA(VLOOKUP($AH86,Programma!$F$3:$M$1107,8,0),"")</f>
        <v>_</v>
      </c>
      <c r="AP86" s="310" t="str">
        <f>_xlfn.IFNA(VLOOKUP($AH86,Programma!$F$3:$N$1107,9,0),"")</f>
        <v>_</v>
      </c>
      <c r="AQ86" s="310" t="str">
        <f>_xlfn.IFNA(VLOOKUP($AH86,Programma!$F$3:$O$1107,10,0),"")</f>
        <v>5w</v>
      </c>
      <c r="AR86" s="310" t="str">
        <f>_xlfn.IFNA(VLOOKUP($AH86,Programma!$F$3:$P$1107,11,0),"")</f>
        <v>5w</v>
      </c>
      <c r="AS86" s="310" t="str">
        <f>_xlfn.IFNA(VLOOKUP($AH86,Programma!$F$3:$Q$1107,12,0),"")</f>
        <v>1w</v>
      </c>
      <c r="AT86" s="310" t="str">
        <f>_xlfn.IFNA(VLOOKUP($AH86,Programma!$F$3:$R$1107,13,0),"")</f>
        <v>1w</v>
      </c>
      <c r="AU86" s="310" t="str">
        <f>_xlfn.IFNA(VLOOKUP($AH86,Programma!$F$3:$S$1107,14,0),"")</f>
        <v>1m</v>
      </c>
      <c r="AV86" s="310" t="str">
        <f>_xlfn.IFNA(VLOOKUP($AH86,Programma!$F$3:$T$1107,15,0),"")</f>
        <v>2j</v>
      </c>
      <c r="AW86" s="310" t="str">
        <f>_xlfn.IFNA(VLOOKUP($AH86,Programma!$F$3:$U$1107,16,0),"")</f>
        <v>1j</v>
      </c>
      <c r="AX86" s="310" t="str">
        <f>_xlfn.IFNA(VLOOKUP($AH86,Programma!$F$3:$V$1107,17,0),"")</f>
        <v>_</v>
      </c>
      <c r="AY86" s="310" t="str">
        <f>_xlfn.IFNA(VLOOKUP($AH86,Programma!$F$3:$W$1107,18,0),"")</f>
        <v>_</v>
      </c>
      <c r="AZ86" s="310" t="str">
        <f>_xlfn.IFNA(VLOOKUP($AH86,Programma!$F$3:$X$1107,19,0),"")</f>
        <v>_</v>
      </c>
      <c r="BA86" s="310" t="str">
        <f>_xlfn.IFNA(VLOOKUP($AH86,Programma!$F$3:$Y$1107,20,0),"")</f>
        <v>_</v>
      </c>
      <c r="BB86" s="273"/>
      <c r="BC86" s="272" t="str">
        <f>IF(Ruimtestaat[[#This Row],[Frequentie weekend]]="","",_xlfn.CONCAT(Ruimtestaat[[#This Row],[Ruimte code]],"-",Ruimtestaat[[#This Row],[Frequentie weekend]]," ",Ruimtestaat[[#This Row],[Vloer code]]))</f>
        <v/>
      </c>
      <c r="BD86" s="310" t="str">
        <f>_xlfn.IFNA(VLOOKUP($BC86,Programma!$F$3:$G$1107,2,0),"")</f>
        <v/>
      </c>
      <c r="BE86" s="310" t="str">
        <f>_xlfn.IFNA(VLOOKUP($BC86,Programma!$F$3:$H$1107,3,0),"")</f>
        <v/>
      </c>
      <c r="BF86" s="310" t="str">
        <f>_xlfn.IFNA(VLOOKUP($BC86,Programma!$F$3:$I$1107,4,0),"")</f>
        <v/>
      </c>
      <c r="BG86" s="310" t="str">
        <f>_xlfn.IFNA(VLOOKUP($BC86,Programma!$F$3:$J$1107,5,0),"")</f>
        <v/>
      </c>
      <c r="BH86" s="310" t="str">
        <f>_xlfn.IFNA(VLOOKUP($BC86,Programma!$F$3:$K$1107,6,0),"")</f>
        <v/>
      </c>
      <c r="BI86" s="310" t="str">
        <f>_xlfn.IFNA(VLOOKUP($BC86,Programma!$F$3:$L$1107,7,0),"")</f>
        <v/>
      </c>
      <c r="BJ86" s="310" t="str">
        <f>_xlfn.IFNA(VLOOKUP($BC86,Programma!$F$3:$M$1107,8,0),"")</f>
        <v/>
      </c>
      <c r="BK86" s="310" t="str">
        <f>_xlfn.IFNA(VLOOKUP($BC86,Programma!$F$3:$N$1107,9,0),"")</f>
        <v/>
      </c>
      <c r="BL86" s="310" t="str">
        <f>_xlfn.IFNA(VLOOKUP($BC86,Programma!$F$3:$O$1107,10,0),"")</f>
        <v/>
      </c>
      <c r="BM86" s="310" t="str">
        <f>_xlfn.IFNA(VLOOKUP($BC86,Programma!$F$3:$P$1107,11,0),"")</f>
        <v/>
      </c>
      <c r="BN86" s="310" t="str">
        <f>_xlfn.IFNA(VLOOKUP($BC86,Programma!$F$3:$Q$1107,12,0),"")</f>
        <v/>
      </c>
      <c r="BO86" s="310" t="str">
        <f>_xlfn.IFNA(VLOOKUP($BC86,Programma!$F$3:$R$1107,13,0),"")</f>
        <v/>
      </c>
      <c r="BP86" s="310" t="str">
        <f>_xlfn.IFNA(VLOOKUP($BC86,Programma!$F$3:$S$1107,14,0),"")</f>
        <v/>
      </c>
      <c r="BQ86" s="310" t="str">
        <f>_xlfn.IFNA(VLOOKUP($BC86,Programma!$F$3:$T$1107,15,0),"")</f>
        <v/>
      </c>
      <c r="BR86" s="310" t="str">
        <f>_xlfn.IFNA(VLOOKUP($BC86,Programma!$F$3:$U$1107,16,0),"")</f>
        <v/>
      </c>
      <c r="BS86" s="310" t="str">
        <f>_xlfn.IFNA(VLOOKUP($BC86,Programma!$F$3:$V$1107,17,0),"")</f>
        <v/>
      </c>
      <c r="BT86" s="310" t="str">
        <f>_xlfn.IFNA(VLOOKUP($BC86,Programma!$F$3:$W$1107,18,0),"")</f>
        <v/>
      </c>
      <c r="BU86" s="310" t="str">
        <f>_xlfn.IFNA(VLOOKUP($BC86,Programma!$F$3:$X$1107,19,0),"")</f>
        <v/>
      </c>
      <c r="BV86" s="310" t="str">
        <f>_xlfn.IFNA(VLOOKUP($BC86,Programma!$F$3:$Y$1107,20,0),"")</f>
        <v/>
      </c>
    </row>
    <row r="87" spans="1:74" ht="15" customHeight="1">
      <c r="A87" s="33">
        <v>1</v>
      </c>
      <c r="B87" s="173" t="str">
        <f>VLOOKUP(Ruimtestaat[[#This Row],[Code]],Locaties[[Code]:[Locatie]],2,FALSE)</f>
        <v>CCNV</v>
      </c>
      <c r="C87" s="173" t="str">
        <f>VLOOKUP(Ruimtestaat[[#This Row],[Code]],Locaties[[#All],[Code]:[Adres]],4,FALSE)</f>
        <v>Stationslaan 26</v>
      </c>
      <c r="D87" s="173" t="str">
        <f>VLOOKUP(Ruimtestaat[[#This Row],[Code]],Locaties[[#All],[Code]:[Postcode]],5,FALSE)</f>
        <v>3842 LA</v>
      </c>
      <c r="E87" s="173" t="str">
        <f>VLOOKUP(Ruimtestaat[[#This Row],[Code]],Locaties[#All],6,FALSE)</f>
        <v>Harderwijk</v>
      </c>
      <c r="F87" s="21" t="s">
        <v>1625</v>
      </c>
      <c r="G87" s="33" t="s">
        <v>1613</v>
      </c>
      <c r="H87" s="311" t="s">
        <v>1701</v>
      </c>
      <c r="I87" s="312" t="s">
        <v>1615</v>
      </c>
      <c r="J87" s="21">
        <v>16</v>
      </c>
      <c r="K87" s="69" t="str">
        <f>VLOOKUP(Ruimtestaat[[#This Row],[Ruimte code]],Ruimtegroepen[[#All],[Code]:[Ruimte omschrijving]],2,FALSE)</f>
        <v>Leslokalen</v>
      </c>
      <c r="L87" s="33" t="s">
        <v>101</v>
      </c>
      <c r="M87" s="312" t="s">
        <v>1804</v>
      </c>
      <c r="N87" s="148">
        <v>80</v>
      </c>
      <c r="O87" s="33"/>
      <c r="P87" s="134" t="str">
        <f>VLOOKUP(Ruimtestaat[[#This Row],[Ruimte code]],Ruimtegroepen[],4,FALSE)</f>
        <v>Le</v>
      </c>
      <c r="Q87" s="33">
        <v>40</v>
      </c>
      <c r="R87" s="33" t="s">
        <v>2</v>
      </c>
      <c r="S87" s="33">
        <f>IF(Q87&gt;0,IF(RIGHT(Ruimtestaat[[#This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7" s="33">
        <f>IF(S87&gt;0,VLOOKUP($J87,Ruimtegroepen[],3,FALSE)*VLOOKUP($L87,Vloersoorten[],3,FALSE)*VLOOKUP($R87,Frequenties[],3,FALSE)*VLOOKUP($A87,Locaties[],3,FALSE),0)</f>
        <v>0</v>
      </c>
      <c r="U87" s="33">
        <f>Ruimtestaat[[#This Row],[Uitvoeringen werkdagen]]*Ruimtestaat[[#This Row],[Oppervlak (netto)]]</f>
        <v>16000</v>
      </c>
      <c r="V87" s="170">
        <f>IF(T87&gt;0,Ruimtestaat[[#This Row],[Prest. (m2 /jaar) werkdagen]]/Ruimtestaat[[#This Row],[Norm (m2/uur) werkdagen]],0)</f>
        <v>0</v>
      </c>
      <c r="W87" s="171">
        <f>Ruimtestaat[[#This Row],[uren / jaar werkdagen]]*Tariefsopbouw!$E$35</f>
        <v>0</v>
      </c>
      <c r="X87" s="33"/>
      <c r="Y87" s="33">
        <f>IF(Ruimtestaat[[#This Row],[Frequentie weekend]]&gt;0,VALUE(LEFT(X87,1))*Q87,0)</f>
        <v>0</v>
      </c>
      <c r="Z87" s="104">
        <f>IF($Y87&gt;0,VLOOKUP($J87,Ruimtegroepen[],3,FALSE)*VLOOKUP($L87,Vloersoorten[],3,FALSE)*VLOOKUP($X87,Frequenties[],3,FALSE)*VLOOKUP(Ruimtestaat[[#This Row],[Code]],Locaties[],3,FALSE),0)</f>
        <v>0</v>
      </c>
      <c r="AA87" s="104">
        <f>Ruimtestaat[[#This Row],[Uitvoeringen weekend]]*Ruimtestaat[[#This Row],[Oppervlak (netto)]]</f>
        <v>0</v>
      </c>
      <c r="AB87" s="104">
        <f>IF(Z87&gt;0,Ruimtestaat[[#This Row],[Prest. (m2 /jaar) weekend]]/Ruimtestaat[[#This Row],[Norm (m2/uur) weekend]],0)</f>
        <v>0</v>
      </c>
      <c r="AC87" s="171">
        <f>Ruimtestaat[[#This Row],[uren / jaar weekend]]*Tariefsopbouw!$D$40</f>
        <v>0</v>
      </c>
      <c r="AD87" s="170">
        <f>Ruimtestaat[[#This Row],[Prest. (m2 /jaar) weekend]]+Ruimtestaat[[#This Row],[Prest. (m2 /jaar) werkdagen]]</f>
        <v>16000</v>
      </c>
      <c r="AE87" s="170">
        <f>Ruimtestaat[[#This Row],[uren / jaar weekend]]+Ruimtestaat[[#This Row],[uren / jaar werkdagen]]</f>
        <v>0</v>
      </c>
      <c r="AF87" s="76">
        <f>Ruimtestaat[[#This Row],[kosten / jaar weekend]]+Ruimtestaat[[#This Row],[kosten / jaar werkdagen]]</f>
        <v>0</v>
      </c>
      <c r="AG87" s="76"/>
      <c r="AH87" s="272" t="str">
        <f>IF(Ruimtestaat[[#This Row],[Frequentie werkdagen]]="","",_xlfn.CONCAT(Ruimtestaat[[#This Row],[Ruimte code]],"-",Ruimtestaat[[#This Row],[Frequentie werkdagen]]," ",Ruimtestaat[[#This Row],[Vloer code]]))</f>
        <v>16-5w L</v>
      </c>
      <c r="AI87" s="310" t="str">
        <f>_xlfn.IFNA(VLOOKUP($AH87,Programma!$F$3:$G$1107,2,0),"")</f>
        <v>_</v>
      </c>
      <c r="AJ87" s="310" t="str">
        <f>_xlfn.IFNA(VLOOKUP($AH87,Programma!$F$3:$H$1107,3,0),"")</f>
        <v>_</v>
      </c>
      <c r="AK87" s="310" t="str">
        <f>_xlfn.IFNA(VLOOKUP($AH87,Programma!$F$3:$I$1107,4,0),"")</f>
        <v>4w</v>
      </c>
      <c r="AL87" s="310" t="str">
        <f>_xlfn.IFNA(VLOOKUP($AH87,Programma!$F$3:$J$1107,5,0),"")</f>
        <v>1w</v>
      </c>
      <c r="AM87" s="310" t="str">
        <f>_xlfn.IFNA(VLOOKUP($AH87,Programma!$F$3:$K$1107,6,0),"")</f>
        <v>_</v>
      </c>
      <c r="AN87" s="310" t="str">
        <f>_xlfn.IFNA(VLOOKUP($AH87,Programma!$F$3:$L$1107,7,0),"")</f>
        <v>_</v>
      </c>
      <c r="AO87" s="310" t="str">
        <f>_xlfn.IFNA(VLOOKUP($AH87,Programma!$F$3:$M$1107,8,0),"")</f>
        <v>_</v>
      </c>
      <c r="AP87" s="310" t="str">
        <f>_xlfn.IFNA(VLOOKUP($AH87,Programma!$F$3:$N$1107,9,0),"")</f>
        <v>_</v>
      </c>
      <c r="AQ87" s="310" t="str">
        <f>_xlfn.IFNA(VLOOKUP($AH87,Programma!$F$3:$O$1107,10,0),"")</f>
        <v>5w</v>
      </c>
      <c r="AR87" s="310" t="str">
        <f>_xlfn.IFNA(VLOOKUP($AH87,Programma!$F$3:$P$1107,11,0),"")</f>
        <v>5w</v>
      </c>
      <c r="AS87" s="310" t="str">
        <f>_xlfn.IFNA(VLOOKUP($AH87,Programma!$F$3:$Q$1107,12,0),"")</f>
        <v>1w</v>
      </c>
      <c r="AT87" s="310" t="str">
        <f>_xlfn.IFNA(VLOOKUP($AH87,Programma!$F$3:$R$1107,13,0),"")</f>
        <v>1w</v>
      </c>
      <c r="AU87" s="310" t="str">
        <f>_xlfn.IFNA(VLOOKUP($AH87,Programma!$F$3:$S$1107,14,0),"")</f>
        <v>1m</v>
      </c>
      <c r="AV87" s="310" t="str">
        <f>_xlfn.IFNA(VLOOKUP($AH87,Programma!$F$3:$T$1107,15,0),"")</f>
        <v>2j</v>
      </c>
      <c r="AW87" s="310" t="str">
        <f>_xlfn.IFNA(VLOOKUP($AH87,Programma!$F$3:$U$1107,16,0),"")</f>
        <v>1j</v>
      </c>
      <c r="AX87" s="310" t="str">
        <f>_xlfn.IFNA(VLOOKUP($AH87,Programma!$F$3:$V$1107,17,0),"")</f>
        <v>_</v>
      </c>
      <c r="AY87" s="310" t="str">
        <f>_xlfn.IFNA(VLOOKUP($AH87,Programma!$F$3:$W$1107,18,0),"")</f>
        <v>_</v>
      </c>
      <c r="AZ87" s="310" t="str">
        <f>_xlfn.IFNA(VLOOKUP($AH87,Programma!$F$3:$X$1107,19,0),"")</f>
        <v>_</v>
      </c>
      <c r="BA87" s="310" t="str">
        <f>_xlfn.IFNA(VLOOKUP($AH87,Programma!$F$3:$Y$1107,20,0),"")</f>
        <v>_</v>
      </c>
      <c r="BB87" s="273"/>
      <c r="BC87" s="272" t="str">
        <f>IF(Ruimtestaat[[#This Row],[Frequentie weekend]]="","",_xlfn.CONCAT(Ruimtestaat[[#This Row],[Ruimte code]],"-",Ruimtestaat[[#This Row],[Frequentie weekend]]," ",Ruimtestaat[[#This Row],[Vloer code]]))</f>
        <v/>
      </c>
      <c r="BD87" s="310" t="str">
        <f>_xlfn.IFNA(VLOOKUP($BC87,Programma!$F$3:$G$1107,2,0),"")</f>
        <v/>
      </c>
      <c r="BE87" s="310" t="str">
        <f>_xlfn.IFNA(VLOOKUP($BC87,Programma!$F$3:$H$1107,3,0),"")</f>
        <v/>
      </c>
      <c r="BF87" s="310" t="str">
        <f>_xlfn.IFNA(VLOOKUP($BC87,Programma!$F$3:$I$1107,4,0),"")</f>
        <v/>
      </c>
      <c r="BG87" s="310" t="str">
        <f>_xlfn.IFNA(VLOOKUP($BC87,Programma!$F$3:$J$1107,5,0),"")</f>
        <v/>
      </c>
      <c r="BH87" s="310" t="str">
        <f>_xlfn.IFNA(VLOOKUP($BC87,Programma!$F$3:$K$1107,6,0),"")</f>
        <v/>
      </c>
      <c r="BI87" s="310" t="str">
        <f>_xlfn.IFNA(VLOOKUP($BC87,Programma!$F$3:$L$1107,7,0),"")</f>
        <v/>
      </c>
      <c r="BJ87" s="310" t="str">
        <f>_xlfn.IFNA(VLOOKUP($BC87,Programma!$F$3:$M$1107,8,0),"")</f>
        <v/>
      </c>
      <c r="BK87" s="310" t="str">
        <f>_xlfn.IFNA(VLOOKUP($BC87,Programma!$F$3:$N$1107,9,0),"")</f>
        <v/>
      </c>
      <c r="BL87" s="310" t="str">
        <f>_xlfn.IFNA(VLOOKUP($BC87,Programma!$F$3:$O$1107,10,0),"")</f>
        <v/>
      </c>
      <c r="BM87" s="310" t="str">
        <f>_xlfn.IFNA(VLOOKUP($BC87,Programma!$F$3:$P$1107,11,0),"")</f>
        <v/>
      </c>
      <c r="BN87" s="310" t="str">
        <f>_xlfn.IFNA(VLOOKUP($BC87,Programma!$F$3:$Q$1107,12,0),"")</f>
        <v/>
      </c>
      <c r="BO87" s="310" t="str">
        <f>_xlfn.IFNA(VLOOKUP($BC87,Programma!$F$3:$R$1107,13,0),"")</f>
        <v/>
      </c>
      <c r="BP87" s="310" t="str">
        <f>_xlfn.IFNA(VLOOKUP($BC87,Programma!$F$3:$S$1107,14,0),"")</f>
        <v/>
      </c>
      <c r="BQ87" s="310" t="str">
        <f>_xlfn.IFNA(VLOOKUP($BC87,Programma!$F$3:$T$1107,15,0),"")</f>
        <v/>
      </c>
      <c r="BR87" s="310" t="str">
        <f>_xlfn.IFNA(VLOOKUP($BC87,Programma!$F$3:$U$1107,16,0),"")</f>
        <v/>
      </c>
      <c r="BS87" s="310" t="str">
        <f>_xlfn.IFNA(VLOOKUP($BC87,Programma!$F$3:$V$1107,17,0),"")</f>
        <v/>
      </c>
      <c r="BT87" s="310" t="str">
        <f>_xlfn.IFNA(VLOOKUP($BC87,Programma!$F$3:$W$1107,18,0),"")</f>
        <v/>
      </c>
      <c r="BU87" s="310" t="str">
        <f>_xlfn.IFNA(VLOOKUP($BC87,Programma!$F$3:$X$1107,19,0),"")</f>
        <v/>
      </c>
      <c r="BV87" s="310" t="str">
        <f>_xlfn.IFNA(VLOOKUP($BC87,Programma!$F$3:$Y$1107,20,0),"")</f>
        <v/>
      </c>
    </row>
    <row r="88" spans="1:74" ht="15" customHeight="1">
      <c r="A88" s="33">
        <v>1</v>
      </c>
      <c r="B88" s="173" t="str">
        <f>VLOOKUP(Ruimtestaat[[#This Row],[Code]],Locaties[[Code]:[Locatie]],2,FALSE)</f>
        <v>CCNV</v>
      </c>
      <c r="C88" s="173" t="str">
        <f>VLOOKUP(Ruimtestaat[[#This Row],[Code]],Locaties[[#All],[Code]:[Adres]],4,FALSE)</f>
        <v>Stationslaan 26</v>
      </c>
      <c r="D88" s="173" t="str">
        <f>VLOOKUP(Ruimtestaat[[#This Row],[Code]],Locaties[[#All],[Code]:[Postcode]],5,FALSE)</f>
        <v>3842 LA</v>
      </c>
      <c r="E88" s="173" t="str">
        <f>VLOOKUP(Ruimtestaat[[#This Row],[Code]],Locaties[#All],6,FALSE)</f>
        <v>Harderwijk</v>
      </c>
      <c r="F88" s="21" t="s">
        <v>1625</v>
      </c>
      <c r="G88" s="33" t="s">
        <v>1613</v>
      </c>
      <c r="H88" s="311" t="s">
        <v>1702</v>
      </c>
      <c r="I88" s="312" t="s">
        <v>1615</v>
      </c>
      <c r="J88" s="21">
        <v>16</v>
      </c>
      <c r="K88" s="69" t="str">
        <f>VLOOKUP(Ruimtestaat[[#This Row],[Ruimte code]],Ruimtegroepen[[#All],[Code]:[Ruimte omschrijving]],2,FALSE)</f>
        <v>Leslokalen</v>
      </c>
      <c r="L88" s="33" t="s">
        <v>101</v>
      </c>
      <c r="M88" s="312" t="s">
        <v>1804</v>
      </c>
      <c r="N88" s="148">
        <v>111</v>
      </c>
      <c r="O88" s="150"/>
      <c r="P88" s="134" t="str">
        <f>VLOOKUP(Ruimtestaat[[#This Row],[Ruimte code]],Ruimtegroepen[],4,FALSE)</f>
        <v>Le</v>
      </c>
      <c r="Q88" s="33">
        <v>40</v>
      </c>
      <c r="R88" s="33" t="s">
        <v>2</v>
      </c>
      <c r="S88" s="33">
        <f>IF(Q88&gt;0,IF(RIGHT(Ruimtestaat[[#This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8" s="33">
        <f>IF(S88&gt;0,VLOOKUP($J88,Ruimtegroepen[],3,FALSE)*VLOOKUP($L88,Vloersoorten[],3,FALSE)*VLOOKUP($R88,Frequenties[],3,FALSE)*VLOOKUP($A88,Locaties[],3,FALSE),0)</f>
        <v>0</v>
      </c>
      <c r="U88" s="33">
        <f>Ruimtestaat[[#This Row],[Uitvoeringen werkdagen]]*Ruimtestaat[[#This Row],[Oppervlak (netto)]]</f>
        <v>22200</v>
      </c>
      <c r="V88" s="170">
        <f>IF(T88&gt;0,Ruimtestaat[[#This Row],[Prest. (m2 /jaar) werkdagen]]/Ruimtestaat[[#This Row],[Norm (m2/uur) werkdagen]],0)</f>
        <v>0</v>
      </c>
      <c r="W88" s="171">
        <f>Ruimtestaat[[#This Row],[uren / jaar werkdagen]]*Tariefsopbouw!$E$35</f>
        <v>0</v>
      </c>
      <c r="X88" s="33"/>
      <c r="Y88" s="33">
        <f>IF(Ruimtestaat[[#This Row],[Frequentie weekend]]&gt;0,VALUE(LEFT(X88,1))*Q88,0)</f>
        <v>0</v>
      </c>
      <c r="Z88" s="104">
        <f>IF($Y88&gt;0,VLOOKUP($J88,Ruimtegroepen[],3,FALSE)*VLOOKUP($L88,Vloersoorten[],3,FALSE)*VLOOKUP($X88,Frequenties[],3,FALSE)*VLOOKUP(Ruimtestaat[[#This Row],[Code]],Locaties[],3,FALSE),0)</f>
        <v>0</v>
      </c>
      <c r="AA88" s="104">
        <f>Ruimtestaat[[#This Row],[Uitvoeringen weekend]]*Ruimtestaat[[#This Row],[Oppervlak (netto)]]</f>
        <v>0</v>
      </c>
      <c r="AB88" s="104">
        <f>IF(Z88&gt;0,Ruimtestaat[[#This Row],[Prest. (m2 /jaar) weekend]]/Ruimtestaat[[#This Row],[Norm (m2/uur) weekend]],0)</f>
        <v>0</v>
      </c>
      <c r="AC88" s="171">
        <f>Ruimtestaat[[#This Row],[uren / jaar weekend]]*Tariefsopbouw!$D$40</f>
        <v>0</v>
      </c>
      <c r="AD88" s="170">
        <f>Ruimtestaat[[#This Row],[Prest. (m2 /jaar) weekend]]+Ruimtestaat[[#This Row],[Prest. (m2 /jaar) werkdagen]]</f>
        <v>22200</v>
      </c>
      <c r="AE88" s="170">
        <f>Ruimtestaat[[#This Row],[uren / jaar weekend]]+Ruimtestaat[[#This Row],[uren / jaar werkdagen]]</f>
        <v>0</v>
      </c>
      <c r="AF88" s="76">
        <f>Ruimtestaat[[#This Row],[kosten / jaar weekend]]+Ruimtestaat[[#This Row],[kosten / jaar werkdagen]]</f>
        <v>0</v>
      </c>
      <c r="AG88" s="76"/>
      <c r="AH88" s="272" t="str">
        <f>IF(Ruimtestaat[[#This Row],[Frequentie werkdagen]]="","",_xlfn.CONCAT(Ruimtestaat[[#This Row],[Ruimte code]],"-",Ruimtestaat[[#This Row],[Frequentie werkdagen]]," ",Ruimtestaat[[#This Row],[Vloer code]]))</f>
        <v>16-5w L</v>
      </c>
      <c r="AI88" s="310" t="str">
        <f>_xlfn.IFNA(VLOOKUP($AH88,Programma!$F$3:$G$1107,2,0),"")</f>
        <v>_</v>
      </c>
      <c r="AJ88" s="310" t="str">
        <f>_xlfn.IFNA(VLOOKUP($AH88,Programma!$F$3:$H$1107,3,0),"")</f>
        <v>_</v>
      </c>
      <c r="AK88" s="310" t="str">
        <f>_xlfn.IFNA(VLOOKUP($AH88,Programma!$F$3:$I$1107,4,0),"")</f>
        <v>4w</v>
      </c>
      <c r="AL88" s="310" t="str">
        <f>_xlfn.IFNA(VLOOKUP($AH88,Programma!$F$3:$J$1107,5,0),"")</f>
        <v>1w</v>
      </c>
      <c r="AM88" s="310" t="str">
        <f>_xlfn.IFNA(VLOOKUP($AH88,Programma!$F$3:$K$1107,6,0),"")</f>
        <v>_</v>
      </c>
      <c r="AN88" s="310" t="str">
        <f>_xlfn.IFNA(VLOOKUP($AH88,Programma!$F$3:$L$1107,7,0),"")</f>
        <v>_</v>
      </c>
      <c r="AO88" s="310" t="str">
        <f>_xlfn.IFNA(VLOOKUP($AH88,Programma!$F$3:$M$1107,8,0),"")</f>
        <v>_</v>
      </c>
      <c r="AP88" s="310" t="str">
        <f>_xlfn.IFNA(VLOOKUP($AH88,Programma!$F$3:$N$1107,9,0),"")</f>
        <v>_</v>
      </c>
      <c r="AQ88" s="310" t="str">
        <f>_xlfn.IFNA(VLOOKUP($AH88,Programma!$F$3:$O$1107,10,0),"")</f>
        <v>5w</v>
      </c>
      <c r="AR88" s="310" t="str">
        <f>_xlfn.IFNA(VLOOKUP($AH88,Programma!$F$3:$P$1107,11,0),"")</f>
        <v>5w</v>
      </c>
      <c r="AS88" s="310" t="str">
        <f>_xlfn.IFNA(VLOOKUP($AH88,Programma!$F$3:$Q$1107,12,0),"")</f>
        <v>1w</v>
      </c>
      <c r="AT88" s="310" t="str">
        <f>_xlfn.IFNA(VLOOKUP($AH88,Programma!$F$3:$R$1107,13,0),"")</f>
        <v>1w</v>
      </c>
      <c r="AU88" s="310" t="str">
        <f>_xlfn.IFNA(VLOOKUP($AH88,Programma!$F$3:$S$1107,14,0),"")</f>
        <v>1m</v>
      </c>
      <c r="AV88" s="310" t="str">
        <f>_xlfn.IFNA(VLOOKUP($AH88,Programma!$F$3:$T$1107,15,0),"")</f>
        <v>2j</v>
      </c>
      <c r="AW88" s="310" t="str">
        <f>_xlfn.IFNA(VLOOKUP($AH88,Programma!$F$3:$U$1107,16,0),"")</f>
        <v>1j</v>
      </c>
      <c r="AX88" s="310" t="str">
        <f>_xlfn.IFNA(VLOOKUP($AH88,Programma!$F$3:$V$1107,17,0),"")</f>
        <v>_</v>
      </c>
      <c r="AY88" s="310" t="str">
        <f>_xlfn.IFNA(VLOOKUP($AH88,Programma!$F$3:$W$1107,18,0),"")</f>
        <v>_</v>
      </c>
      <c r="AZ88" s="310" t="str">
        <f>_xlfn.IFNA(VLOOKUP($AH88,Programma!$F$3:$X$1107,19,0),"")</f>
        <v>_</v>
      </c>
      <c r="BA88" s="310" t="str">
        <f>_xlfn.IFNA(VLOOKUP($AH88,Programma!$F$3:$Y$1107,20,0),"")</f>
        <v>_</v>
      </c>
      <c r="BB88" s="273"/>
      <c r="BC88" s="272" t="str">
        <f>IF(Ruimtestaat[[#This Row],[Frequentie weekend]]="","",_xlfn.CONCAT(Ruimtestaat[[#This Row],[Ruimte code]],"-",Ruimtestaat[[#This Row],[Frequentie weekend]]," ",Ruimtestaat[[#This Row],[Vloer code]]))</f>
        <v/>
      </c>
      <c r="BD88" s="310" t="str">
        <f>_xlfn.IFNA(VLOOKUP($BC88,Programma!$F$3:$G$1107,2,0),"")</f>
        <v/>
      </c>
      <c r="BE88" s="310" t="str">
        <f>_xlfn.IFNA(VLOOKUP($BC88,Programma!$F$3:$H$1107,3,0),"")</f>
        <v/>
      </c>
      <c r="BF88" s="310" t="str">
        <f>_xlfn.IFNA(VLOOKUP($BC88,Programma!$F$3:$I$1107,4,0),"")</f>
        <v/>
      </c>
      <c r="BG88" s="310" t="str">
        <f>_xlfn.IFNA(VLOOKUP($BC88,Programma!$F$3:$J$1107,5,0),"")</f>
        <v/>
      </c>
      <c r="BH88" s="310" t="str">
        <f>_xlfn.IFNA(VLOOKUP($BC88,Programma!$F$3:$K$1107,6,0),"")</f>
        <v/>
      </c>
      <c r="BI88" s="310" t="str">
        <f>_xlfn.IFNA(VLOOKUP($BC88,Programma!$F$3:$L$1107,7,0),"")</f>
        <v/>
      </c>
      <c r="BJ88" s="310" t="str">
        <f>_xlfn.IFNA(VLOOKUP($BC88,Programma!$F$3:$M$1107,8,0),"")</f>
        <v/>
      </c>
      <c r="BK88" s="310" t="str">
        <f>_xlfn.IFNA(VLOOKUP($BC88,Programma!$F$3:$N$1107,9,0),"")</f>
        <v/>
      </c>
      <c r="BL88" s="310" t="str">
        <f>_xlfn.IFNA(VLOOKUP($BC88,Programma!$F$3:$O$1107,10,0),"")</f>
        <v/>
      </c>
      <c r="BM88" s="310" t="str">
        <f>_xlfn.IFNA(VLOOKUP($BC88,Programma!$F$3:$P$1107,11,0),"")</f>
        <v/>
      </c>
      <c r="BN88" s="310" t="str">
        <f>_xlfn.IFNA(VLOOKUP($BC88,Programma!$F$3:$Q$1107,12,0),"")</f>
        <v/>
      </c>
      <c r="BO88" s="310" t="str">
        <f>_xlfn.IFNA(VLOOKUP($BC88,Programma!$F$3:$R$1107,13,0),"")</f>
        <v/>
      </c>
      <c r="BP88" s="310" t="str">
        <f>_xlfn.IFNA(VLOOKUP($BC88,Programma!$F$3:$S$1107,14,0),"")</f>
        <v/>
      </c>
      <c r="BQ88" s="310" t="str">
        <f>_xlfn.IFNA(VLOOKUP($BC88,Programma!$F$3:$T$1107,15,0),"")</f>
        <v/>
      </c>
      <c r="BR88" s="310" t="str">
        <f>_xlfn.IFNA(VLOOKUP($BC88,Programma!$F$3:$U$1107,16,0),"")</f>
        <v/>
      </c>
      <c r="BS88" s="310" t="str">
        <f>_xlfn.IFNA(VLOOKUP($BC88,Programma!$F$3:$V$1107,17,0),"")</f>
        <v/>
      </c>
      <c r="BT88" s="310" t="str">
        <f>_xlfn.IFNA(VLOOKUP($BC88,Programma!$F$3:$W$1107,18,0),"")</f>
        <v/>
      </c>
      <c r="BU88" s="310" t="str">
        <f>_xlfn.IFNA(VLOOKUP($BC88,Programma!$F$3:$X$1107,19,0),"")</f>
        <v/>
      </c>
      <c r="BV88" s="310" t="str">
        <f>_xlfn.IFNA(VLOOKUP($BC88,Programma!$F$3:$Y$1107,20,0),"")</f>
        <v/>
      </c>
    </row>
    <row r="89" spans="1:74" ht="15" customHeight="1">
      <c r="A89" s="33">
        <v>1</v>
      </c>
      <c r="B89" s="173" t="str">
        <f>VLOOKUP(Ruimtestaat[[#This Row],[Code]],Locaties[[Code]:[Locatie]],2,FALSE)</f>
        <v>CCNV</v>
      </c>
      <c r="C89" s="173" t="str">
        <f>VLOOKUP(Ruimtestaat[[#This Row],[Code]],Locaties[[#All],[Code]:[Adres]],4,FALSE)</f>
        <v>Stationslaan 26</v>
      </c>
      <c r="D89" s="173" t="str">
        <f>VLOOKUP(Ruimtestaat[[#This Row],[Code]],Locaties[[#All],[Code]:[Postcode]],5,FALSE)</f>
        <v>3842 LA</v>
      </c>
      <c r="E89" s="173" t="str">
        <f>VLOOKUP(Ruimtestaat[[#This Row],[Code]],Locaties[#All],6,FALSE)</f>
        <v>Harderwijk</v>
      </c>
      <c r="F89" s="21" t="s">
        <v>1625</v>
      </c>
      <c r="G89" s="33" t="s">
        <v>1613</v>
      </c>
      <c r="H89" s="311" t="s">
        <v>1703</v>
      </c>
      <c r="I89" s="312" t="s">
        <v>1730</v>
      </c>
      <c r="J89" s="21">
        <v>5</v>
      </c>
      <c r="K89" s="69" t="str">
        <f>VLOOKUP(Ruimtestaat[[#This Row],[Ruimte code]],Ruimtegroepen[[#All],[Code]:[Ruimte omschrijving]],2,FALSE)</f>
        <v>Sanitair</v>
      </c>
      <c r="L89" s="33" t="s">
        <v>102</v>
      </c>
      <c r="M89" s="312" t="s">
        <v>1805</v>
      </c>
      <c r="N89" s="148">
        <v>12</v>
      </c>
      <c r="O89" s="150"/>
      <c r="P89" s="134" t="str">
        <f>VLOOKUP(Ruimtestaat[[#This Row],[Ruimte code]],Ruimtegroepen[],4,FALSE)</f>
        <v>Sa</v>
      </c>
      <c r="Q89" s="33">
        <v>42</v>
      </c>
      <c r="R89" s="33" t="s">
        <v>2</v>
      </c>
      <c r="S89" s="33">
        <f>IF(Q89&gt;0,IF(RIGHT(Ruimtestaat[[#This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89" s="33">
        <f>IF(S89&gt;0,VLOOKUP($J89,Ruimtegroepen[],3,FALSE)*VLOOKUP($L89,Vloersoorten[],3,FALSE)*VLOOKUP($R89,Frequenties[],3,FALSE)*VLOOKUP($A89,Locaties[],3,FALSE),0)</f>
        <v>0</v>
      </c>
      <c r="U89" s="33">
        <f>Ruimtestaat[[#This Row],[Uitvoeringen werkdagen]]*Ruimtestaat[[#This Row],[Oppervlak (netto)]]</f>
        <v>2520</v>
      </c>
      <c r="V89" s="170">
        <f>IF(T89&gt;0,Ruimtestaat[[#This Row],[Prest. (m2 /jaar) werkdagen]]/Ruimtestaat[[#This Row],[Norm (m2/uur) werkdagen]],0)</f>
        <v>0</v>
      </c>
      <c r="W89" s="171">
        <f>Ruimtestaat[[#This Row],[uren / jaar werkdagen]]*Tariefsopbouw!$E$35</f>
        <v>0</v>
      </c>
      <c r="X89" s="33"/>
      <c r="Y89" s="33">
        <f>IF(Ruimtestaat[[#This Row],[Frequentie weekend]]&gt;0,VALUE(LEFT(X89,1))*Q89,0)</f>
        <v>0</v>
      </c>
      <c r="Z89" s="104">
        <f>IF($Y89&gt;0,VLOOKUP($J89,Ruimtegroepen[],3,FALSE)*VLOOKUP($L89,Vloersoorten[],3,FALSE)*VLOOKUP($X89,Frequenties[],3,FALSE)*VLOOKUP(Ruimtestaat[[#This Row],[Code]],Locaties[],3,FALSE),0)</f>
        <v>0</v>
      </c>
      <c r="AA89" s="104">
        <f>Ruimtestaat[[#This Row],[Uitvoeringen weekend]]*Ruimtestaat[[#This Row],[Oppervlak (netto)]]</f>
        <v>0</v>
      </c>
      <c r="AB89" s="104">
        <f>IF(Z89&gt;0,Ruimtestaat[[#This Row],[Prest. (m2 /jaar) weekend]]/Ruimtestaat[[#This Row],[Norm (m2/uur) weekend]],0)</f>
        <v>0</v>
      </c>
      <c r="AC89" s="171">
        <f>Ruimtestaat[[#This Row],[uren / jaar weekend]]*Tariefsopbouw!$D$40</f>
        <v>0</v>
      </c>
      <c r="AD89" s="170">
        <f>Ruimtestaat[[#This Row],[Prest. (m2 /jaar) weekend]]+Ruimtestaat[[#This Row],[Prest. (m2 /jaar) werkdagen]]</f>
        <v>2520</v>
      </c>
      <c r="AE89" s="170">
        <f>Ruimtestaat[[#This Row],[uren / jaar weekend]]+Ruimtestaat[[#This Row],[uren / jaar werkdagen]]</f>
        <v>0</v>
      </c>
      <c r="AF89" s="76">
        <f>Ruimtestaat[[#This Row],[kosten / jaar weekend]]+Ruimtestaat[[#This Row],[kosten / jaar werkdagen]]</f>
        <v>0</v>
      </c>
      <c r="AG89" s="76"/>
      <c r="AH89" s="272" t="str">
        <f>IF(Ruimtestaat[[#This Row],[Frequentie werkdagen]]="","",_xlfn.CONCAT(Ruimtestaat[[#This Row],[Ruimte code]],"-",Ruimtestaat[[#This Row],[Frequentie werkdagen]]," ",Ruimtestaat[[#This Row],[Vloer code]]))</f>
        <v>5-5w S</v>
      </c>
      <c r="AI89" s="310" t="str">
        <f>_xlfn.IFNA(VLOOKUP($AH89,Programma!$F$3:$G$1107,2,0),"")</f>
        <v>_</v>
      </c>
      <c r="AJ89" s="310" t="str">
        <f>_xlfn.IFNA(VLOOKUP($AH89,Programma!$F$3:$H$1107,3,0),"")</f>
        <v>_</v>
      </c>
      <c r="AK89" s="310" t="str">
        <f>_xlfn.IFNA(VLOOKUP($AH89,Programma!$F$3:$I$1107,4,0),"")</f>
        <v>_</v>
      </c>
      <c r="AL89" s="310" t="str">
        <f>_xlfn.IFNA(VLOOKUP($AH89,Programma!$F$3:$J$1107,5,0),"")</f>
        <v>4w</v>
      </c>
      <c r="AM89" s="310" t="str">
        <f>_xlfn.IFNA(VLOOKUP($AH89,Programma!$F$3:$K$1107,6,0),"")</f>
        <v>1w</v>
      </c>
      <c r="AN89" s="310" t="str">
        <f>_xlfn.IFNA(VLOOKUP($AH89,Programma!$F$3:$L$1107,7,0),"")</f>
        <v>_</v>
      </c>
      <c r="AO89" s="310" t="str">
        <f>_xlfn.IFNA(VLOOKUP($AH89,Programma!$F$3:$M$1107,8,0),"")</f>
        <v>_</v>
      </c>
      <c r="AP89" s="310" t="str">
        <f>_xlfn.IFNA(VLOOKUP($AH89,Programma!$F$3:$N$1107,9,0),"")</f>
        <v>_</v>
      </c>
      <c r="AQ89" s="310" t="str">
        <f>_xlfn.IFNA(VLOOKUP($AH89,Programma!$F$3:$O$1107,10,0),"")</f>
        <v>_</v>
      </c>
      <c r="AR89" s="310" t="str">
        <f>_xlfn.IFNA(VLOOKUP($AH89,Programma!$F$3:$P$1107,11,0),"")</f>
        <v>_</v>
      </c>
      <c r="AS89" s="310" t="str">
        <f>_xlfn.IFNA(VLOOKUP($AH89,Programma!$F$3:$Q$1107,12,0),"")</f>
        <v>_</v>
      </c>
      <c r="AT89" s="310" t="str">
        <f>_xlfn.IFNA(VLOOKUP($AH89,Programma!$F$3:$R$1107,13,0),"")</f>
        <v>_</v>
      </c>
      <c r="AU89" s="310" t="str">
        <f>_xlfn.IFNA(VLOOKUP($AH89,Programma!$F$3:$S$1107,14,0),"")</f>
        <v>_</v>
      </c>
      <c r="AV89" s="310" t="str">
        <f>_xlfn.IFNA(VLOOKUP($AH89,Programma!$F$3:$T$1107,15,0),"")</f>
        <v>_</v>
      </c>
      <c r="AW89" s="310" t="str">
        <f>_xlfn.IFNA(VLOOKUP($AH89,Programma!$F$3:$U$1107,16,0),"")</f>
        <v>_</v>
      </c>
      <c r="AX89" s="310" t="str">
        <f>_xlfn.IFNA(VLOOKUP($AH89,Programma!$F$3:$V$1107,17,0),"")</f>
        <v>_</v>
      </c>
      <c r="AY89" s="310" t="str">
        <f>_xlfn.IFNA(VLOOKUP($AH89,Programma!$F$3:$W$1107,18,0),"")</f>
        <v>4w</v>
      </c>
      <c r="AZ89" s="310" t="str">
        <f>_xlfn.IFNA(VLOOKUP($AH89,Programma!$F$3:$X$1107,19,0),"")</f>
        <v>1w</v>
      </c>
      <c r="BA89" s="310" t="str">
        <f>_xlfn.IFNA(VLOOKUP($AH89,Programma!$F$3:$Y$1107,20,0),"")</f>
        <v>_</v>
      </c>
      <c r="BB89" s="273"/>
      <c r="BC89" s="272" t="str">
        <f>IF(Ruimtestaat[[#This Row],[Frequentie weekend]]="","",_xlfn.CONCAT(Ruimtestaat[[#This Row],[Ruimte code]],"-",Ruimtestaat[[#This Row],[Frequentie weekend]]," ",Ruimtestaat[[#This Row],[Vloer code]]))</f>
        <v/>
      </c>
      <c r="BD89" s="310" t="str">
        <f>_xlfn.IFNA(VLOOKUP($BC89,Programma!$F$3:$G$1107,2,0),"")</f>
        <v/>
      </c>
      <c r="BE89" s="310" t="str">
        <f>_xlfn.IFNA(VLOOKUP($BC89,Programma!$F$3:$H$1107,3,0),"")</f>
        <v/>
      </c>
      <c r="BF89" s="310" t="str">
        <f>_xlfn.IFNA(VLOOKUP($BC89,Programma!$F$3:$I$1107,4,0),"")</f>
        <v/>
      </c>
      <c r="BG89" s="310" t="str">
        <f>_xlfn.IFNA(VLOOKUP($BC89,Programma!$F$3:$J$1107,5,0),"")</f>
        <v/>
      </c>
      <c r="BH89" s="310" t="str">
        <f>_xlfn.IFNA(VLOOKUP($BC89,Programma!$F$3:$K$1107,6,0),"")</f>
        <v/>
      </c>
      <c r="BI89" s="310" t="str">
        <f>_xlfn.IFNA(VLOOKUP($BC89,Programma!$F$3:$L$1107,7,0),"")</f>
        <v/>
      </c>
      <c r="BJ89" s="310" t="str">
        <f>_xlfn.IFNA(VLOOKUP($BC89,Programma!$F$3:$M$1107,8,0),"")</f>
        <v/>
      </c>
      <c r="BK89" s="310" t="str">
        <f>_xlfn.IFNA(VLOOKUP($BC89,Programma!$F$3:$N$1107,9,0),"")</f>
        <v/>
      </c>
      <c r="BL89" s="310" t="str">
        <f>_xlfn.IFNA(VLOOKUP($BC89,Programma!$F$3:$O$1107,10,0),"")</f>
        <v/>
      </c>
      <c r="BM89" s="310" t="str">
        <f>_xlfn.IFNA(VLOOKUP($BC89,Programma!$F$3:$P$1107,11,0),"")</f>
        <v/>
      </c>
      <c r="BN89" s="310" t="str">
        <f>_xlfn.IFNA(VLOOKUP($BC89,Programma!$F$3:$Q$1107,12,0),"")</f>
        <v/>
      </c>
      <c r="BO89" s="310" t="str">
        <f>_xlfn.IFNA(VLOOKUP($BC89,Programma!$F$3:$R$1107,13,0),"")</f>
        <v/>
      </c>
      <c r="BP89" s="310" t="str">
        <f>_xlfn.IFNA(VLOOKUP($BC89,Programma!$F$3:$S$1107,14,0),"")</f>
        <v/>
      </c>
      <c r="BQ89" s="310" t="str">
        <f>_xlfn.IFNA(VLOOKUP($BC89,Programma!$F$3:$T$1107,15,0),"")</f>
        <v/>
      </c>
      <c r="BR89" s="310" t="str">
        <f>_xlfn.IFNA(VLOOKUP($BC89,Programma!$F$3:$U$1107,16,0),"")</f>
        <v/>
      </c>
      <c r="BS89" s="310" t="str">
        <f>_xlfn.IFNA(VLOOKUP($BC89,Programma!$F$3:$V$1107,17,0),"")</f>
        <v/>
      </c>
      <c r="BT89" s="310" t="str">
        <f>_xlfn.IFNA(VLOOKUP($BC89,Programma!$F$3:$W$1107,18,0),"")</f>
        <v/>
      </c>
      <c r="BU89" s="310" t="str">
        <f>_xlfn.IFNA(VLOOKUP($BC89,Programma!$F$3:$X$1107,19,0),"")</f>
        <v/>
      </c>
      <c r="BV89" s="310" t="str">
        <f>_xlfn.IFNA(VLOOKUP($BC89,Programma!$F$3:$Y$1107,20,0),"")</f>
        <v/>
      </c>
    </row>
    <row r="90" spans="1:74" ht="15" customHeight="1">
      <c r="A90" s="33">
        <v>1</v>
      </c>
      <c r="B90" s="173" t="str">
        <f>VLOOKUP(Ruimtestaat[[#This Row],[Code]],Locaties[[Code]:[Locatie]],2,FALSE)</f>
        <v>CCNV</v>
      </c>
      <c r="C90" s="173" t="str">
        <f>VLOOKUP(Ruimtestaat[[#This Row],[Code]],Locaties[[#All],[Code]:[Adres]],4,FALSE)</f>
        <v>Stationslaan 26</v>
      </c>
      <c r="D90" s="173" t="str">
        <f>VLOOKUP(Ruimtestaat[[#This Row],[Code]],Locaties[[#All],[Code]:[Postcode]],5,FALSE)</f>
        <v>3842 LA</v>
      </c>
      <c r="E90" s="173" t="str">
        <f>VLOOKUP(Ruimtestaat[[#This Row],[Code]],Locaties[#All],6,FALSE)</f>
        <v>Harderwijk</v>
      </c>
      <c r="F90" s="21" t="s">
        <v>1625</v>
      </c>
      <c r="G90" s="33" t="s">
        <v>1613</v>
      </c>
      <c r="H90" s="311" t="s">
        <v>1704</v>
      </c>
      <c r="I90" s="312" t="s">
        <v>1730</v>
      </c>
      <c r="J90" s="21">
        <v>5</v>
      </c>
      <c r="K90" s="69" t="str">
        <f>VLOOKUP(Ruimtestaat[[#This Row],[Ruimte code]],Ruimtegroepen[[#All],[Code]:[Ruimte omschrijving]],2,FALSE)</f>
        <v>Sanitair</v>
      </c>
      <c r="L90" s="33" t="s">
        <v>102</v>
      </c>
      <c r="M90" s="312" t="s">
        <v>1805</v>
      </c>
      <c r="N90" s="148">
        <v>12</v>
      </c>
      <c r="O90" s="33"/>
      <c r="P90" s="134" t="str">
        <f>VLOOKUP(Ruimtestaat[[#This Row],[Ruimte code]],Ruimtegroepen[],4,FALSE)</f>
        <v>Sa</v>
      </c>
      <c r="Q90" s="33">
        <v>42</v>
      </c>
      <c r="R90" s="33" t="s">
        <v>2</v>
      </c>
      <c r="S90" s="33">
        <f>IF(Q90&gt;0,IF(RIGHT(Ruimtestaat[[#This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90" s="33">
        <f>IF(S90&gt;0,VLOOKUP($J90,Ruimtegroepen[],3,FALSE)*VLOOKUP($L90,Vloersoorten[],3,FALSE)*VLOOKUP($R90,Frequenties[],3,FALSE)*VLOOKUP($A90,Locaties[],3,FALSE),0)</f>
        <v>0</v>
      </c>
      <c r="U90" s="33">
        <f>Ruimtestaat[[#This Row],[Uitvoeringen werkdagen]]*Ruimtestaat[[#This Row],[Oppervlak (netto)]]</f>
        <v>2520</v>
      </c>
      <c r="V90" s="170">
        <f>IF(T90&gt;0,Ruimtestaat[[#This Row],[Prest. (m2 /jaar) werkdagen]]/Ruimtestaat[[#This Row],[Norm (m2/uur) werkdagen]],0)</f>
        <v>0</v>
      </c>
      <c r="W90" s="171">
        <f>Ruimtestaat[[#This Row],[uren / jaar werkdagen]]*Tariefsopbouw!$E$35</f>
        <v>0</v>
      </c>
      <c r="X90" s="33"/>
      <c r="Y90" s="33">
        <f>IF(Ruimtestaat[[#This Row],[Frequentie weekend]]&gt;0,VALUE(LEFT(X90,1))*Q90,0)</f>
        <v>0</v>
      </c>
      <c r="Z90" s="104">
        <f>IF($Y90&gt;0,VLOOKUP($J90,Ruimtegroepen[],3,FALSE)*VLOOKUP($L90,Vloersoorten[],3,FALSE)*VLOOKUP($X90,Frequenties[],3,FALSE)*VLOOKUP(Ruimtestaat[[#This Row],[Code]],Locaties[],3,FALSE),0)</f>
        <v>0</v>
      </c>
      <c r="AA90" s="104">
        <f>Ruimtestaat[[#This Row],[Uitvoeringen weekend]]*Ruimtestaat[[#This Row],[Oppervlak (netto)]]</f>
        <v>0</v>
      </c>
      <c r="AB90" s="104">
        <f>IF(Z90&gt;0,Ruimtestaat[[#This Row],[Prest. (m2 /jaar) weekend]]/Ruimtestaat[[#This Row],[Norm (m2/uur) weekend]],0)</f>
        <v>0</v>
      </c>
      <c r="AC90" s="171">
        <f>Ruimtestaat[[#This Row],[uren / jaar weekend]]*Tariefsopbouw!$D$40</f>
        <v>0</v>
      </c>
      <c r="AD90" s="170">
        <f>Ruimtestaat[[#This Row],[Prest. (m2 /jaar) weekend]]+Ruimtestaat[[#This Row],[Prest. (m2 /jaar) werkdagen]]</f>
        <v>2520</v>
      </c>
      <c r="AE90" s="170">
        <f>Ruimtestaat[[#This Row],[uren / jaar weekend]]+Ruimtestaat[[#This Row],[uren / jaar werkdagen]]</f>
        <v>0</v>
      </c>
      <c r="AF90" s="76">
        <f>Ruimtestaat[[#This Row],[kosten / jaar weekend]]+Ruimtestaat[[#This Row],[kosten / jaar werkdagen]]</f>
        <v>0</v>
      </c>
      <c r="AG90" s="76"/>
      <c r="AH90" s="272" t="str">
        <f>IF(Ruimtestaat[[#This Row],[Frequentie werkdagen]]="","",_xlfn.CONCAT(Ruimtestaat[[#This Row],[Ruimte code]],"-",Ruimtestaat[[#This Row],[Frequentie werkdagen]]," ",Ruimtestaat[[#This Row],[Vloer code]]))</f>
        <v>5-5w S</v>
      </c>
      <c r="AI90" s="310" t="str">
        <f>_xlfn.IFNA(VLOOKUP($AH90,Programma!$F$3:$G$1107,2,0),"")</f>
        <v>_</v>
      </c>
      <c r="AJ90" s="310" t="str">
        <f>_xlfn.IFNA(VLOOKUP($AH90,Programma!$F$3:$H$1107,3,0),"")</f>
        <v>_</v>
      </c>
      <c r="AK90" s="310" t="str">
        <f>_xlfn.IFNA(VLOOKUP($AH90,Programma!$F$3:$I$1107,4,0),"")</f>
        <v>_</v>
      </c>
      <c r="AL90" s="310" t="str">
        <f>_xlfn.IFNA(VLOOKUP($AH90,Programma!$F$3:$J$1107,5,0),"")</f>
        <v>4w</v>
      </c>
      <c r="AM90" s="310" t="str">
        <f>_xlfn.IFNA(VLOOKUP($AH90,Programma!$F$3:$K$1107,6,0),"")</f>
        <v>1w</v>
      </c>
      <c r="AN90" s="310" t="str">
        <f>_xlfn.IFNA(VLOOKUP($AH90,Programma!$F$3:$L$1107,7,0),"")</f>
        <v>_</v>
      </c>
      <c r="AO90" s="310" t="str">
        <f>_xlfn.IFNA(VLOOKUP($AH90,Programma!$F$3:$M$1107,8,0),"")</f>
        <v>_</v>
      </c>
      <c r="AP90" s="310" t="str">
        <f>_xlfn.IFNA(VLOOKUP($AH90,Programma!$F$3:$N$1107,9,0),"")</f>
        <v>_</v>
      </c>
      <c r="AQ90" s="310" t="str">
        <f>_xlfn.IFNA(VLOOKUP($AH90,Programma!$F$3:$O$1107,10,0),"")</f>
        <v>_</v>
      </c>
      <c r="AR90" s="310" t="str">
        <f>_xlfn.IFNA(VLOOKUP($AH90,Programma!$F$3:$P$1107,11,0),"")</f>
        <v>_</v>
      </c>
      <c r="AS90" s="310" t="str">
        <f>_xlfn.IFNA(VLOOKUP($AH90,Programma!$F$3:$Q$1107,12,0),"")</f>
        <v>_</v>
      </c>
      <c r="AT90" s="310" t="str">
        <f>_xlfn.IFNA(VLOOKUP($AH90,Programma!$F$3:$R$1107,13,0),"")</f>
        <v>_</v>
      </c>
      <c r="AU90" s="310" t="str">
        <f>_xlfn.IFNA(VLOOKUP($AH90,Programma!$F$3:$S$1107,14,0),"")</f>
        <v>_</v>
      </c>
      <c r="AV90" s="310" t="str">
        <f>_xlfn.IFNA(VLOOKUP($AH90,Programma!$F$3:$T$1107,15,0),"")</f>
        <v>_</v>
      </c>
      <c r="AW90" s="310" t="str">
        <f>_xlfn.IFNA(VLOOKUP($AH90,Programma!$F$3:$U$1107,16,0),"")</f>
        <v>_</v>
      </c>
      <c r="AX90" s="310" t="str">
        <f>_xlfn.IFNA(VLOOKUP($AH90,Programma!$F$3:$V$1107,17,0),"")</f>
        <v>_</v>
      </c>
      <c r="AY90" s="310" t="str">
        <f>_xlfn.IFNA(VLOOKUP($AH90,Programma!$F$3:$W$1107,18,0),"")</f>
        <v>4w</v>
      </c>
      <c r="AZ90" s="310" t="str">
        <f>_xlfn.IFNA(VLOOKUP($AH90,Programma!$F$3:$X$1107,19,0),"")</f>
        <v>1w</v>
      </c>
      <c r="BA90" s="310" t="str">
        <f>_xlfn.IFNA(VLOOKUP($AH90,Programma!$F$3:$Y$1107,20,0),"")</f>
        <v>_</v>
      </c>
      <c r="BB90" s="273"/>
      <c r="BC90" s="272" t="str">
        <f>IF(Ruimtestaat[[#This Row],[Frequentie weekend]]="","",_xlfn.CONCAT(Ruimtestaat[[#This Row],[Ruimte code]],"-",Ruimtestaat[[#This Row],[Frequentie weekend]]," ",Ruimtestaat[[#This Row],[Vloer code]]))</f>
        <v/>
      </c>
      <c r="BD90" s="310" t="str">
        <f>_xlfn.IFNA(VLOOKUP($BC90,Programma!$F$3:$G$1107,2,0),"")</f>
        <v/>
      </c>
      <c r="BE90" s="310" t="str">
        <f>_xlfn.IFNA(VLOOKUP($BC90,Programma!$F$3:$H$1107,3,0),"")</f>
        <v/>
      </c>
      <c r="BF90" s="310" t="str">
        <f>_xlfn.IFNA(VLOOKUP($BC90,Programma!$F$3:$I$1107,4,0),"")</f>
        <v/>
      </c>
      <c r="BG90" s="310" t="str">
        <f>_xlfn.IFNA(VLOOKUP($BC90,Programma!$F$3:$J$1107,5,0),"")</f>
        <v/>
      </c>
      <c r="BH90" s="310" t="str">
        <f>_xlfn.IFNA(VLOOKUP($BC90,Programma!$F$3:$K$1107,6,0),"")</f>
        <v/>
      </c>
      <c r="BI90" s="310" t="str">
        <f>_xlfn.IFNA(VLOOKUP($BC90,Programma!$F$3:$L$1107,7,0),"")</f>
        <v/>
      </c>
      <c r="BJ90" s="310" t="str">
        <f>_xlfn.IFNA(VLOOKUP($BC90,Programma!$F$3:$M$1107,8,0),"")</f>
        <v/>
      </c>
      <c r="BK90" s="310" t="str">
        <f>_xlfn.IFNA(VLOOKUP($BC90,Programma!$F$3:$N$1107,9,0),"")</f>
        <v/>
      </c>
      <c r="BL90" s="310" t="str">
        <f>_xlfn.IFNA(VLOOKUP($BC90,Programma!$F$3:$O$1107,10,0),"")</f>
        <v/>
      </c>
      <c r="BM90" s="310" t="str">
        <f>_xlfn.IFNA(VLOOKUP($BC90,Programma!$F$3:$P$1107,11,0),"")</f>
        <v/>
      </c>
      <c r="BN90" s="310" t="str">
        <f>_xlfn.IFNA(VLOOKUP($BC90,Programma!$F$3:$Q$1107,12,0),"")</f>
        <v/>
      </c>
      <c r="BO90" s="310" t="str">
        <f>_xlfn.IFNA(VLOOKUP($BC90,Programma!$F$3:$R$1107,13,0),"")</f>
        <v/>
      </c>
      <c r="BP90" s="310" t="str">
        <f>_xlfn.IFNA(VLOOKUP($BC90,Programma!$F$3:$S$1107,14,0),"")</f>
        <v/>
      </c>
      <c r="BQ90" s="310" t="str">
        <f>_xlfn.IFNA(VLOOKUP($BC90,Programma!$F$3:$T$1107,15,0),"")</f>
        <v/>
      </c>
      <c r="BR90" s="310" t="str">
        <f>_xlfn.IFNA(VLOOKUP($BC90,Programma!$F$3:$U$1107,16,0),"")</f>
        <v/>
      </c>
      <c r="BS90" s="310" t="str">
        <f>_xlfn.IFNA(VLOOKUP($BC90,Programma!$F$3:$V$1107,17,0),"")</f>
        <v/>
      </c>
      <c r="BT90" s="310" t="str">
        <f>_xlfn.IFNA(VLOOKUP($BC90,Programma!$F$3:$W$1107,18,0),"")</f>
        <v/>
      </c>
      <c r="BU90" s="310" t="str">
        <f>_xlfn.IFNA(VLOOKUP($BC90,Programma!$F$3:$X$1107,19,0),"")</f>
        <v/>
      </c>
      <c r="BV90" s="310" t="str">
        <f>_xlfn.IFNA(VLOOKUP($BC90,Programma!$F$3:$Y$1107,20,0),"")</f>
        <v/>
      </c>
    </row>
    <row r="91" spans="1:74" ht="15" customHeight="1">
      <c r="A91" s="33">
        <v>1</v>
      </c>
      <c r="B91" s="173" t="str">
        <f>VLOOKUP(Ruimtestaat[[#This Row],[Code]],Locaties[[Code]:[Locatie]],2,FALSE)</f>
        <v>CCNV</v>
      </c>
      <c r="C91" s="173" t="str">
        <f>VLOOKUP(Ruimtestaat[[#This Row],[Code]],Locaties[[#All],[Code]:[Adres]],4,FALSE)</f>
        <v>Stationslaan 26</v>
      </c>
      <c r="D91" s="173" t="str">
        <f>VLOOKUP(Ruimtestaat[[#This Row],[Code]],Locaties[[#All],[Code]:[Postcode]],5,FALSE)</f>
        <v>3842 LA</v>
      </c>
      <c r="E91" s="173" t="str">
        <f>VLOOKUP(Ruimtestaat[[#This Row],[Code]],Locaties[#All],6,FALSE)</f>
        <v>Harderwijk</v>
      </c>
      <c r="F91" s="21" t="s">
        <v>1625</v>
      </c>
      <c r="G91" s="33" t="s">
        <v>1613</v>
      </c>
      <c r="H91" s="311" t="s">
        <v>1705</v>
      </c>
      <c r="I91" s="312" t="s">
        <v>1730</v>
      </c>
      <c r="J91" s="33">
        <v>5</v>
      </c>
      <c r="K91" s="69" t="str">
        <f>VLOOKUP(Ruimtestaat[[#This Row],[Ruimte code]],Ruimtegroepen[[#All],[Code]:[Ruimte omschrijving]],2,FALSE)</f>
        <v>Sanitair</v>
      </c>
      <c r="L91" s="33" t="s">
        <v>102</v>
      </c>
      <c r="M91" s="312" t="s">
        <v>1805</v>
      </c>
      <c r="N91" s="148">
        <v>12</v>
      </c>
      <c r="O91" s="150"/>
      <c r="P91" s="134" t="str">
        <f>VLOOKUP(Ruimtestaat[[#This Row],[Ruimte code]],Ruimtegroepen[],4,FALSE)</f>
        <v>Sa</v>
      </c>
      <c r="Q91" s="33">
        <v>40</v>
      </c>
      <c r="R91" s="33" t="s">
        <v>2</v>
      </c>
      <c r="S91" s="33">
        <f>IF(Q91&gt;0,IF(RIGHT(Ruimtestaat[[#This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1" s="33">
        <f>IF(S91&gt;0,VLOOKUP($J91,Ruimtegroepen[],3,FALSE)*VLOOKUP($L91,Vloersoorten[],3,FALSE)*VLOOKUP($R91,Frequenties[],3,FALSE)*VLOOKUP($A91,Locaties[],3,FALSE),0)</f>
        <v>0</v>
      </c>
      <c r="U91" s="33">
        <f>Ruimtestaat[[#This Row],[Uitvoeringen werkdagen]]*Ruimtestaat[[#This Row],[Oppervlak (netto)]]</f>
        <v>2400</v>
      </c>
      <c r="V91" s="170">
        <f>IF(T91&gt;0,Ruimtestaat[[#This Row],[Prest. (m2 /jaar) werkdagen]]/Ruimtestaat[[#This Row],[Norm (m2/uur) werkdagen]],0)</f>
        <v>0</v>
      </c>
      <c r="W91" s="171">
        <f>Ruimtestaat[[#This Row],[uren / jaar werkdagen]]*Tariefsopbouw!$E$35</f>
        <v>0</v>
      </c>
      <c r="X91" s="33"/>
      <c r="Y91" s="33">
        <f>IF(Ruimtestaat[[#This Row],[Frequentie weekend]]&gt;0,VALUE(LEFT(X91,1))*Q91,0)</f>
        <v>0</v>
      </c>
      <c r="Z91" s="104">
        <f>IF($Y91&gt;0,VLOOKUP($J91,Ruimtegroepen[],3,FALSE)*VLOOKUP($L91,Vloersoorten[],3,FALSE)*VLOOKUP($X91,Frequenties[],3,FALSE)*VLOOKUP(Ruimtestaat[[#This Row],[Code]],Locaties[],3,FALSE),0)</f>
        <v>0</v>
      </c>
      <c r="AA91" s="104">
        <f>Ruimtestaat[[#This Row],[Uitvoeringen weekend]]*Ruimtestaat[[#This Row],[Oppervlak (netto)]]</f>
        <v>0</v>
      </c>
      <c r="AB91" s="104">
        <f>IF(Z91&gt;0,Ruimtestaat[[#This Row],[Prest. (m2 /jaar) weekend]]/Ruimtestaat[[#This Row],[Norm (m2/uur) weekend]],0)</f>
        <v>0</v>
      </c>
      <c r="AC91" s="171">
        <f>Ruimtestaat[[#This Row],[uren / jaar weekend]]*Tariefsopbouw!$D$40</f>
        <v>0</v>
      </c>
      <c r="AD91" s="170">
        <f>Ruimtestaat[[#This Row],[Prest. (m2 /jaar) weekend]]+Ruimtestaat[[#This Row],[Prest. (m2 /jaar) werkdagen]]</f>
        <v>2400</v>
      </c>
      <c r="AE91" s="170">
        <f>Ruimtestaat[[#This Row],[uren / jaar weekend]]+Ruimtestaat[[#This Row],[uren / jaar werkdagen]]</f>
        <v>0</v>
      </c>
      <c r="AF91" s="76">
        <f>Ruimtestaat[[#This Row],[kosten / jaar weekend]]+Ruimtestaat[[#This Row],[kosten / jaar werkdagen]]</f>
        <v>0</v>
      </c>
      <c r="AG91" s="76"/>
      <c r="AH91" s="272" t="str">
        <f>IF(Ruimtestaat[[#This Row],[Frequentie werkdagen]]="","",_xlfn.CONCAT(Ruimtestaat[[#This Row],[Ruimte code]],"-",Ruimtestaat[[#This Row],[Frequentie werkdagen]]," ",Ruimtestaat[[#This Row],[Vloer code]]))</f>
        <v>5-5w S</v>
      </c>
      <c r="AI91" s="310" t="str">
        <f>_xlfn.IFNA(VLOOKUP($AH91,Programma!$F$3:$G$1107,2,0),"")</f>
        <v>_</v>
      </c>
      <c r="AJ91" s="310" t="str">
        <f>_xlfn.IFNA(VLOOKUP($AH91,Programma!$F$3:$H$1107,3,0),"")</f>
        <v>_</v>
      </c>
      <c r="AK91" s="310" t="str">
        <f>_xlfn.IFNA(VLOOKUP($AH91,Programma!$F$3:$I$1107,4,0),"")</f>
        <v>_</v>
      </c>
      <c r="AL91" s="310" t="str">
        <f>_xlfn.IFNA(VLOOKUP($AH91,Programma!$F$3:$J$1107,5,0),"")</f>
        <v>4w</v>
      </c>
      <c r="AM91" s="310" t="str">
        <f>_xlfn.IFNA(VLOOKUP($AH91,Programma!$F$3:$K$1107,6,0),"")</f>
        <v>1w</v>
      </c>
      <c r="AN91" s="310" t="str">
        <f>_xlfn.IFNA(VLOOKUP($AH91,Programma!$F$3:$L$1107,7,0),"")</f>
        <v>_</v>
      </c>
      <c r="AO91" s="310" t="str">
        <f>_xlfn.IFNA(VLOOKUP($AH91,Programma!$F$3:$M$1107,8,0),"")</f>
        <v>_</v>
      </c>
      <c r="AP91" s="310" t="str">
        <f>_xlfn.IFNA(VLOOKUP($AH91,Programma!$F$3:$N$1107,9,0),"")</f>
        <v>_</v>
      </c>
      <c r="AQ91" s="310" t="str">
        <f>_xlfn.IFNA(VLOOKUP($AH91,Programma!$F$3:$O$1107,10,0),"")</f>
        <v>_</v>
      </c>
      <c r="AR91" s="310" t="str">
        <f>_xlfn.IFNA(VLOOKUP($AH91,Programma!$F$3:$P$1107,11,0),"")</f>
        <v>_</v>
      </c>
      <c r="AS91" s="310" t="str">
        <f>_xlfn.IFNA(VLOOKUP($AH91,Programma!$F$3:$Q$1107,12,0),"")</f>
        <v>_</v>
      </c>
      <c r="AT91" s="310" t="str">
        <f>_xlfn.IFNA(VLOOKUP($AH91,Programma!$F$3:$R$1107,13,0),"")</f>
        <v>_</v>
      </c>
      <c r="AU91" s="310" t="str">
        <f>_xlfn.IFNA(VLOOKUP($AH91,Programma!$F$3:$S$1107,14,0),"")</f>
        <v>_</v>
      </c>
      <c r="AV91" s="310" t="str">
        <f>_xlfn.IFNA(VLOOKUP($AH91,Programma!$F$3:$T$1107,15,0),"")</f>
        <v>_</v>
      </c>
      <c r="AW91" s="310" t="str">
        <f>_xlfn.IFNA(VLOOKUP($AH91,Programma!$F$3:$U$1107,16,0),"")</f>
        <v>_</v>
      </c>
      <c r="AX91" s="310" t="str">
        <f>_xlfn.IFNA(VLOOKUP($AH91,Programma!$F$3:$V$1107,17,0),"")</f>
        <v>_</v>
      </c>
      <c r="AY91" s="310" t="str">
        <f>_xlfn.IFNA(VLOOKUP($AH91,Programma!$F$3:$W$1107,18,0),"")</f>
        <v>4w</v>
      </c>
      <c r="AZ91" s="310" t="str">
        <f>_xlfn.IFNA(VLOOKUP($AH91,Programma!$F$3:$X$1107,19,0),"")</f>
        <v>1w</v>
      </c>
      <c r="BA91" s="310" t="str">
        <f>_xlfn.IFNA(VLOOKUP($AH91,Programma!$F$3:$Y$1107,20,0),"")</f>
        <v>_</v>
      </c>
      <c r="BB91" s="273"/>
      <c r="BC91" s="272" t="str">
        <f>IF(Ruimtestaat[[#This Row],[Frequentie weekend]]="","",_xlfn.CONCAT(Ruimtestaat[[#This Row],[Ruimte code]],"-",Ruimtestaat[[#This Row],[Frequentie weekend]]," ",Ruimtestaat[[#This Row],[Vloer code]]))</f>
        <v/>
      </c>
      <c r="BD91" s="310" t="str">
        <f>_xlfn.IFNA(VLOOKUP($BC91,Programma!$F$3:$G$1107,2,0),"")</f>
        <v/>
      </c>
      <c r="BE91" s="310" t="str">
        <f>_xlfn.IFNA(VLOOKUP($BC91,Programma!$F$3:$H$1107,3,0),"")</f>
        <v/>
      </c>
      <c r="BF91" s="310" t="str">
        <f>_xlfn.IFNA(VLOOKUP($BC91,Programma!$F$3:$I$1107,4,0),"")</f>
        <v/>
      </c>
      <c r="BG91" s="310" t="str">
        <f>_xlfn.IFNA(VLOOKUP($BC91,Programma!$F$3:$J$1107,5,0),"")</f>
        <v/>
      </c>
      <c r="BH91" s="310" t="str">
        <f>_xlfn.IFNA(VLOOKUP($BC91,Programma!$F$3:$K$1107,6,0),"")</f>
        <v/>
      </c>
      <c r="BI91" s="310" t="str">
        <f>_xlfn.IFNA(VLOOKUP($BC91,Programma!$F$3:$L$1107,7,0),"")</f>
        <v/>
      </c>
      <c r="BJ91" s="310" t="str">
        <f>_xlfn.IFNA(VLOOKUP($BC91,Programma!$F$3:$M$1107,8,0),"")</f>
        <v/>
      </c>
      <c r="BK91" s="310" t="str">
        <f>_xlfn.IFNA(VLOOKUP($BC91,Programma!$F$3:$N$1107,9,0),"")</f>
        <v/>
      </c>
      <c r="BL91" s="310" t="str">
        <f>_xlfn.IFNA(VLOOKUP($BC91,Programma!$F$3:$O$1107,10,0),"")</f>
        <v/>
      </c>
      <c r="BM91" s="310" t="str">
        <f>_xlfn.IFNA(VLOOKUP($BC91,Programma!$F$3:$P$1107,11,0),"")</f>
        <v/>
      </c>
      <c r="BN91" s="310" t="str">
        <f>_xlfn.IFNA(VLOOKUP($BC91,Programma!$F$3:$Q$1107,12,0),"")</f>
        <v/>
      </c>
      <c r="BO91" s="310" t="str">
        <f>_xlfn.IFNA(VLOOKUP($BC91,Programma!$F$3:$R$1107,13,0),"")</f>
        <v/>
      </c>
      <c r="BP91" s="310" t="str">
        <f>_xlfn.IFNA(VLOOKUP($BC91,Programma!$F$3:$S$1107,14,0),"")</f>
        <v/>
      </c>
      <c r="BQ91" s="310" t="str">
        <f>_xlfn.IFNA(VLOOKUP($BC91,Programma!$F$3:$T$1107,15,0),"")</f>
        <v/>
      </c>
      <c r="BR91" s="310" t="str">
        <f>_xlfn.IFNA(VLOOKUP($BC91,Programma!$F$3:$U$1107,16,0),"")</f>
        <v/>
      </c>
      <c r="BS91" s="310" t="str">
        <f>_xlfn.IFNA(VLOOKUP($BC91,Programma!$F$3:$V$1107,17,0),"")</f>
        <v/>
      </c>
      <c r="BT91" s="310" t="str">
        <f>_xlfn.IFNA(VLOOKUP($BC91,Programma!$F$3:$W$1107,18,0),"")</f>
        <v/>
      </c>
      <c r="BU91" s="310" t="str">
        <f>_xlfn.IFNA(VLOOKUP($BC91,Programma!$F$3:$X$1107,19,0),"")</f>
        <v/>
      </c>
      <c r="BV91" s="310" t="str">
        <f>_xlfn.IFNA(VLOOKUP($BC91,Programma!$F$3:$Y$1107,20,0),"")</f>
        <v/>
      </c>
    </row>
    <row r="92" spans="1:74" ht="15" customHeight="1">
      <c r="A92" s="33">
        <v>1</v>
      </c>
      <c r="B92" s="173" t="str">
        <f>VLOOKUP(Ruimtestaat[[#This Row],[Code]],Locaties[[Code]:[Locatie]],2,FALSE)</f>
        <v>CCNV</v>
      </c>
      <c r="C92" s="173" t="str">
        <f>VLOOKUP(Ruimtestaat[[#This Row],[Code]],Locaties[[#All],[Code]:[Adres]],4,FALSE)</f>
        <v>Stationslaan 26</v>
      </c>
      <c r="D92" s="173" t="str">
        <f>VLOOKUP(Ruimtestaat[[#This Row],[Code]],Locaties[[#All],[Code]:[Postcode]],5,FALSE)</f>
        <v>3842 LA</v>
      </c>
      <c r="E92" s="173" t="str">
        <f>VLOOKUP(Ruimtestaat[[#This Row],[Code]],Locaties[#All],6,FALSE)</f>
        <v>Harderwijk</v>
      </c>
      <c r="F92" s="21" t="s">
        <v>1625</v>
      </c>
      <c r="G92" s="33" t="s">
        <v>1613</v>
      </c>
      <c r="H92" s="311" t="s">
        <v>1706</v>
      </c>
      <c r="I92" s="312" t="s">
        <v>1730</v>
      </c>
      <c r="J92" s="21">
        <v>5</v>
      </c>
      <c r="K92" s="69" t="str">
        <f>VLOOKUP(Ruimtestaat[[#This Row],[Ruimte code]],Ruimtegroepen[[#All],[Code]:[Ruimte omschrijving]],2,FALSE)</f>
        <v>Sanitair</v>
      </c>
      <c r="L92" s="33" t="s">
        <v>102</v>
      </c>
      <c r="M92" s="312" t="s">
        <v>1805</v>
      </c>
      <c r="N92" s="148">
        <v>12</v>
      </c>
      <c r="O92" s="150"/>
      <c r="P92" s="134" t="str">
        <f>VLOOKUP(Ruimtestaat[[#This Row],[Ruimte code]],Ruimtegroepen[],4,FALSE)</f>
        <v>Sa</v>
      </c>
      <c r="Q92" s="33">
        <v>40</v>
      </c>
      <c r="R92" s="33" t="s">
        <v>2</v>
      </c>
      <c r="S92" s="33">
        <f>IF(Q92&gt;0,IF(RIGHT(Ruimtestaat[[#This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2" s="33">
        <f>IF(S92&gt;0,VLOOKUP($J92,Ruimtegroepen[],3,FALSE)*VLOOKUP($L92,Vloersoorten[],3,FALSE)*VLOOKUP($R92,Frequenties[],3,FALSE)*VLOOKUP($A92,Locaties[],3,FALSE),0)</f>
        <v>0</v>
      </c>
      <c r="U92" s="33">
        <f>Ruimtestaat[[#This Row],[Uitvoeringen werkdagen]]*Ruimtestaat[[#This Row],[Oppervlak (netto)]]</f>
        <v>2400</v>
      </c>
      <c r="V92" s="170">
        <f>IF(T92&gt;0,Ruimtestaat[[#This Row],[Prest. (m2 /jaar) werkdagen]]/Ruimtestaat[[#This Row],[Norm (m2/uur) werkdagen]],0)</f>
        <v>0</v>
      </c>
      <c r="W92" s="171">
        <f>Ruimtestaat[[#This Row],[uren / jaar werkdagen]]*Tariefsopbouw!$E$35</f>
        <v>0</v>
      </c>
      <c r="X92" s="33"/>
      <c r="Y92" s="33">
        <f>IF(Ruimtestaat[[#This Row],[Frequentie weekend]]&gt;0,VALUE(LEFT(X92,1))*Q92,0)</f>
        <v>0</v>
      </c>
      <c r="Z92" s="104">
        <f>IF($Y92&gt;0,VLOOKUP($J92,Ruimtegroepen[],3,FALSE)*VLOOKUP($L92,Vloersoorten[],3,FALSE)*VLOOKUP($X92,Frequenties[],3,FALSE)*VLOOKUP(Ruimtestaat[[#This Row],[Code]],Locaties[],3,FALSE),0)</f>
        <v>0</v>
      </c>
      <c r="AA92" s="104">
        <f>Ruimtestaat[[#This Row],[Uitvoeringen weekend]]*Ruimtestaat[[#This Row],[Oppervlak (netto)]]</f>
        <v>0</v>
      </c>
      <c r="AB92" s="104">
        <f>IF(Z92&gt;0,Ruimtestaat[[#This Row],[Prest. (m2 /jaar) weekend]]/Ruimtestaat[[#This Row],[Norm (m2/uur) weekend]],0)</f>
        <v>0</v>
      </c>
      <c r="AC92" s="171">
        <f>Ruimtestaat[[#This Row],[uren / jaar weekend]]*Tariefsopbouw!$D$40</f>
        <v>0</v>
      </c>
      <c r="AD92" s="170">
        <f>Ruimtestaat[[#This Row],[Prest. (m2 /jaar) weekend]]+Ruimtestaat[[#This Row],[Prest. (m2 /jaar) werkdagen]]</f>
        <v>2400</v>
      </c>
      <c r="AE92" s="170">
        <f>Ruimtestaat[[#This Row],[uren / jaar weekend]]+Ruimtestaat[[#This Row],[uren / jaar werkdagen]]</f>
        <v>0</v>
      </c>
      <c r="AF92" s="76">
        <f>Ruimtestaat[[#This Row],[kosten / jaar weekend]]+Ruimtestaat[[#This Row],[kosten / jaar werkdagen]]</f>
        <v>0</v>
      </c>
      <c r="AG92" s="76"/>
      <c r="AH92" s="272" t="str">
        <f>IF(Ruimtestaat[[#This Row],[Frequentie werkdagen]]="","",_xlfn.CONCAT(Ruimtestaat[[#This Row],[Ruimte code]],"-",Ruimtestaat[[#This Row],[Frequentie werkdagen]]," ",Ruimtestaat[[#This Row],[Vloer code]]))</f>
        <v>5-5w S</v>
      </c>
      <c r="AI92" s="310" t="str">
        <f>_xlfn.IFNA(VLOOKUP($AH92,Programma!$F$3:$G$1107,2,0),"")</f>
        <v>_</v>
      </c>
      <c r="AJ92" s="310" t="str">
        <f>_xlfn.IFNA(VLOOKUP($AH92,Programma!$F$3:$H$1107,3,0),"")</f>
        <v>_</v>
      </c>
      <c r="AK92" s="310" t="str">
        <f>_xlfn.IFNA(VLOOKUP($AH92,Programma!$F$3:$I$1107,4,0),"")</f>
        <v>_</v>
      </c>
      <c r="AL92" s="310" t="str">
        <f>_xlfn.IFNA(VLOOKUP($AH92,Programma!$F$3:$J$1107,5,0),"")</f>
        <v>4w</v>
      </c>
      <c r="AM92" s="310" t="str">
        <f>_xlfn.IFNA(VLOOKUP($AH92,Programma!$F$3:$K$1107,6,0),"")</f>
        <v>1w</v>
      </c>
      <c r="AN92" s="310" t="str">
        <f>_xlfn.IFNA(VLOOKUP($AH92,Programma!$F$3:$L$1107,7,0),"")</f>
        <v>_</v>
      </c>
      <c r="AO92" s="310" t="str">
        <f>_xlfn.IFNA(VLOOKUP($AH92,Programma!$F$3:$M$1107,8,0),"")</f>
        <v>_</v>
      </c>
      <c r="AP92" s="310" t="str">
        <f>_xlfn.IFNA(VLOOKUP($AH92,Programma!$F$3:$N$1107,9,0),"")</f>
        <v>_</v>
      </c>
      <c r="AQ92" s="310" t="str">
        <f>_xlfn.IFNA(VLOOKUP($AH92,Programma!$F$3:$O$1107,10,0),"")</f>
        <v>_</v>
      </c>
      <c r="AR92" s="310" t="str">
        <f>_xlfn.IFNA(VLOOKUP($AH92,Programma!$F$3:$P$1107,11,0),"")</f>
        <v>_</v>
      </c>
      <c r="AS92" s="310" t="str">
        <f>_xlfn.IFNA(VLOOKUP($AH92,Programma!$F$3:$Q$1107,12,0),"")</f>
        <v>_</v>
      </c>
      <c r="AT92" s="310" t="str">
        <f>_xlfn.IFNA(VLOOKUP($AH92,Programma!$F$3:$R$1107,13,0),"")</f>
        <v>_</v>
      </c>
      <c r="AU92" s="310" t="str">
        <f>_xlfn.IFNA(VLOOKUP($AH92,Programma!$F$3:$S$1107,14,0),"")</f>
        <v>_</v>
      </c>
      <c r="AV92" s="310" t="str">
        <f>_xlfn.IFNA(VLOOKUP($AH92,Programma!$F$3:$T$1107,15,0),"")</f>
        <v>_</v>
      </c>
      <c r="AW92" s="310" t="str">
        <f>_xlfn.IFNA(VLOOKUP($AH92,Programma!$F$3:$U$1107,16,0),"")</f>
        <v>_</v>
      </c>
      <c r="AX92" s="310" t="str">
        <f>_xlfn.IFNA(VLOOKUP($AH92,Programma!$F$3:$V$1107,17,0),"")</f>
        <v>_</v>
      </c>
      <c r="AY92" s="310" t="str">
        <f>_xlfn.IFNA(VLOOKUP($AH92,Programma!$F$3:$W$1107,18,0),"")</f>
        <v>4w</v>
      </c>
      <c r="AZ92" s="310" t="str">
        <f>_xlfn.IFNA(VLOOKUP($AH92,Programma!$F$3:$X$1107,19,0),"")</f>
        <v>1w</v>
      </c>
      <c r="BA92" s="310" t="str">
        <f>_xlfn.IFNA(VLOOKUP($AH92,Programma!$F$3:$Y$1107,20,0),"")</f>
        <v>_</v>
      </c>
      <c r="BB92" s="273"/>
      <c r="BC92" s="272" t="str">
        <f>IF(Ruimtestaat[[#This Row],[Frequentie weekend]]="","",_xlfn.CONCAT(Ruimtestaat[[#This Row],[Ruimte code]],"-",Ruimtestaat[[#This Row],[Frequentie weekend]]," ",Ruimtestaat[[#This Row],[Vloer code]]))</f>
        <v/>
      </c>
      <c r="BD92" s="310" t="str">
        <f>_xlfn.IFNA(VLOOKUP($BC92,Programma!$F$3:$G$1107,2,0),"")</f>
        <v/>
      </c>
      <c r="BE92" s="310" t="str">
        <f>_xlfn.IFNA(VLOOKUP($BC92,Programma!$F$3:$H$1107,3,0),"")</f>
        <v/>
      </c>
      <c r="BF92" s="310" t="str">
        <f>_xlfn.IFNA(VLOOKUP($BC92,Programma!$F$3:$I$1107,4,0),"")</f>
        <v/>
      </c>
      <c r="BG92" s="310" t="str">
        <f>_xlfn.IFNA(VLOOKUP($BC92,Programma!$F$3:$J$1107,5,0),"")</f>
        <v/>
      </c>
      <c r="BH92" s="310" t="str">
        <f>_xlfn.IFNA(VLOOKUP($BC92,Programma!$F$3:$K$1107,6,0),"")</f>
        <v/>
      </c>
      <c r="BI92" s="310" t="str">
        <f>_xlfn.IFNA(VLOOKUP($BC92,Programma!$F$3:$L$1107,7,0),"")</f>
        <v/>
      </c>
      <c r="BJ92" s="310" t="str">
        <f>_xlfn.IFNA(VLOOKUP($BC92,Programma!$F$3:$M$1107,8,0),"")</f>
        <v/>
      </c>
      <c r="BK92" s="310" t="str">
        <f>_xlfn.IFNA(VLOOKUP($BC92,Programma!$F$3:$N$1107,9,0),"")</f>
        <v/>
      </c>
      <c r="BL92" s="310" t="str">
        <f>_xlfn.IFNA(VLOOKUP($BC92,Programma!$F$3:$O$1107,10,0),"")</f>
        <v/>
      </c>
      <c r="BM92" s="310" t="str">
        <f>_xlfn.IFNA(VLOOKUP($BC92,Programma!$F$3:$P$1107,11,0),"")</f>
        <v/>
      </c>
      <c r="BN92" s="310" t="str">
        <f>_xlfn.IFNA(VLOOKUP($BC92,Programma!$F$3:$Q$1107,12,0),"")</f>
        <v/>
      </c>
      <c r="BO92" s="310" t="str">
        <f>_xlfn.IFNA(VLOOKUP($BC92,Programma!$F$3:$R$1107,13,0),"")</f>
        <v/>
      </c>
      <c r="BP92" s="310" t="str">
        <f>_xlfn.IFNA(VLOOKUP($BC92,Programma!$F$3:$S$1107,14,0),"")</f>
        <v/>
      </c>
      <c r="BQ92" s="310" t="str">
        <f>_xlfn.IFNA(VLOOKUP($BC92,Programma!$F$3:$T$1107,15,0),"")</f>
        <v/>
      </c>
      <c r="BR92" s="310" t="str">
        <f>_xlfn.IFNA(VLOOKUP($BC92,Programma!$F$3:$U$1107,16,0),"")</f>
        <v/>
      </c>
      <c r="BS92" s="310" t="str">
        <f>_xlfn.IFNA(VLOOKUP($BC92,Programma!$F$3:$V$1107,17,0),"")</f>
        <v/>
      </c>
      <c r="BT92" s="310" t="str">
        <f>_xlfn.IFNA(VLOOKUP($BC92,Programma!$F$3:$W$1107,18,0),"")</f>
        <v/>
      </c>
      <c r="BU92" s="310" t="str">
        <f>_xlfn.IFNA(VLOOKUP($BC92,Programma!$F$3:$X$1107,19,0),"")</f>
        <v/>
      </c>
      <c r="BV92" s="310" t="str">
        <f>_xlfn.IFNA(VLOOKUP($BC92,Programma!$F$3:$Y$1107,20,0),"")</f>
        <v/>
      </c>
    </row>
    <row r="93" spans="1:74" ht="15" customHeight="1">
      <c r="A93" s="33">
        <v>1</v>
      </c>
      <c r="B93" s="173" t="str">
        <f>VLOOKUP(Ruimtestaat[[#This Row],[Code]],Locaties[[Code]:[Locatie]],2,FALSE)</f>
        <v>CCNV</v>
      </c>
      <c r="C93" s="173" t="str">
        <f>VLOOKUP(Ruimtestaat[[#This Row],[Code]],Locaties[[#All],[Code]:[Adres]],4,FALSE)</f>
        <v>Stationslaan 26</v>
      </c>
      <c r="D93" s="173" t="str">
        <f>VLOOKUP(Ruimtestaat[[#This Row],[Code]],Locaties[[#All],[Code]:[Postcode]],5,FALSE)</f>
        <v>3842 LA</v>
      </c>
      <c r="E93" s="173" t="str">
        <f>VLOOKUP(Ruimtestaat[[#This Row],[Code]],Locaties[#All],6,FALSE)</f>
        <v>Harderwijk</v>
      </c>
      <c r="F93" s="21" t="s">
        <v>1625</v>
      </c>
      <c r="G93" s="33" t="s">
        <v>1613</v>
      </c>
      <c r="H93" s="311"/>
      <c r="I93" s="312" t="s">
        <v>1766</v>
      </c>
      <c r="J93" s="21">
        <v>6</v>
      </c>
      <c r="K93" s="69" t="str">
        <f>VLOOKUP(Ruimtestaat[[#This Row],[Ruimte code]],Ruimtegroepen[[#All],[Code]:[Ruimte omschrijving]],2,FALSE)</f>
        <v>Gangen/hallen</v>
      </c>
      <c r="L93" s="33" t="s">
        <v>102</v>
      </c>
      <c r="M93" s="312" t="s">
        <v>1805</v>
      </c>
      <c r="N93" s="148">
        <v>126</v>
      </c>
      <c r="O93" s="33"/>
      <c r="P93" s="134" t="str">
        <f>VLOOKUP(Ruimtestaat[[#This Row],[Ruimte code]],Ruimtegroepen[],4,FALSE)</f>
        <v>Ve</v>
      </c>
      <c r="Q93" s="33">
        <v>40</v>
      </c>
      <c r="R93" s="33" t="s">
        <v>2</v>
      </c>
      <c r="S93" s="33">
        <f>IF(Q93&gt;0,IF(RIGHT(Ruimtestaat[[#This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3" s="33">
        <f>IF(S93&gt;0,VLOOKUP($J93,Ruimtegroepen[],3,FALSE)*VLOOKUP($L93,Vloersoorten[],3,FALSE)*VLOOKUP($R93,Frequenties[],3,FALSE)*VLOOKUP($A93,Locaties[],3,FALSE),0)</f>
        <v>0</v>
      </c>
      <c r="U93" s="33">
        <f>Ruimtestaat[[#This Row],[Uitvoeringen werkdagen]]*Ruimtestaat[[#This Row],[Oppervlak (netto)]]</f>
        <v>25200</v>
      </c>
      <c r="V93" s="170">
        <f>IF(T93&gt;0,Ruimtestaat[[#This Row],[Prest. (m2 /jaar) werkdagen]]/Ruimtestaat[[#This Row],[Norm (m2/uur) werkdagen]],0)</f>
        <v>0</v>
      </c>
      <c r="W93" s="171">
        <f>Ruimtestaat[[#This Row],[uren / jaar werkdagen]]*Tariefsopbouw!$E$35</f>
        <v>0</v>
      </c>
      <c r="X93" s="33"/>
      <c r="Y93" s="33">
        <f>IF(Ruimtestaat[[#This Row],[Frequentie weekend]]&gt;0,VALUE(LEFT(X93,1))*Q93,0)</f>
        <v>0</v>
      </c>
      <c r="Z93" s="104">
        <f>IF($Y93&gt;0,VLOOKUP($J93,Ruimtegroepen[],3,FALSE)*VLOOKUP($L93,Vloersoorten[],3,FALSE)*VLOOKUP($X93,Frequenties[],3,FALSE)*VLOOKUP(Ruimtestaat[[#This Row],[Code]],Locaties[],3,FALSE),0)</f>
        <v>0</v>
      </c>
      <c r="AA93" s="104">
        <f>Ruimtestaat[[#This Row],[Uitvoeringen weekend]]*Ruimtestaat[[#This Row],[Oppervlak (netto)]]</f>
        <v>0</v>
      </c>
      <c r="AB93" s="104">
        <f>IF(Z93&gt;0,Ruimtestaat[[#This Row],[Prest. (m2 /jaar) weekend]]/Ruimtestaat[[#This Row],[Norm (m2/uur) weekend]],0)</f>
        <v>0</v>
      </c>
      <c r="AC93" s="171">
        <f>Ruimtestaat[[#This Row],[uren / jaar weekend]]*Tariefsopbouw!$D$40</f>
        <v>0</v>
      </c>
      <c r="AD93" s="170">
        <f>Ruimtestaat[[#This Row],[Prest. (m2 /jaar) weekend]]+Ruimtestaat[[#This Row],[Prest. (m2 /jaar) werkdagen]]</f>
        <v>25200</v>
      </c>
      <c r="AE93" s="170">
        <f>Ruimtestaat[[#This Row],[uren / jaar weekend]]+Ruimtestaat[[#This Row],[uren / jaar werkdagen]]</f>
        <v>0</v>
      </c>
      <c r="AF93" s="76">
        <f>Ruimtestaat[[#This Row],[kosten / jaar weekend]]+Ruimtestaat[[#This Row],[kosten / jaar werkdagen]]</f>
        <v>0</v>
      </c>
      <c r="AG93" s="76"/>
      <c r="AH93" s="272" t="str">
        <f>IF(Ruimtestaat[[#This Row],[Frequentie werkdagen]]="","",_xlfn.CONCAT(Ruimtestaat[[#This Row],[Ruimte code]],"-",Ruimtestaat[[#This Row],[Frequentie werkdagen]]," ",Ruimtestaat[[#This Row],[Vloer code]]))</f>
        <v>6-5w S</v>
      </c>
      <c r="AI93" s="310" t="str">
        <f>_xlfn.IFNA(VLOOKUP($AH93,Programma!$F$3:$G$1107,2,0),"")</f>
        <v>_</v>
      </c>
      <c r="AJ93" s="310" t="str">
        <f>_xlfn.IFNA(VLOOKUP($AH93,Programma!$F$3:$H$1107,3,0),"")</f>
        <v>_</v>
      </c>
      <c r="AK93" s="310" t="str">
        <f>_xlfn.IFNA(VLOOKUP($AH93,Programma!$F$3:$I$1107,4,0),"")</f>
        <v>5w</v>
      </c>
      <c r="AL93" s="310" t="str">
        <f>_xlfn.IFNA(VLOOKUP($AH93,Programma!$F$3:$J$1107,5,0),"")</f>
        <v>_</v>
      </c>
      <c r="AM93" s="310" t="str">
        <f>_xlfn.IFNA(VLOOKUP($AH93,Programma!$F$3:$K$1107,6,0),"")</f>
        <v>5w</v>
      </c>
      <c r="AN93" s="310" t="str">
        <f>_xlfn.IFNA(VLOOKUP($AH93,Programma!$F$3:$L$1107,7,0),"")</f>
        <v>_</v>
      </c>
      <c r="AO93" s="310" t="str">
        <f>_xlfn.IFNA(VLOOKUP($AH93,Programma!$F$3:$M$1107,8,0),"")</f>
        <v>_</v>
      </c>
      <c r="AP93" s="310" t="str">
        <f>_xlfn.IFNA(VLOOKUP($AH93,Programma!$F$3:$N$1107,9,0),"")</f>
        <v>_</v>
      </c>
      <c r="AQ93" s="310" t="str">
        <f>_xlfn.IFNA(VLOOKUP($AH93,Programma!$F$3:$O$1107,10,0),"")</f>
        <v>5w</v>
      </c>
      <c r="AR93" s="310" t="str">
        <f>_xlfn.IFNA(VLOOKUP($AH93,Programma!$F$3:$P$1107,11,0),"")</f>
        <v>5w</v>
      </c>
      <c r="AS93" s="310" t="str">
        <f>_xlfn.IFNA(VLOOKUP($AH93,Programma!$F$3:$Q$1107,12,0),"")</f>
        <v>1w</v>
      </c>
      <c r="AT93" s="310" t="str">
        <f>_xlfn.IFNA(VLOOKUP($AH93,Programma!$F$3:$R$1107,13,0),"")</f>
        <v>1w</v>
      </c>
      <c r="AU93" s="310" t="str">
        <f>_xlfn.IFNA(VLOOKUP($AH93,Programma!$F$3:$S$1107,14,0),"")</f>
        <v>1m</v>
      </c>
      <c r="AV93" s="310" t="str">
        <f>_xlfn.IFNA(VLOOKUP($AH93,Programma!$F$3:$T$1107,15,0),"")</f>
        <v>2j</v>
      </c>
      <c r="AW93" s="310" t="str">
        <f>_xlfn.IFNA(VLOOKUP($AH93,Programma!$F$3:$U$1107,16,0),"")</f>
        <v>1j</v>
      </c>
      <c r="AX93" s="310" t="str">
        <f>_xlfn.IFNA(VLOOKUP($AH93,Programma!$F$3:$V$1107,17,0),"")</f>
        <v>_</v>
      </c>
      <c r="AY93" s="310" t="str">
        <f>_xlfn.IFNA(VLOOKUP($AH93,Programma!$F$3:$W$1107,18,0),"")</f>
        <v>_</v>
      </c>
      <c r="AZ93" s="310" t="str">
        <f>_xlfn.IFNA(VLOOKUP($AH93,Programma!$F$3:$X$1107,19,0),"")</f>
        <v>_</v>
      </c>
      <c r="BA93" s="310" t="str">
        <f>_xlfn.IFNA(VLOOKUP($AH93,Programma!$F$3:$Y$1107,20,0),"")</f>
        <v>_</v>
      </c>
      <c r="BB93" s="273"/>
      <c r="BC93" s="272" t="str">
        <f>IF(Ruimtestaat[[#This Row],[Frequentie weekend]]="","",_xlfn.CONCAT(Ruimtestaat[[#This Row],[Ruimte code]],"-",Ruimtestaat[[#This Row],[Frequentie weekend]]," ",Ruimtestaat[[#This Row],[Vloer code]]))</f>
        <v/>
      </c>
      <c r="BD93" s="310" t="str">
        <f>_xlfn.IFNA(VLOOKUP($BC93,Programma!$F$3:$G$1107,2,0),"")</f>
        <v/>
      </c>
      <c r="BE93" s="310" t="str">
        <f>_xlfn.IFNA(VLOOKUP($BC93,Programma!$F$3:$H$1107,3,0),"")</f>
        <v/>
      </c>
      <c r="BF93" s="310" t="str">
        <f>_xlfn.IFNA(VLOOKUP($BC93,Programma!$F$3:$I$1107,4,0),"")</f>
        <v/>
      </c>
      <c r="BG93" s="310" t="str">
        <f>_xlfn.IFNA(VLOOKUP($BC93,Programma!$F$3:$J$1107,5,0),"")</f>
        <v/>
      </c>
      <c r="BH93" s="310" t="str">
        <f>_xlfn.IFNA(VLOOKUP($BC93,Programma!$F$3:$K$1107,6,0),"")</f>
        <v/>
      </c>
      <c r="BI93" s="310" t="str">
        <f>_xlfn.IFNA(VLOOKUP($BC93,Programma!$F$3:$L$1107,7,0),"")</f>
        <v/>
      </c>
      <c r="BJ93" s="310" t="str">
        <f>_xlfn.IFNA(VLOOKUP($BC93,Programma!$F$3:$M$1107,8,0),"")</f>
        <v/>
      </c>
      <c r="BK93" s="310" t="str">
        <f>_xlfn.IFNA(VLOOKUP($BC93,Programma!$F$3:$N$1107,9,0),"")</f>
        <v/>
      </c>
      <c r="BL93" s="310" t="str">
        <f>_xlfn.IFNA(VLOOKUP($BC93,Programma!$F$3:$O$1107,10,0),"")</f>
        <v/>
      </c>
      <c r="BM93" s="310" t="str">
        <f>_xlfn.IFNA(VLOOKUP($BC93,Programma!$F$3:$P$1107,11,0),"")</f>
        <v/>
      </c>
      <c r="BN93" s="310" t="str">
        <f>_xlfn.IFNA(VLOOKUP($BC93,Programma!$F$3:$Q$1107,12,0),"")</f>
        <v/>
      </c>
      <c r="BO93" s="310" t="str">
        <f>_xlfn.IFNA(VLOOKUP($BC93,Programma!$F$3:$R$1107,13,0),"")</f>
        <v/>
      </c>
      <c r="BP93" s="310" t="str">
        <f>_xlfn.IFNA(VLOOKUP($BC93,Programma!$F$3:$S$1107,14,0),"")</f>
        <v/>
      </c>
      <c r="BQ93" s="310" t="str">
        <f>_xlfn.IFNA(VLOOKUP($BC93,Programma!$F$3:$T$1107,15,0),"")</f>
        <v/>
      </c>
      <c r="BR93" s="310" t="str">
        <f>_xlfn.IFNA(VLOOKUP($BC93,Programma!$F$3:$U$1107,16,0),"")</f>
        <v/>
      </c>
      <c r="BS93" s="310" t="str">
        <f>_xlfn.IFNA(VLOOKUP($BC93,Programma!$F$3:$V$1107,17,0),"")</f>
        <v/>
      </c>
      <c r="BT93" s="310" t="str">
        <f>_xlfn.IFNA(VLOOKUP($BC93,Programma!$F$3:$W$1107,18,0),"")</f>
        <v/>
      </c>
      <c r="BU93" s="310" t="str">
        <f>_xlfn.IFNA(VLOOKUP($BC93,Programma!$F$3:$X$1107,19,0),"")</f>
        <v/>
      </c>
      <c r="BV93" s="310" t="str">
        <f>_xlfn.IFNA(VLOOKUP($BC93,Programma!$F$3:$Y$1107,20,0),"")</f>
        <v/>
      </c>
    </row>
    <row r="94" spans="1:74" ht="15" customHeight="1">
      <c r="A94" s="33">
        <v>1</v>
      </c>
      <c r="B94" s="173" t="str">
        <f>VLOOKUP(Ruimtestaat[[#This Row],[Code]],Locaties[[Code]:[Locatie]],2,FALSE)</f>
        <v>CCNV</v>
      </c>
      <c r="C94" s="173" t="str">
        <f>VLOOKUP(Ruimtestaat[[#This Row],[Code]],Locaties[[#All],[Code]:[Adres]],4,FALSE)</f>
        <v>Stationslaan 26</v>
      </c>
      <c r="D94" s="173" t="str">
        <f>VLOOKUP(Ruimtestaat[[#This Row],[Code]],Locaties[[#All],[Code]:[Postcode]],5,FALSE)</f>
        <v>3842 LA</v>
      </c>
      <c r="E94" s="173" t="str">
        <f>VLOOKUP(Ruimtestaat[[#This Row],[Code]],Locaties[#All],6,FALSE)</f>
        <v>Harderwijk</v>
      </c>
      <c r="F94" s="21" t="s">
        <v>1625</v>
      </c>
      <c r="G94" s="33" t="s">
        <v>1613</v>
      </c>
      <c r="H94" s="311"/>
      <c r="I94" s="312" t="s">
        <v>1766</v>
      </c>
      <c r="J94" s="21">
        <v>6</v>
      </c>
      <c r="K94" s="69" t="str">
        <f>VLOOKUP(Ruimtestaat[[#This Row],[Ruimte code]],Ruimtegroepen[[#All],[Code]:[Ruimte omschrijving]],2,FALSE)</f>
        <v>Gangen/hallen</v>
      </c>
      <c r="L94" s="33" t="s">
        <v>1817</v>
      </c>
      <c r="M94" s="312" t="s">
        <v>1802</v>
      </c>
      <c r="N94" s="148">
        <v>33</v>
      </c>
      <c r="O94" s="150"/>
      <c r="P94" s="134" t="str">
        <f>VLOOKUP(Ruimtestaat[[#This Row],[Ruimte code]],Ruimtegroepen[],4,FALSE)</f>
        <v>Ve</v>
      </c>
      <c r="Q94" s="33">
        <v>40</v>
      </c>
      <c r="R94" s="33" t="s">
        <v>2</v>
      </c>
      <c r="S94" s="33">
        <f>IF(Q94&gt;0,IF(RIGHT(Ruimtestaat[[#This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4" s="33">
        <f>IF(S94&gt;0,VLOOKUP($J94,Ruimtegroepen[],3,FALSE)*VLOOKUP($L94,Vloersoorten[],3,FALSE)*VLOOKUP($R94,Frequenties[],3,FALSE)*VLOOKUP($A94,Locaties[],3,FALSE),0)</f>
        <v>0</v>
      </c>
      <c r="U94" s="33">
        <f>Ruimtestaat[[#This Row],[Uitvoeringen werkdagen]]*Ruimtestaat[[#This Row],[Oppervlak (netto)]]</f>
        <v>6600</v>
      </c>
      <c r="V94" s="170">
        <f>IF(T94&gt;0,Ruimtestaat[[#This Row],[Prest. (m2 /jaar) werkdagen]]/Ruimtestaat[[#This Row],[Norm (m2/uur) werkdagen]],0)</f>
        <v>0</v>
      </c>
      <c r="W94" s="171">
        <f>Ruimtestaat[[#This Row],[uren / jaar werkdagen]]*Tariefsopbouw!$E$35</f>
        <v>0</v>
      </c>
      <c r="X94" s="33"/>
      <c r="Y94" s="33">
        <f>IF(Ruimtestaat[[#This Row],[Frequentie weekend]]&gt;0,VALUE(LEFT(X94,1))*Q94,0)</f>
        <v>0</v>
      </c>
      <c r="Z94" s="104">
        <f>IF($Y94&gt;0,VLOOKUP($J94,Ruimtegroepen[],3,FALSE)*VLOOKUP($L94,Vloersoorten[],3,FALSE)*VLOOKUP($X94,Frequenties[],3,FALSE)*VLOOKUP(Ruimtestaat[[#This Row],[Code]],Locaties[],3,FALSE),0)</f>
        <v>0</v>
      </c>
      <c r="AA94" s="104">
        <f>Ruimtestaat[[#This Row],[Uitvoeringen weekend]]*Ruimtestaat[[#This Row],[Oppervlak (netto)]]</f>
        <v>0</v>
      </c>
      <c r="AB94" s="104">
        <f>IF(Z94&gt;0,Ruimtestaat[[#This Row],[Prest. (m2 /jaar) weekend]]/Ruimtestaat[[#This Row],[Norm (m2/uur) weekend]],0)</f>
        <v>0</v>
      </c>
      <c r="AC94" s="171">
        <f>Ruimtestaat[[#This Row],[uren / jaar weekend]]*Tariefsopbouw!$D$40</f>
        <v>0</v>
      </c>
      <c r="AD94" s="170">
        <f>Ruimtestaat[[#This Row],[Prest. (m2 /jaar) weekend]]+Ruimtestaat[[#This Row],[Prest. (m2 /jaar) werkdagen]]</f>
        <v>6600</v>
      </c>
      <c r="AE94" s="170">
        <f>Ruimtestaat[[#This Row],[uren / jaar weekend]]+Ruimtestaat[[#This Row],[uren / jaar werkdagen]]</f>
        <v>0</v>
      </c>
      <c r="AF94" s="76">
        <f>Ruimtestaat[[#This Row],[kosten / jaar weekend]]+Ruimtestaat[[#This Row],[kosten / jaar werkdagen]]</f>
        <v>0</v>
      </c>
      <c r="AG94" s="76"/>
      <c r="AH94" s="272" t="str">
        <f>IF(Ruimtestaat[[#This Row],[Frequentie werkdagen]]="","",_xlfn.CONCAT(Ruimtestaat[[#This Row],[Ruimte code]],"-",Ruimtestaat[[#This Row],[Frequentie werkdagen]]," ",Ruimtestaat[[#This Row],[Vloer code]]))</f>
        <v>6-5w p</v>
      </c>
      <c r="AI94" s="310" t="str">
        <f>_xlfn.IFNA(VLOOKUP($AH94,Programma!$F$3:$G$1107,2,0),"")</f>
        <v>_</v>
      </c>
      <c r="AJ94" s="310" t="str">
        <f>_xlfn.IFNA(VLOOKUP($AH94,Programma!$F$3:$H$1107,3,0),"")</f>
        <v>_</v>
      </c>
      <c r="AK94" s="310" t="str">
        <f>_xlfn.IFNA(VLOOKUP($AH94,Programma!$F$3:$I$1107,4,0),"")</f>
        <v>5w</v>
      </c>
      <c r="AL94" s="310" t="str">
        <f>_xlfn.IFNA(VLOOKUP($AH94,Programma!$F$3:$J$1107,5,0),"")</f>
        <v>_</v>
      </c>
      <c r="AM94" s="310" t="str">
        <f>_xlfn.IFNA(VLOOKUP($AH94,Programma!$F$3:$K$1107,6,0),"")</f>
        <v>5w</v>
      </c>
      <c r="AN94" s="310" t="str">
        <f>_xlfn.IFNA(VLOOKUP($AH94,Programma!$F$3:$L$1107,7,0),"")</f>
        <v>_</v>
      </c>
      <c r="AO94" s="310" t="str">
        <f>_xlfn.IFNA(VLOOKUP($AH94,Programma!$F$3:$M$1107,8,0),"")</f>
        <v>_</v>
      </c>
      <c r="AP94" s="310" t="str">
        <f>_xlfn.IFNA(VLOOKUP($AH94,Programma!$F$3:$N$1107,9,0),"")</f>
        <v>_</v>
      </c>
      <c r="AQ94" s="310" t="str">
        <f>_xlfn.IFNA(VLOOKUP($AH94,Programma!$F$3:$O$1107,10,0),"")</f>
        <v>5w</v>
      </c>
      <c r="AR94" s="310" t="str">
        <f>_xlfn.IFNA(VLOOKUP($AH94,Programma!$F$3:$P$1107,11,0),"")</f>
        <v>5w</v>
      </c>
      <c r="AS94" s="310" t="str">
        <f>_xlfn.IFNA(VLOOKUP($AH94,Programma!$F$3:$Q$1107,12,0),"")</f>
        <v>1w</v>
      </c>
      <c r="AT94" s="310" t="str">
        <f>_xlfn.IFNA(VLOOKUP($AH94,Programma!$F$3:$R$1107,13,0),"")</f>
        <v>1w</v>
      </c>
      <c r="AU94" s="310" t="str">
        <f>_xlfn.IFNA(VLOOKUP($AH94,Programma!$F$3:$S$1107,14,0),"")</f>
        <v>1m</v>
      </c>
      <c r="AV94" s="310" t="str">
        <f>_xlfn.IFNA(VLOOKUP($AH94,Programma!$F$3:$T$1107,15,0),"")</f>
        <v>2j</v>
      </c>
      <c r="AW94" s="310" t="str">
        <f>_xlfn.IFNA(VLOOKUP($AH94,Programma!$F$3:$U$1107,16,0),"")</f>
        <v>1j</v>
      </c>
      <c r="AX94" s="310" t="str">
        <f>_xlfn.IFNA(VLOOKUP($AH94,Programma!$F$3:$V$1107,17,0),"")</f>
        <v>_</v>
      </c>
      <c r="AY94" s="310" t="str">
        <f>_xlfn.IFNA(VLOOKUP($AH94,Programma!$F$3:$W$1107,18,0),"")</f>
        <v>_</v>
      </c>
      <c r="AZ94" s="310" t="str">
        <f>_xlfn.IFNA(VLOOKUP($AH94,Programma!$F$3:$X$1107,19,0),"")</f>
        <v>_</v>
      </c>
      <c r="BA94" s="310" t="str">
        <f>_xlfn.IFNA(VLOOKUP($AH94,Programma!$F$3:$Y$1107,20,0),"")</f>
        <v>_</v>
      </c>
      <c r="BB94" s="273"/>
      <c r="BC94" s="272" t="str">
        <f>IF(Ruimtestaat[[#This Row],[Frequentie weekend]]="","",_xlfn.CONCAT(Ruimtestaat[[#This Row],[Ruimte code]],"-",Ruimtestaat[[#This Row],[Frequentie weekend]]," ",Ruimtestaat[[#This Row],[Vloer code]]))</f>
        <v/>
      </c>
      <c r="BD94" s="310" t="str">
        <f>_xlfn.IFNA(VLOOKUP($BC94,Programma!$F$3:$G$1107,2,0),"")</f>
        <v/>
      </c>
      <c r="BE94" s="310" t="str">
        <f>_xlfn.IFNA(VLOOKUP($BC94,Programma!$F$3:$H$1107,3,0),"")</f>
        <v/>
      </c>
      <c r="BF94" s="310" t="str">
        <f>_xlfn.IFNA(VLOOKUP($BC94,Programma!$F$3:$I$1107,4,0),"")</f>
        <v/>
      </c>
      <c r="BG94" s="310" t="str">
        <f>_xlfn.IFNA(VLOOKUP($BC94,Programma!$F$3:$J$1107,5,0),"")</f>
        <v/>
      </c>
      <c r="BH94" s="310" t="str">
        <f>_xlfn.IFNA(VLOOKUP($BC94,Programma!$F$3:$K$1107,6,0),"")</f>
        <v/>
      </c>
      <c r="BI94" s="310" t="str">
        <f>_xlfn.IFNA(VLOOKUP($BC94,Programma!$F$3:$L$1107,7,0),"")</f>
        <v/>
      </c>
      <c r="BJ94" s="310" t="str">
        <f>_xlfn.IFNA(VLOOKUP($BC94,Programma!$F$3:$M$1107,8,0),"")</f>
        <v/>
      </c>
      <c r="BK94" s="310" t="str">
        <f>_xlfn.IFNA(VLOOKUP($BC94,Programma!$F$3:$N$1107,9,0),"")</f>
        <v/>
      </c>
      <c r="BL94" s="310" t="str">
        <f>_xlfn.IFNA(VLOOKUP($BC94,Programma!$F$3:$O$1107,10,0),"")</f>
        <v/>
      </c>
      <c r="BM94" s="310" t="str">
        <f>_xlfn.IFNA(VLOOKUP($BC94,Programma!$F$3:$P$1107,11,0),"")</f>
        <v/>
      </c>
      <c r="BN94" s="310" t="str">
        <f>_xlfn.IFNA(VLOOKUP($BC94,Programma!$F$3:$Q$1107,12,0),"")</f>
        <v/>
      </c>
      <c r="BO94" s="310" t="str">
        <f>_xlfn.IFNA(VLOOKUP($BC94,Programma!$F$3:$R$1107,13,0),"")</f>
        <v/>
      </c>
      <c r="BP94" s="310" t="str">
        <f>_xlfn.IFNA(VLOOKUP($BC94,Programma!$F$3:$S$1107,14,0),"")</f>
        <v/>
      </c>
      <c r="BQ94" s="310" t="str">
        <f>_xlfn.IFNA(VLOOKUP($BC94,Programma!$F$3:$T$1107,15,0),"")</f>
        <v/>
      </c>
      <c r="BR94" s="310" t="str">
        <f>_xlfn.IFNA(VLOOKUP($BC94,Programma!$F$3:$U$1107,16,0),"")</f>
        <v/>
      </c>
      <c r="BS94" s="310" t="str">
        <f>_xlfn.IFNA(VLOOKUP($BC94,Programma!$F$3:$V$1107,17,0),"")</f>
        <v/>
      </c>
      <c r="BT94" s="310" t="str">
        <f>_xlfn.IFNA(VLOOKUP($BC94,Programma!$F$3:$W$1107,18,0),"")</f>
        <v/>
      </c>
      <c r="BU94" s="310" t="str">
        <f>_xlfn.IFNA(VLOOKUP($BC94,Programma!$F$3:$X$1107,19,0),"")</f>
        <v/>
      </c>
      <c r="BV94" s="310" t="str">
        <f>_xlfn.IFNA(VLOOKUP($BC94,Programma!$F$3:$Y$1107,20,0),"")</f>
        <v/>
      </c>
    </row>
    <row r="95" spans="1:74" ht="15" customHeight="1">
      <c r="A95" s="33">
        <v>1</v>
      </c>
      <c r="B95" s="173" t="str">
        <f>VLOOKUP(Ruimtestaat[[#This Row],[Code]],Locaties[[Code]:[Locatie]],2,FALSE)</f>
        <v>CCNV</v>
      </c>
      <c r="C95" s="173" t="str">
        <f>VLOOKUP(Ruimtestaat[[#This Row],[Code]],Locaties[[#All],[Code]:[Adres]],4,FALSE)</f>
        <v>Stationslaan 26</v>
      </c>
      <c r="D95" s="173" t="str">
        <f>VLOOKUP(Ruimtestaat[[#This Row],[Code]],Locaties[[#All],[Code]:[Postcode]],5,FALSE)</f>
        <v>3842 LA</v>
      </c>
      <c r="E95" s="173" t="str">
        <f>VLOOKUP(Ruimtestaat[[#This Row],[Code]],Locaties[#All],6,FALSE)</f>
        <v>Harderwijk</v>
      </c>
      <c r="F95" s="21" t="s">
        <v>1626</v>
      </c>
      <c r="G95" s="33" t="s">
        <v>1614</v>
      </c>
      <c r="H95" s="311" t="s">
        <v>1707</v>
      </c>
      <c r="I95" s="312" t="s">
        <v>1615</v>
      </c>
      <c r="J95" s="21">
        <v>16</v>
      </c>
      <c r="K95" s="69" t="str">
        <f>VLOOKUP(Ruimtestaat[[#This Row],[Ruimte code]],Ruimtegroepen[[#All],[Code]:[Ruimte omschrijving]],2,FALSE)</f>
        <v>Leslokalen</v>
      </c>
      <c r="L95" s="33" t="s">
        <v>101</v>
      </c>
      <c r="M95" s="312" t="s">
        <v>1804</v>
      </c>
      <c r="N95" s="148">
        <v>48</v>
      </c>
      <c r="O95" s="150"/>
      <c r="P95" s="134" t="str">
        <f>VLOOKUP(Ruimtestaat[[#This Row],[Ruimte code]],Ruimtegroepen[],4,FALSE)</f>
        <v>Le</v>
      </c>
      <c r="Q95" s="33">
        <v>40</v>
      </c>
      <c r="R95" s="33" t="s">
        <v>2</v>
      </c>
      <c r="S95" s="33">
        <f>IF(Q95&gt;0,IF(RIGHT(Ruimtestaat[[#This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5" s="33">
        <f>IF(S95&gt;0,VLOOKUP($J95,Ruimtegroepen[],3,FALSE)*VLOOKUP($L95,Vloersoorten[],3,FALSE)*VLOOKUP($R95,Frequenties[],3,FALSE)*VLOOKUP($A95,Locaties[],3,FALSE),0)</f>
        <v>0</v>
      </c>
      <c r="U95" s="33">
        <f>Ruimtestaat[[#This Row],[Uitvoeringen werkdagen]]*Ruimtestaat[[#This Row],[Oppervlak (netto)]]</f>
        <v>9600</v>
      </c>
      <c r="V95" s="170">
        <f>IF(T95&gt;0,Ruimtestaat[[#This Row],[Prest. (m2 /jaar) werkdagen]]/Ruimtestaat[[#This Row],[Norm (m2/uur) werkdagen]],0)</f>
        <v>0</v>
      </c>
      <c r="W95" s="171">
        <f>Ruimtestaat[[#This Row],[uren / jaar werkdagen]]*Tariefsopbouw!$E$35</f>
        <v>0</v>
      </c>
      <c r="X95" s="33"/>
      <c r="Y95" s="33">
        <f>IF(Ruimtestaat[[#This Row],[Frequentie weekend]]&gt;0,VALUE(LEFT(X95,1))*Q95,0)</f>
        <v>0</v>
      </c>
      <c r="Z95" s="104">
        <f>IF($Y95&gt;0,VLOOKUP($J95,Ruimtegroepen[],3,FALSE)*VLOOKUP($L95,Vloersoorten[],3,FALSE)*VLOOKUP($X95,Frequenties[],3,FALSE)*VLOOKUP(Ruimtestaat[[#This Row],[Code]],Locaties[],3,FALSE),0)</f>
        <v>0</v>
      </c>
      <c r="AA95" s="104">
        <f>Ruimtestaat[[#This Row],[Uitvoeringen weekend]]*Ruimtestaat[[#This Row],[Oppervlak (netto)]]</f>
        <v>0</v>
      </c>
      <c r="AB95" s="104">
        <f>IF(Z95&gt;0,Ruimtestaat[[#This Row],[Prest. (m2 /jaar) weekend]]/Ruimtestaat[[#This Row],[Norm (m2/uur) weekend]],0)</f>
        <v>0</v>
      </c>
      <c r="AC95" s="171">
        <f>Ruimtestaat[[#This Row],[uren / jaar weekend]]*Tariefsopbouw!$D$40</f>
        <v>0</v>
      </c>
      <c r="AD95" s="170">
        <f>Ruimtestaat[[#This Row],[Prest. (m2 /jaar) weekend]]+Ruimtestaat[[#This Row],[Prest. (m2 /jaar) werkdagen]]</f>
        <v>9600</v>
      </c>
      <c r="AE95" s="170">
        <f>Ruimtestaat[[#This Row],[uren / jaar weekend]]+Ruimtestaat[[#This Row],[uren / jaar werkdagen]]</f>
        <v>0</v>
      </c>
      <c r="AF95" s="76">
        <f>Ruimtestaat[[#This Row],[kosten / jaar weekend]]+Ruimtestaat[[#This Row],[kosten / jaar werkdagen]]</f>
        <v>0</v>
      </c>
      <c r="AG95" s="76"/>
      <c r="AH95" s="272" t="str">
        <f>IF(Ruimtestaat[[#This Row],[Frequentie werkdagen]]="","",_xlfn.CONCAT(Ruimtestaat[[#This Row],[Ruimte code]],"-",Ruimtestaat[[#This Row],[Frequentie werkdagen]]," ",Ruimtestaat[[#This Row],[Vloer code]]))</f>
        <v>16-5w L</v>
      </c>
      <c r="AI95" s="310" t="str">
        <f>_xlfn.IFNA(VLOOKUP($AH95,Programma!$F$3:$G$1107,2,0),"")</f>
        <v>_</v>
      </c>
      <c r="AJ95" s="310" t="str">
        <f>_xlfn.IFNA(VLOOKUP($AH95,Programma!$F$3:$H$1107,3,0),"")</f>
        <v>_</v>
      </c>
      <c r="AK95" s="310" t="str">
        <f>_xlfn.IFNA(VLOOKUP($AH95,Programma!$F$3:$I$1107,4,0),"")</f>
        <v>4w</v>
      </c>
      <c r="AL95" s="310" t="str">
        <f>_xlfn.IFNA(VLOOKUP($AH95,Programma!$F$3:$J$1107,5,0),"")</f>
        <v>1w</v>
      </c>
      <c r="AM95" s="310" t="str">
        <f>_xlfn.IFNA(VLOOKUP($AH95,Programma!$F$3:$K$1107,6,0),"")</f>
        <v>_</v>
      </c>
      <c r="AN95" s="310" t="str">
        <f>_xlfn.IFNA(VLOOKUP($AH95,Programma!$F$3:$L$1107,7,0),"")</f>
        <v>_</v>
      </c>
      <c r="AO95" s="310" t="str">
        <f>_xlfn.IFNA(VLOOKUP($AH95,Programma!$F$3:$M$1107,8,0),"")</f>
        <v>_</v>
      </c>
      <c r="AP95" s="310" t="str">
        <f>_xlfn.IFNA(VLOOKUP($AH95,Programma!$F$3:$N$1107,9,0),"")</f>
        <v>_</v>
      </c>
      <c r="AQ95" s="310" t="str">
        <f>_xlfn.IFNA(VLOOKUP($AH95,Programma!$F$3:$O$1107,10,0),"")</f>
        <v>5w</v>
      </c>
      <c r="AR95" s="310" t="str">
        <f>_xlfn.IFNA(VLOOKUP($AH95,Programma!$F$3:$P$1107,11,0),"")</f>
        <v>5w</v>
      </c>
      <c r="AS95" s="310" t="str">
        <f>_xlfn.IFNA(VLOOKUP($AH95,Programma!$F$3:$Q$1107,12,0),"")</f>
        <v>1w</v>
      </c>
      <c r="AT95" s="310" t="str">
        <f>_xlfn.IFNA(VLOOKUP($AH95,Programma!$F$3:$R$1107,13,0),"")</f>
        <v>1w</v>
      </c>
      <c r="AU95" s="310" t="str">
        <f>_xlfn.IFNA(VLOOKUP($AH95,Programma!$F$3:$S$1107,14,0),"")</f>
        <v>1m</v>
      </c>
      <c r="AV95" s="310" t="str">
        <f>_xlfn.IFNA(VLOOKUP($AH95,Programma!$F$3:$T$1107,15,0),"")</f>
        <v>2j</v>
      </c>
      <c r="AW95" s="310" t="str">
        <f>_xlfn.IFNA(VLOOKUP($AH95,Programma!$F$3:$U$1107,16,0),"")</f>
        <v>1j</v>
      </c>
      <c r="AX95" s="310" t="str">
        <f>_xlfn.IFNA(VLOOKUP($AH95,Programma!$F$3:$V$1107,17,0),"")</f>
        <v>_</v>
      </c>
      <c r="AY95" s="310" t="str">
        <f>_xlfn.IFNA(VLOOKUP($AH95,Programma!$F$3:$W$1107,18,0),"")</f>
        <v>_</v>
      </c>
      <c r="AZ95" s="310" t="str">
        <f>_xlfn.IFNA(VLOOKUP($AH95,Programma!$F$3:$X$1107,19,0),"")</f>
        <v>_</v>
      </c>
      <c r="BA95" s="310" t="str">
        <f>_xlfn.IFNA(VLOOKUP($AH95,Programma!$F$3:$Y$1107,20,0),"")</f>
        <v>_</v>
      </c>
      <c r="BB95" s="273"/>
      <c r="BC95" s="272" t="str">
        <f>IF(Ruimtestaat[[#This Row],[Frequentie weekend]]="","",_xlfn.CONCAT(Ruimtestaat[[#This Row],[Ruimte code]],"-",Ruimtestaat[[#This Row],[Frequentie weekend]]," ",Ruimtestaat[[#This Row],[Vloer code]]))</f>
        <v/>
      </c>
      <c r="BD95" s="310" t="str">
        <f>_xlfn.IFNA(VLOOKUP($BC95,Programma!$F$3:$G$1107,2,0),"")</f>
        <v/>
      </c>
      <c r="BE95" s="310" t="str">
        <f>_xlfn.IFNA(VLOOKUP($BC95,Programma!$F$3:$H$1107,3,0),"")</f>
        <v/>
      </c>
      <c r="BF95" s="310" t="str">
        <f>_xlfn.IFNA(VLOOKUP($BC95,Programma!$F$3:$I$1107,4,0),"")</f>
        <v/>
      </c>
      <c r="BG95" s="310" t="str">
        <f>_xlfn.IFNA(VLOOKUP($BC95,Programma!$F$3:$J$1107,5,0),"")</f>
        <v/>
      </c>
      <c r="BH95" s="310" t="str">
        <f>_xlfn.IFNA(VLOOKUP($BC95,Programma!$F$3:$K$1107,6,0),"")</f>
        <v/>
      </c>
      <c r="BI95" s="310" t="str">
        <f>_xlfn.IFNA(VLOOKUP($BC95,Programma!$F$3:$L$1107,7,0),"")</f>
        <v/>
      </c>
      <c r="BJ95" s="310" t="str">
        <f>_xlfn.IFNA(VLOOKUP($BC95,Programma!$F$3:$M$1107,8,0),"")</f>
        <v/>
      </c>
      <c r="BK95" s="310" t="str">
        <f>_xlfn.IFNA(VLOOKUP($BC95,Programma!$F$3:$N$1107,9,0),"")</f>
        <v/>
      </c>
      <c r="BL95" s="310" t="str">
        <f>_xlfn.IFNA(VLOOKUP($BC95,Programma!$F$3:$O$1107,10,0),"")</f>
        <v/>
      </c>
      <c r="BM95" s="310" t="str">
        <f>_xlfn.IFNA(VLOOKUP($BC95,Programma!$F$3:$P$1107,11,0),"")</f>
        <v/>
      </c>
      <c r="BN95" s="310" t="str">
        <f>_xlfn.IFNA(VLOOKUP($BC95,Programma!$F$3:$Q$1107,12,0),"")</f>
        <v/>
      </c>
      <c r="BO95" s="310" t="str">
        <f>_xlfn.IFNA(VLOOKUP($BC95,Programma!$F$3:$R$1107,13,0),"")</f>
        <v/>
      </c>
      <c r="BP95" s="310" t="str">
        <f>_xlfn.IFNA(VLOOKUP($BC95,Programma!$F$3:$S$1107,14,0),"")</f>
        <v/>
      </c>
      <c r="BQ95" s="310" t="str">
        <f>_xlfn.IFNA(VLOOKUP($BC95,Programma!$F$3:$T$1107,15,0),"")</f>
        <v/>
      </c>
      <c r="BR95" s="310" t="str">
        <f>_xlfn.IFNA(VLOOKUP($BC95,Programma!$F$3:$U$1107,16,0),"")</f>
        <v/>
      </c>
      <c r="BS95" s="310" t="str">
        <f>_xlfn.IFNA(VLOOKUP($BC95,Programma!$F$3:$V$1107,17,0),"")</f>
        <v/>
      </c>
      <c r="BT95" s="310" t="str">
        <f>_xlfn.IFNA(VLOOKUP($BC95,Programma!$F$3:$W$1107,18,0),"")</f>
        <v/>
      </c>
      <c r="BU95" s="310" t="str">
        <f>_xlfn.IFNA(VLOOKUP($BC95,Programma!$F$3:$X$1107,19,0),"")</f>
        <v/>
      </c>
      <c r="BV95" s="310" t="str">
        <f>_xlfn.IFNA(VLOOKUP($BC95,Programma!$F$3:$Y$1107,20,0),"")</f>
        <v/>
      </c>
    </row>
    <row r="96" spans="1:74" ht="15" customHeight="1">
      <c r="A96" s="33">
        <v>1</v>
      </c>
      <c r="B96" s="173" t="str">
        <f>VLOOKUP(Ruimtestaat[[#This Row],[Code]],Locaties[[Code]:[Locatie]],2,FALSE)</f>
        <v>CCNV</v>
      </c>
      <c r="C96" s="173" t="str">
        <f>VLOOKUP(Ruimtestaat[[#This Row],[Code]],Locaties[[#All],[Code]:[Adres]],4,FALSE)</f>
        <v>Stationslaan 26</v>
      </c>
      <c r="D96" s="173" t="str">
        <f>VLOOKUP(Ruimtestaat[[#This Row],[Code]],Locaties[[#All],[Code]:[Postcode]],5,FALSE)</f>
        <v>3842 LA</v>
      </c>
      <c r="E96" s="173" t="str">
        <f>VLOOKUP(Ruimtestaat[[#This Row],[Code]],Locaties[#All],6,FALSE)</f>
        <v>Harderwijk</v>
      </c>
      <c r="F96" s="21" t="s">
        <v>1626</v>
      </c>
      <c r="G96" s="33" t="s">
        <v>1614</v>
      </c>
      <c r="H96" s="311" t="s">
        <v>1708</v>
      </c>
      <c r="I96" s="312" t="s">
        <v>1783</v>
      </c>
      <c r="J96" s="21">
        <v>2</v>
      </c>
      <c r="K96" s="69" t="str">
        <f>VLOOKUP(Ruimtestaat[[#This Row],[Ruimte code]],Ruimtegroepen[[#All],[Code]:[Ruimte omschrijving]],2,FALSE)</f>
        <v>Kantoren</v>
      </c>
      <c r="L96" s="33" t="s">
        <v>100</v>
      </c>
      <c r="M96" s="312" t="s">
        <v>1803</v>
      </c>
      <c r="N96" s="148">
        <v>10</v>
      </c>
      <c r="O96" s="33"/>
      <c r="P96" s="134" t="str">
        <f>VLOOKUP(Ruimtestaat[[#This Row],[Ruimte code]],Ruimtegroepen[],4,FALSE)</f>
        <v>Bu</v>
      </c>
      <c r="Q96" s="33">
        <v>40</v>
      </c>
      <c r="R96" s="33" t="s">
        <v>15</v>
      </c>
      <c r="S96" s="33">
        <f>IF(Q96&gt;0,IF(RIGHT(Ruimtestaat[[#This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96" s="33">
        <f>IF(S96&gt;0,VLOOKUP($J96,Ruimtegroepen[],3,FALSE)*VLOOKUP($L96,Vloersoorten[],3,FALSE)*VLOOKUP($R96,Frequenties[],3,FALSE)*VLOOKUP($A96,Locaties[],3,FALSE),0)</f>
        <v>0</v>
      </c>
      <c r="U96" s="33">
        <f>Ruimtestaat[[#This Row],[Uitvoeringen werkdagen]]*Ruimtestaat[[#This Row],[Oppervlak (netto)]]</f>
        <v>400</v>
      </c>
      <c r="V96" s="170">
        <f>IF(T96&gt;0,Ruimtestaat[[#This Row],[Prest. (m2 /jaar) werkdagen]]/Ruimtestaat[[#This Row],[Norm (m2/uur) werkdagen]],0)</f>
        <v>0</v>
      </c>
      <c r="W96" s="171">
        <f>Ruimtestaat[[#This Row],[uren / jaar werkdagen]]*Tariefsopbouw!$E$35</f>
        <v>0</v>
      </c>
      <c r="X96" s="33"/>
      <c r="Y96" s="33">
        <f>IF(Ruimtestaat[[#This Row],[Frequentie weekend]]&gt;0,VALUE(LEFT(X96,1))*Q96,0)</f>
        <v>0</v>
      </c>
      <c r="Z96" s="104">
        <f>IF($Y96&gt;0,VLOOKUP($J96,Ruimtegroepen[],3,FALSE)*VLOOKUP($L96,Vloersoorten[],3,FALSE)*VLOOKUP($X96,Frequenties[],3,FALSE)*VLOOKUP(Ruimtestaat[[#This Row],[Code]],Locaties[],3,FALSE),0)</f>
        <v>0</v>
      </c>
      <c r="AA96" s="104">
        <f>Ruimtestaat[[#This Row],[Uitvoeringen weekend]]*Ruimtestaat[[#This Row],[Oppervlak (netto)]]</f>
        <v>0</v>
      </c>
      <c r="AB96" s="104">
        <f>IF(Z96&gt;0,Ruimtestaat[[#This Row],[Prest. (m2 /jaar) weekend]]/Ruimtestaat[[#This Row],[Norm (m2/uur) weekend]],0)</f>
        <v>0</v>
      </c>
      <c r="AC96" s="171">
        <f>Ruimtestaat[[#This Row],[uren / jaar weekend]]*Tariefsopbouw!$D$40</f>
        <v>0</v>
      </c>
      <c r="AD96" s="170">
        <f>Ruimtestaat[[#This Row],[Prest. (m2 /jaar) weekend]]+Ruimtestaat[[#This Row],[Prest. (m2 /jaar) werkdagen]]</f>
        <v>400</v>
      </c>
      <c r="AE96" s="170">
        <f>Ruimtestaat[[#This Row],[uren / jaar weekend]]+Ruimtestaat[[#This Row],[uren / jaar werkdagen]]</f>
        <v>0</v>
      </c>
      <c r="AF96" s="76">
        <f>Ruimtestaat[[#This Row],[kosten / jaar weekend]]+Ruimtestaat[[#This Row],[kosten / jaar werkdagen]]</f>
        <v>0</v>
      </c>
      <c r="AG96" s="76"/>
      <c r="AH96" s="272" t="str">
        <f>IF(Ruimtestaat[[#This Row],[Frequentie werkdagen]]="","",_xlfn.CONCAT(Ruimtestaat[[#This Row],[Ruimte code]],"-",Ruimtestaat[[#This Row],[Frequentie werkdagen]]," ",Ruimtestaat[[#This Row],[Vloer code]]))</f>
        <v>2-1w T</v>
      </c>
      <c r="AI96" s="310" t="str">
        <f>_xlfn.IFNA(VLOOKUP($AH96,Programma!$F$3:$G$1107,2,0),"")</f>
        <v>_</v>
      </c>
      <c r="AJ96" s="310" t="str">
        <f>_xlfn.IFNA(VLOOKUP($AH96,Programma!$F$3:$H$1107,3,0),"")</f>
        <v>1w</v>
      </c>
      <c r="AK96" s="310" t="str">
        <f>_xlfn.IFNA(VLOOKUP($AH96,Programma!$F$3:$I$1107,4,0),"")</f>
        <v>_</v>
      </c>
      <c r="AL96" s="310" t="str">
        <f>_xlfn.IFNA(VLOOKUP($AH96,Programma!$F$3:$J$1107,5,0),"")</f>
        <v>_</v>
      </c>
      <c r="AM96" s="310" t="str">
        <f>_xlfn.IFNA(VLOOKUP($AH96,Programma!$F$3:$K$1107,6,0),"")</f>
        <v>_</v>
      </c>
      <c r="AN96" s="310" t="str">
        <f>_xlfn.IFNA(VLOOKUP($AH96,Programma!$F$3:$L$1107,7,0),"")</f>
        <v>_</v>
      </c>
      <c r="AO96" s="310" t="str">
        <f>_xlfn.IFNA(VLOOKUP($AH96,Programma!$F$3:$M$1107,8,0),"")</f>
        <v>_</v>
      </c>
      <c r="AP96" s="310" t="str">
        <f>_xlfn.IFNA(VLOOKUP($AH96,Programma!$F$3:$N$1107,9,0),"")</f>
        <v>_</v>
      </c>
      <c r="AQ96" s="310" t="str">
        <f>_xlfn.IFNA(VLOOKUP($AH96,Programma!$F$3:$O$1107,10,0),"")</f>
        <v>1w</v>
      </c>
      <c r="AR96" s="310" t="str">
        <f>_xlfn.IFNA(VLOOKUP($AH96,Programma!$F$3:$P$1107,11,0),"")</f>
        <v>1w</v>
      </c>
      <c r="AS96" s="310" t="str">
        <f>_xlfn.IFNA(VLOOKUP($AH96,Programma!$F$3:$Q$1107,12,0),"")</f>
        <v>1w</v>
      </c>
      <c r="AT96" s="310" t="str">
        <f>_xlfn.IFNA(VLOOKUP($AH96,Programma!$F$3:$R$1107,13,0),"")</f>
        <v>1w</v>
      </c>
      <c r="AU96" s="310" t="str">
        <f>_xlfn.IFNA(VLOOKUP($AH96,Programma!$F$3:$S$1107,14,0),"")</f>
        <v>1m</v>
      </c>
      <c r="AV96" s="310" t="str">
        <f>_xlfn.IFNA(VLOOKUP($AH96,Programma!$F$3:$T$1107,15,0),"")</f>
        <v>2j</v>
      </c>
      <c r="AW96" s="310" t="str">
        <f>_xlfn.IFNA(VLOOKUP($AH96,Programma!$F$3:$U$1107,16,0),"")</f>
        <v>1j</v>
      </c>
      <c r="AX96" s="310" t="str">
        <f>_xlfn.IFNA(VLOOKUP($AH96,Programma!$F$3:$V$1107,17,0),"")</f>
        <v>_</v>
      </c>
      <c r="AY96" s="310" t="str">
        <f>_xlfn.IFNA(VLOOKUP($AH96,Programma!$F$3:$W$1107,18,0),"")</f>
        <v>_</v>
      </c>
      <c r="AZ96" s="310" t="str">
        <f>_xlfn.IFNA(VLOOKUP($AH96,Programma!$F$3:$X$1107,19,0),"")</f>
        <v>_</v>
      </c>
      <c r="BA96" s="310" t="str">
        <f>_xlfn.IFNA(VLOOKUP($AH96,Programma!$F$3:$Y$1107,20,0),"")</f>
        <v>_</v>
      </c>
      <c r="BB96" s="273"/>
      <c r="BC96" s="272" t="str">
        <f>IF(Ruimtestaat[[#This Row],[Frequentie weekend]]="","",_xlfn.CONCAT(Ruimtestaat[[#This Row],[Ruimte code]],"-",Ruimtestaat[[#This Row],[Frequentie weekend]]," ",Ruimtestaat[[#This Row],[Vloer code]]))</f>
        <v/>
      </c>
      <c r="BD96" s="310" t="str">
        <f>_xlfn.IFNA(VLOOKUP($BC96,Programma!$F$3:$G$1107,2,0),"")</f>
        <v/>
      </c>
      <c r="BE96" s="310" t="str">
        <f>_xlfn.IFNA(VLOOKUP($BC96,Programma!$F$3:$H$1107,3,0),"")</f>
        <v/>
      </c>
      <c r="BF96" s="310" t="str">
        <f>_xlfn.IFNA(VLOOKUP($BC96,Programma!$F$3:$I$1107,4,0),"")</f>
        <v/>
      </c>
      <c r="BG96" s="310" t="str">
        <f>_xlfn.IFNA(VLOOKUP($BC96,Programma!$F$3:$J$1107,5,0),"")</f>
        <v/>
      </c>
      <c r="BH96" s="310" t="str">
        <f>_xlfn.IFNA(VLOOKUP($BC96,Programma!$F$3:$K$1107,6,0),"")</f>
        <v/>
      </c>
      <c r="BI96" s="310" t="str">
        <f>_xlfn.IFNA(VLOOKUP($BC96,Programma!$F$3:$L$1107,7,0),"")</f>
        <v/>
      </c>
      <c r="BJ96" s="310" t="str">
        <f>_xlfn.IFNA(VLOOKUP($BC96,Programma!$F$3:$M$1107,8,0),"")</f>
        <v/>
      </c>
      <c r="BK96" s="310" t="str">
        <f>_xlfn.IFNA(VLOOKUP($BC96,Programma!$F$3:$N$1107,9,0),"")</f>
        <v/>
      </c>
      <c r="BL96" s="310" t="str">
        <f>_xlfn.IFNA(VLOOKUP($BC96,Programma!$F$3:$O$1107,10,0),"")</f>
        <v/>
      </c>
      <c r="BM96" s="310" t="str">
        <f>_xlfn.IFNA(VLOOKUP($BC96,Programma!$F$3:$P$1107,11,0),"")</f>
        <v/>
      </c>
      <c r="BN96" s="310" t="str">
        <f>_xlfn.IFNA(VLOOKUP($BC96,Programma!$F$3:$Q$1107,12,0),"")</f>
        <v/>
      </c>
      <c r="BO96" s="310" t="str">
        <f>_xlfn.IFNA(VLOOKUP($BC96,Programma!$F$3:$R$1107,13,0),"")</f>
        <v/>
      </c>
      <c r="BP96" s="310" t="str">
        <f>_xlfn.IFNA(VLOOKUP($BC96,Programma!$F$3:$S$1107,14,0),"")</f>
        <v/>
      </c>
      <c r="BQ96" s="310" t="str">
        <f>_xlfn.IFNA(VLOOKUP($BC96,Programma!$F$3:$T$1107,15,0),"")</f>
        <v/>
      </c>
      <c r="BR96" s="310" t="str">
        <f>_xlfn.IFNA(VLOOKUP($BC96,Programma!$F$3:$U$1107,16,0),"")</f>
        <v/>
      </c>
      <c r="BS96" s="310" t="str">
        <f>_xlfn.IFNA(VLOOKUP($BC96,Programma!$F$3:$V$1107,17,0),"")</f>
        <v/>
      </c>
      <c r="BT96" s="310" t="str">
        <f>_xlfn.IFNA(VLOOKUP($BC96,Programma!$F$3:$W$1107,18,0),"")</f>
        <v/>
      </c>
      <c r="BU96" s="310" t="str">
        <f>_xlfn.IFNA(VLOOKUP($BC96,Programma!$F$3:$X$1107,19,0),"")</f>
        <v/>
      </c>
      <c r="BV96" s="310" t="str">
        <f>_xlfn.IFNA(VLOOKUP($BC96,Programma!$F$3:$Y$1107,20,0),"")</f>
        <v/>
      </c>
    </row>
    <row r="97" spans="1:74" ht="15" customHeight="1">
      <c r="A97" s="33">
        <v>1</v>
      </c>
      <c r="B97" s="173" t="str">
        <f>VLOOKUP(Ruimtestaat[[#This Row],[Code]],Locaties[[Code]:[Locatie]],2,FALSE)</f>
        <v>CCNV</v>
      </c>
      <c r="C97" s="173" t="str">
        <f>VLOOKUP(Ruimtestaat[[#This Row],[Code]],Locaties[[#All],[Code]:[Adres]],4,FALSE)</f>
        <v>Stationslaan 26</v>
      </c>
      <c r="D97" s="173" t="str">
        <f>VLOOKUP(Ruimtestaat[[#This Row],[Code]],Locaties[[#All],[Code]:[Postcode]],5,FALSE)</f>
        <v>3842 LA</v>
      </c>
      <c r="E97" s="173" t="str">
        <f>VLOOKUP(Ruimtestaat[[#This Row],[Code]],Locaties[#All],6,FALSE)</f>
        <v>Harderwijk</v>
      </c>
      <c r="F97" s="21" t="s">
        <v>1626</v>
      </c>
      <c r="G97" s="33" t="s">
        <v>1614</v>
      </c>
      <c r="H97" s="311" t="s">
        <v>1709</v>
      </c>
      <c r="I97" s="312" t="s">
        <v>1783</v>
      </c>
      <c r="J97" s="21">
        <v>2</v>
      </c>
      <c r="K97" s="69" t="str">
        <f>VLOOKUP(Ruimtestaat[[#This Row],[Ruimte code]],Ruimtegroepen[[#All],[Code]:[Ruimte omschrijving]],2,FALSE)</f>
        <v>Kantoren</v>
      </c>
      <c r="L97" s="33" t="s">
        <v>100</v>
      </c>
      <c r="M97" s="312" t="s">
        <v>1803</v>
      </c>
      <c r="N97" s="148">
        <v>10</v>
      </c>
      <c r="O97" s="150"/>
      <c r="P97" s="134" t="str">
        <f>VLOOKUP(Ruimtestaat[[#This Row],[Ruimte code]],Ruimtegroepen[],4,FALSE)</f>
        <v>Bu</v>
      </c>
      <c r="Q97" s="33">
        <v>40</v>
      </c>
      <c r="R97" s="33" t="s">
        <v>15</v>
      </c>
      <c r="S97" s="33">
        <f>IF(Q97&gt;0,IF(RIGHT(Ruimtestaat[[#This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97" s="33">
        <f>IF(S97&gt;0,VLOOKUP($J97,Ruimtegroepen[],3,FALSE)*VLOOKUP($L97,Vloersoorten[],3,FALSE)*VLOOKUP($R97,Frequenties[],3,FALSE)*VLOOKUP($A97,Locaties[],3,FALSE),0)</f>
        <v>0</v>
      </c>
      <c r="U97" s="33">
        <f>Ruimtestaat[[#This Row],[Uitvoeringen werkdagen]]*Ruimtestaat[[#This Row],[Oppervlak (netto)]]</f>
        <v>400</v>
      </c>
      <c r="V97" s="170">
        <f>IF(T97&gt;0,Ruimtestaat[[#This Row],[Prest. (m2 /jaar) werkdagen]]/Ruimtestaat[[#This Row],[Norm (m2/uur) werkdagen]],0)</f>
        <v>0</v>
      </c>
      <c r="W97" s="171">
        <f>Ruimtestaat[[#This Row],[uren / jaar werkdagen]]*Tariefsopbouw!$E$35</f>
        <v>0</v>
      </c>
      <c r="X97" s="33"/>
      <c r="Y97" s="33">
        <f>IF(Ruimtestaat[[#This Row],[Frequentie weekend]]&gt;0,VALUE(LEFT(X97,1))*Q97,0)</f>
        <v>0</v>
      </c>
      <c r="Z97" s="104">
        <f>IF($Y97&gt;0,VLOOKUP($J97,Ruimtegroepen[],3,FALSE)*VLOOKUP($L97,Vloersoorten[],3,FALSE)*VLOOKUP($X97,Frequenties[],3,FALSE)*VLOOKUP(Ruimtestaat[[#This Row],[Code]],Locaties[],3,FALSE),0)</f>
        <v>0</v>
      </c>
      <c r="AA97" s="104">
        <f>Ruimtestaat[[#This Row],[Uitvoeringen weekend]]*Ruimtestaat[[#This Row],[Oppervlak (netto)]]</f>
        <v>0</v>
      </c>
      <c r="AB97" s="104">
        <f>IF(Z97&gt;0,Ruimtestaat[[#This Row],[Prest. (m2 /jaar) weekend]]/Ruimtestaat[[#This Row],[Norm (m2/uur) weekend]],0)</f>
        <v>0</v>
      </c>
      <c r="AC97" s="171">
        <f>Ruimtestaat[[#This Row],[uren / jaar weekend]]*Tariefsopbouw!$D$40</f>
        <v>0</v>
      </c>
      <c r="AD97" s="170">
        <f>Ruimtestaat[[#This Row],[Prest. (m2 /jaar) weekend]]+Ruimtestaat[[#This Row],[Prest. (m2 /jaar) werkdagen]]</f>
        <v>400</v>
      </c>
      <c r="AE97" s="170">
        <f>Ruimtestaat[[#This Row],[uren / jaar weekend]]+Ruimtestaat[[#This Row],[uren / jaar werkdagen]]</f>
        <v>0</v>
      </c>
      <c r="AF97" s="76">
        <f>Ruimtestaat[[#This Row],[kosten / jaar weekend]]+Ruimtestaat[[#This Row],[kosten / jaar werkdagen]]</f>
        <v>0</v>
      </c>
      <c r="AG97" s="76"/>
      <c r="AH97" s="272" t="str">
        <f>IF(Ruimtestaat[[#This Row],[Frequentie werkdagen]]="","",_xlfn.CONCAT(Ruimtestaat[[#This Row],[Ruimte code]],"-",Ruimtestaat[[#This Row],[Frequentie werkdagen]]," ",Ruimtestaat[[#This Row],[Vloer code]]))</f>
        <v>2-1w T</v>
      </c>
      <c r="AI97" s="310" t="str">
        <f>_xlfn.IFNA(VLOOKUP($AH97,Programma!$F$3:$G$1107,2,0),"")</f>
        <v>_</v>
      </c>
      <c r="AJ97" s="310" t="str">
        <f>_xlfn.IFNA(VLOOKUP($AH97,Programma!$F$3:$H$1107,3,0),"")</f>
        <v>1w</v>
      </c>
      <c r="AK97" s="310" t="str">
        <f>_xlfn.IFNA(VLOOKUP($AH97,Programma!$F$3:$I$1107,4,0),"")</f>
        <v>_</v>
      </c>
      <c r="AL97" s="310" t="str">
        <f>_xlfn.IFNA(VLOOKUP($AH97,Programma!$F$3:$J$1107,5,0),"")</f>
        <v>_</v>
      </c>
      <c r="AM97" s="310" t="str">
        <f>_xlfn.IFNA(VLOOKUP($AH97,Programma!$F$3:$K$1107,6,0),"")</f>
        <v>_</v>
      </c>
      <c r="AN97" s="310" t="str">
        <f>_xlfn.IFNA(VLOOKUP($AH97,Programma!$F$3:$L$1107,7,0),"")</f>
        <v>_</v>
      </c>
      <c r="AO97" s="310" t="str">
        <f>_xlfn.IFNA(VLOOKUP($AH97,Programma!$F$3:$M$1107,8,0),"")</f>
        <v>_</v>
      </c>
      <c r="AP97" s="310" t="str">
        <f>_xlfn.IFNA(VLOOKUP($AH97,Programma!$F$3:$N$1107,9,0),"")</f>
        <v>_</v>
      </c>
      <c r="AQ97" s="310" t="str">
        <f>_xlfn.IFNA(VLOOKUP($AH97,Programma!$F$3:$O$1107,10,0),"")</f>
        <v>1w</v>
      </c>
      <c r="AR97" s="310" t="str">
        <f>_xlfn.IFNA(VLOOKUP($AH97,Programma!$F$3:$P$1107,11,0),"")</f>
        <v>1w</v>
      </c>
      <c r="AS97" s="310" t="str">
        <f>_xlfn.IFNA(VLOOKUP($AH97,Programma!$F$3:$Q$1107,12,0),"")</f>
        <v>1w</v>
      </c>
      <c r="AT97" s="310" t="str">
        <f>_xlfn.IFNA(VLOOKUP($AH97,Programma!$F$3:$R$1107,13,0),"")</f>
        <v>1w</v>
      </c>
      <c r="AU97" s="310" t="str">
        <f>_xlfn.IFNA(VLOOKUP($AH97,Programma!$F$3:$S$1107,14,0),"")</f>
        <v>1m</v>
      </c>
      <c r="AV97" s="310" t="str">
        <f>_xlfn.IFNA(VLOOKUP($AH97,Programma!$F$3:$T$1107,15,0),"")</f>
        <v>2j</v>
      </c>
      <c r="AW97" s="310" t="str">
        <f>_xlfn.IFNA(VLOOKUP($AH97,Programma!$F$3:$U$1107,16,0),"")</f>
        <v>1j</v>
      </c>
      <c r="AX97" s="310" t="str">
        <f>_xlfn.IFNA(VLOOKUP($AH97,Programma!$F$3:$V$1107,17,0),"")</f>
        <v>_</v>
      </c>
      <c r="AY97" s="310" t="str">
        <f>_xlfn.IFNA(VLOOKUP($AH97,Programma!$F$3:$W$1107,18,0),"")</f>
        <v>_</v>
      </c>
      <c r="AZ97" s="310" t="str">
        <f>_xlfn.IFNA(VLOOKUP($AH97,Programma!$F$3:$X$1107,19,0),"")</f>
        <v>_</v>
      </c>
      <c r="BA97" s="310" t="str">
        <f>_xlfn.IFNA(VLOOKUP($AH97,Programma!$F$3:$Y$1107,20,0),"")</f>
        <v>_</v>
      </c>
      <c r="BB97" s="273"/>
      <c r="BC97" s="272" t="str">
        <f>IF(Ruimtestaat[[#This Row],[Frequentie weekend]]="","",_xlfn.CONCAT(Ruimtestaat[[#This Row],[Ruimte code]],"-",Ruimtestaat[[#This Row],[Frequentie weekend]]," ",Ruimtestaat[[#This Row],[Vloer code]]))</f>
        <v/>
      </c>
      <c r="BD97" s="310" t="str">
        <f>_xlfn.IFNA(VLOOKUP($BC97,Programma!$F$3:$G$1107,2,0),"")</f>
        <v/>
      </c>
      <c r="BE97" s="310" t="str">
        <f>_xlfn.IFNA(VLOOKUP($BC97,Programma!$F$3:$H$1107,3,0),"")</f>
        <v/>
      </c>
      <c r="BF97" s="310" t="str">
        <f>_xlfn.IFNA(VLOOKUP($BC97,Programma!$F$3:$I$1107,4,0),"")</f>
        <v/>
      </c>
      <c r="BG97" s="310" t="str">
        <f>_xlfn.IFNA(VLOOKUP($BC97,Programma!$F$3:$J$1107,5,0),"")</f>
        <v/>
      </c>
      <c r="BH97" s="310" t="str">
        <f>_xlfn.IFNA(VLOOKUP($BC97,Programma!$F$3:$K$1107,6,0),"")</f>
        <v/>
      </c>
      <c r="BI97" s="310" t="str">
        <f>_xlfn.IFNA(VLOOKUP($BC97,Programma!$F$3:$L$1107,7,0),"")</f>
        <v/>
      </c>
      <c r="BJ97" s="310" t="str">
        <f>_xlfn.IFNA(VLOOKUP($BC97,Programma!$F$3:$M$1107,8,0),"")</f>
        <v/>
      </c>
      <c r="BK97" s="310" t="str">
        <f>_xlfn.IFNA(VLOOKUP($BC97,Programma!$F$3:$N$1107,9,0),"")</f>
        <v/>
      </c>
      <c r="BL97" s="310" t="str">
        <f>_xlfn.IFNA(VLOOKUP($BC97,Programma!$F$3:$O$1107,10,0),"")</f>
        <v/>
      </c>
      <c r="BM97" s="310" t="str">
        <f>_xlfn.IFNA(VLOOKUP($BC97,Programma!$F$3:$P$1107,11,0),"")</f>
        <v/>
      </c>
      <c r="BN97" s="310" t="str">
        <f>_xlfn.IFNA(VLOOKUP($BC97,Programma!$F$3:$Q$1107,12,0),"")</f>
        <v/>
      </c>
      <c r="BO97" s="310" t="str">
        <f>_xlfn.IFNA(VLOOKUP($BC97,Programma!$F$3:$R$1107,13,0),"")</f>
        <v/>
      </c>
      <c r="BP97" s="310" t="str">
        <f>_xlfn.IFNA(VLOOKUP($BC97,Programma!$F$3:$S$1107,14,0),"")</f>
        <v/>
      </c>
      <c r="BQ97" s="310" t="str">
        <f>_xlfn.IFNA(VLOOKUP($BC97,Programma!$F$3:$T$1107,15,0),"")</f>
        <v/>
      </c>
      <c r="BR97" s="310" t="str">
        <f>_xlfn.IFNA(VLOOKUP($BC97,Programma!$F$3:$U$1107,16,0),"")</f>
        <v/>
      </c>
      <c r="BS97" s="310" t="str">
        <f>_xlfn.IFNA(VLOOKUP($BC97,Programma!$F$3:$V$1107,17,0),"")</f>
        <v/>
      </c>
      <c r="BT97" s="310" t="str">
        <f>_xlfn.IFNA(VLOOKUP($BC97,Programma!$F$3:$W$1107,18,0),"")</f>
        <v/>
      </c>
      <c r="BU97" s="310" t="str">
        <f>_xlfn.IFNA(VLOOKUP($BC97,Programma!$F$3:$X$1107,19,0),"")</f>
        <v/>
      </c>
      <c r="BV97" s="310" t="str">
        <f>_xlfn.IFNA(VLOOKUP($BC97,Programma!$F$3:$Y$1107,20,0),"")</f>
        <v/>
      </c>
    </row>
    <row r="98" spans="1:74" ht="15" customHeight="1">
      <c r="A98" s="33">
        <v>1</v>
      </c>
      <c r="B98" s="173" t="str">
        <f>VLOOKUP(Ruimtestaat[[#This Row],[Code]],Locaties[[Code]:[Locatie]],2,FALSE)</f>
        <v>CCNV</v>
      </c>
      <c r="C98" s="173" t="str">
        <f>VLOOKUP(Ruimtestaat[[#This Row],[Code]],Locaties[[#All],[Code]:[Adres]],4,FALSE)</f>
        <v>Stationslaan 26</v>
      </c>
      <c r="D98" s="173" t="str">
        <f>VLOOKUP(Ruimtestaat[[#This Row],[Code]],Locaties[[#All],[Code]:[Postcode]],5,FALSE)</f>
        <v>3842 LA</v>
      </c>
      <c r="E98" s="173" t="str">
        <f>VLOOKUP(Ruimtestaat[[#This Row],[Code]],Locaties[#All],6,FALSE)</f>
        <v>Harderwijk</v>
      </c>
      <c r="F98" s="21" t="s">
        <v>1626</v>
      </c>
      <c r="G98" s="33" t="s">
        <v>1614</v>
      </c>
      <c r="H98" s="311" t="s">
        <v>1710</v>
      </c>
      <c r="I98" s="312" t="s">
        <v>1615</v>
      </c>
      <c r="J98" s="21">
        <v>16</v>
      </c>
      <c r="K98" s="69" t="str">
        <f>VLOOKUP(Ruimtestaat[[#This Row],[Ruimte code]],Ruimtegroepen[[#All],[Code]:[Ruimte omschrijving]],2,FALSE)</f>
        <v>Leslokalen</v>
      </c>
      <c r="L98" s="33" t="s">
        <v>101</v>
      </c>
      <c r="M98" s="312" t="s">
        <v>1804</v>
      </c>
      <c r="N98" s="148">
        <v>48</v>
      </c>
      <c r="O98" s="150"/>
      <c r="P98" s="134" t="str">
        <f>VLOOKUP(Ruimtestaat[[#This Row],[Ruimte code]],Ruimtegroepen[],4,FALSE)</f>
        <v>Le</v>
      </c>
      <c r="Q98" s="33">
        <v>40</v>
      </c>
      <c r="R98" s="33" t="s">
        <v>2</v>
      </c>
      <c r="S98" s="33">
        <f>IF(Q98&gt;0,IF(RIGHT(Ruimtestaat[[#This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8" s="33">
        <f>IF(S98&gt;0,VLOOKUP($J98,Ruimtegroepen[],3,FALSE)*VLOOKUP($L98,Vloersoorten[],3,FALSE)*VLOOKUP($R98,Frequenties[],3,FALSE)*VLOOKUP($A98,Locaties[],3,FALSE),0)</f>
        <v>0</v>
      </c>
      <c r="U98" s="33">
        <f>Ruimtestaat[[#This Row],[Uitvoeringen werkdagen]]*Ruimtestaat[[#This Row],[Oppervlak (netto)]]</f>
        <v>9600</v>
      </c>
      <c r="V98" s="170">
        <f>IF(T98&gt;0,Ruimtestaat[[#This Row],[Prest. (m2 /jaar) werkdagen]]/Ruimtestaat[[#This Row],[Norm (m2/uur) werkdagen]],0)</f>
        <v>0</v>
      </c>
      <c r="W98" s="171">
        <f>Ruimtestaat[[#This Row],[uren / jaar werkdagen]]*Tariefsopbouw!$E$35</f>
        <v>0</v>
      </c>
      <c r="X98" s="33"/>
      <c r="Y98" s="33">
        <f>IF(Ruimtestaat[[#This Row],[Frequentie weekend]]&gt;0,VALUE(LEFT(X98,1))*Q98,0)</f>
        <v>0</v>
      </c>
      <c r="Z98" s="104">
        <f>IF($Y98&gt;0,VLOOKUP($J98,Ruimtegroepen[],3,FALSE)*VLOOKUP($L98,Vloersoorten[],3,FALSE)*VLOOKUP($X98,Frequenties[],3,FALSE)*VLOOKUP(Ruimtestaat[[#This Row],[Code]],Locaties[],3,FALSE),0)</f>
        <v>0</v>
      </c>
      <c r="AA98" s="104">
        <f>Ruimtestaat[[#This Row],[Uitvoeringen weekend]]*Ruimtestaat[[#This Row],[Oppervlak (netto)]]</f>
        <v>0</v>
      </c>
      <c r="AB98" s="104">
        <f>IF(Z98&gt;0,Ruimtestaat[[#This Row],[Prest. (m2 /jaar) weekend]]/Ruimtestaat[[#This Row],[Norm (m2/uur) weekend]],0)</f>
        <v>0</v>
      </c>
      <c r="AC98" s="171">
        <f>Ruimtestaat[[#This Row],[uren / jaar weekend]]*Tariefsopbouw!$D$40</f>
        <v>0</v>
      </c>
      <c r="AD98" s="170">
        <f>Ruimtestaat[[#This Row],[Prest. (m2 /jaar) weekend]]+Ruimtestaat[[#This Row],[Prest. (m2 /jaar) werkdagen]]</f>
        <v>9600</v>
      </c>
      <c r="AE98" s="170">
        <f>Ruimtestaat[[#This Row],[uren / jaar weekend]]+Ruimtestaat[[#This Row],[uren / jaar werkdagen]]</f>
        <v>0</v>
      </c>
      <c r="AF98" s="76">
        <f>Ruimtestaat[[#This Row],[kosten / jaar weekend]]+Ruimtestaat[[#This Row],[kosten / jaar werkdagen]]</f>
        <v>0</v>
      </c>
      <c r="AG98" s="76"/>
      <c r="AH98" s="272" t="str">
        <f>IF(Ruimtestaat[[#This Row],[Frequentie werkdagen]]="","",_xlfn.CONCAT(Ruimtestaat[[#This Row],[Ruimte code]],"-",Ruimtestaat[[#This Row],[Frequentie werkdagen]]," ",Ruimtestaat[[#This Row],[Vloer code]]))</f>
        <v>16-5w L</v>
      </c>
      <c r="AI98" s="310" t="str">
        <f>_xlfn.IFNA(VLOOKUP($AH98,Programma!$F$3:$G$1107,2,0),"")</f>
        <v>_</v>
      </c>
      <c r="AJ98" s="310" t="str">
        <f>_xlfn.IFNA(VLOOKUP($AH98,Programma!$F$3:$H$1107,3,0),"")</f>
        <v>_</v>
      </c>
      <c r="AK98" s="310" t="str">
        <f>_xlfn.IFNA(VLOOKUP($AH98,Programma!$F$3:$I$1107,4,0),"")</f>
        <v>4w</v>
      </c>
      <c r="AL98" s="310" t="str">
        <f>_xlfn.IFNA(VLOOKUP($AH98,Programma!$F$3:$J$1107,5,0),"")</f>
        <v>1w</v>
      </c>
      <c r="AM98" s="310" t="str">
        <f>_xlfn.IFNA(VLOOKUP($AH98,Programma!$F$3:$K$1107,6,0),"")</f>
        <v>_</v>
      </c>
      <c r="AN98" s="310" t="str">
        <f>_xlfn.IFNA(VLOOKUP($AH98,Programma!$F$3:$L$1107,7,0),"")</f>
        <v>_</v>
      </c>
      <c r="AO98" s="310" t="str">
        <f>_xlfn.IFNA(VLOOKUP($AH98,Programma!$F$3:$M$1107,8,0),"")</f>
        <v>_</v>
      </c>
      <c r="AP98" s="310" t="str">
        <f>_xlfn.IFNA(VLOOKUP($AH98,Programma!$F$3:$N$1107,9,0),"")</f>
        <v>_</v>
      </c>
      <c r="AQ98" s="310" t="str">
        <f>_xlfn.IFNA(VLOOKUP($AH98,Programma!$F$3:$O$1107,10,0),"")</f>
        <v>5w</v>
      </c>
      <c r="AR98" s="310" t="str">
        <f>_xlfn.IFNA(VLOOKUP($AH98,Programma!$F$3:$P$1107,11,0),"")</f>
        <v>5w</v>
      </c>
      <c r="AS98" s="310" t="str">
        <f>_xlfn.IFNA(VLOOKUP($AH98,Programma!$F$3:$Q$1107,12,0),"")</f>
        <v>1w</v>
      </c>
      <c r="AT98" s="310" t="str">
        <f>_xlfn.IFNA(VLOOKUP($AH98,Programma!$F$3:$R$1107,13,0),"")</f>
        <v>1w</v>
      </c>
      <c r="AU98" s="310" t="str">
        <f>_xlfn.IFNA(VLOOKUP($AH98,Programma!$F$3:$S$1107,14,0),"")</f>
        <v>1m</v>
      </c>
      <c r="AV98" s="310" t="str">
        <f>_xlfn.IFNA(VLOOKUP($AH98,Programma!$F$3:$T$1107,15,0),"")</f>
        <v>2j</v>
      </c>
      <c r="AW98" s="310" t="str">
        <f>_xlfn.IFNA(VLOOKUP($AH98,Programma!$F$3:$U$1107,16,0),"")</f>
        <v>1j</v>
      </c>
      <c r="AX98" s="310" t="str">
        <f>_xlfn.IFNA(VLOOKUP($AH98,Programma!$F$3:$V$1107,17,0),"")</f>
        <v>_</v>
      </c>
      <c r="AY98" s="310" t="str">
        <f>_xlfn.IFNA(VLOOKUP($AH98,Programma!$F$3:$W$1107,18,0),"")</f>
        <v>_</v>
      </c>
      <c r="AZ98" s="310" t="str">
        <f>_xlfn.IFNA(VLOOKUP($AH98,Programma!$F$3:$X$1107,19,0),"")</f>
        <v>_</v>
      </c>
      <c r="BA98" s="310" t="str">
        <f>_xlfn.IFNA(VLOOKUP($AH98,Programma!$F$3:$Y$1107,20,0),"")</f>
        <v>_</v>
      </c>
      <c r="BB98" s="273"/>
      <c r="BC98" s="272" t="str">
        <f>IF(Ruimtestaat[[#This Row],[Frequentie weekend]]="","",_xlfn.CONCAT(Ruimtestaat[[#This Row],[Ruimte code]],"-",Ruimtestaat[[#This Row],[Frequentie weekend]]," ",Ruimtestaat[[#This Row],[Vloer code]]))</f>
        <v/>
      </c>
      <c r="BD98" s="310" t="str">
        <f>_xlfn.IFNA(VLOOKUP($BC98,Programma!$F$3:$G$1107,2,0),"")</f>
        <v/>
      </c>
      <c r="BE98" s="310" t="str">
        <f>_xlfn.IFNA(VLOOKUP($BC98,Programma!$F$3:$H$1107,3,0),"")</f>
        <v/>
      </c>
      <c r="BF98" s="310" t="str">
        <f>_xlfn.IFNA(VLOOKUP($BC98,Programma!$F$3:$I$1107,4,0),"")</f>
        <v/>
      </c>
      <c r="BG98" s="310" t="str">
        <f>_xlfn.IFNA(VLOOKUP($BC98,Programma!$F$3:$J$1107,5,0),"")</f>
        <v/>
      </c>
      <c r="BH98" s="310" t="str">
        <f>_xlfn.IFNA(VLOOKUP($BC98,Programma!$F$3:$K$1107,6,0),"")</f>
        <v/>
      </c>
      <c r="BI98" s="310" t="str">
        <f>_xlfn.IFNA(VLOOKUP($BC98,Programma!$F$3:$L$1107,7,0),"")</f>
        <v/>
      </c>
      <c r="BJ98" s="310" t="str">
        <f>_xlfn.IFNA(VLOOKUP($BC98,Programma!$F$3:$M$1107,8,0),"")</f>
        <v/>
      </c>
      <c r="BK98" s="310" t="str">
        <f>_xlfn.IFNA(VLOOKUP($BC98,Programma!$F$3:$N$1107,9,0),"")</f>
        <v/>
      </c>
      <c r="BL98" s="310" t="str">
        <f>_xlfn.IFNA(VLOOKUP($BC98,Programma!$F$3:$O$1107,10,0),"")</f>
        <v/>
      </c>
      <c r="BM98" s="310" t="str">
        <f>_xlfn.IFNA(VLOOKUP($BC98,Programma!$F$3:$P$1107,11,0),"")</f>
        <v/>
      </c>
      <c r="BN98" s="310" t="str">
        <f>_xlfn.IFNA(VLOOKUP($BC98,Programma!$F$3:$Q$1107,12,0),"")</f>
        <v/>
      </c>
      <c r="BO98" s="310" t="str">
        <f>_xlfn.IFNA(VLOOKUP($BC98,Programma!$F$3:$R$1107,13,0),"")</f>
        <v/>
      </c>
      <c r="BP98" s="310" t="str">
        <f>_xlfn.IFNA(VLOOKUP($BC98,Programma!$F$3:$S$1107,14,0),"")</f>
        <v/>
      </c>
      <c r="BQ98" s="310" t="str">
        <f>_xlfn.IFNA(VLOOKUP($BC98,Programma!$F$3:$T$1107,15,0),"")</f>
        <v/>
      </c>
      <c r="BR98" s="310" t="str">
        <f>_xlfn.IFNA(VLOOKUP($BC98,Programma!$F$3:$U$1107,16,0),"")</f>
        <v/>
      </c>
      <c r="BS98" s="310" t="str">
        <f>_xlfn.IFNA(VLOOKUP($BC98,Programma!$F$3:$V$1107,17,0),"")</f>
        <v/>
      </c>
      <c r="BT98" s="310" t="str">
        <f>_xlfn.IFNA(VLOOKUP($BC98,Programma!$F$3:$W$1107,18,0),"")</f>
        <v/>
      </c>
      <c r="BU98" s="310" t="str">
        <f>_xlfn.IFNA(VLOOKUP($BC98,Programma!$F$3:$X$1107,19,0),"")</f>
        <v/>
      </c>
      <c r="BV98" s="310" t="str">
        <f>_xlfn.IFNA(VLOOKUP($BC98,Programma!$F$3:$Y$1107,20,0),"")</f>
        <v/>
      </c>
    </row>
    <row r="99" spans="1:74" ht="15" customHeight="1">
      <c r="A99" s="33">
        <v>1</v>
      </c>
      <c r="B99" s="173" t="str">
        <f>VLOOKUP(Ruimtestaat[[#This Row],[Code]],Locaties[[Code]:[Locatie]],2,FALSE)</f>
        <v>CCNV</v>
      </c>
      <c r="C99" s="173" t="str">
        <f>VLOOKUP(Ruimtestaat[[#This Row],[Code]],Locaties[[#All],[Code]:[Adres]],4,FALSE)</f>
        <v>Stationslaan 26</v>
      </c>
      <c r="D99" s="173" t="str">
        <f>VLOOKUP(Ruimtestaat[[#This Row],[Code]],Locaties[[#All],[Code]:[Postcode]],5,FALSE)</f>
        <v>3842 LA</v>
      </c>
      <c r="E99" s="173" t="str">
        <f>VLOOKUP(Ruimtestaat[[#This Row],[Code]],Locaties[#All],6,FALSE)</f>
        <v>Harderwijk</v>
      </c>
      <c r="F99" s="21" t="s">
        <v>1626</v>
      </c>
      <c r="G99" s="33" t="s">
        <v>1614</v>
      </c>
      <c r="H99" s="311" t="s">
        <v>1711</v>
      </c>
      <c r="I99" s="312" t="s">
        <v>1615</v>
      </c>
      <c r="J99" s="21">
        <v>16</v>
      </c>
      <c r="K99" s="69" t="str">
        <f>VLOOKUP(Ruimtestaat[[#This Row],[Ruimte code]],Ruimtegroepen[[#All],[Code]:[Ruimte omschrijving]],2,FALSE)</f>
        <v>Leslokalen</v>
      </c>
      <c r="L99" s="33" t="s">
        <v>101</v>
      </c>
      <c r="M99" s="312" t="s">
        <v>1804</v>
      </c>
      <c r="N99" s="148">
        <v>48</v>
      </c>
      <c r="O99" s="33"/>
      <c r="P99" s="134" t="str">
        <f>VLOOKUP(Ruimtestaat[[#This Row],[Ruimte code]],Ruimtegroepen[],4,FALSE)</f>
        <v>Le</v>
      </c>
      <c r="Q99" s="33">
        <v>40</v>
      </c>
      <c r="R99" s="33" t="s">
        <v>2</v>
      </c>
      <c r="S99" s="33">
        <f>IF(Q99&gt;0,IF(RIGHT(Ruimtestaat[[#This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9" s="33">
        <f>IF(S99&gt;0,VLOOKUP($J99,Ruimtegroepen[],3,FALSE)*VLOOKUP($L99,Vloersoorten[],3,FALSE)*VLOOKUP($R99,Frequenties[],3,FALSE)*VLOOKUP($A99,Locaties[],3,FALSE),0)</f>
        <v>0</v>
      </c>
      <c r="U99" s="33">
        <f>Ruimtestaat[[#This Row],[Uitvoeringen werkdagen]]*Ruimtestaat[[#This Row],[Oppervlak (netto)]]</f>
        <v>9600</v>
      </c>
      <c r="V99" s="170">
        <f>IF(T99&gt;0,Ruimtestaat[[#This Row],[Prest. (m2 /jaar) werkdagen]]/Ruimtestaat[[#This Row],[Norm (m2/uur) werkdagen]],0)</f>
        <v>0</v>
      </c>
      <c r="W99" s="171">
        <f>Ruimtestaat[[#This Row],[uren / jaar werkdagen]]*Tariefsopbouw!$E$35</f>
        <v>0</v>
      </c>
      <c r="X99" s="33"/>
      <c r="Y99" s="33">
        <f>IF(Ruimtestaat[[#This Row],[Frequentie weekend]]&gt;0,VALUE(LEFT(X99,1))*Q99,0)</f>
        <v>0</v>
      </c>
      <c r="Z99" s="104">
        <f>IF($Y99&gt;0,VLOOKUP($J99,Ruimtegroepen[],3,FALSE)*VLOOKUP($L99,Vloersoorten[],3,FALSE)*VLOOKUP($X99,Frequenties[],3,FALSE)*VLOOKUP(Ruimtestaat[[#This Row],[Code]],Locaties[],3,FALSE),0)</f>
        <v>0</v>
      </c>
      <c r="AA99" s="104">
        <f>Ruimtestaat[[#This Row],[Uitvoeringen weekend]]*Ruimtestaat[[#This Row],[Oppervlak (netto)]]</f>
        <v>0</v>
      </c>
      <c r="AB99" s="104">
        <f>IF(Z99&gt;0,Ruimtestaat[[#This Row],[Prest. (m2 /jaar) weekend]]/Ruimtestaat[[#This Row],[Norm (m2/uur) weekend]],0)</f>
        <v>0</v>
      </c>
      <c r="AC99" s="171">
        <f>Ruimtestaat[[#This Row],[uren / jaar weekend]]*Tariefsopbouw!$D$40</f>
        <v>0</v>
      </c>
      <c r="AD99" s="170">
        <f>Ruimtestaat[[#This Row],[Prest. (m2 /jaar) weekend]]+Ruimtestaat[[#This Row],[Prest. (m2 /jaar) werkdagen]]</f>
        <v>9600</v>
      </c>
      <c r="AE99" s="170">
        <f>Ruimtestaat[[#This Row],[uren / jaar weekend]]+Ruimtestaat[[#This Row],[uren / jaar werkdagen]]</f>
        <v>0</v>
      </c>
      <c r="AF99" s="76">
        <f>Ruimtestaat[[#This Row],[kosten / jaar weekend]]+Ruimtestaat[[#This Row],[kosten / jaar werkdagen]]</f>
        <v>0</v>
      </c>
      <c r="AG99" s="76"/>
      <c r="AH99" s="272" t="str">
        <f>IF(Ruimtestaat[[#This Row],[Frequentie werkdagen]]="","",_xlfn.CONCAT(Ruimtestaat[[#This Row],[Ruimte code]],"-",Ruimtestaat[[#This Row],[Frequentie werkdagen]]," ",Ruimtestaat[[#This Row],[Vloer code]]))</f>
        <v>16-5w L</v>
      </c>
      <c r="AI99" s="310" t="str">
        <f>_xlfn.IFNA(VLOOKUP($AH99,Programma!$F$3:$G$1107,2,0),"")</f>
        <v>_</v>
      </c>
      <c r="AJ99" s="310" t="str">
        <f>_xlfn.IFNA(VLOOKUP($AH99,Programma!$F$3:$H$1107,3,0),"")</f>
        <v>_</v>
      </c>
      <c r="AK99" s="310" t="str">
        <f>_xlfn.IFNA(VLOOKUP($AH99,Programma!$F$3:$I$1107,4,0),"")</f>
        <v>4w</v>
      </c>
      <c r="AL99" s="310" t="str">
        <f>_xlfn.IFNA(VLOOKUP($AH99,Programma!$F$3:$J$1107,5,0),"")</f>
        <v>1w</v>
      </c>
      <c r="AM99" s="310" t="str">
        <f>_xlfn.IFNA(VLOOKUP($AH99,Programma!$F$3:$K$1107,6,0),"")</f>
        <v>_</v>
      </c>
      <c r="AN99" s="310" t="str">
        <f>_xlfn.IFNA(VLOOKUP($AH99,Programma!$F$3:$L$1107,7,0),"")</f>
        <v>_</v>
      </c>
      <c r="AO99" s="310" t="str">
        <f>_xlfn.IFNA(VLOOKUP($AH99,Programma!$F$3:$M$1107,8,0),"")</f>
        <v>_</v>
      </c>
      <c r="AP99" s="310" t="str">
        <f>_xlfn.IFNA(VLOOKUP($AH99,Programma!$F$3:$N$1107,9,0),"")</f>
        <v>_</v>
      </c>
      <c r="AQ99" s="310" t="str">
        <f>_xlfn.IFNA(VLOOKUP($AH99,Programma!$F$3:$O$1107,10,0),"")</f>
        <v>5w</v>
      </c>
      <c r="AR99" s="310" t="str">
        <f>_xlfn.IFNA(VLOOKUP($AH99,Programma!$F$3:$P$1107,11,0),"")</f>
        <v>5w</v>
      </c>
      <c r="AS99" s="310" t="str">
        <f>_xlfn.IFNA(VLOOKUP($AH99,Programma!$F$3:$Q$1107,12,0),"")</f>
        <v>1w</v>
      </c>
      <c r="AT99" s="310" t="str">
        <f>_xlfn.IFNA(VLOOKUP($AH99,Programma!$F$3:$R$1107,13,0),"")</f>
        <v>1w</v>
      </c>
      <c r="AU99" s="310" t="str">
        <f>_xlfn.IFNA(VLOOKUP($AH99,Programma!$F$3:$S$1107,14,0),"")</f>
        <v>1m</v>
      </c>
      <c r="AV99" s="310" t="str">
        <f>_xlfn.IFNA(VLOOKUP($AH99,Programma!$F$3:$T$1107,15,0),"")</f>
        <v>2j</v>
      </c>
      <c r="AW99" s="310" t="str">
        <f>_xlfn.IFNA(VLOOKUP($AH99,Programma!$F$3:$U$1107,16,0),"")</f>
        <v>1j</v>
      </c>
      <c r="AX99" s="310" t="str">
        <f>_xlfn.IFNA(VLOOKUP($AH99,Programma!$F$3:$V$1107,17,0),"")</f>
        <v>_</v>
      </c>
      <c r="AY99" s="310" t="str">
        <f>_xlfn.IFNA(VLOOKUP($AH99,Programma!$F$3:$W$1107,18,0),"")</f>
        <v>_</v>
      </c>
      <c r="AZ99" s="310" t="str">
        <f>_xlfn.IFNA(VLOOKUP($AH99,Programma!$F$3:$X$1107,19,0),"")</f>
        <v>_</v>
      </c>
      <c r="BA99" s="310" t="str">
        <f>_xlfn.IFNA(VLOOKUP($AH99,Programma!$F$3:$Y$1107,20,0),"")</f>
        <v>_</v>
      </c>
      <c r="BB99" s="273"/>
      <c r="BC99" s="272" t="str">
        <f>IF(Ruimtestaat[[#This Row],[Frequentie weekend]]="","",_xlfn.CONCAT(Ruimtestaat[[#This Row],[Ruimte code]],"-",Ruimtestaat[[#This Row],[Frequentie weekend]]," ",Ruimtestaat[[#This Row],[Vloer code]]))</f>
        <v/>
      </c>
      <c r="BD99" s="310" t="str">
        <f>_xlfn.IFNA(VLOOKUP($BC99,Programma!$F$3:$G$1107,2,0),"")</f>
        <v/>
      </c>
      <c r="BE99" s="310" t="str">
        <f>_xlfn.IFNA(VLOOKUP($BC99,Programma!$F$3:$H$1107,3,0),"")</f>
        <v/>
      </c>
      <c r="BF99" s="310" t="str">
        <f>_xlfn.IFNA(VLOOKUP($BC99,Programma!$F$3:$I$1107,4,0),"")</f>
        <v/>
      </c>
      <c r="BG99" s="310" t="str">
        <f>_xlfn.IFNA(VLOOKUP($BC99,Programma!$F$3:$J$1107,5,0),"")</f>
        <v/>
      </c>
      <c r="BH99" s="310" t="str">
        <f>_xlfn.IFNA(VLOOKUP($BC99,Programma!$F$3:$K$1107,6,0),"")</f>
        <v/>
      </c>
      <c r="BI99" s="310" t="str">
        <f>_xlfn.IFNA(VLOOKUP($BC99,Programma!$F$3:$L$1107,7,0),"")</f>
        <v/>
      </c>
      <c r="BJ99" s="310" t="str">
        <f>_xlfn.IFNA(VLOOKUP($BC99,Programma!$F$3:$M$1107,8,0),"")</f>
        <v/>
      </c>
      <c r="BK99" s="310" t="str">
        <f>_xlfn.IFNA(VLOOKUP($BC99,Programma!$F$3:$N$1107,9,0),"")</f>
        <v/>
      </c>
      <c r="BL99" s="310" t="str">
        <f>_xlfn.IFNA(VLOOKUP($BC99,Programma!$F$3:$O$1107,10,0),"")</f>
        <v/>
      </c>
      <c r="BM99" s="310" t="str">
        <f>_xlfn.IFNA(VLOOKUP($BC99,Programma!$F$3:$P$1107,11,0),"")</f>
        <v/>
      </c>
      <c r="BN99" s="310" t="str">
        <f>_xlfn.IFNA(VLOOKUP($BC99,Programma!$F$3:$Q$1107,12,0),"")</f>
        <v/>
      </c>
      <c r="BO99" s="310" t="str">
        <f>_xlfn.IFNA(VLOOKUP($BC99,Programma!$F$3:$R$1107,13,0),"")</f>
        <v/>
      </c>
      <c r="BP99" s="310" t="str">
        <f>_xlfn.IFNA(VLOOKUP($BC99,Programma!$F$3:$S$1107,14,0),"")</f>
        <v/>
      </c>
      <c r="BQ99" s="310" t="str">
        <f>_xlfn.IFNA(VLOOKUP($BC99,Programma!$F$3:$T$1107,15,0),"")</f>
        <v/>
      </c>
      <c r="BR99" s="310" t="str">
        <f>_xlfn.IFNA(VLOOKUP($BC99,Programma!$F$3:$U$1107,16,0),"")</f>
        <v/>
      </c>
      <c r="BS99" s="310" t="str">
        <f>_xlfn.IFNA(VLOOKUP($BC99,Programma!$F$3:$V$1107,17,0),"")</f>
        <v/>
      </c>
      <c r="BT99" s="310" t="str">
        <f>_xlfn.IFNA(VLOOKUP($BC99,Programma!$F$3:$W$1107,18,0),"")</f>
        <v/>
      </c>
      <c r="BU99" s="310" t="str">
        <f>_xlfn.IFNA(VLOOKUP($BC99,Programma!$F$3:$X$1107,19,0),"")</f>
        <v/>
      </c>
      <c r="BV99" s="310" t="str">
        <f>_xlfn.IFNA(VLOOKUP($BC99,Programma!$F$3:$Y$1107,20,0),"")</f>
        <v/>
      </c>
    </row>
    <row r="100" spans="1:74" ht="15" customHeight="1">
      <c r="A100" s="33">
        <v>1</v>
      </c>
      <c r="B100" s="173" t="str">
        <f>VLOOKUP(Ruimtestaat[[#This Row],[Code]],Locaties[[Code]:[Locatie]],2,FALSE)</f>
        <v>CCNV</v>
      </c>
      <c r="C100" s="173" t="str">
        <f>VLOOKUP(Ruimtestaat[[#This Row],[Code]],Locaties[[#All],[Code]:[Adres]],4,FALSE)</f>
        <v>Stationslaan 26</v>
      </c>
      <c r="D100" s="173" t="str">
        <f>VLOOKUP(Ruimtestaat[[#This Row],[Code]],Locaties[[#All],[Code]:[Postcode]],5,FALSE)</f>
        <v>3842 LA</v>
      </c>
      <c r="E100" s="173" t="str">
        <f>VLOOKUP(Ruimtestaat[[#This Row],[Code]],Locaties[#All],6,FALSE)</f>
        <v>Harderwijk</v>
      </c>
      <c r="F100" s="21" t="s">
        <v>1626</v>
      </c>
      <c r="G100" s="33" t="s">
        <v>1614</v>
      </c>
      <c r="H100" s="311" t="s">
        <v>1712</v>
      </c>
      <c r="I100" s="312" t="s">
        <v>1615</v>
      </c>
      <c r="J100" s="21">
        <v>16</v>
      </c>
      <c r="K100" s="69" t="str">
        <f>VLOOKUP(Ruimtestaat[[#This Row],[Ruimte code]],Ruimtegroepen[[#All],[Code]:[Ruimte omschrijving]],2,FALSE)</f>
        <v>Leslokalen</v>
      </c>
      <c r="L100" s="33" t="s">
        <v>101</v>
      </c>
      <c r="M100" s="312" t="s">
        <v>1804</v>
      </c>
      <c r="N100" s="148">
        <v>48</v>
      </c>
      <c r="O100" s="150"/>
      <c r="P100" s="134" t="str">
        <f>VLOOKUP(Ruimtestaat[[#This Row],[Ruimte code]],Ruimtegroepen[],4,FALSE)</f>
        <v>Le</v>
      </c>
      <c r="Q100" s="33">
        <v>40</v>
      </c>
      <c r="R100" s="33" t="s">
        <v>2</v>
      </c>
      <c r="S100" s="33">
        <f>IF(Q100&gt;0,IF(RIGHT(Ruimtestaat[[#This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0" s="33">
        <f>IF(S100&gt;0,VLOOKUP($J100,Ruimtegroepen[],3,FALSE)*VLOOKUP($L100,Vloersoorten[],3,FALSE)*VLOOKUP($R100,Frequenties[],3,FALSE)*VLOOKUP($A100,Locaties[],3,FALSE),0)</f>
        <v>0</v>
      </c>
      <c r="U100" s="33">
        <f>Ruimtestaat[[#This Row],[Uitvoeringen werkdagen]]*Ruimtestaat[[#This Row],[Oppervlak (netto)]]</f>
        <v>9600</v>
      </c>
      <c r="V100" s="170">
        <f>IF(T100&gt;0,Ruimtestaat[[#This Row],[Prest. (m2 /jaar) werkdagen]]/Ruimtestaat[[#This Row],[Norm (m2/uur) werkdagen]],0)</f>
        <v>0</v>
      </c>
      <c r="W100" s="171">
        <f>Ruimtestaat[[#This Row],[uren / jaar werkdagen]]*Tariefsopbouw!$E$35</f>
        <v>0</v>
      </c>
      <c r="X100" s="33"/>
      <c r="Y100" s="33">
        <f>IF(Ruimtestaat[[#This Row],[Frequentie weekend]]&gt;0,VALUE(LEFT(X100,1))*Q100,0)</f>
        <v>0</v>
      </c>
      <c r="Z100" s="104">
        <f>IF($Y100&gt;0,VLOOKUP($J100,Ruimtegroepen[],3,FALSE)*VLOOKUP($L100,Vloersoorten[],3,FALSE)*VLOOKUP($X100,Frequenties[],3,FALSE)*VLOOKUP(Ruimtestaat[[#This Row],[Code]],Locaties[],3,FALSE),0)</f>
        <v>0</v>
      </c>
      <c r="AA100" s="104">
        <f>Ruimtestaat[[#This Row],[Uitvoeringen weekend]]*Ruimtestaat[[#This Row],[Oppervlak (netto)]]</f>
        <v>0</v>
      </c>
      <c r="AB100" s="104">
        <f>IF(Z100&gt;0,Ruimtestaat[[#This Row],[Prest. (m2 /jaar) weekend]]/Ruimtestaat[[#This Row],[Norm (m2/uur) weekend]],0)</f>
        <v>0</v>
      </c>
      <c r="AC100" s="171">
        <f>Ruimtestaat[[#This Row],[uren / jaar weekend]]*Tariefsopbouw!$D$40</f>
        <v>0</v>
      </c>
      <c r="AD100" s="170">
        <f>Ruimtestaat[[#This Row],[Prest. (m2 /jaar) weekend]]+Ruimtestaat[[#This Row],[Prest. (m2 /jaar) werkdagen]]</f>
        <v>9600</v>
      </c>
      <c r="AE100" s="170">
        <f>Ruimtestaat[[#This Row],[uren / jaar weekend]]+Ruimtestaat[[#This Row],[uren / jaar werkdagen]]</f>
        <v>0</v>
      </c>
      <c r="AF100" s="76">
        <f>Ruimtestaat[[#This Row],[kosten / jaar weekend]]+Ruimtestaat[[#This Row],[kosten / jaar werkdagen]]</f>
        <v>0</v>
      </c>
      <c r="AG100" s="76"/>
      <c r="AH100" s="272" t="str">
        <f>IF(Ruimtestaat[[#This Row],[Frequentie werkdagen]]="","",_xlfn.CONCAT(Ruimtestaat[[#This Row],[Ruimte code]],"-",Ruimtestaat[[#This Row],[Frequentie werkdagen]]," ",Ruimtestaat[[#This Row],[Vloer code]]))</f>
        <v>16-5w L</v>
      </c>
      <c r="AI100" s="310" t="str">
        <f>_xlfn.IFNA(VLOOKUP($AH100,Programma!$F$3:$G$1107,2,0),"")</f>
        <v>_</v>
      </c>
      <c r="AJ100" s="310" t="str">
        <f>_xlfn.IFNA(VLOOKUP($AH100,Programma!$F$3:$H$1107,3,0),"")</f>
        <v>_</v>
      </c>
      <c r="AK100" s="310" t="str">
        <f>_xlfn.IFNA(VLOOKUP($AH100,Programma!$F$3:$I$1107,4,0),"")</f>
        <v>4w</v>
      </c>
      <c r="AL100" s="310" t="str">
        <f>_xlfn.IFNA(VLOOKUP($AH100,Programma!$F$3:$J$1107,5,0),"")</f>
        <v>1w</v>
      </c>
      <c r="AM100" s="310" t="str">
        <f>_xlfn.IFNA(VLOOKUP($AH100,Programma!$F$3:$K$1107,6,0),"")</f>
        <v>_</v>
      </c>
      <c r="AN100" s="310" t="str">
        <f>_xlfn.IFNA(VLOOKUP($AH100,Programma!$F$3:$L$1107,7,0),"")</f>
        <v>_</v>
      </c>
      <c r="AO100" s="310" t="str">
        <f>_xlfn.IFNA(VLOOKUP($AH100,Programma!$F$3:$M$1107,8,0),"")</f>
        <v>_</v>
      </c>
      <c r="AP100" s="310" t="str">
        <f>_xlfn.IFNA(VLOOKUP($AH100,Programma!$F$3:$N$1107,9,0),"")</f>
        <v>_</v>
      </c>
      <c r="AQ100" s="310" t="str">
        <f>_xlfn.IFNA(VLOOKUP($AH100,Programma!$F$3:$O$1107,10,0),"")</f>
        <v>5w</v>
      </c>
      <c r="AR100" s="310" t="str">
        <f>_xlfn.IFNA(VLOOKUP($AH100,Programma!$F$3:$P$1107,11,0),"")</f>
        <v>5w</v>
      </c>
      <c r="AS100" s="310" t="str">
        <f>_xlfn.IFNA(VLOOKUP($AH100,Programma!$F$3:$Q$1107,12,0),"")</f>
        <v>1w</v>
      </c>
      <c r="AT100" s="310" t="str">
        <f>_xlfn.IFNA(VLOOKUP($AH100,Programma!$F$3:$R$1107,13,0),"")</f>
        <v>1w</v>
      </c>
      <c r="AU100" s="310" t="str">
        <f>_xlfn.IFNA(VLOOKUP($AH100,Programma!$F$3:$S$1107,14,0),"")</f>
        <v>1m</v>
      </c>
      <c r="AV100" s="310" t="str">
        <f>_xlfn.IFNA(VLOOKUP($AH100,Programma!$F$3:$T$1107,15,0),"")</f>
        <v>2j</v>
      </c>
      <c r="AW100" s="310" t="str">
        <f>_xlfn.IFNA(VLOOKUP($AH100,Programma!$F$3:$U$1107,16,0),"")</f>
        <v>1j</v>
      </c>
      <c r="AX100" s="310" t="str">
        <f>_xlfn.IFNA(VLOOKUP($AH100,Programma!$F$3:$V$1107,17,0),"")</f>
        <v>_</v>
      </c>
      <c r="AY100" s="310" t="str">
        <f>_xlfn.IFNA(VLOOKUP($AH100,Programma!$F$3:$W$1107,18,0),"")</f>
        <v>_</v>
      </c>
      <c r="AZ100" s="310" t="str">
        <f>_xlfn.IFNA(VLOOKUP($AH100,Programma!$F$3:$X$1107,19,0),"")</f>
        <v>_</v>
      </c>
      <c r="BA100" s="310" t="str">
        <f>_xlfn.IFNA(VLOOKUP($AH100,Programma!$F$3:$Y$1107,20,0),"")</f>
        <v>_</v>
      </c>
      <c r="BB100" s="273"/>
      <c r="BC100" s="272" t="str">
        <f>IF(Ruimtestaat[[#This Row],[Frequentie weekend]]="","",_xlfn.CONCAT(Ruimtestaat[[#This Row],[Ruimte code]],"-",Ruimtestaat[[#This Row],[Frequentie weekend]]," ",Ruimtestaat[[#This Row],[Vloer code]]))</f>
        <v/>
      </c>
      <c r="BD100" s="310" t="str">
        <f>_xlfn.IFNA(VLOOKUP($BC100,Programma!$F$3:$G$1107,2,0),"")</f>
        <v/>
      </c>
      <c r="BE100" s="310" t="str">
        <f>_xlfn.IFNA(VLOOKUP($BC100,Programma!$F$3:$H$1107,3,0),"")</f>
        <v/>
      </c>
      <c r="BF100" s="310" t="str">
        <f>_xlfn.IFNA(VLOOKUP($BC100,Programma!$F$3:$I$1107,4,0),"")</f>
        <v/>
      </c>
      <c r="BG100" s="310" t="str">
        <f>_xlfn.IFNA(VLOOKUP($BC100,Programma!$F$3:$J$1107,5,0),"")</f>
        <v/>
      </c>
      <c r="BH100" s="310" t="str">
        <f>_xlfn.IFNA(VLOOKUP($BC100,Programma!$F$3:$K$1107,6,0),"")</f>
        <v/>
      </c>
      <c r="BI100" s="310" t="str">
        <f>_xlfn.IFNA(VLOOKUP($BC100,Programma!$F$3:$L$1107,7,0),"")</f>
        <v/>
      </c>
      <c r="BJ100" s="310" t="str">
        <f>_xlfn.IFNA(VLOOKUP($BC100,Programma!$F$3:$M$1107,8,0),"")</f>
        <v/>
      </c>
      <c r="BK100" s="310" t="str">
        <f>_xlfn.IFNA(VLOOKUP($BC100,Programma!$F$3:$N$1107,9,0),"")</f>
        <v/>
      </c>
      <c r="BL100" s="310" t="str">
        <f>_xlfn.IFNA(VLOOKUP($BC100,Programma!$F$3:$O$1107,10,0),"")</f>
        <v/>
      </c>
      <c r="BM100" s="310" t="str">
        <f>_xlfn.IFNA(VLOOKUP($BC100,Programma!$F$3:$P$1107,11,0),"")</f>
        <v/>
      </c>
      <c r="BN100" s="310" t="str">
        <f>_xlfn.IFNA(VLOOKUP($BC100,Programma!$F$3:$Q$1107,12,0),"")</f>
        <v/>
      </c>
      <c r="BO100" s="310" t="str">
        <f>_xlfn.IFNA(VLOOKUP($BC100,Programma!$F$3:$R$1107,13,0),"")</f>
        <v/>
      </c>
      <c r="BP100" s="310" t="str">
        <f>_xlfn.IFNA(VLOOKUP($BC100,Programma!$F$3:$S$1107,14,0),"")</f>
        <v/>
      </c>
      <c r="BQ100" s="310" t="str">
        <f>_xlfn.IFNA(VLOOKUP($BC100,Programma!$F$3:$T$1107,15,0),"")</f>
        <v/>
      </c>
      <c r="BR100" s="310" t="str">
        <f>_xlfn.IFNA(VLOOKUP($BC100,Programma!$F$3:$U$1107,16,0),"")</f>
        <v/>
      </c>
      <c r="BS100" s="310" t="str">
        <f>_xlfn.IFNA(VLOOKUP($BC100,Programma!$F$3:$V$1107,17,0),"")</f>
        <v/>
      </c>
      <c r="BT100" s="310" t="str">
        <f>_xlfn.IFNA(VLOOKUP($BC100,Programma!$F$3:$W$1107,18,0),"")</f>
        <v/>
      </c>
      <c r="BU100" s="310" t="str">
        <f>_xlfn.IFNA(VLOOKUP($BC100,Programma!$F$3:$X$1107,19,0),"")</f>
        <v/>
      </c>
      <c r="BV100" s="310" t="str">
        <f>_xlfn.IFNA(VLOOKUP($BC100,Programma!$F$3:$Y$1107,20,0),"")</f>
        <v/>
      </c>
    </row>
    <row r="101" spans="1:74" ht="15" customHeight="1">
      <c r="A101" s="33">
        <v>1</v>
      </c>
      <c r="B101" s="173" t="str">
        <f>VLOOKUP(Ruimtestaat[[#This Row],[Code]],Locaties[[Code]:[Locatie]],2,FALSE)</f>
        <v>CCNV</v>
      </c>
      <c r="C101" s="173" t="str">
        <f>VLOOKUP(Ruimtestaat[[#This Row],[Code]],Locaties[[#All],[Code]:[Adres]],4,FALSE)</f>
        <v>Stationslaan 26</v>
      </c>
      <c r="D101" s="173" t="str">
        <f>VLOOKUP(Ruimtestaat[[#This Row],[Code]],Locaties[[#All],[Code]:[Postcode]],5,FALSE)</f>
        <v>3842 LA</v>
      </c>
      <c r="E101" s="173" t="str">
        <f>VLOOKUP(Ruimtestaat[[#This Row],[Code]],Locaties[#All],6,FALSE)</f>
        <v>Harderwijk</v>
      </c>
      <c r="F101" s="21" t="s">
        <v>1626</v>
      </c>
      <c r="G101" s="33" t="s">
        <v>1614</v>
      </c>
      <c r="H101" s="311" t="s">
        <v>1713</v>
      </c>
      <c r="I101" s="312" t="s">
        <v>1615</v>
      </c>
      <c r="J101" s="33">
        <v>16</v>
      </c>
      <c r="K101" s="69" t="str">
        <f>VLOOKUP(Ruimtestaat[[#This Row],[Ruimte code]],Ruimtegroepen[[#All],[Code]:[Ruimte omschrijving]],2,FALSE)</f>
        <v>Leslokalen</v>
      </c>
      <c r="L101" s="33" t="s">
        <v>1817</v>
      </c>
      <c r="M101" s="312" t="s">
        <v>1802</v>
      </c>
      <c r="N101" s="148">
        <v>46</v>
      </c>
      <c r="O101" s="150"/>
      <c r="P101" s="134" t="str">
        <f>VLOOKUP(Ruimtestaat[[#This Row],[Ruimte code]],Ruimtegroepen[],4,FALSE)</f>
        <v>Le</v>
      </c>
      <c r="Q101" s="33">
        <v>40</v>
      </c>
      <c r="R101" s="33" t="s">
        <v>2</v>
      </c>
      <c r="S101" s="33">
        <f>IF(Q101&gt;0,IF(RIGHT(Ruimtestaat[[#This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1" s="33">
        <f>IF(S101&gt;0,VLOOKUP($J101,Ruimtegroepen[],3,FALSE)*VLOOKUP($L101,Vloersoorten[],3,FALSE)*VLOOKUP($R101,Frequenties[],3,FALSE)*VLOOKUP($A101,Locaties[],3,FALSE),0)</f>
        <v>0</v>
      </c>
      <c r="U101" s="33">
        <f>Ruimtestaat[[#This Row],[Uitvoeringen werkdagen]]*Ruimtestaat[[#This Row],[Oppervlak (netto)]]</f>
        <v>9200</v>
      </c>
      <c r="V101" s="170">
        <f>IF(T101&gt;0,Ruimtestaat[[#This Row],[Prest. (m2 /jaar) werkdagen]]/Ruimtestaat[[#This Row],[Norm (m2/uur) werkdagen]],0)</f>
        <v>0</v>
      </c>
      <c r="W101" s="171">
        <f>Ruimtestaat[[#This Row],[uren / jaar werkdagen]]*Tariefsopbouw!$E$35</f>
        <v>0</v>
      </c>
      <c r="X101" s="33"/>
      <c r="Y101" s="33">
        <f>IF(Ruimtestaat[[#This Row],[Frequentie weekend]]&gt;0,VALUE(LEFT(X101,1))*Q101,0)</f>
        <v>0</v>
      </c>
      <c r="Z101" s="104">
        <f>IF($Y101&gt;0,VLOOKUP($J101,Ruimtegroepen[],3,FALSE)*VLOOKUP($L101,Vloersoorten[],3,FALSE)*VLOOKUP($X101,Frequenties[],3,FALSE)*VLOOKUP(Ruimtestaat[[#This Row],[Code]],Locaties[],3,FALSE),0)</f>
        <v>0</v>
      </c>
      <c r="AA101" s="104">
        <f>Ruimtestaat[[#This Row],[Uitvoeringen weekend]]*Ruimtestaat[[#This Row],[Oppervlak (netto)]]</f>
        <v>0</v>
      </c>
      <c r="AB101" s="104">
        <f>IF(Z101&gt;0,Ruimtestaat[[#This Row],[Prest. (m2 /jaar) weekend]]/Ruimtestaat[[#This Row],[Norm (m2/uur) weekend]],0)</f>
        <v>0</v>
      </c>
      <c r="AC101" s="171">
        <f>Ruimtestaat[[#This Row],[uren / jaar weekend]]*Tariefsopbouw!$D$40</f>
        <v>0</v>
      </c>
      <c r="AD101" s="170">
        <f>Ruimtestaat[[#This Row],[Prest. (m2 /jaar) weekend]]+Ruimtestaat[[#This Row],[Prest. (m2 /jaar) werkdagen]]</f>
        <v>9200</v>
      </c>
      <c r="AE101" s="170">
        <f>Ruimtestaat[[#This Row],[uren / jaar weekend]]+Ruimtestaat[[#This Row],[uren / jaar werkdagen]]</f>
        <v>0</v>
      </c>
      <c r="AF101" s="76">
        <f>Ruimtestaat[[#This Row],[kosten / jaar weekend]]+Ruimtestaat[[#This Row],[kosten / jaar werkdagen]]</f>
        <v>0</v>
      </c>
      <c r="AG101" s="76"/>
      <c r="AH101" s="272" t="str">
        <f>IF(Ruimtestaat[[#This Row],[Frequentie werkdagen]]="","",_xlfn.CONCAT(Ruimtestaat[[#This Row],[Ruimte code]],"-",Ruimtestaat[[#This Row],[Frequentie werkdagen]]," ",Ruimtestaat[[#This Row],[Vloer code]]))</f>
        <v>16-5w p</v>
      </c>
      <c r="AI101" s="310" t="str">
        <f>_xlfn.IFNA(VLOOKUP($AH101,Programma!$F$3:$G$1107,2,0),"")</f>
        <v>_</v>
      </c>
      <c r="AJ101" s="310" t="str">
        <f>_xlfn.IFNA(VLOOKUP($AH101,Programma!$F$3:$H$1107,3,0),"")</f>
        <v>_</v>
      </c>
      <c r="AK101" s="310" t="str">
        <f>_xlfn.IFNA(VLOOKUP($AH101,Programma!$F$3:$I$1107,4,0),"")</f>
        <v>4w</v>
      </c>
      <c r="AL101" s="310" t="str">
        <f>_xlfn.IFNA(VLOOKUP($AH101,Programma!$F$3:$J$1107,5,0),"")</f>
        <v>1w</v>
      </c>
      <c r="AM101" s="310" t="str">
        <f>_xlfn.IFNA(VLOOKUP($AH101,Programma!$F$3:$K$1107,6,0),"")</f>
        <v>1m</v>
      </c>
      <c r="AN101" s="310" t="str">
        <f>_xlfn.IFNA(VLOOKUP($AH101,Programma!$F$3:$L$1107,7,0),"")</f>
        <v>_</v>
      </c>
      <c r="AO101" s="310" t="str">
        <f>_xlfn.IFNA(VLOOKUP($AH101,Programma!$F$3:$M$1107,8,0),"")</f>
        <v>_</v>
      </c>
      <c r="AP101" s="310" t="str">
        <f>_xlfn.IFNA(VLOOKUP($AH101,Programma!$F$3:$N$1107,9,0),"")</f>
        <v>_</v>
      </c>
      <c r="AQ101" s="310" t="str">
        <f>_xlfn.IFNA(VLOOKUP($AH101,Programma!$F$3:$O$1107,10,0),"")</f>
        <v>5w</v>
      </c>
      <c r="AR101" s="310" t="str">
        <f>_xlfn.IFNA(VLOOKUP($AH101,Programma!$F$3:$P$1107,11,0),"")</f>
        <v>5w</v>
      </c>
      <c r="AS101" s="310" t="str">
        <f>_xlfn.IFNA(VLOOKUP($AH101,Programma!$F$3:$Q$1107,12,0),"")</f>
        <v>1w</v>
      </c>
      <c r="AT101" s="310" t="str">
        <f>_xlfn.IFNA(VLOOKUP($AH101,Programma!$F$3:$R$1107,13,0),"")</f>
        <v>1w</v>
      </c>
      <c r="AU101" s="310" t="str">
        <f>_xlfn.IFNA(VLOOKUP($AH101,Programma!$F$3:$S$1107,14,0),"")</f>
        <v>1m</v>
      </c>
      <c r="AV101" s="310" t="str">
        <f>_xlfn.IFNA(VLOOKUP($AH101,Programma!$F$3:$T$1107,15,0),"")</f>
        <v>2j</v>
      </c>
      <c r="AW101" s="310" t="str">
        <f>_xlfn.IFNA(VLOOKUP($AH101,Programma!$F$3:$U$1107,16,0),"")</f>
        <v>1j</v>
      </c>
      <c r="AX101" s="310" t="str">
        <f>_xlfn.IFNA(VLOOKUP($AH101,Programma!$F$3:$V$1107,17,0),"")</f>
        <v>_</v>
      </c>
      <c r="AY101" s="310" t="str">
        <f>_xlfn.IFNA(VLOOKUP($AH101,Programma!$F$3:$W$1107,18,0),"")</f>
        <v>_</v>
      </c>
      <c r="AZ101" s="310" t="str">
        <f>_xlfn.IFNA(VLOOKUP($AH101,Programma!$F$3:$X$1107,19,0),"")</f>
        <v>_</v>
      </c>
      <c r="BA101" s="310" t="str">
        <f>_xlfn.IFNA(VLOOKUP($AH101,Programma!$F$3:$Y$1107,20,0),"")</f>
        <v>_</v>
      </c>
      <c r="BB101" s="273"/>
      <c r="BC101" s="272" t="str">
        <f>IF(Ruimtestaat[[#This Row],[Frequentie weekend]]="","",_xlfn.CONCAT(Ruimtestaat[[#This Row],[Ruimte code]],"-",Ruimtestaat[[#This Row],[Frequentie weekend]]," ",Ruimtestaat[[#This Row],[Vloer code]]))</f>
        <v/>
      </c>
      <c r="BD101" s="310" t="str">
        <f>_xlfn.IFNA(VLOOKUP($BC101,Programma!$F$3:$G$1107,2,0),"")</f>
        <v/>
      </c>
      <c r="BE101" s="310" t="str">
        <f>_xlfn.IFNA(VLOOKUP($BC101,Programma!$F$3:$H$1107,3,0),"")</f>
        <v/>
      </c>
      <c r="BF101" s="310" t="str">
        <f>_xlfn.IFNA(VLOOKUP($BC101,Programma!$F$3:$I$1107,4,0),"")</f>
        <v/>
      </c>
      <c r="BG101" s="310" t="str">
        <f>_xlfn.IFNA(VLOOKUP($BC101,Programma!$F$3:$J$1107,5,0),"")</f>
        <v/>
      </c>
      <c r="BH101" s="310" t="str">
        <f>_xlfn.IFNA(VLOOKUP($BC101,Programma!$F$3:$K$1107,6,0),"")</f>
        <v/>
      </c>
      <c r="BI101" s="310" t="str">
        <f>_xlfn.IFNA(VLOOKUP($BC101,Programma!$F$3:$L$1107,7,0),"")</f>
        <v/>
      </c>
      <c r="BJ101" s="310" t="str">
        <f>_xlfn.IFNA(VLOOKUP($BC101,Programma!$F$3:$M$1107,8,0),"")</f>
        <v/>
      </c>
      <c r="BK101" s="310" t="str">
        <f>_xlfn.IFNA(VLOOKUP($BC101,Programma!$F$3:$N$1107,9,0),"")</f>
        <v/>
      </c>
      <c r="BL101" s="310" t="str">
        <f>_xlfn.IFNA(VLOOKUP($BC101,Programma!$F$3:$O$1107,10,0),"")</f>
        <v/>
      </c>
      <c r="BM101" s="310" t="str">
        <f>_xlfn.IFNA(VLOOKUP($BC101,Programma!$F$3:$P$1107,11,0),"")</f>
        <v/>
      </c>
      <c r="BN101" s="310" t="str">
        <f>_xlfn.IFNA(VLOOKUP($BC101,Programma!$F$3:$Q$1107,12,0),"")</f>
        <v/>
      </c>
      <c r="BO101" s="310" t="str">
        <f>_xlfn.IFNA(VLOOKUP($BC101,Programma!$F$3:$R$1107,13,0),"")</f>
        <v/>
      </c>
      <c r="BP101" s="310" t="str">
        <f>_xlfn.IFNA(VLOOKUP($BC101,Programma!$F$3:$S$1107,14,0),"")</f>
        <v/>
      </c>
      <c r="BQ101" s="310" t="str">
        <f>_xlfn.IFNA(VLOOKUP($BC101,Programma!$F$3:$T$1107,15,0),"")</f>
        <v/>
      </c>
      <c r="BR101" s="310" t="str">
        <f>_xlfn.IFNA(VLOOKUP($BC101,Programma!$F$3:$U$1107,16,0),"")</f>
        <v/>
      </c>
      <c r="BS101" s="310" t="str">
        <f>_xlfn.IFNA(VLOOKUP($BC101,Programma!$F$3:$V$1107,17,0),"")</f>
        <v/>
      </c>
      <c r="BT101" s="310" t="str">
        <f>_xlfn.IFNA(VLOOKUP($BC101,Programma!$F$3:$W$1107,18,0),"")</f>
        <v/>
      </c>
      <c r="BU101" s="310" t="str">
        <f>_xlfn.IFNA(VLOOKUP($BC101,Programma!$F$3:$X$1107,19,0),"")</f>
        <v/>
      </c>
      <c r="BV101" s="310" t="str">
        <f>_xlfn.IFNA(VLOOKUP($BC101,Programma!$F$3:$Y$1107,20,0),"")</f>
        <v/>
      </c>
    </row>
    <row r="102" spans="1:74" ht="15" customHeight="1">
      <c r="A102" s="33">
        <v>1</v>
      </c>
      <c r="B102" s="173" t="str">
        <f>VLOOKUP(Ruimtestaat[[#This Row],[Code]],Locaties[[Code]:[Locatie]],2,FALSE)</f>
        <v>CCNV</v>
      </c>
      <c r="C102" s="173" t="str">
        <f>VLOOKUP(Ruimtestaat[[#This Row],[Code]],Locaties[[#All],[Code]:[Adres]],4,FALSE)</f>
        <v>Stationslaan 26</v>
      </c>
      <c r="D102" s="173" t="str">
        <f>VLOOKUP(Ruimtestaat[[#This Row],[Code]],Locaties[[#All],[Code]:[Postcode]],5,FALSE)</f>
        <v>3842 LA</v>
      </c>
      <c r="E102" s="173" t="str">
        <f>VLOOKUP(Ruimtestaat[[#This Row],[Code]],Locaties[#All],6,FALSE)</f>
        <v>Harderwijk</v>
      </c>
      <c r="F102" s="21" t="s">
        <v>1626</v>
      </c>
      <c r="G102" s="33" t="s">
        <v>1614</v>
      </c>
      <c r="H102" s="311" t="s">
        <v>1714</v>
      </c>
      <c r="I102" s="312" t="s">
        <v>1615</v>
      </c>
      <c r="J102" s="21">
        <v>16</v>
      </c>
      <c r="K102" s="69" t="str">
        <f>VLOOKUP(Ruimtestaat[[#This Row],[Ruimte code]],Ruimtegroepen[[#All],[Code]:[Ruimte omschrijving]],2,FALSE)</f>
        <v>Leslokalen</v>
      </c>
      <c r="L102" s="33" t="s">
        <v>1817</v>
      </c>
      <c r="M102" s="312" t="s">
        <v>1802</v>
      </c>
      <c r="N102" s="148">
        <v>46</v>
      </c>
      <c r="O102" s="33"/>
      <c r="P102" s="134" t="str">
        <f>VLOOKUP(Ruimtestaat[[#This Row],[Ruimte code]],Ruimtegroepen[],4,FALSE)</f>
        <v>Le</v>
      </c>
      <c r="Q102" s="33">
        <v>40</v>
      </c>
      <c r="R102" s="33" t="s">
        <v>2</v>
      </c>
      <c r="S102" s="33">
        <f>IF(Q102&gt;0,IF(RIGHT(Ruimtestaat[[#This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2" s="33">
        <f>IF(S102&gt;0,VLOOKUP($J102,Ruimtegroepen[],3,FALSE)*VLOOKUP($L102,Vloersoorten[],3,FALSE)*VLOOKUP($R102,Frequenties[],3,FALSE)*VLOOKUP($A102,Locaties[],3,FALSE),0)</f>
        <v>0</v>
      </c>
      <c r="U102" s="33">
        <f>Ruimtestaat[[#This Row],[Uitvoeringen werkdagen]]*Ruimtestaat[[#This Row],[Oppervlak (netto)]]</f>
        <v>9200</v>
      </c>
      <c r="V102" s="170">
        <f>IF(T102&gt;0,Ruimtestaat[[#This Row],[Prest. (m2 /jaar) werkdagen]]/Ruimtestaat[[#This Row],[Norm (m2/uur) werkdagen]],0)</f>
        <v>0</v>
      </c>
      <c r="W102" s="171">
        <f>Ruimtestaat[[#This Row],[uren / jaar werkdagen]]*Tariefsopbouw!$E$35</f>
        <v>0</v>
      </c>
      <c r="X102" s="33"/>
      <c r="Y102" s="33">
        <f>IF(Ruimtestaat[[#This Row],[Frequentie weekend]]&gt;0,VALUE(LEFT(X102,1))*Q102,0)</f>
        <v>0</v>
      </c>
      <c r="Z102" s="104">
        <f>IF($Y102&gt;0,VLOOKUP($J102,Ruimtegroepen[],3,FALSE)*VLOOKUP($L102,Vloersoorten[],3,FALSE)*VLOOKUP($X102,Frequenties[],3,FALSE)*VLOOKUP(Ruimtestaat[[#This Row],[Code]],Locaties[],3,FALSE),0)</f>
        <v>0</v>
      </c>
      <c r="AA102" s="104">
        <f>Ruimtestaat[[#This Row],[Uitvoeringen weekend]]*Ruimtestaat[[#This Row],[Oppervlak (netto)]]</f>
        <v>0</v>
      </c>
      <c r="AB102" s="104">
        <f>IF(Z102&gt;0,Ruimtestaat[[#This Row],[Prest. (m2 /jaar) weekend]]/Ruimtestaat[[#This Row],[Norm (m2/uur) weekend]],0)</f>
        <v>0</v>
      </c>
      <c r="AC102" s="171">
        <f>Ruimtestaat[[#This Row],[uren / jaar weekend]]*Tariefsopbouw!$D$40</f>
        <v>0</v>
      </c>
      <c r="AD102" s="170">
        <f>Ruimtestaat[[#This Row],[Prest. (m2 /jaar) weekend]]+Ruimtestaat[[#This Row],[Prest. (m2 /jaar) werkdagen]]</f>
        <v>9200</v>
      </c>
      <c r="AE102" s="170">
        <f>Ruimtestaat[[#This Row],[uren / jaar weekend]]+Ruimtestaat[[#This Row],[uren / jaar werkdagen]]</f>
        <v>0</v>
      </c>
      <c r="AF102" s="76">
        <f>Ruimtestaat[[#This Row],[kosten / jaar weekend]]+Ruimtestaat[[#This Row],[kosten / jaar werkdagen]]</f>
        <v>0</v>
      </c>
      <c r="AG102" s="76"/>
      <c r="AH102" s="272" t="str">
        <f>IF(Ruimtestaat[[#This Row],[Frequentie werkdagen]]="","",_xlfn.CONCAT(Ruimtestaat[[#This Row],[Ruimte code]],"-",Ruimtestaat[[#This Row],[Frequentie werkdagen]]," ",Ruimtestaat[[#This Row],[Vloer code]]))</f>
        <v>16-5w p</v>
      </c>
      <c r="AI102" s="310" t="str">
        <f>_xlfn.IFNA(VLOOKUP($AH102,Programma!$F$3:$G$1107,2,0),"")</f>
        <v>_</v>
      </c>
      <c r="AJ102" s="310" t="str">
        <f>_xlfn.IFNA(VLOOKUP($AH102,Programma!$F$3:$H$1107,3,0),"")</f>
        <v>_</v>
      </c>
      <c r="AK102" s="310" t="str">
        <f>_xlfn.IFNA(VLOOKUP($AH102,Programma!$F$3:$I$1107,4,0),"")</f>
        <v>4w</v>
      </c>
      <c r="AL102" s="310" t="str">
        <f>_xlfn.IFNA(VLOOKUP($AH102,Programma!$F$3:$J$1107,5,0),"")</f>
        <v>1w</v>
      </c>
      <c r="AM102" s="310" t="str">
        <f>_xlfn.IFNA(VLOOKUP($AH102,Programma!$F$3:$K$1107,6,0),"")</f>
        <v>1m</v>
      </c>
      <c r="AN102" s="310" t="str">
        <f>_xlfn.IFNA(VLOOKUP($AH102,Programma!$F$3:$L$1107,7,0),"")</f>
        <v>_</v>
      </c>
      <c r="AO102" s="310" t="str">
        <f>_xlfn.IFNA(VLOOKUP($AH102,Programma!$F$3:$M$1107,8,0),"")</f>
        <v>_</v>
      </c>
      <c r="AP102" s="310" t="str">
        <f>_xlfn.IFNA(VLOOKUP($AH102,Programma!$F$3:$N$1107,9,0),"")</f>
        <v>_</v>
      </c>
      <c r="AQ102" s="310" t="str">
        <f>_xlfn.IFNA(VLOOKUP($AH102,Programma!$F$3:$O$1107,10,0),"")</f>
        <v>5w</v>
      </c>
      <c r="AR102" s="310" t="str">
        <f>_xlfn.IFNA(VLOOKUP($AH102,Programma!$F$3:$P$1107,11,0),"")</f>
        <v>5w</v>
      </c>
      <c r="AS102" s="310" t="str">
        <f>_xlfn.IFNA(VLOOKUP($AH102,Programma!$F$3:$Q$1107,12,0),"")</f>
        <v>1w</v>
      </c>
      <c r="AT102" s="310" t="str">
        <f>_xlfn.IFNA(VLOOKUP($AH102,Programma!$F$3:$R$1107,13,0),"")</f>
        <v>1w</v>
      </c>
      <c r="AU102" s="310" t="str">
        <f>_xlfn.IFNA(VLOOKUP($AH102,Programma!$F$3:$S$1107,14,0),"")</f>
        <v>1m</v>
      </c>
      <c r="AV102" s="310" t="str">
        <f>_xlfn.IFNA(VLOOKUP($AH102,Programma!$F$3:$T$1107,15,0),"")</f>
        <v>2j</v>
      </c>
      <c r="AW102" s="310" t="str">
        <f>_xlfn.IFNA(VLOOKUP($AH102,Programma!$F$3:$U$1107,16,0),"")</f>
        <v>1j</v>
      </c>
      <c r="AX102" s="310" t="str">
        <f>_xlfn.IFNA(VLOOKUP($AH102,Programma!$F$3:$V$1107,17,0),"")</f>
        <v>_</v>
      </c>
      <c r="AY102" s="310" t="str">
        <f>_xlfn.IFNA(VLOOKUP($AH102,Programma!$F$3:$W$1107,18,0),"")</f>
        <v>_</v>
      </c>
      <c r="AZ102" s="310" t="str">
        <f>_xlfn.IFNA(VLOOKUP($AH102,Programma!$F$3:$X$1107,19,0),"")</f>
        <v>_</v>
      </c>
      <c r="BA102" s="310" t="str">
        <f>_xlfn.IFNA(VLOOKUP($AH102,Programma!$F$3:$Y$1107,20,0),"")</f>
        <v>_</v>
      </c>
      <c r="BB102" s="273"/>
      <c r="BC102" s="272" t="str">
        <f>IF(Ruimtestaat[[#This Row],[Frequentie weekend]]="","",_xlfn.CONCAT(Ruimtestaat[[#This Row],[Ruimte code]],"-",Ruimtestaat[[#This Row],[Frequentie weekend]]," ",Ruimtestaat[[#This Row],[Vloer code]]))</f>
        <v/>
      </c>
      <c r="BD102" s="310" t="str">
        <f>_xlfn.IFNA(VLOOKUP($BC102,Programma!$F$3:$G$1107,2,0),"")</f>
        <v/>
      </c>
      <c r="BE102" s="310" t="str">
        <f>_xlfn.IFNA(VLOOKUP($BC102,Programma!$F$3:$H$1107,3,0),"")</f>
        <v/>
      </c>
      <c r="BF102" s="310" t="str">
        <f>_xlfn.IFNA(VLOOKUP($BC102,Programma!$F$3:$I$1107,4,0),"")</f>
        <v/>
      </c>
      <c r="BG102" s="310" t="str">
        <f>_xlfn.IFNA(VLOOKUP($BC102,Programma!$F$3:$J$1107,5,0),"")</f>
        <v/>
      </c>
      <c r="BH102" s="310" t="str">
        <f>_xlfn.IFNA(VLOOKUP($BC102,Programma!$F$3:$K$1107,6,0),"")</f>
        <v/>
      </c>
      <c r="BI102" s="310" t="str">
        <f>_xlfn.IFNA(VLOOKUP($BC102,Programma!$F$3:$L$1107,7,0),"")</f>
        <v/>
      </c>
      <c r="BJ102" s="310" t="str">
        <f>_xlfn.IFNA(VLOOKUP($BC102,Programma!$F$3:$M$1107,8,0),"")</f>
        <v/>
      </c>
      <c r="BK102" s="310" t="str">
        <f>_xlfn.IFNA(VLOOKUP($BC102,Programma!$F$3:$N$1107,9,0),"")</f>
        <v/>
      </c>
      <c r="BL102" s="310" t="str">
        <f>_xlfn.IFNA(VLOOKUP($BC102,Programma!$F$3:$O$1107,10,0),"")</f>
        <v/>
      </c>
      <c r="BM102" s="310" t="str">
        <f>_xlfn.IFNA(VLOOKUP($BC102,Programma!$F$3:$P$1107,11,0),"")</f>
        <v/>
      </c>
      <c r="BN102" s="310" t="str">
        <f>_xlfn.IFNA(VLOOKUP($BC102,Programma!$F$3:$Q$1107,12,0),"")</f>
        <v/>
      </c>
      <c r="BO102" s="310" t="str">
        <f>_xlfn.IFNA(VLOOKUP($BC102,Programma!$F$3:$R$1107,13,0),"")</f>
        <v/>
      </c>
      <c r="BP102" s="310" t="str">
        <f>_xlfn.IFNA(VLOOKUP($BC102,Programma!$F$3:$S$1107,14,0),"")</f>
        <v/>
      </c>
      <c r="BQ102" s="310" t="str">
        <f>_xlfn.IFNA(VLOOKUP($BC102,Programma!$F$3:$T$1107,15,0),"")</f>
        <v/>
      </c>
      <c r="BR102" s="310" t="str">
        <f>_xlfn.IFNA(VLOOKUP($BC102,Programma!$F$3:$U$1107,16,0),"")</f>
        <v/>
      </c>
      <c r="BS102" s="310" t="str">
        <f>_xlfn.IFNA(VLOOKUP($BC102,Programma!$F$3:$V$1107,17,0),"")</f>
        <v/>
      </c>
      <c r="BT102" s="310" t="str">
        <f>_xlfn.IFNA(VLOOKUP($BC102,Programma!$F$3:$W$1107,18,0),"")</f>
        <v/>
      </c>
      <c r="BU102" s="310" t="str">
        <f>_xlfn.IFNA(VLOOKUP($BC102,Programma!$F$3:$X$1107,19,0),"")</f>
        <v/>
      </c>
      <c r="BV102" s="310" t="str">
        <f>_xlfn.IFNA(VLOOKUP($BC102,Programma!$F$3:$Y$1107,20,0),"")</f>
        <v/>
      </c>
    </row>
    <row r="103" spans="1:74" ht="15" customHeight="1">
      <c r="A103" s="33">
        <v>1</v>
      </c>
      <c r="B103" s="173" t="str">
        <f>VLOOKUP(Ruimtestaat[[#This Row],[Code]],Locaties[[Code]:[Locatie]],2,FALSE)</f>
        <v>CCNV</v>
      </c>
      <c r="C103" s="173" t="str">
        <f>VLOOKUP(Ruimtestaat[[#This Row],[Code]],Locaties[[#All],[Code]:[Adres]],4,FALSE)</f>
        <v>Stationslaan 26</v>
      </c>
      <c r="D103" s="173" t="str">
        <f>VLOOKUP(Ruimtestaat[[#This Row],[Code]],Locaties[[#All],[Code]:[Postcode]],5,FALSE)</f>
        <v>3842 LA</v>
      </c>
      <c r="E103" s="173" t="str">
        <f>VLOOKUP(Ruimtestaat[[#This Row],[Code]],Locaties[#All],6,FALSE)</f>
        <v>Harderwijk</v>
      </c>
      <c r="F103" s="21" t="s">
        <v>1626</v>
      </c>
      <c r="G103" s="33" t="s">
        <v>1614</v>
      </c>
      <c r="H103" s="311" t="s">
        <v>1715</v>
      </c>
      <c r="I103" s="312" t="s">
        <v>1615</v>
      </c>
      <c r="J103" s="21">
        <v>16</v>
      </c>
      <c r="K103" s="69" t="str">
        <f>VLOOKUP(Ruimtestaat[[#This Row],[Ruimte code]],Ruimtegroepen[[#All],[Code]:[Ruimte omschrijving]],2,FALSE)</f>
        <v>Leslokalen</v>
      </c>
      <c r="L103" s="33" t="s">
        <v>1817</v>
      </c>
      <c r="M103" s="312" t="s">
        <v>1802</v>
      </c>
      <c r="N103" s="148">
        <v>100</v>
      </c>
      <c r="O103" s="150"/>
      <c r="P103" s="134" t="str">
        <f>VLOOKUP(Ruimtestaat[[#This Row],[Ruimte code]],Ruimtegroepen[],4,FALSE)</f>
        <v>Le</v>
      </c>
      <c r="Q103" s="33">
        <v>40</v>
      </c>
      <c r="R103" s="33" t="s">
        <v>2</v>
      </c>
      <c r="S103" s="33">
        <f>IF(Q103&gt;0,IF(RIGHT(Ruimtestaat[[#This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3" s="33">
        <f>IF(S103&gt;0,VLOOKUP($J103,Ruimtegroepen[],3,FALSE)*VLOOKUP($L103,Vloersoorten[],3,FALSE)*VLOOKUP($R103,Frequenties[],3,FALSE)*VLOOKUP($A103,Locaties[],3,FALSE),0)</f>
        <v>0</v>
      </c>
      <c r="U103" s="33">
        <f>Ruimtestaat[[#This Row],[Uitvoeringen werkdagen]]*Ruimtestaat[[#This Row],[Oppervlak (netto)]]</f>
        <v>20000</v>
      </c>
      <c r="V103" s="170">
        <f>IF(T103&gt;0,Ruimtestaat[[#This Row],[Prest. (m2 /jaar) werkdagen]]/Ruimtestaat[[#This Row],[Norm (m2/uur) werkdagen]],0)</f>
        <v>0</v>
      </c>
      <c r="W103" s="171">
        <f>Ruimtestaat[[#This Row],[uren / jaar werkdagen]]*Tariefsopbouw!$E$35</f>
        <v>0</v>
      </c>
      <c r="X103" s="33"/>
      <c r="Y103" s="33">
        <f>IF(Ruimtestaat[[#This Row],[Frequentie weekend]]&gt;0,VALUE(LEFT(X103,1))*Q103,0)</f>
        <v>0</v>
      </c>
      <c r="Z103" s="104">
        <f>IF($Y103&gt;0,VLOOKUP($J103,Ruimtegroepen[],3,FALSE)*VLOOKUP($L103,Vloersoorten[],3,FALSE)*VLOOKUP($X103,Frequenties[],3,FALSE)*VLOOKUP(Ruimtestaat[[#This Row],[Code]],Locaties[],3,FALSE),0)</f>
        <v>0</v>
      </c>
      <c r="AA103" s="104">
        <f>Ruimtestaat[[#This Row],[Uitvoeringen weekend]]*Ruimtestaat[[#This Row],[Oppervlak (netto)]]</f>
        <v>0</v>
      </c>
      <c r="AB103" s="104">
        <f>IF(Z103&gt;0,Ruimtestaat[[#This Row],[Prest. (m2 /jaar) weekend]]/Ruimtestaat[[#This Row],[Norm (m2/uur) weekend]],0)</f>
        <v>0</v>
      </c>
      <c r="AC103" s="171">
        <f>Ruimtestaat[[#This Row],[uren / jaar weekend]]*Tariefsopbouw!$D$40</f>
        <v>0</v>
      </c>
      <c r="AD103" s="170">
        <f>Ruimtestaat[[#This Row],[Prest. (m2 /jaar) weekend]]+Ruimtestaat[[#This Row],[Prest. (m2 /jaar) werkdagen]]</f>
        <v>20000</v>
      </c>
      <c r="AE103" s="170">
        <f>Ruimtestaat[[#This Row],[uren / jaar weekend]]+Ruimtestaat[[#This Row],[uren / jaar werkdagen]]</f>
        <v>0</v>
      </c>
      <c r="AF103" s="76">
        <f>Ruimtestaat[[#This Row],[kosten / jaar weekend]]+Ruimtestaat[[#This Row],[kosten / jaar werkdagen]]</f>
        <v>0</v>
      </c>
      <c r="AG103" s="76"/>
      <c r="AH103" s="272" t="str">
        <f>IF(Ruimtestaat[[#This Row],[Frequentie werkdagen]]="","",_xlfn.CONCAT(Ruimtestaat[[#This Row],[Ruimte code]],"-",Ruimtestaat[[#This Row],[Frequentie werkdagen]]," ",Ruimtestaat[[#This Row],[Vloer code]]))</f>
        <v>16-5w p</v>
      </c>
      <c r="AI103" s="310" t="str">
        <f>_xlfn.IFNA(VLOOKUP($AH103,Programma!$F$3:$G$1107,2,0),"")</f>
        <v>_</v>
      </c>
      <c r="AJ103" s="310" t="str">
        <f>_xlfn.IFNA(VLOOKUP($AH103,Programma!$F$3:$H$1107,3,0),"")</f>
        <v>_</v>
      </c>
      <c r="AK103" s="310" t="str">
        <f>_xlfn.IFNA(VLOOKUP($AH103,Programma!$F$3:$I$1107,4,0),"")</f>
        <v>4w</v>
      </c>
      <c r="AL103" s="310" t="str">
        <f>_xlfn.IFNA(VLOOKUP($AH103,Programma!$F$3:$J$1107,5,0),"")</f>
        <v>1w</v>
      </c>
      <c r="AM103" s="310" t="str">
        <f>_xlfn.IFNA(VLOOKUP($AH103,Programma!$F$3:$K$1107,6,0),"")</f>
        <v>1m</v>
      </c>
      <c r="AN103" s="310" t="str">
        <f>_xlfn.IFNA(VLOOKUP($AH103,Programma!$F$3:$L$1107,7,0),"")</f>
        <v>_</v>
      </c>
      <c r="AO103" s="310" t="str">
        <f>_xlfn.IFNA(VLOOKUP($AH103,Programma!$F$3:$M$1107,8,0),"")</f>
        <v>_</v>
      </c>
      <c r="AP103" s="310" t="str">
        <f>_xlfn.IFNA(VLOOKUP($AH103,Programma!$F$3:$N$1107,9,0),"")</f>
        <v>_</v>
      </c>
      <c r="AQ103" s="310" t="str">
        <f>_xlfn.IFNA(VLOOKUP($AH103,Programma!$F$3:$O$1107,10,0),"")</f>
        <v>5w</v>
      </c>
      <c r="AR103" s="310" t="str">
        <f>_xlfn.IFNA(VLOOKUP($AH103,Programma!$F$3:$P$1107,11,0),"")</f>
        <v>5w</v>
      </c>
      <c r="AS103" s="310" t="str">
        <f>_xlfn.IFNA(VLOOKUP($AH103,Programma!$F$3:$Q$1107,12,0),"")</f>
        <v>1w</v>
      </c>
      <c r="AT103" s="310" t="str">
        <f>_xlfn.IFNA(VLOOKUP($AH103,Programma!$F$3:$R$1107,13,0),"")</f>
        <v>1w</v>
      </c>
      <c r="AU103" s="310" t="str">
        <f>_xlfn.IFNA(VLOOKUP($AH103,Programma!$F$3:$S$1107,14,0),"")</f>
        <v>1m</v>
      </c>
      <c r="AV103" s="310" t="str">
        <f>_xlfn.IFNA(VLOOKUP($AH103,Programma!$F$3:$T$1107,15,0),"")</f>
        <v>2j</v>
      </c>
      <c r="AW103" s="310" t="str">
        <f>_xlfn.IFNA(VLOOKUP($AH103,Programma!$F$3:$U$1107,16,0),"")</f>
        <v>1j</v>
      </c>
      <c r="AX103" s="310" t="str">
        <f>_xlfn.IFNA(VLOOKUP($AH103,Programma!$F$3:$V$1107,17,0),"")</f>
        <v>_</v>
      </c>
      <c r="AY103" s="310" t="str">
        <f>_xlfn.IFNA(VLOOKUP($AH103,Programma!$F$3:$W$1107,18,0),"")</f>
        <v>_</v>
      </c>
      <c r="AZ103" s="310" t="str">
        <f>_xlfn.IFNA(VLOOKUP($AH103,Programma!$F$3:$X$1107,19,0),"")</f>
        <v>_</v>
      </c>
      <c r="BA103" s="310" t="str">
        <f>_xlfn.IFNA(VLOOKUP($AH103,Programma!$F$3:$Y$1107,20,0),"")</f>
        <v>_</v>
      </c>
      <c r="BB103" s="273"/>
      <c r="BC103" s="272" t="str">
        <f>IF(Ruimtestaat[[#This Row],[Frequentie weekend]]="","",_xlfn.CONCAT(Ruimtestaat[[#This Row],[Ruimte code]],"-",Ruimtestaat[[#This Row],[Frequentie weekend]]," ",Ruimtestaat[[#This Row],[Vloer code]]))</f>
        <v/>
      </c>
      <c r="BD103" s="310" t="str">
        <f>_xlfn.IFNA(VLOOKUP($BC103,Programma!$F$3:$G$1107,2,0),"")</f>
        <v/>
      </c>
      <c r="BE103" s="310" t="str">
        <f>_xlfn.IFNA(VLOOKUP($BC103,Programma!$F$3:$H$1107,3,0),"")</f>
        <v/>
      </c>
      <c r="BF103" s="310" t="str">
        <f>_xlfn.IFNA(VLOOKUP($BC103,Programma!$F$3:$I$1107,4,0),"")</f>
        <v/>
      </c>
      <c r="BG103" s="310" t="str">
        <f>_xlfn.IFNA(VLOOKUP($BC103,Programma!$F$3:$J$1107,5,0),"")</f>
        <v/>
      </c>
      <c r="BH103" s="310" t="str">
        <f>_xlfn.IFNA(VLOOKUP($BC103,Programma!$F$3:$K$1107,6,0),"")</f>
        <v/>
      </c>
      <c r="BI103" s="310" t="str">
        <f>_xlfn.IFNA(VLOOKUP($BC103,Programma!$F$3:$L$1107,7,0),"")</f>
        <v/>
      </c>
      <c r="BJ103" s="310" t="str">
        <f>_xlfn.IFNA(VLOOKUP($BC103,Programma!$F$3:$M$1107,8,0),"")</f>
        <v/>
      </c>
      <c r="BK103" s="310" t="str">
        <f>_xlfn.IFNA(VLOOKUP($BC103,Programma!$F$3:$N$1107,9,0),"")</f>
        <v/>
      </c>
      <c r="BL103" s="310" t="str">
        <f>_xlfn.IFNA(VLOOKUP($BC103,Programma!$F$3:$O$1107,10,0),"")</f>
        <v/>
      </c>
      <c r="BM103" s="310" t="str">
        <f>_xlfn.IFNA(VLOOKUP($BC103,Programma!$F$3:$P$1107,11,0),"")</f>
        <v/>
      </c>
      <c r="BN103" s="310" t="str">
        <f>_xlfn.IFNA(VLOOKUP($BC103,Programma!$F$3:$Q$1107,12,0),"")</f>
        <v/>
      </c>
      <c r="BO103" s="310" t="str">
        <f>_xlfn.IFNA(VLOOKUP($BC103,Programma!$F$3:$R$1107,13,0),"")</f>
        <v/>
      </c>
      <c r="BP103" s="310" t="str">
        <f>_xlfn.IFNA(VLOOKUP($BC103,Programma!$F$3:$S$1107,14,0),"")</f>
        <v/>
      </c>
      <c r="BQ103" s="310" t="str">
        <f>_xlfn.IFNA(VLOOKUP($BC103,Programma!$F$3:$T$1107,15,0),"")</f>
        <v/>
      </c>
      <c r="BR103" s="310" t="str">
        <f>_xlfn.IFNA(VLOOKUP($BC103,Programma!$F$3:$U$1107,16,0),"")</f>
        <v/>
      </c>
      <c r="BS103" s="310" t="str">
        <f>_xlfn.IFNA(VLOOKUP($BC103,Programma!$F$3:$V$1107,17,0),"")</f>
        <v/>
      </c>
      <c r="BT103" s="310" t="str">
        <f>_xlfn.IFNA(VLOOKUP($BC103,Programma!$F$3:$W$1107,18,0),"")</f>
        <v/>
      </c>
      <c r="BU103" s="310" t="str">
        <f>_xlfn.IFNA(VLOOKUP($BC103,Programma!$F$3:$X$1107,19,0),"")</f>
        <v/>
      </c>
      <c r="BV103" s="310" t="str">
        <f>_xlfn.IFNA(VLOOKUP($BC103,Programma!$F$3:$Y$1107,20,0),"")</f>
        <v/>
      </c>
    </row>
    <row r="104" spans="1:74" ht="15" customHeight="1">
      <c r="A104" s="33">
        <v>1</v>
      </c>
      <c r="B104" s="173" t="str">
        <f>VLOOKUP(Ruimtestaat[[#This Row],[Code]],Locaties[[Code]:[Locatie]],2,FALSE)</f>
        <v>CCNV</v>
      </c>
      <c r="C104" s="173" t="str">
        <f>VLOOKUP(Ruimtestaat[[#This Row],[Code]],Locaties[[#All],[Code]:[Adres]],4,FALSE)</f>
        <v>Stationslaan 26</v>
      </c>
      <c r="D104" s="173" t="str">
        <f>VLOOKUP(Ruimtestaat[[#This Row],[Code]],Locaties[[#All],[Code]:[Postcode]],5,FALSE)</f>
        <v>3842 LA</v>
      </c>
      <c r="E104" s="173" t="str">
        <f>VLOOKUP(Ruimtestaat[[#This Row],[Code]],Locaties[#All],6,FALSE)</f>
        <v>Harderwijk</v>
      </c>
      <c r="F104" s="21" t="s">
        <v>1626</v>
      </c>
      <c r="G104" s="33" t="s">
        <v>1614</v>
      </c>
      <c r="H104" s="311" t="s">
        <v>1716</v>
      </c>
      <c r="I104" s="312" t="s">
        <v>1783</v>
      </c>
      <c r="J104" s="21">
        <v>20</v>
      </c>
      <c r="K104" s="69" t="str">
        <f>VLOOKUP(Ruimtestaat[[#This Row],[Ruimte code]],Ruimtegroepen[[#All],[Code]:[Ruimte omschrijving]],2,FALSE)</f>
        <v>Niet in Onderhoud</v>
      </c>
      <c r="L104" s="33"/>
      <c r="M104" s="312"/>
      <c r="N104" s="148"/>
      <c r="O104" s="150"/>
      <c r="P104" s="134">
        <f>VLOOKUP(Ruimtestaat[[#This Row],[Ruimte code]],Ruimtegroepen[],4,FALSE)</f>
        <v>0</v>
      </c>
      <c r="Q104" s="33"/>
      <c r="R104" s="33"/>
      <c r="S104" s="33">
        <f>IF(Q104&gt;0,IF(RIGHT(Ruimtestaat[[#This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4" s="33">
        <f>IF(S104&gt;0,VLOOKUP($J104,Ruimtegroepen[],3,FALSE)*VLOOKUP($L104,Vloersoorten[],3,FALSE)*VLOOKUP($R104,Frequenties[],3,FALSE)*VLOOKUP($A104,Locaties[],3,FALSE),0)</f>
        <v>0</v>
      </c>
      <c r="U104" s="33">
        <f>Ruimtestaat[[#This Row],[Uitvoeringen werkdagen]]*Ruimtestaat[[#This Row],[Oppervlak (netto)]]</f>
        <v>0</v>
      </c>
      <c r="V104" s="170">
        <f>IF(T104&gt;0,Ruimtestaat[[#This Row],[Prest. (m2 /jaar) werkdagen]]/Ruimtestaat[[#This Row],[Norm (m2/uur) werkdagen]],0)</f>
        <v>0</v>
      </c>
      <c r="W104" s="171">
        <f>Ruimtestaat[[#This Row],[uren / jaar werkdagen]]*Tariefsopbouw!$E$35</f>
        <v>0</v>
      </c>
      <c r="X104" s="33"/>
      <c r="Y104" s="33">
        <f>IF(Ruimtestaat[[#This Row],[Frequentie weekend]]&gt;0,VALUE(LEFT(X104,1))*Q104,0)</f>
        <v>0</v>
      </c>
      <c r="Z104" s="104">
        <f>IF($Y104&gt;0,VLOOKUP($J104,Ruimtegroepen[],3,FALSE)*VLOOKUP($L104,Vloersoorten[],3,FALSE)*VLOOKUP($X104,Frequenties[],3,FALSE)*VLOOKUP(Ruimtestaat[[#This Row],[Code]],Locaties[],3,FALSE),0)</f>
        <v>0</v>
      </c>
      <c r="AA104" s="104">
        <f>Ruimtestaat[[#This Row],[Uitvoeringen weekend]]*Ruimtestaat[[#This Row],[Oppervlak (netto)]]</f>
        <v>0</v>
      </c>
      <c r="AB104" s="104">
        <f>IF(Z104&gt;0,Ruimtestaat[[#This Row],[Prest. (m2 /jaar) weekend]]/Ruimtestaat[[#This Row],[Norm (m2/uur) weekend]],0)</f>
        <v>0</v>
      </c>
      <c r="AC104" s="171">
        <f>Ruimtestaat[[#This Row],[uren / jaar weekend]]*Tariefsopbouw!$D$40</f>
        <v>0</v>
      </c>
      <c r="AD104" s="170">
        <f>Ruimtestaat[[#This Row],[Prest. (m2 /jaar) weekend]]+Ruimtestaat[[#This Row],[Prest. (m2 /jaar) werkdagen]]</f>
        <v>0</v>
      </c>
      <c r="AE104" s="170">
        <f>Ruimtestaat[[#This Row],[uren / jaar weekend]]+Ruimtestaat[[#This Row],[uren / jaar werkdagen]]</f>
        <v>0</v>
      </c>
      <c r="AF104" s="76">
        <f>Ruimtestaat[[#This Row],[kosten / jaar weekend]]+Ruimtestaat[[#This Row],[kosten / jaar werkdagen]]</f>
        <v>0</v>
      </c>
      <c r="AG104" s="76"/>
      <c r="AH104" s="272" t="str">
        <f>IF(Ruimtestaat[[#This Row],[Frequentie werkdagen]]="","",_xlfn.CONCAT(Ruimtestaat[[#This Row],[Ruimte code]],"-",Ruimtestaat[[#This Row],[Frequentie werkdagen]]," ",Ruimtestaat[[#This Row],[Vloer code]]))</f>
        <v/>
      </c>
      <c r="AI104" s="310" t="str">
        <f>_xlfn.IFNA(VLOOKUP($AH104,Programma!$F$3:$G$1107,2,0),"")</f>
        <v/>
      </c>
      <c r="AJ104" s="310" t="str">
        <f>_xlfn.IFNA(VLOOKUP($AH104,Programma!$F$3:$H$1107,3,0),"")</f>
        <v/>
      </c>
      <c r="AK104" s="310" t="str">
        <f>_xlfn.IFNA(VLOOKUP($AH104,Programma!$F$3:$I$1107,4,0),"")</f>
        <v/>
      </c>
      <c r="AL104" s="310" t="str">
        <f>_xlfn.IFNA(VLOOKUP($AH104,Programma!$F$3:$J$1107,5,0),"")</f>
        <v/>
      </c>
      <c r="AM104" s="310" t="str">
        <f>_xlfn.IFNA(VLOOKUP($AH104,Programma!$F$3:$K$1107,6,0),"")</f>
        <v/>
      </c>
      <c r="AN104" s="310" t="str">
        <f>_xlfn.IFNA(VLOOKUP($AH104,Programma!$F$3:$L$1107,7,0),"")</f>
        <v/>
      </c>
      <c r="AO104" s="310" t="str">
        <f>_xlfn.IFNA(VLOOKUP($AH104,Programma!$F$3:$M$1107,8,0),"")</f>
        <v/>
      </c>
      <c r="AP104" s="310" t="str">
        <f>_xlfn.IFNA(VLOOKUP($AH104,Programma!$F$3:$N$1107,9,0),"")</f>
        <v/>
      </c>
      <c r="AQ104" s="310" t="str">
        <f>_xlfn.IFNA(VLOOKUP($AH104,Programma!$F$3:$O$1107,10,0),"")</f>
        <v/>
      </c>
      <c r="AR104" s="310" t="str">
        <f>_xlfn.IFNA(VLOOKUP($AH104,Programma!$F$3:$P$1107,11,0),"")</f>
        <v/>
      </c>
      <c r="AS104" s="310" t="str">
        <f>_xlfn.IFNA(VLOOKUP($AH104,Programma!$F$3:$Q$1107,12,0),"")</f>
        <v/>
      </c>
      <c r="AT104" s="310" t="str">
        <f>_xlfn.IFNA(VLOOKUP($AH104,Programma!$F$3:$R$1107,13,0),"")</f>
        <v/>
      </c>
      <c r="AU104" s="310" t="str">
        <f>_xlfn.IFNA(VLOOKUP($AH104,Programma!$F$3:$S$1107,14,0),"")</f>
        <v/>
      </c>
      <c r="AV104" s="310" t="str">
        <f>_xlfn.IFNA(VLOOKUP($AH104,Programma!$F$3:$T$1107,15,0),"")</f>
        <v/>
      </c>
      <c r="AW104" s="310" t="str">
        <f>_xlfn.IFNA(VLOOKUP($AH104,Programma!$F$3:$U$1107,16,0),"")</f>
        <v/>
      </c>
      <c r="AX104" s="310" t="str">
        <f>_xlfn.IFNA(VLOOKUP($AH104,Programma!$F$3:$V$1107,17,0),"")</f>
        <v/>
      </c>
      <c r="AY104" s="310" t="str">
        <f>_xlfn.IFNA(VLOOKUP($AH104,Programma!$F$3:$W$1107,18,0),"")</f>
        <v/>
      </c>
      <c r="AZ104" s="310" t="str">
        <f>_xlfn.IFNA(VLOOKUP($AH104,Programma!$F$3:$X$1107,19,0),"")</f>
        <v/>
      </c>
      <c r="BA104" s="310" t="str">
        <f>_xlfn.IFNA(VLOOKUP($AH104,Programma!$F$3:$Y$1107,20,0),"")</f>
        <v/>
      </c>
      <c r="BB104" s="273"/>
      <c r="BC104" s="272" t="str">
        <f>IF(Ruimtestaat[[#This Row],[Frequentie weekend]]="","",_xlfn.CONCAT(Ruimtestaat[[#This Row],[Ruimte code]],"-",Ruimtestaat[[#This Row],[Frequentie weekend]]," ",Ruimtestaat[[#This Row],[Vloer code]]))</f>
        <v/>
      </c>
      <c r="BD104" s="310" t="str">
        <f>_xlfn.IFNA(VLOOKUP($BC104,Programma!$F$3:$G$1107,2,0),"")</f>
        <v/>
      </c>
      <c r="BE104" s="310" t="str">
        <f>_xlfn.IFNA(VLOOKUP($BC104,Programma!$F$3:$H$1107,3,0),"")</f>
        <v/>
      </c>
      <c r="BF104" s="310" t="str">
        <f>_xlfn.IFNA(VLOOKUP($BC104,Programma!$F$3:$I$1107,4,0),"")</f>
        <v/>
      </c>
      <c r="BG104" s="310" t="str">
        <f>_xlfn.IFNA(VLOOKUP($BC104,Programma!$F$3:$J$1107,5,0),"")</f>
        <v/>
      </c>
      <c r="BH104" s="310" t="str">
        <f>_xlfn.IFNA(VLOOKUP($BC104,Programma!$F$3:$K$1107,6,0),"")</f>
        <v/>
      </c>
      <c r="BI104" s="310" t="str">
        <f>_xlfn.IFNA(VLOOKUP($BC104,Programma!$F$3:$L$1107,7,0),"")</f>
        <v/>
      </c>
      <c r="BJ104" s="310" t="str">
        <f>_xlfn.IFNA(VLOOKUP($BC104,Programma!$F$3:$M$1107,8,0),"")</f>
        <v/>
      </c>
      <c r="BK104" s="310" t="str">
        <f>_xlfn.IFNA(VLOOKUP($BC104,Programma!$F$3:$N$1107,9,0),"")</f>
        <v/>
      </c>
      <c r="BL104" s="310" t="str">
        <f>_xlfn.IFNA(VLOOKUP($BC104,Programma!$F$3:$O$1107,10,0),"")</f>
        <v/>
      </c>
      <c r="BM104" s="310" t="str">
        <f>_xlfn.IFNA(VLOOKUP($BC104,Programma!$F$3:$P$1107,11,0),"")</f>
        <v/>
      </c>
      <c r="BN104" s="310" t="str">
        <f>_xlfn.IFNA(VLOOKUP($BC104,Programma!$F$3:$Q$1107,12,0),"")</f>
        <v/>
      </c>
      <c r="BO104" s="310" t="str">
        <f>_xlfn.IFNA(VLOOKUP($BC104,Programma!$F$3:$R$1107,13,0),"")</f>
        <v/>
      </c>
      <c r="BP104" s="310" t="str">
        <f>_xlfn.IFNA(VLOOKUP($BC104,Programma!$F$3:$S$1107,14,0),"")</f>
        <v/>
      </c>
      <c r="BQ104" s="310" t="str">
        <f>_xlfn.IFNA(VLOOKUP($BC104,Programma!$F$3:$T$1107,15,0),"")</f>
        <v/>
      </c>
      <c r="BR104" s="310" t="str">
        <f>_xlfn.IFNA(VLOOKUP($BC104,Programma!$F$3:$U$1107,16,0),"")</f>
        <v/>
      </c>
      <c r="BS104" s="310" t="str">
        <f>_xlfn.IFNA(VLOOKUP($BC104,Programma!$F$3:$V$1107,17,0),"")</f>
        <v/>
      </c>
      <c r="BT104" s="310" t="str">
        <f>_xlfn.IFNA(VLOOKUP($BC104,Programma!$F$3:$W$1107,18,0),"")</f>
        <v/>
      </c>
      <c r="BU104" s="310" t="str">
        <f>_xlfn.IFNA(VLOOKUP($BC104,Programma!$F$3:$X$1107,19,0),"")</f>
        <v/>
      </c>
      <c r="BV104" s="310" t="str">
        <f>_xlfn.IFNA(VLOOKUP($BC104,Programma!$F$3:$Y$1107,20,0),"")</f>
        <v/>
      </c>
    </row>
    <row r="105" spans="1:74" ht="15" customHeight="1">
      <c r="A105" s="33">
        <v>1</v>
      </c>
      <c r="B105" s="173" t="str">
        <f>VLOOKUP(Ruimtestaat[[#This Row],[Code]],Locaties[[Code]:[Locatie]],2,FALSE)</f>
        <v>CCNV</v>
      </c>
      <c r="C105" s="173" t="str">
        <f>VLOOKUP(Ruimtestaat[[#This Row],[Code]],Locaties[[#All],[Code]:[Adres]],4,FALSE)</f>
        <v>Stationslaan 26</v>
      </c>
      <c r="D105" s="173" t="str">
        <f>VLOOKUP(Ruimtestaat[[#This Row],[Code]],Locaties[[#All],[Code]:[Postcode]],5,FALSE)</f>
        <v>3842 LA</v>
      </c>
      <c r="E105" s="173" t="str">
        <f>VLOOKUP(Ruimtestaat[[#This Row],[Code]],Locaties[#All],6,FALSE)</f>
        <v>Harderwijk</v>
      </c>
      <c r="F105" s="21" t="s">
        <v>1626</v>
      </c>
      <c r="G105" s="33" t="s">
        <v>1614</v>
      </c>
      <c r="H105" s="311" t="s">
        <v>1717</v>
      </c>
      <c r="I105" s="312" t="s">
        <v>1730</v>
      </c>
      <c r="J105" s="21">
        <v>5</v>
      </c>
      <c r="K105" s="69" t="str">
        <f>VLOOKUP(Ruimtestaat[[#This Row],[Ruimte code]],Ruimtegroepen[[#All],[Code]:[Ruimte omschrijving]],2,FALSE)</f>
        <v>Sanitair</v>
      </c>
      <c r="L105" s="33" t="s">
        <v>102</v>
      </c>
      <c r="M105" s="312" t="s">
        <v>1805</v>
      </c>
      <c r="N105" s="148">
        <v>12</v>
      </c>
      <c r="O105" s="33"/>
      <c r="P105" s="134" t="str">
        <f>VLOOKUP(Ruimtestaat[[#This Row],[Ruimte code]],Ruimtegroepen[],4,FALSE)</f>
        <v>Sa</v>
      </c>
      <c r="Q105" s="33">
        <v>40</v>
      </c>
      <c r="R105" s="33" t="s">
        <v>2</v>
      </c>
      <c r="S105" s="33">
        <f>IF(Q105&gt;0,IF(RIGHT(Ruimtestaat[[#This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5" s="33">
        <f>IF(S105&gt;0,VLOOKUP($J105,Ruimtegroepen[],3,FALSE)*VLOOKUP($L105,Vloersoorten[],3,FALSE)*VLOOKUP($R105,Frequenties[],3,FALSE)*VLOOKUP($A105,Locaties[],3,FALSE),0)</f>
        <v>0</v>
      </c>
      <c r="U105" s="33">
        <f>Ruimtestaat[[#This Row],[Uitvoeringen werkdagen]]*Ruimtestaat[[#This Row],[Oppervlak (netto)]]</f>
        <v>2400</v>
      </c>
      <c r="V105" s="170">
        <f>IF(T105&gt;0,Ruimtestaat[[#This Row],[Prest. (m2 /jaar) werkdagen]]/Ruimtestaat[[#This Row],[Norm (m2/uur) werkdagen]],0)</f>
        <v>0</v>
      </c>
      <c r="W105" s="171">
        <f>Ruimtestaat[[#This Row],[uren / jaar werkdagen]]*Tariefsopbouw!$E$35</f>
        <v>0</v>
      </c>
      <c r="X105" s="33"/>
      <c r="Y105" s="33">
        <f>IF(Ruimtestaat[[#This Row],[Frequentie weekend]]&gt;0,VALUE(LEFT(X105,1))*Q105,0)</f>
        <v>0</v>
      </c>
      <c r="Z105" s="104">
        <f>IF($Y105&gt;0,VLOOKUP($J105,Ruimtegroepen[],3,FALSE)*VLOOKUP($L105,Vloersoorten[],3,FALSE)*VLOOKUP($X105,Frequenties[],3,FALSE)*VLOOKUP(Ruimtestaat[[#This Row],[Code]],Locaties[],3,FALSE),0)</f>
        <v>0</v>
      </c>
      <c r="AA105" s="104">
        <f>Ruimtestaat[[#This Row],[Uitvoeringen weekend]]*Ruimtestaat[[#This Row],[Oppervlak (netto)]]</f>
        <v>0</v>
      </c>
      <c r="AB105" s="104">
        <f>IF(Z105&gt;0,Ruimtestaat[[#This Row],[Prest. (m2 /jaar) weekend]]/Ruimtestaat[[#This Row],[Norm (m2/uur) weekend]],0)</f>
        <v>0</v>
      </c>
      <c r="AC105" s="171">
        <f>Ruimtestaat[[#This Row],[uren / jaar weekend]]*Tariefsopbouw!$D$40</f>
        <v>0</v>
      </c>
      <c r="AD105" s="170">
        <f>Ruimtestaat[[#This Row],[Prest. (m2 /jaar) weekend]]+Ruimtestaat[[#This Row],[Prest. (m2 /jaar) werkdagen]]</f>
        <v>2400</v>
      </c>
      <c r="AE105" s="170">
        <f>Ruimtestaat[[#This Row],[uren / jaar weekend]]+Ruimtestaat[[#This Row],[uren / jaar werkdagen]]</f>
        <v>0</v>
      </c>
      <c r="AF105" s="76">
        <f>Ruimtestaat[[#This Row],[kosten / jaar weekend]]+Ruimtestaat[[#This Row],[kosten / jaar werkdagen]]</f>
        <v>0</v>
      </c>
      <c r="AG105" s="76"/>
      <c r="AH105" s="272" t="str">
        <f>IF(Ruimtestaat[[#This Row],[Frequentie werkdagen]]="","",_xlfn.CONCAT(Ruimtestaat[[#This Row],[Ruimte code]],"-",Ruimtestaat[[#This Row],[Frequentie werkdagen]]," ",Ruimtestaat[[#This Row],[Vloer code]]))</f>
        <v>5-5w S</v>
      </c>
      <c r="AI105" s="310" t="str">
        <f>_xlfn.IFNA(VLOOKUP($AH105,Programma!$F$3:$G$1107,2,0),"")</f>
        <v>_</v>
      </c>
      <c r="AJ105" s="310" t="str">
        <f>_xlfn.IFNA(VLOOKUP($AH105,Programma!$F$3:$H$1107,3,0),"")</f>
        <v>_</v>
      </c>
      <c r="AK105" s="310" t="str">
        <f>_xlfn.IFNA(VLOOKUP($AH105,Programma!$F$3:$I$1107,4,0),"")</f>
        <v>_</v>
      </c>
      <c r="AL105" s="310" t="str">
        <f>_xlfn.IFNA(VLOOKUP($AH105,Programma!$F$3:$J$1107,5,0),"")</f>
        <v>4w</v>
      </c>
      <c r="AM105" s="310" t="str">
        <f>_xlfn.IFNA(VLOOKUP($AH105,Programma!$F$3:$K$1107,6,0),"")</f>
        <v>1w</v>
      </c>
      <c r="AN105" s="310" t="str">
        <f>_xlfn.IFNA(VLOOKUP($AH105,Programma!$F$3:$L$1107,7,0),"")</f>
        <v>_</v>
      </c>
      <c r="AO105" s="310" t="str">
        <f>_xlfn.IFNA(VLOOKUP($AH105,Programma!$F$3:$M$1107,8,0),"")</f>
        <v>_</v>
      </c>
      <c r="AP105" s="310" t="str">
        <f>_xlfn.IFNA(VLOOKUP($AH105,Programma!$F$3:$N$1107,9,0),"")</f>
        <v>_</v>
      </c>
      <c r="AQ105" s="310" t="str">
        <f>_xlfn.IFNA(VLOOKUP($AH105,Programma!$F$3:$O$1107,10,0),"")</f>
        <v>_</v>
      </c>
      <c r="AR105" s="310" t="str">
        <f>_xlfn.IFNA(VLOOKUP($AH105,Programma!$F$3:$P$1107,11,0),"")</f>
        <v>_</v>
      </c>
      <c r="AS105" s="310" t="str">
        <f>_xlfn.IFNA(VLOOKUP($AH105,Programma!$F$3:$Q$1107,12,0),"")</f>
        <v>_</v>
      </c>
      <c r="AT105" s="310" t="str">
        <f>_xlfn.IFNA(VLOOKUP($AH105,Programma!$F$3:$R$1107,13,0),"")</f>
        <v>_</v>
      </c>
      <c r="AU105" s="310" t="str">
        <f>_xlfn.IFNA(VLOOKUP($AH105,Programma!$F$3:$S$1107,14,0),"")</f>
        <v>_</v>
      </c>
      <c r="AV105" s="310" t="str">
        <f>_xlfn.IFNA(VLOOKUP($AH105,Programma!$F$3:$T$1107,15,0),"")</f>
        <v>_</v>
      </c>
      <c r="AW105" s="310" t="str">
        <f>_xlfn.IFNA(VLOOKUP($AH105,Programma!$F$3:$U$1107,16,0),"")</f>
        <v>_</v>
      </c>
      <c r="AX105" s="310" t="str">
        <f>_xlfn.IFNA(VLOOKUP($AH105,Programma!$F$3:$V$1107,17,0),"")</f>
        <v>_</v>
      </c>
      <c r="AY105" s="310" t="str">
        <f>_xlfn.IFNA(VLOOKUP($AH105,Programma!$F$3:$W$1107,18,0),"")</f>
        <v>4w</v>
      </c>
      <c r="AZ105" s="310" t="str">
        <f>_xlfn.IFNA(VLOOKUP($AH105,Programma!$F$3:$X$1107,19,0),"")</f>
        <v>1w</v>
      </c>
      <c r="BA105" s="310" t="str">
        <f>_xlfn.IFNA(VLOOKUP($AH105,Programma!$F$3:$Y$1107,20,0),"")</f>
        <v>_</v>
      </c>
      <c r="BB105" s="273"/>
      <c r="BC105" s="272" t="str">
        <f>IF(Ruimtestaat[[#This Row],[Frequentie weekend]]="","",_xlfn.CONCAT(Ruimtestaat[[#This Row],[Ruimte code]],"-",Ruimtestaat[[#This Row],[Frequentie weekend]]," ",Ruimtestaat[[#This Row],[Vloer code]]))</f>
        <v/>
      </c>
      <c r="BD105" s="310" t="str">
        <f>_xlfn.IFNA(VLOOKUP($BC105,Programma!$F$3:$G$1107,2,0),"")</f>
        <v/>
      </c>
      <c r="BE105" s="310" t="str">
        <f>_xlfn.IFNA(VLOOKUP($BC105,Programma!$F$3:$H$1107,3,0),"")</f>
        <v/>
      </c>
      <c r="BF105" s="310" t="str">
        <f>_xlfn.IFNA(VLOOKUP($BC105,Programma!$F$3:$I$1107,4,0),"")</f>
        <v/>
      </c>
      <c r="BG105" s="310" t="str">
        <f>_xlfn.IFNA(VLOOKUP($BC105,Programma!$F$3:$J$1107,5,0),"")</f>
        <v/>
      </c>
      <c r="BH105" s="310" t="str">
        <f>_xlfn.IFNA(VLOOKUP($BC105,Programma!$F$3:$K$1107,6,0),"")</f>
        <v/>
      </c>
      <c r="BI105" s="310" t="str">
        <f>_xlfn.IFNA(VLOOKUP($BC105,Programma!$F$3:$L$1107,7,0),"")</f>
        <v/>
      </c>
      <c r="BJ105" s="310" t="str">
        <f>_xlfn.IFNA(VLOOKUP($BC105,Programma!$F$3:$M$1107,8,0),"")</f>
        <v/>
      </c>
      <c r="BK105" s="310" t="str">
        <f>_xlfn.IFNA(VLOOKUP($BC105,Programma!$F$3:$N$1107,9,0),"")</f>
        <v/>
      </c>
      <c r="BL105" s="310" t="str">
        <f>_xlfn.IFNA(VLOOKUP($BC105,Programma!$F$3:$O$1107,10,0),"")</f>
        <v/>
      </c>
      <c r="BM105" s="310" t="str">
        <f>_xlfn.IFNA(VLOOKUP($BC105,Programma!$F$3:$P$1107,11,0),"")</f>
        <v/>
      </c>
      <c r="BN105" s="310" t="str">
        <f>_xlfn.IFNA(VLOOKUP($BC105,Programma!$F$3:$Q$1107,12,0),"")</f>
        <v/>
      </c>
      <c r="BO105" s="310" t="str">
        <f>_xlfn.IFNA(VLOOKUP($BC105,Programma!$F$3:$R$1107,13,0),"")</f>
        <v/>
      </c>
      <c r="BP105" s="310" t="str">
        <f>_xlfn.IFNA(VLOOKUP($BC105,Programma!$F$3:$S$1107,14,0),"")</f>
        <v/>
      </c>
      <c r="BQ105" s="310" t="str">
        <f>_xlfn.IFNA(VLOOKUP($BC105,Programma!$F$3:$T$1107,15,0),"")</f>
        <v/>
      </c>
      <c r="BR105" s="310" t="str">
        <f>_xlfn.IFNA(VLOOKUP($BC105,Programma!$F$3:$U$1107,16,0),"")</f>
        <v/>
      </c>
      <c r="BS105" s="310" t="str">
        <f>_xlfn.IFNA(VLOOKUP($BC105,Programma!$F$3:$V$1107,17,0),"")</f>
        <v/>
      </c>
      <c r="BT105" s="310" t="str">
        <f>_xlfn.IFNA(VLOOKUP($BC105,Programma!$F$3:$W$1107,18,0),"")</f>
        <v/>
      </c>
      <c r="BU105" s="310" t="str">
        <f>_xlfn.IFNA(VLOOKUP($BC105,Programma!$F$3:$X$1107,19,0),"")</f>
        <v/>
      </c>
      <c r="BV105" s="310" t="str">
        <f>_xlfn.IFNA(VLOOKUP($BC105,Programma!$F$3:$Y$1107,20,0),"")</f>
        <v/>
      </c>
    </row>
    <row r="106" spans="1:74" ht="15" customHeight="1">
      <c r="A106" s="33">
        <v>1</v>
      </c>
      <c r="B106" s="173" t="str">
        <f>VLOOKUP(Ruimtestaat[[#This Row],[Code]],Locaties[[Code]:[Locatie]],2,FALSE)</f>
        <v>CCNV</v>
      </c>
      <c r="C106" s="173" t="str">
        <f>VLOOKUP(Ruimtestaat[[#This Row],[Code]],Locaties[[#All],[Code]:[Adres]],4,FALSE)</f>
        <v>Stationslaan 26</v>
      </c>
      <c r="D106" s="173" t="str">
        <f>VLOOKUP(Ruimtestaat[[#This Row],[Code]],Locaties[[#All],[Code]:[Postcode]],5,FALSE)</f>
        <v>3842 LA</v>
      </c>
      <c r="E106" s="173" t="str">
        <f>VLOOKUP(Ruimtestaat[[#This Row],[Code]],Locaties[#All],6,FALSE)</f>
        <v>Harderwijk</v>
      </c>
      <c r="F106" s="21" t="s">
        <v>1626</v>
      </c>
      <c r="G106" s="33" t="s">
        <v>1614</v>
      </c>
      <c r="H106" s="311" t="s">
        <v>1718</v>
      </c>
      <c r="I106" s="312" t="s">
        <v>1730</v>
      </c>
      <c r="J106" s="21">
        <v>5</v>
      </c>
      <c r="K106" s="69" t="str">
        <f>VLOOKUP(Ruimtestaat[[#This Row],[Ruimte code]],Ruimtegroepen[[#All],[Code]:[Ruimte omschrijving]],2,FALSE)</f>
        <v>Sanitair</v>
      </c>
      <c r="L106" s="33" t="s">
        <v>102</v>
      </c>
      <c r="M106" s="312" t="s">
        <v>1805</v>
      </c>
      <c r="N106" s="148">
        <v>12</v>
      </c>
      <c r="O106" s="150"/>
      <c r="P106" s="134" t="str">
        <f>VLOOKUP(Ruimtestaat[[#This Row],[Ruimte code]],Ruimtegroepen[],4,FALSE)</f>
        <v>Sa</v>
      </c>
      <c r="Q106" s="33">
        <v>40</v>
      </c>
      <c r="R106" s="33" t="s">
        <v>2</v>
      </c>
      <c r="S106" s="33">
        <f>IF(Q106&gt;0,IF(RIGHT(Ruimtestaat[[#This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6" s="33">
        <f>IF(S106&gt;0,VLOOKUP($J106,Ruimtegroepen[],3,FALSE)*VLOOKUP($L106,Vloersoorten[],3,FALSE)*VLOOKUP($R106,Frequenties[],3,FALSE)*VLOOKUP($A106,Locaties[],3,FALSE),0)</f>
        <v>0</v>
      </c>
      <c r="U106" s="33">
        <f>Ruimtestaat[[#This Row],[Uitvoeringen werkdagen]]*Ruimtestaat[[#This Row],[Oppervlak (netto)]]</f>
        <v>2400</v>
      </c>
      <c r="V106" s="170">
        <f>IF(T106&gt;0,Ruimtestaat[[#This Row],[Prest. (m2 /jaar) werkdagen]]/Ruimtestaat[[#This Row],[Norm (m2/uur) werkdagen]],0)</f>
        <v>0</v>
      </c>
      <c r="W106" s="171">
        <f>Ruimtestaat[[#This Row],[uren / jaar werkdagen]]*Tariefsopbouw!$E$35</f>
        <v>0</v>
      </c>
      <c r="X106" s="33"/>
      <c r="Y106" s="33">
        <f>IF(Ruimtestaat[[#This Row],[Frequentie weekend]]&gt;0,VALUE(LEFT(X106,1))*Q106,0)</f>
        <v>0</v>
      </c>
      <c r="Z106" s="104">
        <f>IF($Y106&gt;0,VLOOKUP($J106,Ruimtegroepen[],3,FALSE)*VLOOKUP($L106,Vloersoorten[],3,FALSE)*VLOOKUP($X106,Frequenties[],3,FALSE)*VLOOKUP(Ruimtestaat[[#This Row],[Code]],Locaties[],3,FALSE),0)</f>
        <v>0</v>
      </c>
      <c r="AA106" s="104">
        <f>Ruimtestaat[[#This Row],[Uitvoeringen weekend]]*Ruimtestaat[[#This Row],[Oppervlak (netto)]]</f>
        <v>0</v>
      </c>
      <c r="AB106" s="104">
        <f>IF(Z106&gt;0,Ruimtestaat[[#This Row],[Prest. (m2 /jaar) weekend]]/Ruimtestaat[[#This Row],[Norm (m2/uur) weekend]],0)</f>
        <v>0</v>
      </c>
      <c r="AC106" s="171">
        <f>Ruimtestaat[[#This Row],[uren / jaar weekend]]*Tariefsopbouw!$D$40</f>
        <v>0</v>
      </c>
      <c r="AD106" s="170">
        <f>Ruimtestaat[[#This Row],[Prest. (m2 /jaar) weekend]]+Ruimtestaat[[#This Row],[Prest. (m2 /jaar) werkdagen]]</f>
        <v>2400</v>
      </c>
      <c r="AE106" s="170">
        <f>Ruimtestaat[[#This Row],[uren / jaar weekend]]+Ruimtestaat[[#This Row],[uren / jaar werkdagen]]</f>
        <v>0</v>
      </c>
      <c r="AF106" s="76">
        <f>Ruimtestaat[[#This Row],[kosten / jaar weekend]]+Ruimtestaat[[#This Row],[kosten / jaar werkdagen]]</f>
        <v>0</v>
      </c>
      <c r="AG106" s="76"/>
      <c r="AH106" s="272" t="str">
        <f>IF(Ruimtestaat[[#This Row],[Frequentie werkdagen]]="","",_xlfn.CONCAT(Ruimtestaat[[#This Row],[Ruimte code]],"-",Ruimtestaat[[#This Row],[Frequentie werkdagen]]," ",Ruimtestaat[[#This Row],[Vloer code]]))</f>
        <v>5-5w S</v>
      </c>
      <c r="AI106" s="310" t="str">
        <f>_xlfn.IFNA(VLOOKUP($AH106,Programma!$F$3:$G$1107,2,0),"")</f>
        <v>_</v>
      </c>
      <c r="AJ106" s="310" t="str">
        <f>_xlfn.IFNA(VLOOKUP($AH106,Programma!$F$3:$H$1107,3,0),"")</f>
        <v>_</v>
      </c>
      <c r="AK106" s="310" t="str">
        <f>_xlfn.IFNA(VLOOKUP($AH106,Programma!$F$3:$I$1107,4,0),"")</f>
        <v>_</v>
      </c>
      <c r="AL106" s="310" t="str">
        <f>_xlfn.IFNA(VLOOKUP($AH106,Programma!$F$3:$J$1107,5,0),"")</f>
        <v>4w</v>
      </c>
      <c r="AM106" s="310" t="str">
        <f>_xlfn.IFNA(VLOOKUP($AH106,Programma!$F$3:$K$1107,6,0),"")</f>
        <v>1w</v>
      </c>
      <c r="AN106" s="310" t="str">
        <f>_xlfn.IFNA(VLOOKUP($AH106,Programma!$F$3:$L$1107,7,0),"")</f>
        <v>_</v>
      </c>
      <c r="AO106" s="310" t="str">
        <f>_xlfn.IFNA(VLOOKUP($AH106,Programma!$F$3:$M$1107,8,0),"")</f>
        <v>_</v>
      </c>
      <c r="AP106" s="310" t="str">
        <f>_xlfn.IFNA(VLOOKUP($AH106,Programma!$F$3:$N$1107,9,0),"")</f>
        <v>_</v>
      </c>
      <c r="AQ106" s="310" t="str">
        <f>_xlfn.IFNA(VLOOKUP($AH106,Programma!$F$3:$O$1107,10,0),"")</f>
        <v>_</v>
      </c>
      <c r="AR106" s="310" t="str">
        <f>_xlfn.IFNA(VLOOKUP($AH106,Programma!$F$3:$P$1107,11,0),"")</f>
        <v>_</v>
      </c>
      <c r="AS106" s="310" t="str">
        <f>_xlfn.IFNA(VLOOKUP($AH106,Programma!$F$3:$Q$1107,12,0),"")</f>
        <v>_</v>
      </c>
      <c r="AT106" s="310" t="str">
        <f>_xlfn.IFNA(VLOOKUP($AH106,Programma!$F$3:$R$1107,13,0),"")</f>
        <v>_</v>
      </c>
      <c r="AU106" s="310" t="str">
        <f>_xlfn.IFNA(VLOOKUP($AH106,Programma!$F$3:$S$1107,14,0),"")</f>
        <v>_</v>
      </c>
      <c r="AV106" s="310" t="str">
        <f>_xlfn.IFNA(VLOOKUP($AH106,Programma!$F$3:$T$1107,15,0),"")</f>
        <v>_</v>
      </c>
      <c r="AW106" s="310" t="str">
        <f>_xlfn.IFNA(VLOOKUP($AH106,Programma!$F$3:$U$1107,16,0),"")</f>
        <v>_</v>
      </c>
      <c r="AX106" s="310" t="str">
        <f>_xlfn.IFNA(VLOOKUP($AH106,Programma!$F$3:$V$1107,17,0),"")</f>
        <v>_</v>
      </c>
      <c r="AY106" s="310" t="str">
        <f>_xlfn.IFNA(VLOOKUP($AH106,Programma!$F$3:$W$1107,18,0),"")</f>
        <v>4w</v>
      </c>
      <c r="AZ106" s="310" t="str">
        <f>_xlfn.IFNA(VLOOKUP($AH106,Programma!$F$3:$X$1107,19,0),"")</f>
        <v>1w</v>
      </c>
      <c r="BA106" s="310" t="str">
        <f>_xlfn.IFNA(VLOOKUP($AH106,Programma!$F$3:$Y$1107,20,0),"")</f>
        <v>_</v>
      </c>
      <c r="BB106" s="273"/>
      <c r="BC106" s="272" t="str">
        <f>IF(Ruimtestaat[[#This Row],[Frequentie weekend]]="","",_xlfn.CONCAT(Ruimtestaat[[#This Row],[Ruimte code]],"-",Ruimtestaat[[#This Row],[Frequentie weekend]]," ",Ruimtestaat[[#This Row],[Vloer code]]))</f>
        <v/>
      </c>
      <c r="BD106" s="310" t="str">
        <f>_xlfn.IFNA(VLOOKUP($BC106,Programma!$F$3:$G$1107,2,0),"")</f>
        <v/>
      </c>
      <c r="BE106" s="310" t="str">
        <f>_xlfn.IFNA(VLOOKUP($BC106,Programma!$F$3:$H$1107,3,0),"")</f>
        <v/>
      </c>
      <c r="BF106" s="310" t="str">
        <f>_xlfn.IFNA(VLOOKUP($BC106,Programma!$F$3:$I$1107,4,0),"")</f>
        <v/>
      </c>
      <c r="BG106" s="310" t="str">
        <f>_xlfn.IFNA(VLOOKUP($BC106,Programma!$F$3:$J$1107,5,0),"")</f>
        <v/>
      </c>
      <c r="BH106" s="310" t="str">
        <f>_xlfn.IFNA(VLOOKUP($BC106,Programma!$F$3:$K$1107,6,0),"")</f>
        <v/>
      </c>
      <c r="BI106" s="310" t="str">
        <f>_xlfn.IFNA(VLOOKUP($BC106,Programma!$F$3:$L$1107,7,0),"")</f>
        <v/>
      </c>
      <c r="BJ106" s="310" t="str">
        <f>_xlfn.IFNA(VLOOKUP($BC106,Programma!$F$3:$M$1107,8,0),"")</f>
        <v/>
      </c>
      <c r="BK106" s="310" t="str">
        <f>_xlfn.IFNA(VLOOKUP($BC106,Programma!$F$3:$N$1107,9,0),"")</f>
        <v/>
      </c>
      <c r="BL106" s="310" t="str">
        <f>_xlfn.IFNA(VLOOKUP($BC106,Programma!$F$3:$O$1107,10,0),"")</f>
        <v/>
      </c>
      <c r="BM106" s="310" t="str">
        <f>_xlfn.IFNA(VLOOKUP($BC106,Programma!$F$3:$P$1107,11,0),"")</f>
        <v/>
      </c>
      <c r="BN106" s="310" t="str">
        <f>_xlfn.IFNA(VLOOKUP($BC106,Programma!$F$3:$Q$1107,12,0),"")</f>
        <v/>
      </c>
      <c r="BO106" s="310" t="str">
        <f>_xlfn.IFNA(VLOOKUP($BC106,Programma!$F$3:$R$1107,13,0),"")</f>
        <v/>
      </c>
      <c r="BP106" s="310" t="str">
        <f>_xlfn.IFNA(VLOOKUP($BC106,Programma!$F$3:$S$1107,14,0),"")</f>
        <v/>
      </c>
      <c r="BQ106" s="310" t="str">
        <f>_xlfn.IFNA(VLOOKUP($BC106,Programma!$F$3:$T$1107,15,0),"")</f>
        <v/>
      </c>
      <c r="BR106" s="310" t="str">
        <f>_xlfn.IFNA(VLOOKUP($BC106,Programma!$F$3:$U$1107,16,0),"")</f>
        <v/>
      </c>
      <c r="BS106" s="310" t="str">
        <f>_xlfn.IFNA(VLOOKUP($BC106,Programma!$F$3:$V$1107,17,0),"")</f>
        <v/>
      </c>
      <c r="BT106" s="310" t="str">
        <f>_xlfn.IFNA(VLOOKUP($BC106,Programma!$F$3:$W$1107,18,0),"")</f>
        <v/>
      </c>
      <c r="BU106" s="310" t="str">
        <f>_xlfn.IFNA(VLOOKUP($BC106,Programma!$F$3:$X$1107,19,0),"")</f>
        <v/>
      </c>
      <c r="BV106" s="310" t="str">
        <f>_xlfn.IFNA(VLOOKUP($BC106,Programma!$F$3:$Y$1107,20,0),"")</f>
        <v/>
      </c>
    </row>
    <row r="107" spans="1:74" ht="15" customHeight="1">
      <c r="A107" s="33">
        <v>1</v>
      </c>
      <c r="B107" s="173" t="str">
        <f>VLOOKUP(Ruimtestaat[[#This Row],[Code]],Locaties[[Code]:[Locatie]],2,FALSE)</f>
        <v>CCNV</v>
      </c>
      <c r="C107" s="173" t="str">
        <f>VLOOKUP(Ruimtestaat[[#This Row],[Code]],Locaties[[#All],[Code]:[Adres]],4,FALSE)</f>
        <v>Stationslaan 26</v>
      </c>
      <c r="D107" s="173" t="str">
        <f>VLOOKUP(Ruimtestaat[[#This Row],[Code]],Locaties[[#All],[Code]:[Postcode]],5,FALSE)</f>
        <v>3842 LA</v>
      </c>
      <c r="E107" s="173" t="str">
        <f>VLOOKUP(Ruimtestaat[[#This Row],[Code]],Locaties[#All],6,FALSE)</f>
        <v>Harderwijk</v>
      </c>
      <c r="F107" s="21" t="s">
        <v>1626</v>
      </c>
      <c r="G107" s="33" t="s">
        <v>1614</v>
      </c>
      <c r="H107" s="311" t="s">
        <v>1719</v>
      </c>
      <c r="I107" s="312" t="s">
        <v>1730</v>
      </c>
      <c r="J107" s="21">
        <v>5</v>
      </c>
      <c r="K107" s="69" t="str">
        <f>VLOOKUP(Ruimtestaat[[#This Row],[Ruimte code]],Ruimtegroepen[[#All],[Code]:[Ruimte omschrijving]],2,FALSE)</f>
        <v>Sanitair</v>
      </c>
      <c r="L107" s="33" t="s">
        <v>102</v>
      </c>
      <c r="M107" s="312" t="s">
        <v>1805</v>
      </c>
      <c r="N107" s="148">
        <v>12</v>
      </c>
      <c r="O107" s="150"/>
      <c r="P107" s="134" t="str">
        <f>VLOOKUP(Ruimtestaat[[#This Row],[Ruimte code]],Ruimtegroepen[],4,FALSE)</f>
        <v>Sa</v>
      </c>
      <c r="Q107" s="33">
        <v>40</v>
      </c>
      <c r="R107" s="33" t="s">
        <v>2</v>
      </c>
      <c r="S107" s="33">
        <f>IF(Q107&gt;0,IF(RIGHT(Ruimtestaat[[#This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7" s="33">
        <f>IF(S107&gt;0,VLOOKUP($J107,Ruimtegroepen[],3,FALSE)*VLOOKUP($L107,Vloersoorten[],3,FALSE)*VLOOKUP($R107,Frequenties[],3,FALSE)*VLOOKUP($A107,Locaties[],3,FALSE),0)</f>
        <v>0</v>
      </c>
      <c r="U107" s="33">
        <f>Ruimtestaat[[#This Row],[Uitvoeringen werkdagen]]*Ruimtestaat[[#This Row],[Oppervlak (netto)]]</f>
        <v>2400</v>
      </c>
      <c r="V107" s="170">
        <f>IF(T107&gt;0,Ruimtestaat[[#This Row],[Prest. (m2 /jaar) werkdagen]]/Ruimtestaat[[#This Row],[Norm (m2/uur) werkdagen]],0)</f>
        <v>0</v>
      </c>
      <c r="W107" s="171">
        <f>Ruimtestaat[[#This Row],[uren / jaar werkdagen]]*Tariefsopbouw!$E$35</f>
        <v>0</v>
      </c>
      <c r="X107" s="33"/>
      <c r="Y107" s="33">
        <f>IF(Ruimtestaat[[#This Row],[Frequentie weekend]]&gt;0,VALUE(LEFT(X107,1))*Q107,0)</f>
        <v>0</v>
      </c>
      <c r="Z107" s="104">
        <f>IF($Y107&gt;0,VLOOKUP($J107,Ruimtegroepen[],3,FALSE)*VLOOKUP($L107,Vloersoorten[],3,FALSE)*VLOOKUP($X107,Frequenties[],3,FALSE)*VLOOKUP(Ruimtestaat[[#This Row],[Code]],Locaties[],3,FALSE),0)</f>
        <v>0</v>
      </c>
      <c r="AA107" s="104">
        <f>Ruimtestaat[[#This Row],[Uitvoeringen weekend]]*Ruimtestaat[[#This Row],[Oppervlak (netto)]]</f>
        <v>0</v>
      </c>
      <c r="AB107" s="104">
        <f>IF(Z107&gt;0,Ruimtestaat[[#This Row],[Prest. (m2 /jaar) weekend]]/Ruimtestaat[[#This Row],[Norm (m2/uur) weekend]],0)</f>
        <v>0</v>
      </c>
      <c r="AC107" s="171">
        <f>Ruimtestaat[[#This Row],[uren / jaar weekend]]*Tariefsopbouw!$D$40</f>
        <v>0</v>
      </c>
      <c r="AD107" s="170">
        <f>Ruimtestaat[[#This Row],[Prest. (m2 /jaar) weekend]]+Ruimtestaat[[#This Row],[Prest. (m2 /jaar) werkdagen]]</f>
        <v>2400</v>
      </c>
      <c r="AE107" s="170">
        <f>Ruimtestaat[[#This Row],[uren / jaar weekend]]+Ruimtestaat[[#This Row],[uren / jaar werkdagen]]</f>
        <v>0</v>
      </c>
      <c r="AF107" s="76">
        <f>Ruimtestaat[[#This Row],[kosten / jaar weekend]]+Ruimtestaat[[#This Row],[kosten / jaar werkdagen]]</f>
        <v>0</v>
      </c>
      <c r="AG107" s="76"/>
      <c r="AH107" s="272" t="str">
        <f>IF(Ruimtestaat[[#This Row],[Frequentie werkdagen]]="","",_xlfn.CONCAT(Ruimtestaat[[#This Row],[Ruimte code]],"-",Ruimtestaat[[#This Row],[Frequentie werkdagen]]," ",Ruimtestaat[[#This Row],[Vloer code]]))</f>
        <v>5-5w S</v>
      </c>
      <c r="AI107" s="310" t="str">
        <f>_xlfn.IFNA(VLOOKUP($AH107,Programma!$F$3:$G$1107,2,0),"")</f>
        <v>_</v>
      </c>
      <c r="AJ107" s="310" t="str">
        <f>_xlfn.IFNA(VLOOKUP($AH107,Programma!$F$3:$H$1107,3,0),"")</f>
        <v>_</v>
      </c>
      <c r="AK107" s="310" t="str">
        <f>_xlfn.IFNA(VLOOKUP($AH107,Programma!$F$3:$I$1107,4,0),"")</f>
        <v>_</v>
      </c>
      <c r="AL107" s="310" t="str">
        <f>_xlfn.IFNA(VLOOKUP($AH107,Programma!$F$3:$J$1107,5,0),"")</f>
        <v>4w</v>
      </c>
      <c r="AM107" s="310" t="str">
        <f>_xlfn.IFNA(VLOOKUP($AH107,Programma!$F$3:$K$1107,6,0),"")</f>
        <v>1w</v>
      </c>
      <c r="AN107" s="310" t="str">
        <f>_xlfn.IFNA(VLOOKUP($AH107,Programma!$F$3:$L$1107,7,0),"")</f>
        <v>_</v>
      </c>
      <c r="AO107" s="310" t="str">
        <f>_xlfn.IFNA(VLOOKUP($AH107,Programma!$F$3:$M$1107,8,0),"")</f>
        <v>_</v>
      </c>
      <c r="AP107" s="310" t="str">
        <f>_xlfn.IFNA(VLOOKUP($AH107,Programma!$F$3:$N$1107,9,0),"")</f>
        <v>_</v>
      </c>
      <c r="AQ107" s="310" t="str">
        <f>_xlfn.IFNA(VLOOKUP($AH107,Programma!$F$3:$O$1107,10,0),"")</f>
        <v>_</v>
      </c>
      <c r="AR107" s="310" t="str">
        <f>_xlfn.IFNA(VLOOKUP($AH107,Programma!$F$3:$P$1107,11,0),"")</f>
        <v>_</v>
      </c>
      <c r="AS107" s="310" t="str">
        <f>_xlfn.IFNA(VLOOKUP($AH107,Programma!$F$3:$Q$1107,12,0),"")</f>
        <v>_</v>
      </c>
      <c r="AT107" s="310" t="str">
        <f>_xlfn.IFNA(VLOOKUP($AH107,Programma!$F$3:$R$1107,13,0),"")</f>
        <v>_</v>
      </c>
      <c r="AU107" s="310" t="str">
        <f>_xlfn.IFNA(VLOOKUP($AH107,Programma!$F$3:$S$1107,14,0),"")</f>
        <v>_</v>
      </c>
      <c r="AV107" s="310" t="str">
        <f>_xlfn.IFNA(VLOOKUP($AH107,Programma!$F$3:$T$1107,15,0),"")</f>
        <v>_</v>
      </c>
      <c r="AW107" s="310" t="str">
        <f>_xlfn.IFNA(VLOOKUP($AH107,Programma!$F$3:$U$1107,16,0),"")</f>
        <v>_</v>
      </c>
      <c r="AX107" s="310" t="str">
        <f>_xlfn.IFNA(VLOOKUP($AH107,Programma!$F$3:$V$1107,17,0),"")</f>
        <v>_</v>
      </c>
      <c r="AY107" s="310" t="str">
        <f>_xlfn.IFNA(VLOOKUP($AH107,Programma!$F$3:$W$1107,18,0),"")</f>
        <v>4w</v>
      </c>
      <c r="AZ107" s="310" t="str">
        <f>_xlfn.IFNA(VLOOKUP($AH107,Programma!$F$3:$X$1107,19,0),"")</f>
        <v>1w</v>
      </c>
      <c r="BA107" s="310" t="str">
        <f>_xlfn.IFNA(VLOOKUP($AH107,Programma!$F$3:$Y$1107,20,0),"")</f>
        <v>_</v>
      </c>
      <c r="BB107" s="273"/>
      <c r="BC107" s="272" t="str">
        <f>IF(Ruimtestaat[[#This Row],[Frequentie weekend]]="","",_xlfn.CONCAT(Ruimtestaat[[#This Row],[Ruimte code]],"-",Ruimtestaat[[#This Row],[Frequentie weekend]]," ",Ruimtestaat[[#This Row],[Vloer code]]))</f>
        <v/>
      </c>
      <c r="BD107" s="310" t="str">
        <f>_xlfn.IFNA(VLOOKUP($BC107,Programma!$F$3:$G$1107,2,0),"")</f>
        <v/>
      </c>
      <c r="BE107" s="310" t="str">
        <f>_xlfn.IFNA(VLOOKUP($BC107,Programma!$F$3:$H$1107,3,0),"")</f>
        <v/>
      </c>
      <c r="BF107" s="310" t="str">
        <f>_xlfn.IFNA(VLOOKUP($BC107,Programma!$F$3:$I$1107,4,0),"")</f>
        <v/>
      </c>
      <c r="BG107" s="310" t="str">
        <f>_xlfn.IFNA(VLOOKUP($BC107,Programma!$F$3:$J$1107,5,0),"")</f>
        <v/>
      </c>
      <c r="BH107" s="310" t="str">
        <f>_xlfn.IFNA(VLOOKUP($BC107,Programma!$F$3:$K$1107,6,0),"")</f>
        <v/>
      </c>
      <c r="BI107" s="310" t="str">
        <f>_xlfn.IFNA(VLOOKUP($BC107,Programma!$F$3:$L$1107,7,0),"")</f>
        <v/>
      </c>
      <c r="BJ107" s="310" t="str">
        <f>_xlfn.IFNA(VLOOKUP($BC107,Programma!$F$3:$M$1107,8,0),"")</f>
        <v/>
      </c>
      <c r="BK107" s="310" t="str">
        <f>_xlfn.IFNA(VLOOKUP($BC107,Programma!$F$3:$N$1107,9,0),"")</f>
        <v/>
      </c>
      <c r="BL107" s="310" t="str">
        <f>_xlfn.IFNA(VLOOKUP($BC107,Programma!$F$3:$O$1107,10,0),"")</f>
        <v/>
      </c>
      <c r="BM107" s="310" t="str">
        <f>_xlfn.IFNA(VLOOKUP($BC107,Programma!$F$3:$P$1107,11,0),"")</f>
        <v/>
      </c>
      <c r="BN107" s="310" t="str">
        <f>_xlfn.IFNA(VLOOKUP($BC107,Programma!$F$3:$Q$1107,12,0),"")</f>
        <v/>
      </c>
      <c r="BO107" s="310" t="str">
        <f>_xlfn.IFNA(VLOOKUP($BC107,Programma!$F$3:$R$1107,13,0),"")</f>
        <v/>
      </c>
      <c r="BP107" s="310" t="str">
        <f>_xlfn.IFNA(VLOOKUP($BC107,Programma!$F$3:$S$1107,14,0),"")</f>
        <v/>
      </c>
      <c r="BQ107" s="310" t="str">
        <f>_xlfn.IFNA(VLOOKUP($BC107,Programma!$F$3:$T$1107,15,0),"")</f>
        <v/>
      </c>
      <c r="BR107" s="310" t="str">
        <f>_xlfn.IFNA(VLOOKUP($BC107,Programma!$F$3:$U$1107,16,0),"")</f>
        <v/>
      </c>
      <c r="BS107" s="310" t="str">
        <f>_xlfn.IFNA(VLOOKUP($BC107,Programma!$F$3:$V$1107,17,0),"")</f>
        <v/>
      </c>
      <c r="BT107" s="310" t="str">
        <f>_xlfn.IFNA(VLOOKUP($BC107,Programma!$F$3:$W$1107,18,0),"")</f>
        <v/>
      </c>
      <c r="BU107" s="310" t="str">
        <f>_xlfn.IFNA(VLOOKUP($BC107,Programma!$F$3:$X$1107,19,0),"")</f>
        <v/>
      </c>
      <c r="BV107" s="310" t="str">
        <f>_xlfn.IFNA(VLOOKUP($BC107,Programma!$F$3:$Y$1107,20,0),"")</f>
        <v/>
      </c>
    </row>
    <row r="108" spans="1:74" ht="15" customHeight="1">
      <c r="A108" s="33">
        <v>1</v>
      </c>
      <c r="B108" s="173" t="str">
        <f>VLOOKUP(Ruimtestaat[[#This Row],[Code]],Locaties[[Code]:[Locatie]],2,FALSE)</f>
        <v>CCNV</v>
      </c>
      <c r="C108" s="173" t="str">
        <f>VLOOKUP(Ruimtestaat[[#This Row],[Code]],Locaties[[#All],[Code]:[Adres]],4,FALSE)</f>
        <v>Stationslaan 26</v>
      </c>
      <c r="D108" s="173" t="str">
        <f>VLOOKUP(Ruimtestaat[[#This Row],[Code]],Locaties[[#All],[Code]:[Postcode]],5,FALSE)</f>
        <v>3842 LA</v>
      </c>
      <c r="E108" s="173" t="str">
        <f>VLOOKUP(Ruimtestaat[[#This Row],[Code]],Locaties[#All],6,FALSE)</f>
        <v>Harderwijk</v>
      </c>
      <c r="F108" s="21" t="s">
        <v>1626</v>
      </c>
      <c r="G108" s="33" t="s">
        <v>1614</v>
      </c>
      <c r="H108" s="311" t="s">
        <v>1720</v>
      </c>
      <c r="I108" s="312" t="s">
        <v>1730</v>
      </c>
      <c r="J108" s="21">
        <v>5</v>
      </c>
      <c r="K108" s="69" t="str">
        <f>VLOOKUP(Ruimtestaat[[#This Row],[Ruimte code]],Ruimtegroepen[[#All],[Code]:[Ruimte omschrijving]],2,FALSE)</f>
        <v>Sanitair</v>
      </c>
      <c r="L108" s="33" t="s">
        <v>102</v>
      </c>
      <c r="M108" s="312" t="s">
        <v>1805</v>
      </c>
      <c r="N108" s="148">
        <v>12</v>
      </c>
      <c r="O108" s="33"/>
      <c r="P108" s="134" t="str">
        <f>VLOOKUP(Ruimtestaat[[#This Row],[Ruimte code]],Ruimtegroepen[],4,FALSE)</f>
        <v>Sa</v>
      </c>
      <c r="Q108" s="33">
        <v>40</v>
      </c>
      <c r="R108" s="33" t="s">
        <v>2</v>
      </c>
      <c r="S108" s="33">
        <f>IF(Q108&gt;0,IF(RIGHT(Ruimtestaat[[#This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8" s="33">
        <f>IF(S108&gt;0,VLOOKUP($J108,Ruimtegroepen[],3,FALSE)*VLOOKUP($L108,Vloersoorten[],3,FALSE)*VLOOKUP($R108,Frequenties[],3,FALSE)*VLOOKUP($A108,Locaties[],3,FALSE),0)</f>
        <v>0</v>
      </c>
      <c r="U108" s="33">
        <f>Ruimtestaat[[#This Row],[Uitvoeringen werkdagen]]*Ruimtestaat[[#This Row],[Oppervlak (netto)]]</f>
        <v>2400</v>
      </c>
      <c r="V108" s="170">
        <f>IF(T108&gt;0,Ruimtestaat[[#This Row],[Prest. (m2 /jaar) werkdagen]]/Ruimtestaat[[#This Row],[Norm (m2/uur) werkdagen]],0)</f>
        <v>0</v>
      </c>
      <c r="W108" s="171">
        <f>Ruimtestaat[[#This Row],[uren / jaar werkdagen]]*Tariefsopbouw!$E$35</f>
        <v>0</v>
      </c>
      <c r="X108" s="33"/>
      <c r="Y108" s="33">
        <f>IF(Ruimtestaat[[#This Row],[Frequentie weekend]]&gt;0,VALUE(LEFT(X108,1))*Q108,0)</f>
        <v>0</v>
      </c>
      <c r="Z108" s="104">
        <f>IF($Y108&gt;0,VLOOKUP($J108,Ruimtegroepen[],3,FALSE)*VLOOKUP($L108,Vloersoorten[],3,FALSE)*VLOOKUP($X108,Frequenties[],3,FALSE)*VLOOKUP(Ruimtestaat[[#This Row],[Code]],Locaties[],3,FALSE),0)</f>
        <v>0</v>
      </c>
      <c r="AA108" s="104">
        <f>Ruimtestaat[[#This Row],[Uitvoeringen weekend]]*Ruimtestaat[[#This Row],[Oppervlak (netto)]]</f>
        <v>0</v>
      </c>
      <c r="AB108" s="104">
        <f>IF(Z108&gt;0,Ruimtestaat[[#This Row],[Prest. (m2 /jaar) weekend]]/Ruimtestaat[[#This Row],[Norm (m2/uur) weekend]],0)</f>
        <v>0</v>
      </c>
      <c r="AC108" s="171">
        <f>Ruimtestaat[[#This Row],[uren / jaar weekend]]*Tariefsopbouw!$D$40</f>
        <v>0</v>
      </c>
      <c r="AD108" s="170">
        <f>Ruimtestaat[[#This Row],[Prest. (m2 /jaar) weekend]]+Ruimtestaat[[#This Row],[Prest. (m2 /jaar) werkdagen]]</f>
        <v>2400</v>
      </c>
      <c r="AE108" s="170">
        <f>Ruimtestaat[[#This Row],[uren / jaar weekend]]+Ruimtestaat[[#This Row],[uren / jaar werkdagen]]</f>
        <v>0</v>
      </c>
      <c r="AF108" s="76">
        <f>Ruimtestaat[[#This Row],[kosten / jaar weekend]]+Ruimtestaat[[#This Row],[kosten / jaar werkdagen]]</f>
        <v>0</v>
      </c>
      <c r="AG108" s="76"/>
      <c r="AH108" s="272" t="str">
        <f>IF(Ruimtestaat[[#This Row],[Frequentie werkdagen]]="","",_xlfn.CONCAT(Ruimtestaat[[#This Row],[Ruimte code]],"-",Ruimtestaat[[#This Row],[Frequentie werkdagen]]," ",Ruimtestaat[[#This Row],[Vloer code]]))</f>
        <v>5-5w S</v>
      </c>
      <c r="AI108" s="310" t="str">
        <f>_xlfn.IFNA(VLOOKUP($AH108,Programma!$F$3:$G$1107,2,0),"")</f>
        <v>_</v>
      </c>
      <c r="AJ108" s="310" t="str">
        <f>_xlfn.IFNA(VLOOKUP($AH108,Programma!$F$3:$H$1107,3,0),"")</f>
        <v>_</v>
      </c>
      <c r="AK108" s="310" t="str">
        <f>_xlfn.IFNA(VLOOKUP($AH108,Programma!$F$3:$I$1107,4,0),"")</f>
        <v>_</v>
      </c>
      <c r="AL108" s="310" t="str">
        <f>_xlfn.IFNA(VLOOKUP($AH108,Programma!$F$3:$J$1107,5,0),"")</f>
        <v>4w</v>
      </c>
      <c r="AM108" s="310" t="str">
        <f>_xlfn.IFNA(VLOOKUP($AH108,Programma!$F$3:$K$1107,6,0),"")</f>
        <v>1w</v>
      </c>
      <c r="AN108" s="310" t="str">
        <f>_xlfn.IFNA(VLOOKUP($AH108,Programma!$F$3:$L$1107,7,0),"")</f>
        <v>_</v>
      </c>
      <c r="AO108" s="310" t="str">
        <f>_xlfn.IFNA(VLOOKUP($AH108,Programma!$F$3:$M$1107,8,0),"")</f>
        <v>_</v>
      </c>
      <c r="AP108" s="310" t="str">
        <f>_xlfn.IFNA(VLOOKUP($AH108,Programma!$F$3:$N$1107,9,0),"")</f>
        <v>_</v>
      </c>
      <c r="AQ108" s="310" t="str">
        <f>_xlfn.IFNA(VLOOKUP($AH108,Programma!$F$3:$O$1107,10,0),"")</f>
        <v>_</v>
      </c>
      <c r="AR108" s="310" t="str">
        <f>_xlfn.IFNA(VLOOKUP($AH108,Programma!$F$3:$P$1107,11,0),"")</f>
        <v>_</v>
      </c>
      <c r="AS108" s="310" t="str">
        <f>_xlfn.IFNA(VLOOKUP($AH108,Programma!$F$3:$Q$1107,12,0),"")</f>
        <v>_</v>
      </c>
      <c r="AT108" s="310" t="str">
        <f>_xlfn.IFNA(VLOOKUP($AH108,Programma!$F$3:$R$1107,13,0),"")</f>
        <v>_</v>
      </c>
      <c r="AU108" s="310" t="str">
        <f>_xlfn.IFNA(VLOOKUP($AH108,Programma!$F$3:$S$1107,14,0),"")</f>
        <v>_</v>
      </c>
      <c r="AV108" s="310" t="str">
        <f>_xlfn.IFNA(VLOOKUP($AH108,Programma!$F$3:$T$1107,15,0),"")</f>
        <v>_</v>
      </c>
      <c r="AW108" s="310" t="str">
        <f>_xlfn.IFNA(VLOOKUP($AH108,Programma!$F$3:$U$1107,16,0),"")</f>
        <v>_</v>
      </c>
      <c r="AX108" s="310" t="str">
        <f>_xlfn.IFNA(VLOOKUP($AH108,Programma!$F$3:$V$1107,17,0),"")</f>
        <v>_</v>
      </c>
      <c r="AY108" s="310" t="str">
        <f>_xlfn.IFNA(VLOOKUP($AH108,Programma!$F$3:$W$1107,18,0),"")</f>
        <v>4w</v>
      </c>
      <c r="AZ108" s="310" t="str">
        <f>_xlfn.IFNA(VLOOKUP($AH108,Programma!$F$3:$X$1107,19,0),"")</f>
        <v>1w</v>
      </c>
      <c r="BA108" s="310" t="str">
        <f>_xlfn.IFNA(VLOOKUP($AH108,Programma!$F$3:$Y$1107,20,0),"")</f>
        <v>_</v>
      </c>
      <c r="BB108" s="273"/>
      <c r="BC108" s="272" t="str">
        <f>IF(Ruimtestaat[[#This Row],[Frequentie weekend]]="","",_xlfn.CONCAT(Ruimtestaat[[#This Row],[Ruimte code]],"-",Ruimtestaat[[#This Row],[Frequentie weekend]]," ",Ruimtestaat[[#This Row],[Vloer code]]))</f>
        <v/>
      </c>
      <c r="BD108" s="310" t="str">
        <f>_xlfn.IFNA(VLOOKUP($BC108,Programma!$F$3:$G$1107,2,0),"")</f>
        <v/>
      </c>
      <c r="BE108" s="310" t="str">
        <f>_xlfn.IFNA(VLOOKUP($BC108,Programma!$F$3:$H$1107,3,0),"")</f>
        <v/>
      </c>
      <c r="BF108" s="310" t="str">
        <f>_xlfn.IFNA(VLOOKUP($BC108,Programma!$F$3:$I$1107,4,0),"")</f>
        <v/>
      </c>
      <c r="BG108" s="310" t="str">
        <f>_xlfn.IFNA(VLOOKUP($BC108,Programma!$F$3:$J$1107,5,0),"")</f>
        <v/>
      </c>
      <c r="BH108" s="310" t="str">
        <f>_xlfn.IFNA(VLOOKUP($BC108,Programma!$F$3:$K$1107,6,0),"")</f>
        <v/>
      </c>
      <c r="BI108" s="310" t="str">
        <f>_xlfn.IFNA(VLOOKUP($BC108,Programma!$F$3:$L$1107,7,0),"")</f>
        <v/>
      </c>
      <c r="BJ108" s="310" t="str">
        <f>_xlfn.IFNA(VLOOKUP($BC108,Programma!$F$3:$M$1107,8,0),"")</f>
        <v/>
      </c>
      <c r="BK108" s="310" t="str">
        <f>_xlfn.IFNA(VLOOKUP($BC108,Programma!$F$3:$N$1107,9,0),"")</f>
        <v/>
      </c>
      <c r="BL108" s="310" t="str">
        <f>_xlfn.IFNA(VLOOKUP($BC108,Programma!$F$3:$O$1107,10,0),"")</f>
        <v/>
      </c>
      <c r="BM108" s="310" t="str">
        <f>_xlfn.IFNA(VLOOKUP($BC108,Programma!$F$3:$P$1107,11,0),"")</f>
        <v/>
      </c>
      <c r="BN108" s="310" t="str">
        <f>_xlfn.IFNA(VLOOKUP($BC108,Programma!$F$3:$Q$1107,12,0),"")</f>
        <v/>
      </c>
      <c r="BO108" s="310" t="str">
        <f>_xlfn.IFNA(VLOOKUP($BC108,Programma!$F$3:$R$1107,13,0),"")</f>
        <v/>
      </c>
      <c r="BP108" s="310" t="str">
        <f>_xlfn.IFNA(VLOOKUP($BC108,Programma!$F$3:$S$1107,14,0),"")</f>
        <v/>
      </c>
      <c r="BQ108" s="310" t="str">
        <f>_xlfn.IFNA(VLOOKUP($BC108,Programma!$F$3:$T$1107,15,0),"")</f>
        <v/>
      </c>
      <c r="BR108" s="310" t="str">
        <f>_xlfn.IFNA(VLOOKUP($BC108,Programma!$F$3:$U$1107,16,0),"")</f>
        <v/>
      </c>
      <c r="BS108" s="310" t="str">
        <f>_xlfn.IFNA(VLOOKUP($BC108,Programma!$F$3:$V$1107,17,0),"")</f>
        <v/>
      </c>
      <c r="BT108" s="310" t="str">
        <f>_xlfn.IFNA(VLOOKUP($BC108,Programma!$F$3:$W$1107,18,0),"")</f>
        <v/>
      </c>
      <c r="BU108" s="310" t="str">
        <f>_xlfn.IFNA(VLOOKUP($BC108,Programma!$F$3:$X$1107,19,0),"")</f>
        <v/>
      </c>
      <c r="BV108" s="310" t="str">
        <f>_xlfn.IFNA(VLOOKUP($BC108,Programma!$F$3:$Y$1107,20,0),"")</f>
        <v/>
      </c>
    </row>
    <row r="109" spans="1:74" ht="15" customHeight="1">
      <c r="A109" s="33">
        <v>1</v>
      </c>
      <c r="B109" s="173" t="str">
        <f>VLOOKUP(Ruimtestaat[[#This Row],[Code]],Locaties[[Code]:[Locatie]],2,FALSE)</f>
        <v>CCNV</v>
      </c>
      <c r="C109" s="173" t="str">
        <f>VLOOKUP(Ruimtestaat[[#This Row],[Code]],Locaties[[#All],[Code]:[Adres]],4,FALSE)</f>
        <v>Stationslaan 26</v>
      </c>
      <c r="D109" s="173" t="str">
        <f>VLOOKUP(Ruimtestaat[[#This Row],[Code]],Locaties[[#All],[Code]:[Postcode]],5,FALSE)</f>
        <v>3842 LA</v>
      </c>
      <c r="E109" s="173" t="str">
        <f>VLOOKUP(Ruimtestaat[[#This Row],[Code]],Locaties[#All],6,FALSE)</f>
        <v>Harderwijk</v>
      </c>
      <c r="F109" s="21" t="s">
        <v>1626</v>
      </c>
      <c r="G109" s="33" t="s">
        <v>1614</v>
      </c>
      <c r="H109" s="311"/>
      <c r="I109" s="312" t="s">
        <v>1766</v>
      </c>
      <c r="J109" s="21">
        <v>6</v>
      </c>
      <c r="K109" s="69" t="str">
        <f>VLOOKUP(Ruimtestaat[[#This Row],[Ruimte code]],Ruimtegroepen[[#All],[Code]:[Ruimte omschrijving]],2,FALSE)</f>
        <v>Gangen/hallen</v>
      </c>
      <c r="L109" s="33" t="s">
        <v>100</v>
      </c>
      <c r="M109" s="312" t="s">
        <v>1803</v>
      </c>
      <c r="N109" s="148">
        <v>58</v>
      </c>
      <c r="O109" s="150"/>
      <c r="P109" s="134" t="str">
        <f>VLOOKUP(Ruimtestaat[[#This Row],[Ruimte code]],Ruimtegroepen[],4,FALSE)</f>
        <v>Ve</v>
      </c>
      <c r="Q109" s="33">
        <v>40</v>
      </c>
      <c r="R109" s="33" t="s">
        <v>2</v>
      </c>
      <c r="S109" s="33">
        <f>IF(Q109&gt;0,IF(RIGHT(Ruimtestaat[[#This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9" s="33">
        <f>IF(S109&gt;0,VLOOKUP($J109,Ruimtegroepen[],3,FALSE)*VLOOKUP($L109,Vloersoorten[],3,FALSE)*VLOOKUP($R109,Frequenties[],3,FALSE)*VLOOKUP($A109,Locaties[],3,FALSE),0)</f>
        <v>0</v>
      </c>
      <c r="U109" s="33">
        <f>Ruimtestaat[[#This Row],[Uitvoeringen werkdagen]]*Ruimtestaat[[#This Row],[Oppervlak (netto)]]</f>
        <v>11600</v>
      </c>
      <c r="V109" s="170">
        <f>IF(T109&gt;0,Ruimtestaat[[#This Row],[Prest. (m2 /jaar) werkdagen]]/Ruimtestaat[[#This Row],[Norm (m2/uur) werkdagen]],0)</f>
        <v>0</v>
      </c>
      <c r="W109" s="171">
        <f>Ruimtestaat[[#This Row],[uren / jaar werkdagen]]*Tariefsopbouw!$E$35</f>
        <v>0</v>
      </c>
      <c r="X109" s="33"/>
      <c r="Y109" s="33">
        <f>IF(Ruimtestaat[[#This Row],[Frequentie weekend]]&gt;0,VALUE(LEFT(X109,1))*Q109,0)</f>
        <v>0</v>
      </c>
      <c r="Z109" s="104">
        <f>IF($Y109&gt;0,VLOOKUP($J109,Ruimtegroepen[],3,FALSE)*VLOOKUP($L109,Vloersoorten[],3,FALSE)*VLOOKUP($X109,Frequenties[],3,FALSE)*VLOOKUP(Ruimtestaat[[#This Row],[Code]],Locaties[],3,FALSE),0)</f>
        <v>0</v>
      </c>
      <c r="AA109" s="104">
        <f>Ruimtestaat[[#This Row],[Uitvoeringen weekend]]*Ruimtestaat[[#This Row],[Oppervlak (netto)]]</f>
        <v>0</v>
      </c>
      <c r="AB109" s="104">
        <f>IF(Z109&gt;0,Ruimtestaat[[#This Row],[Prest. (m2 /jaar) weekend]]/Ruimtestaat[[#This Row],[Norm (m2/uur) weekend]],0)</f>
        <v>0</v>
      </c>
      <c r="AC109" s="171">
        <f>Ruimtestaat[[#This Row],[uren / jaar weekend]]*Tariefsopbouw!$D$40</f>
        <v>0</v>
      </c>
      <c r="AD109" s="170">
        <f>Ruimtestaat[[#This Row],[Prest. (m2 /jaar) weekend]]+Ruimtestaat[[#This Row],[Prest. (m2 /jaar) werkdagen]]</f>
        <v>11600</v>
      </c>
      <c r="AE109" s="170">
        <f>Ruimtestaat[[#This Row],[uren / jaar weekend]]+Ruimtestaat[[#This Row],[uren / jaar werkdagen]]</f>
        <v>0</v>
      </c>
      <c r="AF109" s="76">
        <f>Ruimtestaat[[#This Row],[kosten / jaar weekend]]+Ruimtestaat[[#This Row],[kosten / jaar werkdagen]]</f>
        <v>0</v>
      </c>
      <c r="AG109" s="76"/>
      <c r="AH109" s="272" t="str">
        <f>IF(Ruimtestaat[[#This Row],[Frequentie werkdagen]]="","",_xlfn.CONCAT(Ruimtestaat[[#This Row],[Ruimte code]],"-",Ruimtestaat[[#This Row],[Frequentie werkdagen]]," ",Ruimtestaat[[#This Row],[Vloer code]]))</f>
        <v>6-5w T</v>
      </c>
      <c r="AI109" s="310" t="str">
        <f>_xlfn.IFNA(VLOOKUP($AH109,Programma!$F$3:$G$1107,2,0),"")</f>
        <v>_</v>
      </c>
      <c r="AJ109" s="310" t="str">
        <f>_xlfn.IFNA(VLOOKUP($AH109,Programma!$F$3:$H$1107,3,0),"")</f>
        <v>5w</v>
      </c>
      <c r="AK109" s="310" t="str">
        <f>_xlfn.IFNA(VLOOKUP($AH109,Programma!$F$3:$I$1107,4,0),"")</f>
        <v>_</v>
      </c>
      <c r="AL109" s="310" t="str">
        <f>_xlfn.IFNA(VLOOKUP($AH109,Programma!$F$3:$J$1107,5,0),"")</f>
        <v>_</v>
      </c>
      <c r="AM109" s="310" t="str">
        <f>_xlfn.IFNA(VLOOKUP($AH109,Programma!$F$3:$K$1107,6,0),"")</f>
        <v>_</v>
      </c>
      <c r="AN109" s="310" t="str">
        <f>_xlfn.IFNA(VLOOKUP($AH109,Programma!$F$3:$L$1107,7,0),"")</f>
        <v>_</v>
      </c>
      <c r="AO109" s="310" t="str">
        <f>_xlfn.IFNA(VLOOKUP($AH109,Programma!$F$3:$M$1107,8,0),"")</f>
        <v>_</v>
      </c>
      <c r="AP109" s="310" t="str">
        <f>_xlfn.IFNA(VLOOKUP($AH109,Programma!$F$3:$N$1107,9,0),"")</f>
        <v>_</v>
      </c>
      <c r="AQ109" s="310" t="str">
        <f>_xlfn.IFNA(VLOOKUP($AH109,Programma!$F$3:$O$1107,10,0),"")</f>
        <v>5w</v>
      </c>
      <c r="AR109" s="310" t="str">
        <f>_xlfn.IFNA(VLOOKUP($AH109,Programma!$F$3:$P$1107,11,0),"")</f>
        <v>5w</v>
      </c>
      <c r="AS109" s="310" t="str">
        <f>_xlfn.IFNA(VLOOKUP($AH109,Programma!$F$3:$Q$1107,12,0),"")</f>
        <v>1w</v>
      </c>
      <c r="AT109" s="310" t="str">
        <f>_xlfn.IFNA(VLOOKUP($AH109,Programma!$F$3:$R$1107,13,0),"")</f>
        <v>1w</v>
      </c>
      <c r="AU109" s="310" t="str">
        <f>_xlfn.IFNA(VLOOKUP($AH109,Programma!$F$3:$S$1107,14,0),"")</f>
        <v>1m</v>
      </c>
      <c r="AV109" s="310" t="str">
        <f>_xlfn.IFNA(VLOOKUP($AH109,Programma!$F$3:$T$1107,15,0),"")</f>
        <v>2j</v>
      </c>
      <c r="AW109" s="310" t="str">
        <f>_xlfn.IFNA(VLOOKUP($AH109,Programma!$F$3:$U$1107,16,0),"")</f>
        <v>1j</v>
      </c>
      <c r="AX109" s="310" t="str">
        <f>_xlfn.IFNA(VLOOKUP($AH109,Programma!$F$3:$V$1107,17,0),"")</f>
        <v>_</v>
      </c>
      <c r="AY109" s="310" t="str">
        <f>_xlfn.IFNA(VLOOKUP($AH109,Programma!$F$3:$W$1107,18,0),"")</f>
        <v>_</v>
      </c>
      <c r="AZ109" s="310" t="str">
        <f>_xlfn.IFNA(VLOOKUP($AH109,Programma!$F$3:$X$1107,19,0),"")</f>
        <v>_</v>
      </c>
      <c r="BA109" s="310" t="str">
        <f>_xlfn.IFNA(VLOOKUP($AH109,Programma!$F$3:$Y$1107,20,0),"")</f>
        <v>_</v>
      </c>
      <c r="BB109" s="273"/>
      <c r="BC109" s="272" t="str">
        <f>IF(Ruimtestaat[[#This Row],[Frequentie weekend]]="","",_xlfn.CONCAT(Ruimtestaat[[#This Row],[Ruimte code]],"-",Ruimtestaat[[#This Row],[Frequentie weekend]]," ",Ruimtestaat[[#This Row],[Vloer code]]))</f>
        <v/>
      </c>
      <c r="BD109" s="310" t="str">
        <f>_xlfn.IFNA(VLOOKUP($BC109,Programma!$F$3:$G$1107,2,0),"")</f>
        <v/>
      </c>
      <c r="BE109" s="310" t="str">
        <f>_xlfn.IFNA(VLOOKUP($BC109,Programma!$F$3:$H$1107,3,0),"")</f>
        <v/>
      </c>
      <c r="BF109" s="310" t="str">
        <f>_xlfn.IFNA(VLOOKUP($BC109,Programma!$F$3:$I$1107,4,0),"")</f>
        <v/>
      </c>
      <c r="BG109" s="310" t="str">
        <f>_xlfn.IFNA(VLOOKUP($BC109,Programma!$F$3:$J$1107,5,0),"")</f>
        <v/>
      </c>
      <c r="BH109" s="310" t="str">
        <f>_xlfn.IFNA(VLOOKUP($BC109,Programma!$F$3:$K$1107,6,0),"")</f>
        <v/>
      </c>
      <c r="BI109" s="310" t="str">
        <f>_xlfn.IFNA(VLOOKUP($BC109,Programma!$F$3:$L$1107,7,0),"")</f>
        <v/>
      </c>
      <c r="BJ109" s="310" t="str">
        <f>_xlfn.IFNA(VLOOKUP($BC109,Programma!$F$3:$M$1107,8,0),"")</f>
        <v/>
      </c>
      <c r="BK109" s="310" t="str">
        <f>_xlfn.IFNA(VLOOKUP($BC109,Programma!$F$3:$N$1107,9,0),"")</f>
        <v/>
      </c>
      <c r="BL109" s="310" t="str">
        <f>_xlfn.IFNA(VLOOKUP($BC109,Programma!$F$3:$O$1107,10,0),"")</f>
        <v/>
      </c>
      <c r="BM109" s="310" t="str">
        <f>_xlfn.IFNA(VLOOKUP($BC109,Programma!$F$3:$P$1107,11,0),"")</f>
        <v/>
      </c>
      <c r="BN109" s="310" t="str">
        <f>_xlfn.IFNA(VLOOKUP($BC109,Programma!$F$3:$Q$1107,12,0),"")</f>
        <v/>
      </c>
      <c r="BO109" s="310" t="str">
        <f>_xlfn.IFNA(VLOOKUP($BC109,Programma!$F$3:$R$1107,13,0),"")</f>
        <v/>
      </c>
      <c r="BP109" s="310" t="str">
        <f>_xlfn.IFNA(VLOOKUP($BC109,Programma!$F$3:$S$1107,14,0),"")</f>
        <v/>
      </c>
      <c r="BQ109" s="310" t="str">
        <f>_xlfn.IFNA(VLOOKUP($BC109,Programma!$F$3:$T$1107,15,0),"")</f>
        <v/>
      </c>
      <c r="BR109" s="310" t="str">
        <f>_xlfn.IFNA(VLOOKUP($BC109,Programma!$F$3:$U$1107,16,0),"")</f>
        <v/>
      </c>
      <c r="BS109" s="310" t="str">
        <f>_xlfn.IFNA(VLOOKUP($BC109,Programma!$F$3:$V$1107,17,0),"")</f>
        <v/>
      </c>
      <c r="BT109" s="310" t="str">
        <f>_xlfn.IFNA(VLOOKUP($BC109,Programma!$F$3:$W$1107,18,0),"")</f>
        <v/>
      </c>
      <c r="BU109" s="310" t="str">
        <f>_xlfn.IFNA(VLOOKUP($BC109,Programma!$F$3:$X$1107,19,0),"")</f>
        <v/>
      </c>
      <c r="BV109" s="310" t="str">
        <f>_xlfn.IFNA(VLOOKUP($BC109,Programma!$F$3:$Y$1107,20,0),"")</f>
        <v/>
      </c>
    </row>
    <row r="110" spans="1:74" ht="15" customHeight="1">
      <c r="A110" s="33">
        <v>1</v>
      </c>
      <c r="B110" s="173" t="str">
        <f>VLOOKUP(Ruimtestaat[[#This Row],[Code]],Locaties[[Code]:[Locatie]],2,FALSE)</f>
        <v>CCNV</v>
      </c>
      <c r="C110" s="173" t="str">
        <f>VLOOKUP(Ruimtestaat[[#This Row],[Code]],Locaties[[#All],[Code]:[Adres]],4,FALSE)</f>
        <v>Stationslaan 26</v>
      </c>
      <c r="D110" s="173" t="str">
        <f>VLOOKUP(Ruimtestaat[[#This Row],[Code]],Locaties[[#All],[Code]:[Postcode]],5,FALSE)</f>
        <v>3842 LA</v>
      </c>
      <c r="E110" s="173" t="str">
        <f>VLOOKUP(Ruimtestaat[[#This Row],[Code]],Locaties[#All],6,FALSE)</f>
        <v>Harderwijk</v>
      </c>
      <c r="F110" s="21" t="s">
        <v>1626</v>
      </c>
      <c r="G110" s="33" t="s">
        <v>1614</v>
      </c>
      <c r="H110" s="311"/>
      <c r="I110" s="312" t="s">
        <v>1766</v>
      </c>
      <c r="J110" s="21">
        <v>6</v>
      </c>
      <c r="K110" s="69" t="str">
        <f>VLOOKUP(Ruimtestaat[[#This Row],[Ruimte code]],Ruimtegroepen[[#All],[Code]:[Ruimte omschrijving]],2,FALSE)</f>
        <v>Gangen/hallen</v>
      </c>
      <c r="L110" s="33" t="s">
        <v>102</v>
      </c>
      <c r="M110" s="312" t="s">
        <v>1805</v>
      </c>
      <c r="N110" s="148">
        <v>53</v>
      </c>
      <c r="O110" s="150"/>
      <c r="P110" s="134" t="str">
        <f>VLOOKUP(Ruimtestaat[[#This Row],[Ruimte code]],Ruimtegroepen[],4,FALSE)</f>
        <v>Ve</v>
      </c>
      <c r="Q110" s="33">
        <v>40</v>
      </c>
      <c r="R110" s="33" t="s">
        <v>2</v>
      </c>
      <c r="S110" s="33">
        <f>IF(Q110&gt;0,IF(RIGHT(Ruimtestaat[[#This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0" s="33">
        <f>IF(S110&gt;0,VLOOKUP($J110,Ruimtegroepen[],3,FALSE)*VLOOKUP($L110,Vloersoorten[],3,FALSE)*VLOOKUP($R110,Frequenties[],3,FALSE)*VLOOKUP($A110,Locaties[],3,FALSE),0)</f>
        <v>0</v>
      </c>
      <c r="U110" s="33">
        <f>Ruimtestaat[[#This Row],[Uitvoeringen werkdagen]]*Ruimtestaat[[#This Row],[Oppervlak (netto)]]</f>
        <v>10600</v>
      </c>
      <c r="V110" s="170">
        <f>IF(T110&gt;0,Ruimtestaat[[#This Row],[Prest. (m2 /jaar) werkdagen]]/Ruimtestaat[[#This Row],[Norm (m2/uur) werkdagen]],0)</f>
        <v>0</v>
      </c>
      <c r="W110" s="171">
        <f>Ruimtestaat[[#This Row],[uren / jaar werkdagen]]*Tariefsopbouw!$E$35</f>
        <v>0</v>
      </c>
      <c r="X110" s="33"/>
      <c r="Y110" s="33">
        <f>IF(Ruimtestaat[[#This Row],[Frequentie weekend]]&gt;0,VALUE(LEFT(X110,1))*Q110,0)</f>
        <v>0</v>
      </c>
      <c r="Z110" s="104">
        <f>IF($Y110&gt;0,VLOOKUP($J110,Ruimtegroepen[],3,FALSE)*VLOOKUP($L110,Vloersoorten[],3,FALSE)*VLOOKUP($X110,Frequenties[],3,FALSE)*VLOOKUP(Ruimtestaat[[#This Row],[Code]],Locaties[],3,FALSE),0)</f>
        <v>0</v>
      </c>
      <c r="AA110" s="104">
        <f>Ruimtestaat[[#This Row],[Uitvoeringen weekend]]*Ruimtestaat[[#This Row],[Oppervlak (netto)]]</f>
        <v>0</v>
      </c>
      <c r="AB110" s="104">
        <f>IF(Z110&gt;0,Ruimtestaat[[#This Row],[Prest. (m2 /jaar) weekend]]/Ruimtestaat[[#This Row],[Norm (m2/uur) weekend]],0)</f>
        <v>0</v>
      </c>
      <c r="AC110" s="171">
        <f>Ruimtestaat[[#This Row],[uren / jaar weekend]]*Tariefsopbouw!$D$40</f>
        <v>0</v>
      </c>
      <c r="AD110" s="170">
        <f>Ruimtestaat[[#This Row],[Prest. (m2 /jaar) weekend]]+Ruimtestaat[[#This Row],[Prest. (m2 /jaar) werkdagen]]</f>
        <v>10600</v>
      </c>
      <c r="AE110" s="170">
        <f>Ruimtestaat[[#This Row],[uren / jaar weekend]]+Ruimtestaat[[#This Row],[uren / jaar werkdagen]]</f>
        <v>0</v>
      </c>
      <c r="AF110" s="76">
        <f>Ruimtestaat[[#This Row],[kosten / jaar weekend]]+Ruimtestaat[[#This Row],[kosten / jaar werkdagen]]</f>
        <v>0</v>
      </c>
      <c r="AG110" s="76"/>
      <c r="AH110" s="272" t="str">
        <f>IF(Ruimtestaat[[#This Row],[Frequentie werkdagen]]="","",_xlfn.CONCAT(Ruimtestaat[[#This Row],[Ruimte code]],"-",Ruimtestaat[[#This Row],[Frequentie werkdagen]]," ",Ruimtestaat[[#This Row],[Vloer code]]))</f>
        <v>6-5w S</v>
      </c>
      <c r="AI110" s="310" t="str">
        <f>_xlfn.IFNA(VLOOKUP($AH110,Programma!$F$3:$G$1107,2,0),"")</f>
        <v>_</v>
      </c>
      <c r="AJ110" s="310" t="str">
        <f>_xlfn.IFNA(VLOOKUP($AH110,Programma!$F$3:$H$1107,3,0),"")</f>
        <v>_</v>
      </c>
      <c r="AK110" s="310" t="str">
        <f>_xlfn.IFNA(VLOOKUP($AH110,Programma!$F$3:$I$1107,4,0),"")</f>
        <v>5w</v>
      </c>
      <c r="AL110" s="310" t="str">
        <f>_xlfn.IFNA(VLOOKUP($AH110,Programma!$F$3:$J$1107,5,0),"")</f>
        <v>_</v>
      </c>
      <c r="AM110" s="310" t="str">
        <f>_xlfn.IFNA(VLOOKUP($AH110,Programma!$F$3:$K$1107,6,0),"")</f>
        <v>5w</v>
      </c>
      <c r="AN110" s="310" t="str">
        <f>_xlfn.IFNA(VLOOKUP($AH110,Programma!$F$3:$L$1107,7,0),"")</f>
        <v>_</v>
      </c>
      <c r="AO110" s="310" t="str">
        <f>_xlfn.IFNA(VLOOKUP($AH110,Programma!$F$3:$M$1107,8,0),"")</f>
        <v>_</v>
      </c>
      <c r="AP110" s="310" t="str">
        <f>_xlfn.IFNA(VLOOKUP($AH110,Programma!$F$3:$N$1107,9,0),"")</f>
        <v>_</v>
      </c>
      <c r="AQ110" s="310" t="str">
        <f>_xlfn.IFNA(VLOOKUP($AH110,Programma!$F$3:$O$1107,10,0),"")</f>
        <v>5w</v>
      </c>
      <c r="AR110" s="310" t="str">
        <f>_xlfn.IFNA(VLOOKUP($AH110,Programma!$F$3:$P$1107,11,0),"")</f>
        <v>5w</v>
      </c>
      <c r="AS110" s="310" t="str">
        <f>_xlfn.IFNA(VLOOKUP($AH110,Programma!$F$3:$Q$1107,12,0),"")</f>
        <v>1w</v>
      </c>
      <c r="AT110" s="310" t="str">
        <f>_xlfn.IFNA(VLOOKUP($AH110,Programma!$F$3:$R$1107,13,0),"")</f>
        <v>1w</v>
      </c>
      <c r="AU110" s="310" t="str">
        <f>_xlfn.IFNA(VLOOKUP($AH110,Programma!$F$3:$S$1107,14,0),"")</f>
        <v>1m</v>
      </c>
      <c r="AV110" s="310" t="str">
        <f>_xlfn.IFNA(VLOOKUP($AH110,Programma!$F$3:$T$1107,15,0),"")</f>
        <v>2j</v>
      </c>
      <c r="AW110" s="310" t="str">
        <f>_xlfn.IFNA(VLOOKUP($AH110,Programma!$F$3:$U$1107,16,0),"")</f>
        <v>1j</v>
      </c>
      <c r="AX110" s="310" t="str">
        <f>_xlfn.IFNA(VLOOKUP($AH110,Programma!$F$3:$V$1107,17,0),"")</f>
        <v>_</v>
      </c>
      <c r="AY110" s="310" t="str">
        <f>_xlfn.IFNA(VLOOKUP($AH110,Programma!$F$3:$W$1107,18,0),"")</f>
        <v>_</v>
      </c>
      <c r="AZ110" s="310" t="str">
        <f>_xlfn.IFNA(VLOOKUP($AH110,Programma!$F$3:$X$1107,19,0),"")</f>
        <v>_</v>
      </c>
      <c r="BA110" s="310" t="str">
        <f>_xlfn.IFNA(VLOOKUP($AH110,Programma!$F$3:$Y$1107,20,0),"")</f>
        <v>_</v>
      </c>
      <c r="BB110" s="273"/>
      <c r="BC110" s="272" t="str">
        <f>IF(Ruimtestaat[[#This Row],[Frequentie weekend]]="","",_xlfn.CONCAT(Ruimtestaat[[#This Row],[Ruimte code]],"-",Ruimtestaat[[#This Row],[Frequentie weekend]]," ",Ruimtestaat[[#This Row],[Vloer code]]))</f>
        <v/>
      </c>
      <c r="BD110" s="310" t="str">
        <f>_xlfn.IFNA(VLOOKUP($BC110,Programma!$F$3:$G$1107,2,0),"")</f>
        <v/>
      </c>
      <c r="BE110" s="310" t="str">
        <f>_xlfn.IFNA(VLOOKUP($BC110,Programma!$F$3:$H$1107,3,0),"")</f>
        <v/>
      </c>
      <c r="BF110" s="310" t="str">
        <f>_xlfn.IFNA(VLOOKUP($BC110,Programma!$F$3:$I$1107,4,0),"")</f>
        <v/>
      </c>
      <c r="BG110" s="310" t="str">
        <f>_xlfn.IFNA(VLOOKUP($BC110,Programma!$F$3:$J$1107,5,0),"")</f>
        <v/>
      </c>
      <c r="BH110" s="310" t="str">
        <f>_xlfn.IFNA(VLOOKUP($BC110,Programma!$F$3:$K$1107,6,0),"")</f>
        <v/>
      </c>
      <c r="BI110" s="310" t="str">
        <f>_xlfn.IFNA(VLOOKUP($BC110,Programma!$F$3:$L$1107,7,0),"")</f>
        <v/>
      </c>
      <c r="BJ110" s="310" t="str">
        <f>_xlfn.IFNA(VLOOKUP($BC110,Programma!$F$3:$M$1107,8,0),"")</f>
        <v/>
      </c>
      <c r="BK110" s="310" t="str">
        <f>_xlfn.IFNA(VLOOKUP($BC110,Programma!$F$3:$N$1107,9,0),"")</f>
        <v/>
      </c>
      <c r="BL110" s="310" t="str">
        <f>_xlfn.IFNA(VLOOKUP($BC110,Programma!$F$3:$O$1107,10,0),"")</f>
        <v/>
      </c>
      <c r="BM110" s="310" t="str">
        <f>_xlfn.IFNA(VLOOKUP($BC110,Programma!$F$3:$P$1107,11,0),"")</f>
        <v/>
      </c>
      <c r="BN110" s="310" t="str">
        <f>_xlfn.IFNA(VLOOKUP($BC110,Programma!$F$3:$Q$1107,12,0),"")</f>
        <v/>
      </c>
      <c r="BO110" s="310" t="str">
        <f>_xlfn.IFNA(VLOOKUP($BC110,Programma!$F$3:$R$1107,13,0),"")</f>
        <v/>
      </c>
      <c r="BP110" s="310" t="str">
        <f>_xlfn.IFNA(VLOOKUP($BC110,Programma!$F$3:$S$1107,14,0),"")</f>
        <v/>
      </c>
      <c r="BQ110" s="310" t="str">
        <f>_xlfn.IFNA(VLOOKUP($BC110,Programma!$F$3:$T$1107,15,0),"")</f>
        <v/>
      </c>
      <c r="BR110" s="310" t="str">
        <f>_xlfn.IFNA(VLOOKUP($BC110,Programma!$F$3:$U$1107,16,0),"")</f>
        <v/>
      </c>
      <c r="BS110" s="310" t="str">
        <f>_xlfn.IFNA(VLOOKUP($BC110,Programma!$F$3:$V$1107,17,0),"")</f>
        <v/>
      </c>
      <c r="BT110" s="310" t="str">
        <f>_xlfn.IFNA(VLOOKUP($BC110,Programma!$F$3:$W$1107,18,0),"")</f>
        <v/>
      </c>
      <c r="BU110" s="310" t="str">
        <f>_xlfn.IFNA(VLOOKUP($BC110,Programma!$F$3:$X$1107,19,0),"")</f>
        <v/>
      </c>
      <c r="BV110" s="310" t="str">
        <f>_xlfn.IFNA(VLOOKUP($BC110,Programma!$F$3:$Y$1107,20,0),"")</f>
        <v/>
      </c>
    </row>
    <row r="111" spans="1:74" ht="15" customHeight="1">
      <c r="A111" s="33">
        <v>1</v>
      </c>
      <c r="B111" s="173" t="str">
        <f>VLOOKUP(Ruimtestaat[[#This Row],[Code]],Locaties[[Code]:[Locatie]],2,FALSE)</f>
        <v>CCNV</v>
      </c>
      <c r="C111" s="173" t="str">
        <f>VLOOKUP(Ruimtestaat[[#This Row],[Code]],Locaties[[#All],[Code]:[Adres]],4,FALSE)</f>
        <v>Stationslaan 26</v>
      </c>
      <c r="D111" s="173" t="str">
        <f>VLOOKUP(Ruimtestaat[[#This Row],[Code]],Locaties[[#All],[Code]:[Postcode]],5,FALSE)</f>
        <v>3842 LA</v>
      </c>
      <c r="E111" s="173" t="str">
        <f>VLOOKUP(Ruimtestaat[[#This Row],[Code]],Locaties[#All],6,FALSE)</f>
        <v>Harderwijk</v>
      </c>
      <c r="F111" s="21" t="s">
        <v>1626</v>
      </c>
      <c r="G111" s="33" t="s">
        <v>1614</v>
      </c>
      <c r="H111" s="311"/>
      <c r="I111" s="312" t="s">
        <v>1766</v>
      </c>
      <c r="J111" s="33">
        <v>6</v>
      </c>
      <c r="K111" s="69" t="str">
        <f>VLOOKUP(Ruimtestaat[[#This Row],[Ruimte code]],Ruimtegroepen[[#All],[Code]:[Ruimte omschrijving]],2,FALSE)</f>
        <v>Gangen/hallen</v>
      </c>
      <c r="L111" s="33" t="s">
        <v>1817</v>
      </c>
      <c r="M111" s="312" t="s">
        <v>1802</v>
      </c>
      <c r="N111" s="148">
        <v>33</v>
      </c>
      <c r="O111" s="33"/>
      <c r="P111" s="134" t="str">
        <f>VLOOKUP(Ruimtestaat[[#This Row],[Ruimte code]],Ruimtegroepen[],4,FALSE)</f>
        <v>Ve</v>
      </c>
      <c r="Q111" s="33">
        <v>40</v>
      </c>
      <c r="R111" s="33" t="s">
        <v>2</v>
      </c>
      <c r="S111" s="33">
        <f>IF(Q111&gt;0,IF(RIGHT(Ruimtestaat[[#This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1" s="33">
        <f>IF(S111&gt;0,VLOOKUP($J111,Ruimtegroepen[],3,FALSE)*VLOOKUP($L111,Vloersoorten[],3,FALSE)*VLOOKUP($R111,Frequenties[],3,FALSE)*VLOOKUP($A111,Locaties[],3,FALSE),0)</f>
        <v>0</v>
      </c>
      <c r="U111" s="33">
        <f>Ruimtestaat[[#This Row],[Uitvoeringen werkdagen]]*Ruimtestaat[[#This Row],[Oppervlak (netto)]]</f>
        <v>6600</v>
      </c>
      <c r="V111" s="170">
        <f>IF(T111&gt;0,Ruimtestaat[[#This Row],[Prest. (m2 /jaar) werkdagen]]/Ruimtestaat[[#This Row],[Norm (m2/uur) werkdagen]],0)</f>
        <v>0</v>
      </c>
      <c r="W111" s="171">
        <f>Ruimtestaat[[#This Row],[uren / jaar werkdagen]]*Tariefsopbouw!$E$35</f>
        <v>0</v>
      </c>
      <c r="X111" s="33"/>
      <c r="Y111" s="33">
        <f>IF(Ruimtestaat[[#This Row],[Frequentie weekend]]&gt;0,VALUE(LEFT(X111,1))*Q111,0)</f>
        <v>0</v>
      </c>
      <c r="Z111" s="104">
        <f>IF($Y111&gt;0,VLOOKUP($J111,Ruimtegroepen[],3,FALSE)*VLOOKUP($L111,Vloersoorten[],3,FALSE)*VLOOKUP($X111,Frequenties[],3,FALSE)*VLOOKUP(Ruimtestaat[[#This Row],[Code]],Locaties[],3,FALSE),0)</f>
        <v>0</v>
      </c>
      <c r="AA111" s="104">
        <f>Ruimtestaat[[#This Row],[Uitvoeringen weekend]]*Ruimtestaat[[#This Row],[Oppervlak (netto)]]</f>
        <v>0</v>
      </c>
      <c r="AB111" s="104">
        <f>IF(Z111&gt;0,Ruimtestaat[[#This Row],[Prest. (m2 /jaar) weekend]]/Ruimtestaat[[#This Row],[Norm (m2/uur) weekend]],0)</f>
        <v>0</v>
      </c>
      <c r="AC111" s="171">
        <f>Ruimtestaat[[#This Row],[uren / jaar weekend]]*Tariefsopbouw!$D$40</f>
        <v>0</v>
      </c>
      <c r="AD111" s="170">
        <f>Ruimtestaat[[#This Row],[Prest. (m2 /jaar) weekend]]+Ruimtestaat[[#This Row],[Prest. (m2 /jaar) werkdagen]]</f>
        <v>6600</v>
      </c>
      <c r="AE111" s="170">
        <f>Ruimtestaat[[#This Row],[uren / jaar weekend]]+Ruimtestaat[[#This Row],[uren / jaar werkdagen]]</f>
        <v>0</v>
      </c>
      <c r="AF111" s="76">
        <f>Ruimtestaat[[#This Row],[kosten / jaar weekend]]+Ruimtestaat[[#This Row],[kosten / jaar werkdagen]]</f>
        <v>0</v>
      </c>
      <c r="AG111" s="76"/>
      <c r="AH111" s="272" t="str">
        <f>IF(Ruimtestaat[[#This Row],[Frequentie werkdagen]]="","",_xlfn.CONCAT(Ruimtestaat[[#This Row],[Ruimte code]],"-",Ruimtestaat[[#This Row],[Frequentie werkdagen]]," ",Ruimtestaat[[#This Row],[Vloer code]]))</f>
        <v>6-5w p</v>
      </c>
      <c r="AI111" s="310" t="str">
        <f>_xlfn.IFNA(VLOOKUP($AH111,Programma!$F$3:$G$1107,2,0),"")</f>
        <v>_</v>
      </c>
      <c r="AJ111" s="310" t="str">
        <f>_xlfn.IFNA(VLOOKUP($AH111,Programma!$F$3:$H$1107,3,0),"")</f>
        <v>_</v>
      </c>
      <c r="AK111" s="310" t="str">
        <f>_xlfn.IFNA(VLOOKUP($AH111,Programma!$F$3:$I$1107,4,0),"")</f>
        <v>5w</v>
      </c>
      <c r="AL111" s="310" t="str">
        <f>_xlfn.IFNA(VLOOKUP($AH111,Programma!$F$3:$J$1107,5,0),"")</f>
        <v>_</v>
      </c>
      <c r="AM111" s="310" t="str">
        <f>_xlfn.IFNA(VLOOKUP($AH111,Programma!$F$3:$K$1107,6,0),"")</f>
        <v>5w</v>
      </c>
      <c r="AN111" s="310" t="str">
        <f>_xlfn.IFNA(VLOOKUP($AH111,Programma!$F$3:$L$1107,7,0),"")</f>
        <v>_</v>
      </c>
      <c r="AO111" s="310" t="str">
        <f>_xlfn.IFNA(VLOOKUP($AH111,Programma!$F$3:$M$1107,8,0),"")</f>
        <v>_</v>
      </c>
      <c r="AP111" s="310" t="str">
        <f>_xlfn.IFNA(VLOOKUP($AH111,Programma!$F$3:$N$1107,9,0),"")</f>
        <v>_</v>
      </c>
      <c r="AQ111" s="310" t="str">
        <f>_xlfn.IFNA(VLOOKUP($AH111,Programma!$F$3:$O$1107,10,0),"")</f>
        <v>5w</v>
      </c>
      <c r="AR111" s="310" t="str">
        <f>_xlfn.IFNA(VLOOKUP($AH111,Programma!$F$3:$P$1107,11,0),"")</f>
        <v>5w</v>
      </c>
      <c r="AS111" s="310" t="str">
        <f>_xlfn.IFNA(VLOOKUP($AH111,Programma!$F$3:$Q$1107,12,0),"")</f>
        <v>1w</v>
      </c>
      <c r="AT111" s="310" t="str">
        <f>_xlfn.IFNA(VLOOKUP($AH111,Programma!$F$3:$R$1107,13,0),"")</f>
        <v>1w</v>
      </c>
      <c r="AU111" s="310" t="str">
        <f>_xlfn.IFNA(VLOOKUP($AH111,Programma!$F$3:$S$1107,14,0),"")</f>
        <v>1m</v>
      </c>
      <c r="AV111" s="310" t="str">
        <f>_xlfn.IFNA(VLOOKUP($AH111,Programma!$F$3:$T$1107,15,0),"")</f>
        <v>2j</v>
      </c>
      <c r="AW111" s="310" t="str">
        <f>_xlfn.IFNA(VLOOKUP($AH111,Programma!$F$3:$U$1107,16,0),"")</f>
        <v>1j</v>
      </c>
      <c r="AX111" s="310" t="str">
        <f>_xlfn.IFNA(VLOOKUP($AH111,Programma!$F$3:$V$1107,17,0),"")</f>
        <v>_</v>
      </c>
      <c r="AY111" s="310" t="str">
        <f>_xlfn.IFNA(VLOOKUP($AH111,Programma!$F$3:$W$1107,18,0),"")</f>
        <v>_</v>
      </c>
      <c r="AZ111" s="310" t="str">
        <f>_xlfn.IFNA(VLOOKUP($AH111,Programma!$F$3:$X$1107,19,0),"")</f>
        <v>_</v>
      </c>
      <c r="BA111" s="310" t="str">
        <f>_xlfn.IFNA(VLOOKUP($AH111,Programma!$F$3:$Y$1107,20,0),"")</f>
        <v>_</v>
      </c>
      <c r="BB111" s="273"/>
      <c r="BC111" s="272" t="str">
        <f>IF(Ruimtestaat[[#This Row],[Frequentie weekend]]="","",_xlfn.CONCAT(Ruimtestaat[[#This Row],[Ruimte code]],"-",Ruimtestaat[[#This Row],[Frequentie weekend]]," ",Ruimtestaat[[#This Row],[Vloer code]]))</f>
        <v/>
      </c>
      <c r="BD111" s="310" t="str">
        <f>_xlfn.IFNA(VLOOKUP($BC111,Programma!$F$3:$G$1107,2,0),"")</f>
        <v/>
      </c>
      <c r="BE111" s="310" t="str">
        <f>_xlfn.IFNA(VLOOKUP($BC111,Programma!$F$3:$H$1107,3,0),"")</f>
        <v/>
      </c>
      <c r="BF111" s="310" t="str">
        <f>_xlfn.IFNA(VLOOKUP($BC111,Programma!$F$3:$I$1107,4,0),"")</f>
        <v/>
      </c>
      <c r="BG111" s="310" t="str">
        <f>_xlfn.IFNA(VLOOKUP($BC111,Programma!$F$3:$J$1107,5,0),"")</f>
        <v/>
      </c>
      <c r="BH111" s="310" t="str">
        <f>_xlfn.IFNA(VLOOKUP($BC111,Programma!$F$3:$K$1107,6,0),"")</f>
        <v/>
      </c>
      <c r="BI111" s="310" t="str">
        <f>_xlfn.IFNA(VLOOKUP($BC111,Programma!$F$3:$L$1107,7,0),"")</f>
        <v/>
      </c>
      <c r="BJ111" s="310" t="str">
        <f>_xlfn.IFNA(VLOOKUP($BC111,Programma!$F$3:$M$1107,8,0),"")</f>
        <v/>
      </c>
      <c r="BK111" s="310" t="str">
        <f>_xlfn.IFNA(VLOOKUP($BC111,Programma!$F$3:$N$1107,9,0),"")</f>
        <v/>
      </c>
      <c r="BL111" s="310" t="str">
        <f>_xlfn.IFNA(VLOOKUP($BC111,Programma!$F$3:$O$1107,10,0),"")</f>
        <v/>
      </c>
      <c r="BM111" s="310" t="str">
        <f>_xlfn.IFNA(VLOOKUP($BC111,Programma!$F$3:$P$1107,11,0),"")</f>
        <v/>
      </c>
      <c r="BN111" s="310" t="str">
        <f>_xlfn.IFNA(VLOOKUP($BC111,Programma!$F$3:$Q$1107,12,0),"")</f>
        <v/>
      </c>
      <c r="BO111" s="310" t="str">
        <f>_xlfn.IFNA(VLOOKUP($BC111,Programma!$F$3:$R$1107,13,0),"")</f>
        <v/>
      </c>
      <c r="BP111" s="310" t="str">
        <f>_xlfn.IFNA(VLOOKUP($BC111,Programma!$F$3:$S$1107,14,0),"")</f>
        <v/>
      </c>
      <c r="BQ111" s="310" t="str">
        <f>_xlfn.IFNA(VLOOKUP($BC111,Programma!$F$3:$T$1107,15,0),"")</f>
        <v/>
      </c>
      <c r="BR111" s="310" t="str">
        <f>_xlfn.IFNA(VLOOKUP($BC111,Programma!$F$3:$U$1107,16,0),"")</f>
        <v/>
      </c>
      <c r="BS111" s="310" t="str">
        <f>_xlfn.IFNA(VLOOKUP($BC111,Programma!$F$3:$V$1107,17,0),"")</f>
        <v/>
      </c>
      <c r="BT111" s="310" t="str">
        <f>_xlfn.IFNA(VLOOKUP($BC111,Programma!$F$3:$W$1107,18,0),"")</f>
        <v/>
      </c>
      <c r="BU111" s="310" t="str">
        <f>_xlfn.IFNA(VLOOKUP($BC111,Programma!$F$3:$X$1107,19,0),"")</f>
        <v/>
      </c>
      <c r="BV111" s="310" t="str">
        <f>_xlfn.IFNA(VLOOKUP($BC111,Programma!$F$3:$Y$1107,20,0),"")</f>
        <v/>
      </c>
    </row>
    <row r="112" spans="1:74" ht="15" customHeight="1">
      <c r="A112" s="33">
        <v>1</v>
      </c>
      <c r="B112" s="173" t="str">
        <f>VLOOKUP(Ruimtestaat[[#This Row],[Code]],Locaties[[Code]:[Locatie]],2,FALSE)</f>
        <v>CCNV</v>
      </c>
      <c r="C112" s="173" t="str">
        <f>VLOOKUP(Ruimtestaat[[#This Row],[Code]],Locaties[[#All],[Code]:[Adres]],4,FALSE)</f>
        <v>Stationslaan 26</v>
      </c>
      <c r="D112" s="173" t="str">
        <f>VLOOKUP(Ruimtestaat[[#This Row],[Code]],Locaties[[#All],[Code]:[Postcode]],5,FALSE)</f>
        <v>3842 LA</v>
      </c>
      <c r="E112" s="173" t="str">
        <f>VLOOKUP(Ruimtestaat[[#This Row],[Code]],Locaties[#All],6,FALSE)</f>
        <v>Harderwijk</v>
      </c>
      <c r="F112" s="21" t="s">
        <v>1626</v>
      </c>
      <c r="G112" s="33" t="s">
        <v>1614</v>
      </c>
      <c r="H112" s="311"/>
      <c r="I112" s="312" t="s">
        <v>1788</v>
      </c>
      <c r="J112" s="21">
        <v>9</v>
      </c>
      <c r="K112" s="69" t="str">
        <f>VLOOKUP(Ruimtestaat[[#This Row],[Ruimte code]],Ruimtegroepen[[#All],[Code]:[Ruimte omschrijving]],2,FALSE)</f>
        <v>publieksruimte</v>
      </c>
      <c r="L112" s="33" t="s">
        <v>100</v>
      </c>
      <c r="M112" s="312" t="s">
        <v>1803</v>
      </c>
      <c r="N112" s="148">
        <v>43</v>
      </c>
      <c r="O112" s="150"/>
      <c r="P112" s="134" t="str">
        <f>VLOOKUP(Ruimtestaat[[#This Row],[Ruimte code]],Ruimtegroepen[],4,FALSE)</f>
        <v>ve</v>
      </c>
      <c r="Q112" s="33">
        <v>40</v>
      </c>
      <c r="R112" s="33" t="s">
        <v>2</v>
      </c>
      <c r="S112" s="33">
        <f>IF(Q112&gt;0,IF(RIGHT(Ruimtestaat[[#This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2" s="33">
        <f>IF(S112&gt;0,VLOOKUP($J112,Ruimtegroepen[],3,FALSE)*VLOOKUP($L112,Vloersoorten[],3,FALSE)*VLOOKUP($R112,Frequenties[],3,FALSE)*VLOOKUP($A112,Locaties[],3,FALSE),0)</f>
        <v>0</v>
      </c>
      <c r="U112" s="33">
        <f>Ruimtestaat[[#This Row],[Uitvoeringen werkdagen]]*Ruimtestaat[[#This Row],[Oppervlak (netto)]]</f>
        <v>8600</v>
      </c>
      <c r="V112" s="170">
        <f>IF(T112&gt;0,Ruimtestaat[[#This Row],[Prest. (m2 /jaar) werkdagen]]/Ruimtestaat[[#This Row],[Norm (m2/uur) werkdagen]],0)</f>
        <v>0</v>
      </c>
      <c r="W112" s="171">
        <f>Ruimtestaat[[#This Row],[uren / jaar werkdagen]]*Tariefsopbouw!$E$35</f>
        <v>0</v>
      </c>
      <c r="X112" s="33"/>
      <c r="Y112" s="33">
        <f>IF(Ruimtestaat[[#This Row],[Frequentie weekend]]&gt;0,VALUE(LEFT(X112,1))*Q112,0)</f>
        <v>0</v>
      </c>
      <c r="Z112" s="104">
        <f>IF($Y112&gt;0,VLOOKUP($J112,Ruimtegroepen[],3,FALSE)*VLOOKUP($L112,Vloersoorten[],3,FALSE)*VLOOKUP($X112,Frequenties[],3,FALSE)*VLOOKUP(Ruimtestaat[[#This Row],[Code]],Locaties[],3,FALSE),0)</f>
        <v>0</v>
      </c>
      <c r="AA112" s="104">
        <f>Ruimtestaat[[#This Row],[Uitvoeringen weekend]]*Ruimtestaat[[#This Row],[Oppervlak (netto)]]</f>
        <v>0</v>
      </c>
      <c r="AB112" s="104">
        <f>IF(Z112&gt;0,Ruimtestaat[[#This Row],[Prest. (m2 /jaar) weekend]]/Ruimtestaat[[#This Row],[Norm (m2/uur) weekend]],0)</f>
        <v>0</v>
      </c>
      <c r="AC112" s="171">
        <f>Ruimtestaat[[#This Row],[uren / jaar weekend]]*Tariefsopbouw!$D$40</f>
        <v>0</v>
      </c>
      <c r="AD112" s="170">
        <f>Ruimtestaat[[#This Row],[Prest. (m2 /jaar) weekend]]+Ruimtestaat[[#This Row],[Prest. (m2 /jaar) werkdagen]]</f>
        <v>8600</v>
      </c>
      <c r="AE112" s="170">
        <f>Ruimtestaat[[#This Row],[uren / jaar weekend]]+Ruimtestaat[[#This Row],[uren / jaar werkdagen]]</f>
        <v>0</v>
      </c>
      <c r="AF112" s="76">
        <f>Ruimtestaat[[#This Row],[kosten / jaar weekend]]+Ruimtestaat[[#This Row],[kosten / jaar werkdagen]]</f>
        <v>0</v>
      </c>
      <c r="AG112" s="76"/>
      <c r="AH112" s="272" t="str">
        <f>IF(Ruimtestaat[[#This Row],[Frequentie werkdagen]]="","",_xlfn.CONCAT(Ruimtestaat[[#This Row],[Ruimte code]],"-",Ruimtestaat[[#This Row],[Frequentie werkdagen]]," ",Ruimtestaat[[#This Row],[Vloer code]]))</f>
        <v>9-5w T</v>
      </c>
      <c r="AI112" s="310" t="str">
        <f>_xlfn.IFNA(VLOOKUP($AH112,Programma!$F$3:$G$1107,2,0),"")</f>
        <v>_</v>
      </c>
      <c r="AJ112" s="310" t="str">
        <f>_xlfn.IFNA(VLOOKUP($AH112,Programma!$F$3:$H$1107,3,0),"")</f>
        <v>5w</v>
      </c>
      <c r="AK112" s="310" t="str">
        <f>_xlfn.IFNA(VLOOKUP($AH112,Programma!$F$3:$I$1107,4,0),"")</f>
        <v>_</v>
      </c>
      <c r="AL112" s="310" t="str">
        <f>_xlfn.IFNA(VLOOKUP($AH112,Programma!$F$3:$J$1107,5,0),"")</f>
        <v>_</v>
      </c>
      <c r="AM112" s="310" t="str">
        <f>_xlfn.IFNA(VLOOKUP($AH112,Programma!$F$3:$K$1107,6,0),"")</f>
        <v>_</v>
      </c>
      <c r="AN112" s="310" t="str">
        <f>_xlfn.IFNA(VLOOKUP($AH112,Programma!$F$3:$L$1107,7,0),"")</f>
        <v>_</v>
      </c>
      <c r="AO112" s="310" t="str">
        <f>_xlfn.IFNA(VLOOKUP($AH112,Programma!$F$3:$M$1107,8,0),"")</f>
        <v>_</v>
      </c>
      <c r="AP112" s="310" t="str">
        <f>_xlfn.IFNA(VLOOKUP($AH112,Programma!$F$3:$N$1107,9,0),"")</f>
        <v>_</v>
      </c>
      <c r="AQ112" s="310" t="str">
        <f>_xlfn.IFNA(VLOOKUP($AH112,Programma!$F$3:$O$1107,10,0),"")</f>
        <v>5w</v>
      </c>
      <c r="AR112" s="310" t="str">
        <f>_xlfn.IFNA(VLOOKUP($AH112,Programma!$F$3:$P$1107,11,0),"")</f>
        <v>5w</v>
      </c>
      <c r="AS112" s="310" t="str">
        <f>_xlfn.IFNA(VLOOKUP($AH112,Programma!$F$3:$Q$1107,12,0),"")</f>
        <v>1w</v>
      </c>
      <c r="AT112" s="310" t="str">
        <f>_xlfn.IFNA(VLOOKUP($AH112,Programma!$F$3:$R$1107,13,0),"")</f>
        <v>1w</v>
      </c>
      <c r="AU112" s="310" t="str">
        <f>_xlfn.IFNA(VLOOKUP($AH112,Programma!$F$3:$S$1107,14,0),"")</f>
        <v>1m</v>
      </c>
      <c r="AV112" s="310" t="str">
        <f>_xlfn.IFNA(VLOOKUP($AH112,Programma!$F$3:$T$1107,15,0),"")</f>
        <v>2j</v>
      </c>
      <c r="AW112" s="310" t="str">
        <f>_xlfn.IFNA(VLOOKUP($AH112,Programma!$F$3:$U$1107,16,0),"")</f>
        <v>1j</v>
      </c>
      <c r="AX112" s="310" t="str">
        <f>_xlfn.IFNA(VLOOKUP($AH112,Programma!$F$3:$V$1107,17,0),"")</f>
        <v>_</v>
      </c>
      <c r="AY112" s="310" t="str">
        <f>_xlfn.IFNA(VLOOKUP($AH112,Programma!$F$3:$W$1107,18,0),"")</f>
        <v>_</v>
      </c>
      <c r="AZ112" s="310" t="str">
        <f>_xlfn.IFNA(VLOOKUP($AH112,Programma!$F$3:$X$1107,19,0),"")</f>
        <v>_</v>
      </c>
      <c r="BA112" s="310" t="str">
        <f>_xlfn.IFNA(VLOOKUP($AH112,Programma!$F$3:$Y$1107,20,0),"")</f>
        <v>_</v>
      </c>
      <c r="BB112" s="273"/>
      <c r="BC112" s="272" t="str">
        <f>IF(Ruimtestaat[[#This Row],[Frequentie weekend]]="","",_xlfn.CONCAT(Ruimtestaat[[#This Row],[Ruimte code]],"-",Ruimtestaat[[#This Row],[Frequentie weekend]]," ",Ruimtestaat[[#This Row],[Vloer code]]))</f>
        <v/>
      </c>
      <c r="BD112" s="310" t="str">
        <f>_xlfn.IFNA(VLOOKUP($BC112,Programma!$F$3:$G$1107,2,0),"")</f>
        <v/>
      </c>
      <c r="BE112" s="310" t="str">
        <f>_xlfn.IFNA(VLOOKUP($BC112,Programma!$F$3:$H$1107,3,0),"")</f>
        <v/>
      </c>
      <c r="BF112" s="310" t="str">
        <f>_xlfn.IFNA(VLOOKUP($BC112,Programma!$F$3:$I$1107,4,0),"")</f>
        <v/>
      </c>
      <c r="BG112" s="310" t="str">
        <f>_xlfn.IFNA(VLOOKUP($BC112,Programma!$F$3:$J$1107,5,0),"")</f>
        <v/>
      </c>
      <c r="BH112" s="310" t="str">
        <f>_xlfn.IFNA(VLOOKUP($BC112,Programma!$F$3:$K$1107,6,0),"")</f>
        <v/>
      </c>
      <c r="BI112" s="310" t="str">
        <f>_xlfn.IFNA(VLOOKUP($BC112,Programma!$F$3:$L$1107,7,0),"")</f>
        <v/>
      </c>
      <c r="BJ112" s="310" t="str">
        <f>_xlfn.IFNA(VLOOKUP($BC112,Programma!$F$3:$M$1107,8,0),"")</f>
        <v/>
      </c>
      <c r="BK112" s="310" t="str">
        <f>_xlfn.IFNA(VLOOKUP($BC112,Programma!$F$3:$N$1107,9,0),"")</f>
        <v/>
      </c>
      <c r="BL112" s="310" t="str">
        <f>_xlfn.IFNA(VLOOKUP($BC112,Programma!$F$3:$O$1107,10,0),"")</f>
        <v/>
      </c>
      <c r="BM112" s="310" t="str">
        <f>_xlfn.IFNA(VLOOKUP($BC112,Programma!$F$3:$P$1107,11,0),"")</f>
        <v/>
      </c>
      <c r="BN112" s="310" t="str">
        <f>_xlfn.IFNA(VLOOKUP($BC112,Programma!$F$3:$Q$1107,12,0),"")</f>
        <v/>
      </c>
      <c r="BO112" s="310" t="str">
        <f>_xlfn.IFNA(VLOOKUP($BC112,Programma!$F$3:$R$1107,13,0),"")</f>
        <v/>
      </c>
      <c r="BP112" s="310" t="str">
        <f>_xlfn.IFNA(VLOOKUP($BC112,Programma!$F$3:$S$1107,14,0),"")</f>
        <v/>
      </c>
      <c r="BQ112" s="310" t="str">
        <f>_xlfn.IFNA(VLOOKUP($BC112,Programma!$F$3:$T$1107,15,0),"")</f>
        <v/>
      </c>
      <c r="BR112" s="310" t="str">
        <f>_xlfn.IFNA(VLOOKUP($BC112,Programma!$F$3:$U$1107,16,0),"")</f>
        <v/>
      </c>
      <c r="BS112" s="310" t="str">
        <f>_xlfn.IFNA(VLOOKUP($BC112,Programma!$F$3:$V$1107,17,0),"")</f>
        <v/>
      </c>
      <c r="BT112" s="310" t="str">
        <f>_xlfn.IFNA(VLOOKUP($BC112,Programma!$F$3:$W$1107,18,0),"")</f>
        <v/>
      </c>
      <c r="BU112" s="310" t="str">
        <f>_xlfn.IFNA(VLOOKUP($BC112,Programma!$F$3:$X$1107,19,0),"")</f>
        <v/>
      </c>
      <c r="BV112" s="310" t="str">
        <f>_xlfn.IFNA(VLOOKUP($BC112,Programma!$F$3:$Y$1107,20,0),"")</f>
        <v/>
      </c>
    </row>
    <row r="113" spans="1:74" ht="15" customHeight="1">
      <c r="A113" s="33">
        <v>1</v>
      </c>
      <c r="B113" s="173" t="str">
        <f>VLOOKUP(Ruimtestaat[[#This Row],[Code]],Locaties[[Code]:[Locatie]],2,FALSE)</f>
        <v>CCNV</v>
      </c>
      <c r="C113" s="173" t="str">
        <f>VLOOKUP(Ruimtestaat[[#This Row],[Code]],Locaties[[#All],[Code]:[Adres]],4,FALSE)</f>
        <v>Stationslaan 26</v>
      </c>
      <c r="D113" s="173" t="str">
        <f>VLOOKUP(Ruimtestaat[[#This Row],[Code]],Locaties[[#All],[Code]:[Postcode]],5,FALSE)</f>
        <v>3842 LA</v>
      </c>
      <c r="E113" s="173" t="str">
        <f>VLOOKUP(Ruimtestaat[[#This Row],[Code]],Locaties[#All],6,FALSE)</f>
        <v>Harderwijk</v>
      </c>
      <c r="F113" s="21" t="s">
        <v>1627</v>
      </c>
      <c r="G113" s="33" t="s">
        <v>1612</v>
      </c>
      <c r="H113" s="311" t="s">
        <v>1721</v>
      </c>
      <c r="I113" s="312" t="s">
        <v>1785</v>
      </c>
      <c r="J113" s="21">
        <v>10</v>
      </c>
      <c r="K113" s="69" t="str">
        <f>VLOOKUP(Ruimtestaat[[#This Row],[Ruimte code]],Ruimtegroepen[[#All],[Code]:[Ruimte omschrijving]],2,FALSE)</f>
        <v>Trappenhuizen/lift</v>
      </c>
      <c r="L113" s="33" t="s">
        <v>102</v>
      </c>
      <c r="M113" s="312" t="s">
        <v>1805</v>
      </c>
      <c r="N113" s="148">
        <v>111</v>
      </c>
      <c r="O113" s="150"/>
      <c r="P113" s="134" t="str">
        <f>VLOOKUP(Ruimtestaat[[#This Row],[Ruimte code]],Ruimtegroepen[],4,FALSE)</f>
        <v>Ve</v>
      </c>
      <c r="Q113" s="33">
        <v>40</v>
      </c>
      <c r="R113" s="33" t="s">
        <v>2</v>
      </c>
      <c r="S113" s="33">
        <f>IF(Q113&gt;0,IF(RIGHT(Ruimtestaat[[#This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3" s="33">
        <f>IF(S113&gt;0,VLOOKUP($J113,Ruimtegroepen[],3,FALSE)*VLOOKUP($L113,Vloersoorten[],3,FALSE)*VLOOKUP($R113,Frequenties[],3,FALSE)*VLOOKUP($A113,Locaties[],3,FALSE),0)</f>
        <v>0</v>
      </c>
      <c r="U113" s="33">
        <f>Ruimtestaat[[#This Row],[Uitvoeringen werkdagen]]*Ruimtestaat[[#This Row],[Oppervlak (netto)]]</f>
        <v>22200</v>
      </c>
      <c r="V113" s="170">
        <f>IF(T113&gt;0,Ruimtestaat[[#This Row],[Prest. (m2 /jaar) werkdagen]]/Ruimtestaat[[#This Row],[Norm (m2/uur) werkdagen]],0)</f>
        <v>0</v>
      </c>
      <c r="W113" s="171">
        <f>Ruimtestaat[[#This Row],[uren / jaar werkdagen]]*Tariefsopbouw!$E$35</f>
        <v>0</v>
      </c>
      <c r="X113" s="33"/>
      <c r="Y113" s="33">
        <f>IF(Ruimtestaat[[#This Row],[Frequentie weekend]]&gt;0,VALUE(LEFT(X113,1))*Q113,0)</f>
        <v>0</v>
      </c>
      <c r="Z113" s="104">
        <f>IF($Y113&gt;0,VLOOKUP($J113,Ruimtegroepen[],3,FALSE)*VLOOKUP($L113,Vloersoorten[],3,FALSE)*VLOOKUP($X113,Frequenties[],3,FALSE)*VLOOKUP(Ruimtestaat[[#This Row],[Code]],Locaties[],3,FALSE),0)</f>
        <v>0</v>
      </c>
      <c r="AA113" s="104">
        <f>Ruimtestaat[[#This Row],[Uitvoeringen weekend]]*Ruimtestaat[[#This Row],[Oppervlak (netto)]]</f>
        <v>0</v>
      </c>
      <c r="AB113" s="104">
        <f>IF(Z113&gt;0,Ruimtestaat[[#This Row],[Prest. (m2 /jaar) weekend]]/Ruimtestaat[[#This Row],[Norm (m2/uur) weekend]],0)</f>
        <v>0</v>
      </c>
      <c r="AC113" s="171">
        <f>Ruimtestaat[[#This Row],[uren / jaar weekend]]*Tariefsopbouw!$D$40</f>
        <v>0</v>
      </c>
      <c r="AD113" s="170">
        <f>Ruimtestaat[[#This Row],[Prest. (m2 /jaar) weekend]]+Ruimtestaat[[#This Row],[Prest. (m2 /jaar) werkdagen]]</f>
        <v>22200</v>
      </c>
      <c r="AE113" s="170">
        <f>Ruimtestaat[[#This Row],[uren / jaar weekend]]+Ruimtestaat[[#This Row],[uren / jaar werkdagen]]</f>
        <v>0</v>
      </c>
      <c r="AF113" s="76">
        <f>Ruimtestaat[[#This Row],[kosten / jaar weekend]]+Ruimtestaat[[#This Row],[kosten / jaar werkdagen]]</f>
        <v>0</v>
      </c>
      <c r="AG113" s="76"/>
      <c r="AH113" s="272" t="str">
        <f>IF(Ruimtestaat[[#This Row],[Frequentie werkdagen]]="","",_xlfn.CONCAT(Ruimtestaat[[#This Row],[Ruimte code]],"-",Ruimtestaat[[#This Row],[Frequentie werkdagen]]," ",Ruimtestaat[[#This Row],[Vloer code]]))</f>
        <v>10-5w S</v>
      </c>
      <c r="AI113" s="310" t="str">
        <f>_xlfn.IFNA(VLOOKUP($AH113,Programma!$F$3:$G$1107,2,0),"")</f>
        <v>_</v>
      </c>
      <c r="AJ113" s="310" t="str">
        <f>_xlfn.IFNA(VLOOKUP($AH113,Programma!$F$3:$H$1107,3,0),"")</f>
        <v>_</v>
      </c>
      <c r="AK113" s="310" t="str">
        <f>_xlfn.IFNA(VLOOKUP($AH113,Programma!$F$3:$I$1107,4,0),"")</f>
        <v>4w</v>
      </c>
      <c r="AL113" s="310" t="str">
        <f>_xlfn.IFNA(VLOOKUP($AH113,Programma!$F$3:$J$1107,5,0),"")</f>
        <v>1w</v>
      </c>
      <c r="AM113" s="310" t="str">
        <f>_xlfn.IFNA(VLOOKUP($AH113,Programma!$F$3:$K$1107,6,0),"")</f>
        <v>4j</v>
      </c>
      <c r="AN113" s="310" t="str">
        <f>_xlfn.IFNA(VLOOKUP($AH113,Programma!$F$3:$L$1107,7,0),"")</f>
        <v>_</v>
      </c>
      <c r="AO113" s="310" t="str">
        <f>_xlfn.IFNA(VLOOKUP($AH113,Programma!$F$3:$M$1107,8,0),"")</f>
        <v>_</v>
      </c>
      <c r="AP113" s="310" t="str">
        <f>_xlfn.IFNA(VLOOKUP($AH113,Programma!$F$3:$N$1107,9,0),"")</f>
        <v>_</v>
      </c>
      <c r="AQ113" s="310" t="str">
        <f>_xlfn.IFNA(VLOOKUP($AH113,Programma!$F$3:$O$1107,10,0),"")</f>
        <v>5w</v>
      </c>
      <c r="AR113" s="310" t="str">
        <f>_xlfn.IFNA(VLOOKUP($AH113,Programma!$F$3:$P$1107,11,0),"")</f>
        <v>5w</v>
      </c>
      <c r="AS113" s="310" t="str">
        <f>_xlfn.IFNA(VLOOKUP($AH113,Programma!$F$3:$Q$1107,12,0),"")</f>
        <v>1w</v>
      </c>
      <c r="AT113" s="310" t="str">
        <f>_xlfn.IFNA(VLOOKUP($AH113,Programma!$F$3:$R$1107,13,0),"")</f>
        <v>1w</v>
      </c>
      <c r="AU113" s="310" t="str">
        <f>_xlfn.IFNA(VLOOKUP($AH113,Programma!$F$3:$S$1107,14,0),"")</f>
        <v>1m</v>
      </c>
      <c r="AV113" s="310" t="str">
        <f>_xlfn.IFNA(VLOOKUP($AH113,Programma!$F$3:$T$1107,15,0),"")</f>
        <v>2j</v>
      </c>
      <c r="AW113" s="310" t="str">
        <f>_xlfn.IFNA(VLOOKUP($AH113,Programma!$F$3:$U$1107,16,0),"")</f>
        <v>1j</v>
      </c>
      <c r="AX113" s="310" t="str">
        <f>_xlfn.IFNA(VLOOKUP($AH113,Programma!$F$3:$V$1107,17,0),"")</f>
        <v>_</v>
      </c>
      <c r="AY113" s="310" t="str">
        <f>_xlfn.IFNA(VLOOKUP($AH113,Programma!$F$3:$W$1107,18,0),"")</f>
        <v>_</v>
      </c>
      <c r="AZ113" s="310" t="str">
        <f>_xlfn.IFNA(VLOOKUP($AH113,Programma!$F$3:$X$1107,19,0),"")</f>
        <v>_</v>
      </c>
      <c r="BA113" s="310" t="str">
        <f>_xlfn.IFNA(VLOOKUP($AH113,Programma!$F$3:$Y$1107,20,0),"")</f>
        <v>_</v>
      </c>
      <c r="BB113" s="273"/>
      <c r="BC113" s="272" t="str">
        <f>IF(Ruimtestaat[[#This Row],[Frequentie weekend]]="","",_xlfn.CONCAT(Ruimtestaat[[#This Row],[Ruimte code]],"-",Ruimtestaat[[#This Row],[Frequentie weekend]]," ",Ruimtestaat[[#This Row],[Vloer code]]))</f>
        <v/>
      </c>
      <c r="BD113" s="310" t="str">
        <f>_xlfn.IFNA(VLOOKUP($BC113,Programma!$F$3:$G$1107,2,0),"")</f>
        <v/>
      </c>
      <c r="BE113" s="310" t="str">
        <f>_xlfn.IFNA(VLOOKUP($BC113,Programma!$F$3:$H$1107,3,0),"")</f>
        <v/>
      </c>
      <c r="BF113" s="310" t="str">
        <f>_xlfn.IFNA(VLOOKUP($BC113,Programma!$F$3:$I$1107,4,0),"")</f>
        <v/>
      </c>
      <c r="BG113" s="310" t="str">
        <f>_xlfn.IFNA(VLOOKUP($BC113,Programma!$F$3:$J$1107,5,0),"")</f>
        <v/>
      </c>
      <c r="BH113" s="310" t="str">
        <f>_xlfn.IFNA(VLOOKUP($BC113,Programma!$F$3:$K$1107,6,0),"")</f>
        <v/>
      </c>
      <c r="BI113" s="310" t="str">
        <f>_xlfn.IFNA(VLOOKUP($BC113,Programma!$F$3:$L$1107,7,0),"")</f>
        <v/>
      </c>
      <c r="BJ113" s="310" t="str">
        <f>_xlfn.IFNA(VLOOKUP($BC113,Programma!$F$3:$M$1107,8,0),"")</f>
        <v/>
      </c>
      <c r="BK113" s="310" t="str">
        <f>_xlfn.IFNA(VLOOKUP($BC113,Programma!$F$3:$N$1107,9,0),"")</f>
        <v/>
      </c>
      <c r="BL113" s="310" t="str">
        <f>_xlfn.IFNA(VLOOKUP($BC113,Programma!$F$3:$O$1107,10,0),"")</f>
        <v/>
      </c>
      <c r="BM113" s="310" t="str">
        <f>_xlfn.IFNA(VLOOKUP($BC113,Programma!$F$3:$P$1107,11,0),"")</f>
        <v/>
      </c>
      <c r="BN113" s="310" t="str">
        <f>_xlfn.IFNA(VLOOKUP($BC113,Programma!$F$3:$Q$1107,12,0),"")</f>
        <v/>
      </c>
      <c r="BO113" s="310" t="str">
        <f>_xlfn.IFNA(VLOOKUP($BC113,Programma!$F$3:$R$1107,13,0),"")</f>
        <v/>
      </c>
      <c r="BP113" s="310" t="str">
        <f>_xlfn.IFNA(VLOOKUP($BC113,Programma!$F$3:$S$1107,14,0),"")</f>
        <v/>
      </c>
      <c r="BQ113" s="310" t="str">
        <f>_xlfn.IFNA(VLOOKUP($BC113,Programma!$F$3:$T$1107,15,0),"")</f>
        <v/>
      </c>
      <c r="BR113" s="310" t="str">
        <f>_xlfn.IFNA(VLOOKUP($BC113,Programma!$F$3:$U$1107,16,0),"")</f>
        <v/>
      </c>
      <c r="BS113" s="310" t="str">
        <f>_xlfn.IFNA(VLOOKUP($BC113,Programma!$F$3:$V$1107,17,0),"")</f>
        <v/>
      </c>
      <c r="BT113" s="310" t="str">
        <f>_xlfn.IFNA(VLOOKUP($BC113,Programma!$F$3:$W$1107,18,0),"")</f>
        <v/>
      </c>
      <c r="BU113" s="310" t="str">
        <f>_xlfn.IFNA(VLOOKUP($BC113,Programma!$F$3:$X$1107,19,0),"")</f>
        <v/>
      </c>
      <c r="BV113" s="310" t="str">
        <f>_xlfn.IFNA(VLOOKUP($BC113,Programma!$F$3:$Y$1107,20,0),"")</f>
        <v/>
      </c>
    </row>
    <row r="114" spans="1:74" ht="15" customHeight="1">
      <c r="A114" s="33">
        <v>1</v>
      </c>
      <c r="B114" s="173" t="str">
        <f>VLOOKUP(Ruimtestaat[[#This Row],[Code]],Locaties[[Code]:[Locatie]],2,FALSE)</f>
        <v>CCNV</v>
      </c>
      <c r="C114" s="173" t="str">
        <f>VLOOKUP(Ruimtestaat[[#This Row],[Code]],Locaties[[#All],[Code]:[Adres]],4,FALSE)</f>
        <v>Stationslaan 26</v>
      </c>
      <c r="D114" s="173" t="str">
        <f>VLOOKUP(Ruimtestaat[[#This Row],[Code]],Locaties[[#All],[Code]:[Postcode]],5,FALSE)</f>
        <v>3842 LA</v>
      </c>
      <c r="E114" s="173" t="str">
        <f>VLOOKUP(Ruimtestaat[[#This Row],[Code]],Locaties[#All],6,FALSE)</f>
        <v>Harderwijk</v>
      </c>
      <c r="F114" s="21" t="s">
        <v>1627</v>
      </c>
      <c r="G114" s="33" t="s">
        <v>1612</v>
      </c>
      <c r="H114" s="311" t="s">
        <v>1722</v>
      </c>
      <c r="I114" s="312" t="s">
        <v>1785</v>
      </c>
      <c r="J114" s="21">
        <v>10</v>
      </c>
      <c r="K114" s="69" t="str">
        <f>VLOOKUP(Ruimtestaat[[#This Row],[Ruimte code]],Ruimtegroepen[[#All],[Code]:[Ruimte omschrijving]],2,FALSE)</f>
        <v>Trappenhuizen/lift</v>
      </c>
      <c r="L114" s="33" t="s">
        <v>101</v>
      </c>
      <c r="M114" s="312" t="s">
        <v>1804</v>
      </c>
      <c r="N114" s="148">
        <v>128</v>
      </c>
      <c r="O114" s="33"/>
      <c r="P114" s="134" t="str">
        <f>VLOOKUP(Ruimtestaat[[#This Row],[Ruimte code]],Ruimtegroepen[],4,FALSE)</f>
        <v>Ve</v>
      </c>
      <c r="Q114" s="33">
        <v>40</v>
      </c>
      <c r="R114" s="33" t="s">
        <v>2</v>
      </c>
      <c r="S114" s="33">
        <f>IF(Q114&gt;0,IF(RIGHT(Ruimtestaat[[#This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4" s="33">
        <f>IF(S114&gt;0,VLOOKUP($J114,Ruimtegroepen[],3,FALSE)*VLOOKUP($L114,Vloersoorten[],3,FALSE)*VLOOKUP($R114,Frequenties[],3,FALSE)*VLOOKUP($A114,Locaties[],3,FALSE),0)</f>
        <v>0</v>
      </c>
      <c r="U114" s="33">
        <f>Ruimtestaat[[#This Row],[Uitvoeringen werkdagen]]*Ruimtestaat[[#This Row],[Oppervlak (netto)]]</f>
        <v>25600</v>
      </c>
      <c r="V114" s="170">
        <f>IF(T114&gt;0,Ruimtestaat[[#This Row],[Prest. (m2 /jaar) werkdagen]]/Ruimtestaat[[#This Row],[Norm (m2/uur) werkdagen]],0)</f>
        <v>0</v>
      </c>
      <c r="W114" s="171">
        <f>Ruimtestaat[[#This Row],[uren / jaar werkdagen]]*Tariefsopbouw!$E$35</f>
        <v>0</v>
      </c>
      <c r="X114" s="33"/>
      <c r="Y114" s="33">
        <f>IF(Ruimtestaat[[#This Row],[Frequentie weekend]]&gt;0,VALUE(LEFT(X114,1))*Q114,0)</f>
        <v>0</v>
      </c>
      <c r="Z114" s="104">
        <f>IF($Y114&gt;0,VLOOKUP($J114,Ruimtegroepen[],3,FALSE)*VLOOKUP($L114,Vloersoorten[],3,FALSE)*VLOOKUP($X114,Frequenties[],3,FALSE)*VLOOKUP(Ruimtestaat[[#This Row],[Code]],Locaties[],3,FALSE),0)</f>
        <v>0</v>
      </c>
      <c r="AA114" s="104">
        <f>Ruimtestaat[[#This Row],[Uitvoeringen weekend]]*Ruimtestaat[[#This Row],[Oppervlak (netto)]]</f>
        <v>0</v>
      </c>
      <c r="AB114" s="104">
        <f>IF(Z114&gt;0,Ruimtestaat[[#This Row],[Prest. (m2 /jaar) weekend]]/Ruimtestaat[[#This Row],[Norm (m2/uur) weekend]],0)</f>
        <v>0</v>
      </c>
      <c r="AC114" s="171">
        <f>Ruimtestaat[[#This Row],[uren / jaar weekend]]*Tariefsopbouw!$D$40</f>
        <v>0</v>
      </c>
      <c r="AD114" s="170">
        <f>Ruimtestaat[[#This Row],[Prest. (m2 /jaar) weekend]]+Ruimtestaat[[#This Row],[Prest. (m2 /jaar) werkdagen]]</f>
        <v>25600</v>
      </c>
      <c r="AE114" s="170">
        <f>Ruimtestaat[[#This Row],[uren / jaar weekend]]+Ruimtestaat[[#This Row],[uren / jaar werkdagen]]</f>
        <v>0</v>
      </c>
      <c r="AF114" s="76">
        <f>Ruimtestaat[[#This Row],[kosten / jaar weekend]]+Ruimtestaat[[#This Row],[kosten / jaar werkdagen]]</f>
        <v>0</v>
      </c>
      <c r="AG114" s="76"/>
      <c r="AH114" s="272" t="str">
        <f>IF(Ruimtestaat[[#This Row],[Frequentie werkdagen]]="","",_xlfn.CONCAT(Ruimtestaat[[#This Row],[Ruimte code]],"-",Ruimtestaat[[#This Row],[Frequentie werkdagen]]," ",Ruimtestaat[[#This Row],[Vloer code]]))</f>
        <v>10-5w L</v>
      </c>
      <c r="AI114" s="310" t="str">
        <f>_xlfn.IFNA(VLOOKUP($AH114,Programma!$F$3:$G$1107,2,0),"")</f>
        <v>_</v>
      </c>
      <c r="AJ114" s="310" t="str">
        <f>_xlfn.IFNA(VLOOKUP($AH114,Programma!$F$3:$H$1107,3,0),"")</f>
        <v>_</v>
      </c>
      <c r="AK114" s="310" t="str">
        <f>_xlfn.IFNA(VLOOKUP($AH114,Programma!$F$3:$I$1107,4,0),"")</f>
        <v>4w</v>
      </c>
      <c r="AL114" s="310" t="str">
        <f>_xlfn.IFNA(VLOOKUP($AH114,Programma!$F$3:$J$1107,5,0),"")</f>
        <v>1w</v>
      </c>
      <c r="AM114" s="310" t="str">
        <f>_xlfn.IFNA(VLOOKUP($AH114,Programma!$F$3:$K$1107,6,0),"")</f>
        <v>_</v>
      </c>
      <c r="AN114" s="310" t="str">
        <f>_xlfn.IFNA(VLOOKUP($AH114,Programma!$F$3:$L$1107,7,0),"")</f>
        <v>_</v>
      </c>
      <c r="AO114" s="310" t="str">
        <f>_xlfn.IFNA(VLOOKUP($AH114,Programma!$F$3:$M$1107,8,0),"")</f>
        <v>_</v>
      </c>
      <c r="AP114" s="310" t="str">
        <f>_xlfn.IFNA(VLOOKUP($AH114,Programma!$F$3:$N$1107,9,0),"")</f>
        <v>_</v>
      </c>
      <c r="AQ114" s="310" t="str">
        <f>_xlfn.IFNA(VLOOKUP($AH114,Programma!$F$3:$O$1107,10,0),"")</f>
        <v>5w</v>
      </c>
      <c r="AR114" s="310" t="str">
        <f>_xlfn.IFNA(VLOOKUP($AH114,Programma!$F$3:$P$1107,11,0),"")</f>
        <v>5w</v>
      </c>
      <c r="AS114" s="310" t="str">
        <f>_xlfn.IFNA(VLOOKUP($AH114,Programma!$F$3:$Q$1107,12,0),"")</f>
        <v>1w</v>
      </c>
      <c r="AT114" s="310" t="str">
        <f>_xlfn.IFNA(VLOOKUP($AH114,Programma!$F$3:$R$1107,13,0),"")</f>
        <v>1w</v>
      </c>
      <c r="AU114" s="310" t="str">
        <f>_xlfn.IFNA(VLOOKUP($AH114,Programma!$F$3:$S$1107,14,0),"")</f>
        <v>1m</v>
      </c>
      <c r="AV114" s="310" t="str">
        <f>_xlfn.IFNA(VLOOKUP($AH114,Programma!$F$3:$T$1107,15,0),"")</f>
        <v>2j</v>
      </c>
      <c r="AW114" s="310" t="str">
        <f>_xlfn.IFNA(VLOOKUP($AH114,Programma!$F$3:$U$1107,16,0),"")</f>
        <v>1j</v>
      </c>
      <c r="AX114" s="310" t="str">
        <f>_xlfn.IFNA(VLOOKUP($AH114,Programma!$F$3:$V$1107,17,0),"")</f>
        <v>_</v>
      </c>
      <c r="AY114" s="310" t="str">
        <f>_xlfn.IFNA(VLOOKUP($AH114,Programma!$F$3:$W$1107,18,0),"")</f>
        <v>_</v>
      </c>
      <c r="AZ114" s="310" t="str">
        <f>_xlfn.IFNA(VLOOKUP($AH114,Programma!$F$3:$X$1107,19,0),"")</f>
        <v>_</v>
      </c>
      <c r="BA114" s="310" t="str">
        <f>_xlfn.IFNA(VLOOKUP($AH114,Programma!$F$3:$Y$1107,20,0),"")</f>
        <v>_</v>
      </c>
      <c r="BB114" s="273"/>
      <c r="BC114" s="272" t="str">
        <f>IF(Ruimtestaat[[#This Row],[Frequentie weekend]]="","",_xlfn.CONCAT(Ruimtestaat[[#This Row],[Ruimte code]],"-",Ruimtestaat[[#This Row],[Frequentie weekend]]," ",Ruimtestaat[[#This Row],[Vloer code]]))</f>
        <v/>
      </c>
      <c r="BD114" s="310" t="str">
        <f>_xlfn.IFNA(VLOOKUP($BC114,Programma!$F$3:$G$1107,2,0),"")</f>
        <v/>
      </c>
      <c r="BE114" s="310" t="str">
        <f>_xlfn.IFNA(VLOOKUP($BC114,Programma!$F$3:$H$1107,3,0),"")</f>
        <v/>
      </c>
      <c r="BF114" s="310" t="str">
        <f>_xlfn.IFNA(VLOOKUP($BC114,Programma!$F$3:$I$1107,4,0),"")</f>
        <v/>
      </c>
      <c r="BG114" s="310" t="str">
        <f>_xlfn.IFNA(VLOOKUP($BC114,Programma!$F$3:$J$1107,5,0),"")</f>
        <v/>
      </c>
      <c r="BH114" s="310" t="str">
        <f>_xlfn.IFNA(VLOOKUP($BC114,Programma!$F$3:$K$1107,6,0),"")</f>
        <v/>
      </c>
      <c r="BI114" s="310" t="str">
        <f>_xlfn.IFNA(VLOOKUP($BC114,Programma!$F$3:$L$1107,7,0),"")</f>
        <v/>
      </c>
      <c r="BJ114" s="310" t="str">
        <f>_xlfn.IFNA(VLOOKUP($BC114,Programma!$F$3:$M$1107,8,0),"")</f>
        <v/>
      </c>
      <c r="BK114" s="310" t="str">
        <f>_xlfn.IFNA(VLOOKUP($BC114,Programma!$F$3:$N$1107,9,0),"")</f>
        <v/>
      </c>
      <c r="BL114" s="310" t="str">
        <f>_xlfn.IFNA(VLOOKUP($BC114,Programma!$F$3:$O$1107,10,0),"")</f>
        <v/>
      </c>
      <c r="BM114" s="310" t="str">
        <f>_xlfn.IFNA(VLOOKUP($BC114,Programma!$F$3:$P$1107,11,0),"")</f>
        <v/>
      </c>
      <c r="BN114" s="310" t="str">
        <f>_xlfn.IFNA(VLOOKUP($BC114,Programma!$F$3:$Q$1107,12,0),"")</f>
        <v/>
      </c>
      <c r="BO114" s="310" t="str">
        <f>_xlfn.IFNA(VLOOKUP($BC114,Programma!$F$3:$R$1107,13,0),"")</f>
        <v/>
      </c>
      <c r="BP114" s="310" t="str">
        <f>_xlfn.IFNA(VLOOKUP($BC114,Programma!$F$3:$S$1107,14,0),"")</f>
        <v/>
      </c>
      <c r="BQ114" s="310" t="str">
        <f>_xlfn.IFNA(VLOOKUP($BC114,Programma!$F$3:$T$1107,15,0),"")</f>
        <v/>
      </c>
      <c r="BR114" s="310" t="str">
        <f>_xlfn.IFNA(VLOOKUP($BC114,Programma!$F$3:$U$1107,16,0),"")</f>
        <v/>
      </c>
      <c r="BS114" s="310" t="str">
        <f>_xlfn.IFNA(VLOOKUP($BC114,Programma!$F$3:$V$1107,17,0),"")</f>
        <v/>
      </c>
      <c r="BT114" s="310" t="str">
        <f>_xlfn.IFNA(VLOOKUP($BC114,Programma!$F$3:$W$1107,18,0),"")</f>
        <v/>
      </c>
      <c r="BU114" s="310" t="str">
        <f>_xlfn.IFNA(VLOOKUP($BC114,Programma!$F$3:$X$1107,19,0),"")</f>
        <v/>
      </c>
      <c r="BV114" s="310" t="str">
        <f>_xlfn.IFNA(VLOOKUP($BC114,Programma!$F$3:$Y$1107,20,0),"")</f>
        <v/>
      </c>
    </row>
    <row r="115" spans="1:74" ht="15" customHeight="1">
      <c r="A115" s="33">
        <v>1</v>
      </c>
      <c r="B115" s="173" t="str">
        <f>VLOOKUP(Ruimtestaat[[#This Row],[Code]],Locaties[[Code]:[Locatie]],2,FALSE)</f>
        <v>CCNV</v>
      </c>
      <c r="C115" s="173" t="str">
        <f>VLOOKUP(Ruimtestaat[[#This Row],[Code]],Locaties[[#All],[Code]:[Adres]],4,FALSE)</f>
        <v>Stationslaan 26</v>
      </c>
      <c r="D115" s="173" t="str">
        <f>VLOOKUP(Ruimtestaat[[#This Row],[Code]],Locaties[[#All],[Code]:[Postcode]],5,FALSE)</f>
        <v>3842 LA</v>
      </c>
      <c r="E115" s="173" t="str">
        <f>VLOOKUP(Ruimtestaat[[#This Row],[Code]],Locaties[#All],6,FALSE)</f>
        <v>Harderwijk</v>
      </c>
      <c r="F115" s="21" t="s">
        <v>1627</v>
      </c>
      <c r="G115" s="33" t="s">
        <v>1612</v>
      </c>
      <c r="H115" s="313" t="s">
        <v>1723</v>
      </c>
      <c r="I115" s="69" t="s">
        <v>1615</v>
      </c>
      <c r="J115" s="21">
        <v>16</v>
      </c>
      <c r="K115" s="69" t="str">
        <f>VLOOKUP(Ruimtestaat[[#This Row],[Ruimte code]],Ruimtegroepen[[#All],[Code]:[Ruimte omschrijving]],2,FALSE)</f>
        <v>Leslokalen</v>
      </c>
      <c r="L115" s="33" t="s">
        <v>101</v>
      </c>
      <c r="M115" s="312" t="s">
        <v>1804</v>
      </c>
      <c r="N115" s="148">
        <v>45</v>
      </c>
      <c r="O115" s="150"/>
      <c r="P115" s="134" t="str">
        <f>VLOOKUP(Ruimtestaat[[#This Row],[Ruimte code]],Ruimtegroepen[],4,FALSE)</f>
        <v>Le</v>
      </c>
      <c r="Q115" s="33">
        <v>40</v>
      </c>
      <c r="R115" s="33" t="s">
        <v>2</v>
      </c>
      <c r="S115" s="33">
        <f>IF(Q115&gt;0,IF(RIGHT(Ruimtestaat[[#This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5" s="33">
        <f>IF(S115&gt;0,VLOOKUP($J115,Ruimtegroepen[],3,FALSE)*VLOOKUP($L115,Vloersoorten[],3,FALSE)*VLOOKUP($R115,Frequenties[],3,FALSE)*VLOOKUP($A115,Locaties[],3,FALSE),0)</f>
        <v>0</v>
      </c>
      <c r="U115" s="33">
        <f>Ruimtestaat[[#This Row],[Uitvoeringen werkdagen]]*Ruimtestaat[[#This Row],[Oppervlak (netto)]]</f>
        <v>9000</v>
      </c>
      <c r="V115" s="170">
        <f>IF(T115&gt;0,Ruimtestaat[[#This Row],[Prest. (m2 /jaar) werkdagen]]/Ruimtestaat[[#This Row],[Norm (m2/uur) werkdagen]],0)</f>
        <v>0</v>
      </c>
      <c r="W115" s="171">
        <f>Ruimtestaat[[#This Row],[uren / jaar werkdagen]]*Tariefsopbouw!$E$35</f>
        <v>0</v>
      </c>
      <c r="X115" s="33"/>
      <c r="Y115" s="33">
        <f>IF(Ruimtestaat[[#This Row],[Frequentie weekend]]&gt;0,VALUE(LEFT(X115,1))*Q115,0)</f>
        <v>0</v>
      </c>
      <c r="Z115" s="104">
        <f>IF($Y115&gt;0,VLOOKUP($J115,Ruimtegroepen[],3,FALSE)*VLOOKUP($L115,Vloersoorten[],3,FALSE)*VLOOKUP($X115,Frequenties[],3,FALSE)*VLOOKUP(Ruimtestaat[[#This Row],[Code]],Locaties[],3,FALSE),0)</f>
        <v>0</v>
      </c>
      <c r="AA115" s="104">
        <f>Ruimtestaat[[#This Row],[Uitvoeringen weekend]]*Ruimtestaat[[#This Row],[Oppervlak (netto)]]</f>
        <v>0</v>
      </c>
      <c r="AB115" s="104">
        <f>IF(Z115&gt;0,Ruimtestaat[[#This Row],[Prest. (m2 /jaar) weekend]]/Ruimtestaat[[#This Row],[Norm (m2/uur) weekend]],0)</f>
        <v>0</v>
      </c>
      <c r="AC115" s="171">
        <f>Ruimtestaat[[#This Row],[uren / jaar weekend]]*Tariefsopbouw!$D$40</f>
        <v>0</v>
      </c>
      <c r="AD115" s="170">
        <f>Ruimtestaat[[#This Row],[Prest. (m2 /jaar) weekend]]+Ruimtestaat[[#This Row],[Prest. (m2 /jaar) werkdagen]]</f>
        <v>9000</v>
      </c>
      <c r="AE115" s="170">
        <f>Ruimtestaat[[#This Row],[uren / jaar weekend]]+Ruimtestaat[[#This Row],[uren / jaar werkdagen]]</f>
        <v>0</v>
      </c>
      <c r="AF115" s="76">
        <f>Ruimtestaat[[#This Row],[kosten / jaar weekend]]+Ruimtestaat[[#This Row],[kosten / jaar werkdagen]]</f>
        <v>0</v>
      </c>
      <c r="AG115" s="76"/>
      <c r="AH115" s="272" t="str">
        <f>IF(Ruimtestaat[[#This Row],[Frequentie werkdagen]]="","",_xlfn.CONCAT(Ruimtestaat[[#This Row],[Ruimte code]],"-",Ruimtestaat[[#This Row],[Frequentie werkdagen]]," ",Ruimtestaat[[#This Row],[Vloer code]]))</f>
        <v>16-5w L</v>
      </c>
      <c r="AI115" s="310" t="str">
        <f>_xlfn.IFNA(VLOOKUP($AH115,Programma!$F$3:$G$1107,2,0),"")</f>
        <v>_</v>
      </c>
      <c r="AJ115" s="310" t="str">
        <f>_xlfn.IFNA(VLOOKUP($AH115,Programma!$F$3:$H$1107,3,0),"")</f>
        <v>_</v>
      </c>
      <c r="AK115" s="310" t="str">
        <f>_xlfn.IFNA(VLOOKUP($AH115,Programma!$F$3:$I$1107,4,0),"")</f>
        <v>4w</v>
      </c>
      <c r="AL115" s="310" t="str">
        <f>_xlfn.IFNA(VLOOKUP($AH115,Programma!$F$3:$J$1107,5,0),"")</f>
        <v>1w</v>
      </c>
      <c r="AM115" s="310" t="str">
        <f>_xlfn.IFNA(VLOOKUP($AH115,Programma!$F$3:$K$1107,6,0),"")</f>
        <v>_</v>
      </c>
      <c r="AN115" s="310" t="str">
        <f>_xlfn.IFNA(VLOOKUP($AH115,Programma!$F$3:$L$1107,7,0),"")</f>
        <v>_</v>
      </c>
      <c r="AO115" s="310" t="str">
        <f>_xlfn.IFNA(VLOOKUP($AH115,Programma!$F$3:$M$1107,8,0),"")</f>
        <v>_</v>
      </c>
      <c r="AP115" s="310" t="str">
        <f>_xlfn.IFNA(VLOOKUP($AH115,Programma!$F$3:$N$1107,9,0),"")</f>
        <v>_</v>
      </c>
      <c r="AQ115" s="310" t="str">
        <f>_xlfn.IFNA(VLOOKUP($AH115,Programma!$F$3:$O$1107,10,0),"")</f>
        <v>5w</v>
      </c>
      <c r="AR115" s="310" t="str">
        <f>_xlfn.IFNA(VLOOKUP($AH115,Programma!$F$3:$P$1107,11,0),"")</f>
        <v>5w</v>
      </c>
      <c r="AS115" s="310" t="str">
        <f>_xlfn.IFNA(VLOOKUP($AH115,Programma!$F$3:$Q$1107,12,0),"")</f>
        <v>1w</v>
      </c>
      <c r="AT115" s="310" t="str">
        <f>_xlfn.IFNA(VLOOKUP($AH115,Programma!$F$3:$R$1107,13,0),"")</f>
        <v>1w</v>
      </c>
      <c r="AU115" s="310" t="str">
        <f>_xlfn.IFNA(VLOOKUP($AH115,Programma!$F$3:$S$1107,14,0),"")</f>
        <v>1m</v>
      </c>
      <c r="AV115" s="310" t="str">
        <f>_xlfn.IFNA(VLOOKUP($AH115,Programma!$F$3:$T$1107,15,0),"")</f>
        <v>2j</v>
      </c>
      <c r="AW115" s="310" t="str">
        <f>_xlfn.IFNA(VLOOKUP($AH115,Programma!$F$3:$U$1107,16,0),"")</f>
        <v>1j</v>
      </c>
      <c r="AX115" s="310" t="str">
        <f>_xlfn.IFNA(VLOOKUP($AH115,Programma!$F$3:$V$1107,17,0),"")</f>
        <v>_</v>
      </c>
      <c r="AY115" s="310" t="str">
        <f>_xlfn.IFNA(VLOOKUP($AH115,Programma!$F$3:$W$1107,18,0),"")</f>
        <v>_</v>
      </c>
      <c r="AZ115" s="310" t="str">
        <f>_xlfn.IFNA(VLOOKUP($AH115,Programma!$F$3:$X$1107,19,0),"")</f>
        <v>_</v>
      </c>
      <c r="BA115" s="310" t="str">
        <f>_xlfn.IFNA(VLOOKUP($AH115,Programma!$F$3:$Y$1107,20,0),"")</f>
        <v>_</v>
      </c>
      <c r="BB115" s="273"/>
      <c r="BC115" s="272" t="str">
        <f>IF(Ruimtestaat[[#This Row],[Frequentie weekend]]="","",_xlfn.CONCAT(Ruimtestaat[[#This Row],[Ruimte code]],"-",Ruimtestaat[[#This Row],[Frequentie weekend]]," ",Ruimtestaat[[#This Row],[Vloer code]]))</f>
        <v/>
      </c>
      <c r="BD115" s="310" t="str">
        <f>_xlfn.IFNA(VLOOKUP($BC115,Programma!$F$3:$G$1107,2,0),"")</f>
        <v/>
      </c>
      <c r="BE115" s="310" t="str">
        <f>_xlfn.IFNA(VLOOKUP($BC115,Programma!$F$3:$H$1107,3,0),"")</f>
        <v/>
      </c>
      <c r="BF115" s="310" t="str">
        <f>_xlfn.IFNA(VLOOKUP($BC115,Programma!$F$3:$I$1107,4,0),"")</f>
        <v/>
      </c>
      <c r="BG115" s="310" t="str">
        <f>_xlfn.IFNA(VLOOKUP($BC115,Programma!$F$3:$J$1107,5,0),"")</f>
        <v/>
      </c>
      <c r="BH115" s="310" t="str">
        <f>_xlfn.IFNA(VLOOKUP($BC115,Programma!$F$3:$K$1107,6,0),"")</f>
        <v/>
      </c>
      <c r="BI115" s="310" t="str">
        <f>_xlfn.IFNA(VLOOKUP($BC115,Programma!$F$3:$L$1107,7,0),"")</f>
        <v/>
      </c>
      <c r="BJ115" s="310" t="str">
        <f>_xlfn.IFNA(VLOOKUP($BC115,Programma!$F$3:$M$1107,8,0),"")</f>
        <v/>
      </c>
      <c r="BK115" s="310" t="str">
        <f>_xlfn.IFNA(VLOOKUP($BC115,Programma!$F$3:$N$1107,9,0),"")</f>
        <v/>
      </c>
      <c r="BL115" s="310" t="str">
        <f>_xlfn.IFNA(VLOOKUP($BC115,Programma!$F$3:$O$1107,10,0),"")</f>
        <v/>
      </c>
      <c r="BM115" s="310" t="str">
        <f>_xlfn.IFNA(VLOOKUP($BC115,Programma!$F$3:$P$1107,11,0),"")</f>
        <v/>
      </c>
      <c r="BN115" s="310" t="str">
        <f>_xlfn.IFNA(VLOOKUP($BC115,Programma!$F$3:$Q$1107,12,0),"")</f>
        <v/>
      </c>
      <c r="BO115" s="310" t="str">
        <f>_xlfn.IFNA(VLOOKUP($BC115,Programma!$F$3:$R$1107,13,0),"")</f>
        <v/>
      </c>
      <c r="BP115" s="310" t="str">
        <f>_xlfn.IFNA(VLOOKUP($BC115,Programma!$F$3:$S$1107,14,0),"")</f>
        <v/>
      </c>
      <c r="BQ115" s="310" t="str">
        <f>_xlfn.IFNA(VLOOKUP($BC115,Programma!$F$3:$T$1107,15,0),"")</f>
        <v/>
      </c>
      <c r="BR115" s="310" t="str">
        <f>_xlfn.IFNA(VLOOKUP($BC115,Programma!$F$3:$U$1107,16,0),"")</f>
        <v/>
      </c>
      <c r="BS115" s="310" t="str">
        <f>_xlfn.IFNA(VLOOKUP($BC115,Programma!$F$3:$V$1107,17,0),"")</f>
        <v/>
      </c>
      <c r="BT115" s="310" t="str">
        <f>_xlfn.IFNA(VLOOKUP($BC115,Programma!$F$3:$W$1107,18,0),"")</f>
        <v/>
      </c>
      <c r="BU115" s="310" t="str">
        <f>_xlfn.IFNA(VLOOKUP($BC115,Programma!$F$3:$X$1107,19,0),"")</f>
        <v/>
      </c>
      <c r="BV115" s="310" t="str">
        <f>_xlfn.IFNA(VLOOKUP($BC115,Programma!$F$3:$Y$1107,20,0),"")</f>
        <v/>
      </c>
    </row>
    <row r="116" spans="1:74" ht="15" customHeight="1">
      <c r="A116" s="33">
        <v>1</v>
      </c>
      <c r="B116" s="173" t="str">
        <f>VLOOKUP(Ruimtestaat[[#This Row],[Code]],Locaties[[Code]:[Locatie]],2,FALSE)</f>
        <v>CCNV</v>
      </c>
      <c r="C116" s="173" t="str">
        <f>VLOOKUP(Ruimtestaat[[#This Row],[Code]],Locaties[[#All],[Code]:[Adres]],4,FALSE)</f>
        <v>Stationslaan 26</v>
      </c>
      <c r="D116" s="173" t="str">
        <f>VLOOKUP(Ruimtestaat[[#This Row],[Code]],Locaties[[#All],[Code]:[Postcode]],5,FALSE)</f>
        <v>3842 LA</v>
      </c>
      <c r="E116" s="173" t="str">
        <f>VLOOKUP(Ruimtestaat[[#This Row],[Code]],Locaties[#All],6,FALSE)</f>
        <v>Harderwijk</v>
      </c>
      <c r="F116" s="21" t="s">
        <v>1627</v>
      </c>
      <c r="G116" s="33" t="s">
        <v>1612</v>
      </c>
      <c r="H116" s="21" t="s">
        <v>1724</v>
      </c>
      <c r="I116" s="69" t="s">
        <v>1615</v>
      </c>
      <c r="J116" s="21">
        <v>16</v>
      </c>
      <c r="K116" s="69" t="str">
        <f>VLOOKUP(Ruimtestaat[[#This Row],[Ruimte code]],Ruimtegroepen[[#All],[Code]:[Ruimte omschrijving]],2,FALSE)</f>
        <v>Leslokalen</v>
      </c>
      <c r="L116" s="33" t="s">
        <v>101</v>
      </c>
      <c r="M116" s="312" t="s">
        <v>1804</v>
      </c>
      <c r="N116" s="148">
        <v>45</v>
      </c>
      <c r="O116" s="150"/>
      <c r="P116" s="134" t="str">
        <f>VLOOKUP(Ruimtestaat[[#This Row],[Ruimte code]],Ruimtegroepen[],4,FALSE)</f>
        <v>Le</v>
      </c>
      <c r="Q116" s="33">
        <v>40</v>
      </c>
      <c r="R116" s="33" t="s">
        <v>2</v>
      </c>
      <c r="S116" s="33">
        <f>IF(Q116&gt;0,IF(RIGHT(Ruimtestaat[[#This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6" s="33">
        <f>IF(S116&gt;0,VLOOKUP($J116,Ruimtegroepen[],3,FALSE)*VLOOKUP($L116,Vloersoorten[],3,FALSE)*VLOOKUP($R116,Frequenties[],3,FALSE)*VLOOKUP($A116,Locaties[],3,FALSE),0)</f>
        <v>0</v>
      </c>
      <c r="U116" s="33">
        <f>Ruimtestaat[[#This Row],[Uitvoeringen werkdagen]]*Ruimtestaat[[#This Row],[Oppervlak (netto)]]</f>
        <v>9000</v>
      </c>
      <c r="V116" s="170">
        <f>IF(T116&gt;0,Ruimtestaat[[#This Row],[Prest. (m2 /jaar) werkdagen]]/Ruimtestaat[[#This Row],[Norm (m2/uur) werkdagen]],0)</f>
        <v>0</v>
      </c>
      <c r="W116" s="171">
        <f>Ruimtestaat[[#This Row],[uren / jaar werkdagen]]*Tariefsopbouw!$E$35</f>
        <v>0</v>
      </c>
      <c r="X116" s="33"/>
      <c r="Y116" s="33">
        <f>IF(Ruimtestaat[[#This Row],[Frequentie weekend]]&gt;0,VALUE(LEFT(X116,1))*Q116,0)</f>
        <v>0</v>
      </c>
      <c r="Z116" s="104">
        <f>IF($Y116&gt;0,VLOOKUP($J116,Ruimtegroepen[],3,FALSE)*VLOOKUP($L116,Vloersoorten[],3,FALSE)*VLOOKUP($X116,Frequenties[],3,FALSE)*VLOOKUP(Ruimtestaat[[#This Row],[Code]],Locaties[],3,FALSE),0)</f>
        <v>0</v>
      </c>
      <c r="AA116" s="104">
        <f>Ruimtestaat[[#This Row],[Uitvoeringen weekend]]*Ruimtestaat[[#This Row],[Oppervlak (netto)]]</f>
        <v>0</v>
      </c>
      <c r="AB116" s="104">
        <f>IF(Z116&gt;0,Ruimtestaat[[#This Row],[Prest. (m2 /jaar) weekend]]/Ruimtestaat[[#This Row],[Norm (m2/uur) weekend]],0)</f>
        <v>0</v>
      </c>
      <c r="AC116" s="171">
        <f>Ruimtestaat[[#This Row],[uren / jaar weekend]]*Tariefsopbouw!$D$40</f>
        <v>0</v>
      </c>
      <c r="AD116" s="170">
        <f>Ruimtestaat[[#This Row],[Prest. (m2 /jaar) weekend]]+Ruimtestaat[[#This Row],[Prest. (m2 /jaar) werkdagen]]</f>
        <v>9000</v>
      </c>
      <c r="AE116" s="170">
        <f>Ruimtestaat[[#This Row],[uren / jaar weekend]]+Ruimtestaat[[#This Row],[uren / jaar werkdagen]]</f>
        <v>0</v>
      </c>
      <c r="AF116" s="76">
        <f>Ruimtestaat[[#This Row],[kosten / jaar weekend]]+Ruimtestaat[[#This Row],[kosten / jaar werkdagen]]</f>
        <v>0</v>
      </c>
      <c r="AG116" s="76"/>
      <c r="AH116" s="272" t="str">
        <f>IF(Ruimtestaat[[#This Row],[Frequentie werkdagen]]="","",_xlfn.CONCAT(Ruimtestaat[[#This Row],[Ruimte code]],"-",Ruimtestaat[[#This Row],[Frequentie werkdagen]]," ",Ruimtestaat[[#This Row],[Vloer code]]))</f>
        <v>16-5w L</v>
      </c>
      <c r="AI116" s="310" t="str">
        <f>_xlfn.IFNA(VLOOKUP($AH116,Programma!$F$3:$G$1107,2,0),"")</f>
        <v>_</v>
      </c>
      <c r="AJ116" s="310" t="str">
        <f>_xlfn.IFNA(VLOOKUP($AH116,Programma!$F$3:$H$1107,3,0),"")</f>
        <v>_</v>
      </c>
      <c r="AK116" s="310" t="str">
        <f>_xlfn.IFNA(VLOOKUP($AH116,Programma!$F$3:$I$1107,4,0),"")</f>
        <v>4w</v>
      </c>
      <c r="AL116" s="310" t="str">
        <f>_xlfn.IFNA(VLOOKUP($AH116,Programma!$F$3:$J$1107,5,0),"")</f>
        <v>1w</v>
      </c>
      <c r="AM116" s="310" t="str">
        <f>_xlfn.IFNA(VLOOKUP($AH116,Programma!$F$3:$K$1107,6,0),"")</f>
        <v>_</v>
      </c>
      <c r="AN116" s="310" t="str">
        <f>_xlfn.IFNA(VLOOKUP($AH116,Programma!$F$3:$L$1107,7,0),"")</f>
        <v>_</v>
      </c>
      <c r="AO116" s="310" t="str">
        <f>_xlfn.IFNA(VLOOKUP($AH116,Programma!$F$3:$M$1107,8,0),"")</f>
        <v>_</v>
      </c>
      <c r="AP116" s="310" t="str">
        <f>_xlfn.IFNA(VLOOKUP($AH116,Programma!$F$3:$N$1107,9,0),"")</f>
        <v>_</v>
      </c>
      <c r="AQ116" s="310" t="str">
        <f>_xlfn.IFNA(VLOOKUP($AH116,Programma!$F$3:$O$1107,10,0),"")</f>
        <v>5w</v>
      </c>
      <c r="AR116" s="310" t="str">
        <f>_xlfn.IFNA(VLOOKUP($AH116,Programma!$F$3:$P$1107,11,0),"")</f>
        <v>5w</v>
      </c>
      <c r="AS116" s="310" t="str">
        <f>_xlfn.IFNA(VLOOKUP($AH116,Programma!$F$3:$Q$1107,12,0),"")</f>
        <v>1w</v>
      </c>
      <c r="AT116" s="310" t="str">
        <f>_xlfn.IFNA(VLOOKUP($AH116,Programma!$F$3:$R$1107,13,0),"")</f>
        <v>1w</v>
      </c>
      <c r="AU116" s="310" t="str">
        <f>_xlfn.IFNA(VLOOKUP($AH116,Programma!$F$3:$S$1107,14,0),"")</f>
        <v>1m</v>
      </c>
      <c r="AV116" s="310" t="str">
        <f>_xlfn.IFNA(VLOOKUP($AH116,Programma!$F$3:$T$1107,15,0),"")</f>
        <v>2j</v>
      </c>
      <c r="AW116" s="310" t="str">
        <f>_xlfn.IFNA(VLOOKUP($AH116,Programma!$F$3:$U$1107,16,0),"")</f>
        <v>1j</v>
      </c>
      <c r="AX116" s="310" t="str">
        <f>_xlfn.IFNA(VLOOKUP($AH116,Programma!$F$3:$V$1107,17,0),"")</f>
        <v>_</v>
      </c>
      <c r="AY116" s="310" t="str">
        <f>_xlfn.IFNA(VLOOKUP($AH116,Programma!$F$3:$W$1107,18,0),"")</f>
        <v>_</v>
      </c>
      <c r="AZ116" s="310" t="str">
        <f>_xlfn.IFNA(VLOOKUP($AH116,Programma!$F$3:$X$1107,19,0),"")</f>
        <v>_</v>
      </c>
      <c r="BA116" s="310" t="str">
        <f>_xlfn.IFNA(VLOOKUP($AH116,Programma!$F$3:$Y$1107,20,0),"")</f>
        <v>_</v>
      </c>
      <c r="BB116" s="273"/>
      <c r="BC116" s="272" t="str">
        <f>IF(Ruimtestaat[[#This Row],[Frequentie weekend]]="","",_xlfn.CONCAT(Ruimtestaat[[#This Row],[Ruimte code]],"-",Ruimtestaat[[#This Row],[Frequentie weekend]]," ",Ruimtestaat[[#This Row],[Vloer code]]))</f>
        <v/>
      </c>
      <c r="BD116" s="310" t="str">
        <f>_xlfn.IFNA(VLOOKUP($BC116,Programma!$F$3:$G$1107,2,0),"")</f>
        <v/>
      </c>
      <c r="BE116" s="310" t="str">
        <f>_xlfn.IFNA(VLOOKUP($BC116,Programma!$F$3:$H$1107,3,0),"")</f>
        <v/>
      </c>
      <c r="BF116" s="310" t="str">
        <f>_xlfn.IFNA(VLOOKUP($BC116,Programma!$F$3:$I$1107,4,0),"")</f>
        <v/>
      </c>
      <c r="BG116" s="310" t="str">
        <f>_xlfn.IFNA(VLOOKUP($BC116,Programma!$F$3:$J$1107,5,0),"")</f>
        <v/>
      </c>
      <c r="BH116" s="310" t="str">
        <f>_xlfn.IFNA(VLOOKUP($BC116,Programma!$F$3:$K$1107,6,0),"")</f>
        <v/>
      </c>
      <c r="BI116" s="310" t="str">
        <f>_xlfn.IFNA(VLOOKUP($BC116,Programma!$F$3:$L$1107,7,0),"")</f>
        <v/>
      </c>
      <c r="BJ116" s="310" t="str">
        <f>_xlfn.IFNA(VLOOKUP($BC116,Programma!$F$3:$M$1107,8,0),"")</f>
        <v/>
      </c>
      <c r="BK116" s="310" t="str">
        <f>_xlfn.IFNA(VLOOKUP($BC116,Programma!$F$3:$N$1107,9,0),"")</f>
        <v/>
      </c>
      <c r="BL116" s="310" t="str">
        <f>_xlfn.IFNA(VLOOKUP($BC116,Programma!$F$3:$O$1107,10,0),"")</f>
        <v/>
      </c>
      <c r="BM116" s="310" t="str">
        <f>_xlfn.IFNA(VLOOKUP($BC116,Programma!$F$3:$P$1107,11,0),"")</f>
        <v/>
      </c>
      <c r="BN116" s="310" t="str">
        <f>_xlfn.IFNA(VLOOKUP($BC116,Programma!$F$3:$Q$1107,12,0),"")</f>
        <v/>
      </c>
      <c r="BO116" s="310" t="str">
        <f>_xlfn.IFNA(VLOOKUP($BC116,Programma!$F$3:$R$1107,13,0),"")</f>
        <v/>
      </c>
      <c r="BP116" s="310" t="str">
        <f>_xlfn.IFNA(VLOOKUP($BC116,Programma!$F$3:$S$1107,14,0),"")</f>
        <v/>
      </c>
      <c r="BQ116" s="310" t="str">
        <f>_xlfn.IFNA(VLOOKUP($BC116,Programma!$F$3:$T$1107,15,0),"")</f>
        <v/>
      </c>
      <c r="BR116" s="310" t="str">
        <f>_xlfn.IFNA(VLOOKUP($BC116,Programma!$F$3:$U$1107,16,0),"")</f>
        <v/>
      </c>
      <c r="BS116" s="310" t="str">
        <f>_xlfn.IFNA(VLOOKUP($BC116,Programma!$F$3:$V$1107,17,0),"")</f>
        <v/>
      </c>
      <c r="BT116" s="310" t="str">
        <f>_xlfn.IFNA(VLOOKUP($BC116,Programma!$F$3:$W$1107,18,0),"")</f>
        <v/>
      </c>
      <c r="BU116" s="310" t="str">
        <f>_xlfn.IFNA(VLOOKUP($BC116,Programma!$F$3:$X$1107,19,0),"")</f>
        <v/>
      </c>
      <c r="BV116" s="310" t="str">
        <f>_xlfn.IFNA(VLOOKUP($BC116,Programma!$F$3:$Y$1107,20,0),"")</f>
        <v/>
      </c>
    </row>
    <row r="117" spans="1:74" ht="15" customHeight="1">
      <c r="A117" s="33">
        <v>1</v>
      </c>
      <c r="B117" s="173" t="str">
        <f>VLOOKUP(Ruimtestaat[[#This Row],[Code]],Locaties[[Code]:[Locatie]],2,FALSE)</f>
        <v>CCNV</v>
      </c>
      <c r="C117" s="173" t="str">
        <f>VLOOKUP(Ruimtestaat[[#This Row],[Code]],Locaties[[#All],[Code]:[Adres]],4,FALSE)</f>
        <v>Stationslaan 26</v>
      </c>
      <c r="D117" s="173" t="str">
        <f>VLOOKUP(Ruimtestaat[[#This Row],[Code]],Locaties[[#All],[Code]:[Postcode]],5,FALSE)</f>
        <v>3842 LA</v>
      </c>
      <c r="E117" s="173" t="str">
        <f>VLOOKUP(Ruimtestaat[[#This Row],[Code]],Locaties[#All],6,FALSE)</f>
        <v>Harderwijk</v>
      </c>
      <c r="F117" s="21" t="s">
        <v>1627</v>
      </c>
      <c r="G117" s="33" t="s">
        <v>1612</v>
      </c>
      <c r="H117" s="21" t="s">
        <v>1725</v>
      </c>
      <c r="I117" s="69" t="s">
        <v>1615</v>
      </c>
      <c r="J117" s="21">
        <v>16</v>
      </c>
      <c r="K117" s="69" t="str">
        <f>VLOOKUP(Ruimtestaat[[#This Row],[Ruimte code]],Ruimtegroepen[[#All],[Code]:[Ruimte omschrijving]],2,FALSE)</f>
        <v>Leslokalen</v>
      </c>
      <c r="L117" s="33" t="s">
        <v>101</v>
      </c>
      <c r="M117" s="312" t="s">
        <v>1804</v>
      </c>
      <c r="N117" s="148">
        <v>54</v>
      </c>
      <c r="O117" s="33"/>
      <c r="P117" s="134" t="str">
        <f>VLOOKUP(Ruimtestaat[[#This Row],[Ruimte code]],Ruimtegroepen[],4,FALSE)</f>
        <v>Le</v>
      </c>
      <c r="Q117" s="33">
        <v>40</v>
      </c>
      <c r="R117" s="33" t="s">
        <v>2</v>
      </c>
      <c r="S117" s="33">
        <f>IF(Q117&gt;0,IF(RIGHT(Ruimtestaat[[#This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7" s="33">
        <f>IF(S117&gt;0,VLOOKUP($J117,Ruimtegroepen[],3,FALSE)*VLOOKUP($L117,Vloersoorten[],3,FALSE)*VLOOKUP($R117,Frequenties[],3,FALSE)*VLOOKUP($A117,Locaties[],3,FALSE),0)</f>
        <v>0</v>
      </c>
      <c r="U117" s="33">
        <f>Ruimtestaat[[#This Row],[Uitvoeringen werkdagen]]*Ruimtestaat[[#This Row],[Oppervlak (netto)]]</f>
        <v>10800</v>
      </c>
      <c r="V117" s="170">
        <f>IF(T117&gt;0,Ruimtestaat[[#This Row],[Prest. (m2 /jaar) werkdagen]]/Ruimtestaat[[#This Row],[Norm (m2/uur) werkdagen]],0)</f>
        <v>0</v>
      </c>
      <c r="W117" s="171">
        <f>Ruimtestaat[[#This Row],[uren / jaar werkdagen]]*Tariefsopbouw!$E$35</f>
        <v>0</v>
      </c>
      <c r="X117" s="33"/>
      <c r="Y117" s="33">
        <f>IF(Ruimtestaat[[#This Row],[Frequentie weekend]]&gt;0,VALUE(LEFT(X117,1))*Q117,0)</f>
        <v>0</v>
      </c>
      <c r="Z117" s="104">
        <f>IF($Y117&gt;0,VLOOKUP($J117,Ruimtegroepen[],3,FALSE)*VLOOKUP($L117,Vloersoorten[],3,FALSE)*VLOOKUP($X117,Frequenties[],3,FALSE)*VLOOKUP(Ruimtestaat[[#This Row],[Code]],Locaties[],3,FALSE),0)</f>
        <v>0</v>
      </c>
      <c r="AA117" s="104">
        <f>Ruimtestaat[[#This Row],[Uitvoeringen weekend]]*Ruimtestaat[[#This Row],[Oppervlak (netto)]]</f>
        <v>0</v>
      </c>
      <c r="AB117" s="104">
        <f>IF(Z117&gt;0,Ruimtestaat[[#This Row],[Prest. (m2 /jaar) weekend]]/Ruimtestaat[[#This Row],[Norm (m2/uur) weekend]],0)</f>
        <v>0</v>
      </c>
      <c r="AC117" s="171">
        <f>Ruimtestaat[[#This Row],[uren / jaar weekend]]*Tariefsopbouw!$D$40</f>
        <v>0</v>
      </c>
      <c r="AD117" s="170">
        <f>Ruimtestaat[[#This Row],[Prest. (m2 /jaar) weekend]]+Ruimtestaat[[#This Row],[Prest. (m2 /jaar) werkdagen]]</f>
        <v>10800</v>
      </c>
      <c r="AE117" s="170">
        <f>Ruimtestaat[[#This Row],[uren / jaar weekend]]+Ruimtestaat[[#This Row],[uren / jaar werkdagen]]</f>
        <v>0</v>
      </c>
      <c r="AF117" s="76">
        <f>Ruimtestaat[[#This Row],[kosten / jaar weekend]]+Ruimtestaat[[#This Row],[kosten / jaar werkdagen]]</f>
        <v>0</v>
      </c>
      <c r="AG117" s="76"/>
      <c r="AH117" s="272" t="str">
        <f>IF(Ruimtestaat[[#This Row],[Frequentie werkdagen]]="","",_xlfn.CONCAT(Ruimtestaat[[#This Row],[Ruimte code]],"-",Ruimtestaat[[#This Row],[Frequentie werkdagen]]," ",Ruimtestaat[[#This Row],[Vloer code]]))</f>
        <v>16-5w L</v>
      </c>
      <c r="AI117" s="310" t="str">
        <f>_xlfn.IFNA(VLOOKUP($AH117,Programma!$F$3:$G$1107,2,0),"")</f>
        <v>_</v>
      </c>
      <c r="AJ117" s="310" t="str">
        <f>_xlfn.IFNA(VLOOKUP($AH117,Programma!$F$3:$H$1107,3,0),"")</f>
        <v>_</v>
      </c>
      <c r="AK117" s="310" t="str">
        <f>_xlfn.IFNA(VLOOKUP($AH117,Programma!$F$3:$I$1107,4,0),"")</f>
        <v>4w</v>
      </c>
      <c r="AL117" s="310" t="str">
        <f>_xlfn.IFNA(VLOOKUP($AH117,Programma!$F$3:$J$1107,5,0),"")</f>
        <v>1w</v>
      </c>
      <c r="AM117" s="310" t="str">
        <f>_xlfn.IFNA(VLOOKUP($AH117,Programma!$F$3:$K$1107,6,0),"")</f>
        <v>_</v>
      </c>
      <c r="AN117" s="310" t="str">
        <f>_xlfn.IFNA(VLOOKUP($AH117,Programma!$F$3:$L$1107,7,0),"")</f>
        <v>_</v>
      </c>
      <c r="AO117" s="310" t="str">
        <f>_xlfn.IFNA(VLOOKUP($AH117,Programma!$F$3:$M$1107,8,0),"")</f>
        <v>_</v>
      </c>
      <c r="AP117" s="310" t="str">
        <f>_xlfn.IFNA(VLOOKUP($AH117,Programma!$F$3:$N$1107,9,0),"")</f>
        <v>_</v>
      </c>
      <c r="AQ117" s="310" t="str">
        <f>_xlfn.IFNA(VLOOKUP($AH117,Programma!$F$3:$O$1107,10,0),"")</f>
        <v>5w</v>
      </c>
      <c r="AR117" s="310" t="str">
        <f>_xlfn.IFNA(VLOOKUP($AH117,Programma!$F$3:$P$1107,11,0),"")</f>
        <v>5w</v>
      </c>
      <c r="AS117" s="310" t="str">
        <f>_xlfn.IFNA(VLOOKUP($AH117,Programma!$F$3:$Q$1107,12,0),"")</f>
        <v>1w</v>
      </c>
      <c r="AT117" s="310" t="str">
        <f>_xlfn.IFNA(VLOOKUP($AH117,Programma!$F$3:$R$1107,13,0),"")</f>
        <v>1w</v>
      </c>
      <c r="AU117" s="310" t="str">
        <f>_xlfn.IFNA(VLOOKUP($AH117,Programma!$F$3:$S$1107,14,0),"")</f>
        <v>1m</v>
      </c>
      <c r="AV117" s="310" t="str">
        <f>_xlfn.IFNA(VLOOKUP($AH117,Programma!$F$3:$T$1107,15,0),"")</f>
        <v>2j</v>
      </c>
      <c r="AW117" s="310" t="str">
        <f>_xlfn.IFNA(VLOOKUP($AH117,Programma!$F$3:$U$1107,16,0),"")</f>
        <v>1j</v>
      </c>
      <c r="AX117" s="310" t="str">
        <f>_xlfn.IFNA(VLOOKUP($AH117,Programma!$F$3:$V$1107,17,0),"")</f>
        <v>_</v>
      </c>
      <c r="AY117" s="310" t="str">
        <f>_xlfn.IFNA(VLOOKUP($AH117,Programma!$F$3:$W$1107,18,0),"")</f>
        <v>_</v>
      </c>
      <c r="AZ117" s="310" t="str">
        <f>_xlfn.IFNA(VLOOKUP($AH117,Programma!$F$3:$X$1107,19,0),"")</f>
        <v>_</v>
      </c>
      <c r="BA117" s="310" t="str">
        <f>_xlfn.IFNA(VLOOKUP($AH117,Programma!$F$3:$Y$1107,20,0),"")</f>
        <v>_</v>
      </c>
      <c r="BB117" s="273"/>
      <c r="BC117" s="272" t="str">
        <f>IF(Ruimtestaat[[#This Row],[Frequentie weekend]]="","",_xlfn.CONCAT(Ruimtestaat[[#This Row],[Ruimte code]],"-",Ruimtestaat[[#This Row],[Frequentie weekend]]," ",Ruimtestaat[[#This Row],[Vloer code]]))</f>
        <v/>
      </c>
      <c r="BD117" s="310" t="str">
        <f>_xlfn.IFNA(VLOOKUP($BC117,Programma!$F$3:$G$1107,2,0),"")</f>
        <v/>
      </c>
      <c r="BE117" s="310" t="str">
        <f>_xlfn.IFNA(VLOOKUP($BC117,Programma!$F$3:$H$1107,3,0),"")</f>
        <v/>
      </c>
      <c r="BF117" s="310" t="str">
        <f>_xlfn.IFNA(VLOOKUP($BC117,Programma!$F$3:$I$1107,4,0),"")</f>
        <v/>
      </c>
      <c r="BG117" s="310" t="str">
        <f>_xlfn.IFNA(VLOOKUP($BC117,Programma!$F$3:$J$1107,5,0),"")</f>
        <v/>
      </c>
      <c r="BH117" s="310" t="str">
        <f>_xlfn.IFNA(VLOOKUP($BC117,Programma!$F$3:$K$1107,6,0),"")</f>
        <v/>
      </c>
      <c r="BI117" s="310" t="str">
        <f>_xlfn.IFNA(VLOOKUP($BC117,Programma!$F$3:$L$1107,7,0),"")</f>
        <v/>
      </c>
      <c r="BJ117" s="310" t="str">
        <f>_xlfn.IFNA(VLOOKUP($BC117,Programma!$F$3:$M$1107,8,0),"")</f>
        <v/>
      </c>
      <c r="BK117" s="310" t="str">
        <f>_xlfn.IFNA(VLOOKUP($BC117,Programma!$F$3:$N$1107,9,0),"")</f>
        <v/>
      </c>
      <c r="BL117" s="310" t="str">
        <f>_xlfn.IFNA(VLOOKUP($BC117,Programma!$F$3:$O$1107,10,0),"")</f>
        <v/>
      </c>
      <c r="BM117" s="310" t="str">
        <f>_xlfn.IFNA(VLOOKUP($BC117,Programma!$F$3:$P$1107,11,0),"")</f>
        <v/>
      </c>
      <c r="BN117" s="310" t="str">
        <f>_xlfn.IFNA(VLOOKUP($BC117,Programma!$F$3:$Q$1107,12,0),"")</f>
        <v/>
      </c>
      <c r="BO117" s="310" t="str">
        <f>_xlfn.IFNA(VLOOKUP($BC117,Programma!$F$3:$R$1107,13,0),"")</f>
        <v/>
      </c>
      <c r="BP117" s="310" t="str">
        <f>_xlfn.IFNA(VLOOKUP($BC117,Programma!$F$3:$S$1107,14,0),"")</f>
        <v/>
      </c>
      <c r="BQ117" s="310" t="str">
        <f>_xlfn.IFNA(VLOOKUP($BC117,Programma!$F$3:$T$1107,15,0),"")</f>
        <v/>
      </c>
      <c r="BR117" s="310" t="str">
        <f>_xlfn.IFNA(VLOOKUP($BC117,Programma!$F$3:$U$1107,16,0),"")</f>
        <v/>
      </c>
      <c r="BS117" s="310" t="str">
        <f>_xlfn.IFNA(VLOOKUP($BC117,Programma!$F$3:$V$1107,17,0),"")</f>
        <v/>
      </c>
      <c r="BT117" s="310" t="str">
        <f>_xlfn.IFNA(VLOOKUP($BC117,Programma!$F$3:$W$1107,18,0),"")</f>
        <v/>
      </c>
      <c r="BU117" s="310" t="str">
        <f>_xlfn.IFNA(VLOOKUP($BC117,Programma!$F$3:$X$1107,19,0),"")</f>
        <v/>
      </c>
      <c r="BV117" s="310" t="str">
        <f>_xlfn.IFNA(VLOOKUP($BC117,Programma!$F$3:$Y$1107,20,0),"")</f>
        <v/>
      </c>
    </row>
    <row r="118" spans="1:74" ht="15" customHeight="1">
      <c r="A118" s="33">
        <v>1</v>
      </c>
      <c r="B118" s="173" t="str">
        <f>VLOOKUP(Ruimtestaat[[#This Row],[Code]],Locaties[[Code]:[Locatie]],2,FALSE)</f>
        <v>CCNV</v>
      </c>
      <c r="C118" s="173" t="str">
        <f>VLOOKUP(Ruimtestaat[[#This Row],[Code]],Locaties[[#All],[Code]:[Adres]],4,FALSE)</f>
        <v>Stationslaan 26</v>
      </c>
      <c r="D118" s="173" t="str">
        <f>VLOOKUP(Ruimtestaat[[#This Row],[Code]],Locaties[[#All],[Code]:[Postcode]],5,FALSE)</f>
        <v>3842 LA</v>
      </c>
      <c r="E118" s="173" t="str">
        <f>VLOOKUP(Ruimtestaat[[#This Row],[Code]],Locaties[#All],6,FALSE)</f>
        <v>Harderwijk</v>
      </c>
      <c r="F118" s="21" t="s">
        <v>1627</v>
      </c>
      <c r="G118" s="33" t="s">
        <v>1612</v>
      </c>
      <c r="H118" s="21" t="s">
        <v>1726</v>
      </c>
      <c r="I118" s="69" t="s">
        <v>1615</v>
      </c>
      <c r="J118" s="21">
        <v>16</v>
      </c>
      <c r="K118" s="69" t="str">
        <f>VLOOKUP(Ruimtestaat[[#This Row],[Ruimte code]],Ruimtegroepen[[#All],[Code]:[Ruimte omschrijving]],2,FALSE)</f>
        <v>Leslokalen</v>
      </c>
      <c r="L118" s="33" t="s">
        <v>101</v>
      </c>
      <c r="M118" s="312" t="s">
        <v>1804</v>
      </c>
      <c r="N118" s="148">
        <v>140</v>
      </c>
      <c r="O118" s="150"/>
      <c r="P118" s="134" t="str">
        <f>VLOOKUP(Ruimtestaat[[#This Row],[Ruimte code]],Ruimtegroepen[],4,FALSE)</f>
        <v>Le</v>
      </c>
      <c r="Q118" s="33">
        <v>40</v>
      </c>
      <c r="R118" s="33" t="s">
        <v>2</v>
      </c>
      <c r="S118" s="33">
        <f>IF(Q118&gt;0,IF(RIGHT(Ruimtestaat[[#This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8" s="33">
        <f>IF(S118&gt;0,VLOOKUP($J118,Ruimtegroepen[],3,FALSE)*VLOOKUP($L118,Vloersoorten[],3,FALSE)*VLOOKUP($R118,Frequenties[],3,FALSE)*VLOOKUP($A118,Locaties[],3,FALSE),0)</f>
        <v>0</v>
      </c>
      <c r="U118" s="33">
        <f>Ruimtestaat[[#This Row],[Uitvoeringen werkdagen]]*Ruimtestaat[[#This Row],[Oppervlak (netto)]]</f>
        <v>28000</v>
      </c>
      <c r="V118" s="170">
        <f>IF(T118&gt;0,Ruimtestaat[[#This Row],[Prest. (m2 /jaar) werkdagen]]/Ruimtestaat[[#This Row],[Norm (m2/uur) werkdagen]],0)</f>
        <v>0</v>
      </c>
      <c r="W118" s="171">
        <f>Ruimtestaat[[#This Row],[uren / jaar werkdagen]]*Tariefsopbouw!$E$35</f>
        <v>0</v>
      </c>
      <c r="X118" s="33"/>
      <c r="Y118" s="33">
        <f>IF(Ruimtestaat[[#This Row],[Frequentie weekend]]&gt;0,VALUE(LEFT(X118,1))*Q118,0)</f>
        <v>0</v>
      </c>
      <c r="Z118" s="104">
        <f>IF($Y118&gt;0,VLOOKUP($J118,Ruimtegroepen[],3,FALSE)*VLOOKUP($L118,Vloersoorten[],3,FALSE)*VLOOKUP($X118,Frequenties[],3,FALSE)*VLOOKUP(Ruimtestaat[[#This Row],[Code]],Locaties[],3,FALSE),0)</f>
        <v>0</v>
      </c>
      <c r="AA118" s="104">
        <f>Ruimtestaat[[#This Row],[Uitvoeringen weekend]]*Ruimtestaat[[#This Row],[Oppervlak (netto)]]</f>
        <v>0</v>
      </c>
      <c r="AB118" s="104">
        <f>IF(Z118&gt;0,Ruimtestaat[[#This Row],[Prest. (m2 /jaar) weekend]]/Ruimtestaat[[#This Row],[Norm (m2/uur) weekend]],0)</f>
        <v>0</v>
      </c>
      <c r="AC118" s="171">
        <f>Ruimtestaat[[#This Row],[uren / jaar weekend]]*Tariefsopbouw!$D$40</f>
        <v>0</v>
      </c>
      <c r="AD118" s="170">
        <f>Ruimtestaat[[#This Row],[Prest. (m2 /jaar) weekend]]+Ruimtestaat[[#This Row],[Prest. (m2 /jaar) werkdagen]]</f>
        <v>28000</v>
      </c>
      <c r="AE118" s="170">
        <f>Ruimtestaat[[#This Row],[uren / jaar weekend]]+Ruimtestaat[[#This Row],[uren / jaar werkdagen]]</f>
        <v>0</v>
      </c>
      <c r="AF118" s="76">
        <f>Ruimtestaat[[#This Row],[kosten / jaar weekend]]+Ruimtestaat[[#This Row],[kosten / jaar werkdagen]]</f>
        <v>0</v>
      </c>
      <c r="AG118" s="76"/>
      <c r="AH118" s="272" t="str">
        <f>IF(Ruimtestaat[[#This Row],[Frequentie werkdagen]]="","",_xlfn.CONCAT(Ruimtestaat[[#This Row],[Ruimte code]],"-",Ruimtestaat[[#This Row],[Frequentie werkdagen]]," ",Ruimtestaat[[#This Row],[Vloer code]]))</f>
        <v>16-5w L</v>
      </c>
      <c r="AI118" s="310" t="str">
        <f>_xlfn.IFNA(VLOOKUP($AH118,Programma!$F$3:$G$1107,2,0),"")</f>
        <v>_</v>
      </c>
      <c r="AJ118" s="310" t="str">
        <f>_xlfn.IFNA(VLOOKUP($AH118,Programma!$F$3:$H$1107,3,0),"")</f>
        <v>_</v>
      </c>
      <c r="AK118" s="310" t="str">
        <f>_xlfn.IFNA(VLOOKUP($AH118,Programma!$F$3:$I$1107,4,0),"")</f>
        <v>4w</v>
      </c>
      <c r="AL118" s="310" t="str">
        <f>_xlfn.IFNA(VLOOKUP($AH118,Programma!$F$3:$J$1107,5,0),"")</f>
        <v>1w</v>
      </c>
      <c r="AM118" s="310" t="str">
        <f>_xlfn.IFNA(VLOOKUP($AH118,Programma!$F$3:$K$1107,6,0),"")</f>
        <v>_</v>
      </c>
      <c r="AN118" s="310" t="str">
        <f>_xlfn.IFNA(VLOOKUP($AH118,Programma!$F$3:$L$1107,7,0),"")</f>
        <v>_</v>
      </c>
      <c r="AO118" s="310" t="str">
        <f>_xlfn.IFNA(VLOOKUP($AH118,Programma!$F$3:$M$1107,8,0),"")</f>
        <v>_</v>
      </c>
      <c r="AP118" s="310" t="str">
        <f>_xlfn.IFNA(VLOOKUP($AH118,Programma!$F$3:$N$1107,9,0),"")</f>
        <v>_</v>
      </c>
      <c r="AQ118" s="310" t="str">
        <f>_xlfn.IFNA(VLOOKUP($AH118,Programma!$F$3:$O$1107,10,0),"")</f>
        <v>5w</v>
      </c>
      <c r="AR118" s="310" t="str">
        <f>_xlfn.IFNA(VLOOKUP($AH118,Programma!$F$3:$P$1107,11,0),"")</f>
        <v>5w</v>
      </c>
      <c r="AS118" s="310" t="str">
        <f>_xlfn.IFNA(VLOOKUP($AH118,Programma!$F$3:$Q$1107,12,0),"")</f>
        <v>1w</v>
      </c>
      <c r="AT118" s="310" t="str">
        <f>_xlfn.IFNA(VLOOKUP($AH118,Programma!$F$3:$R$1107,13,0),"")</f>
        <v>1w</v>
      </c>
      <c r="AU118" s="310" t="str">
        <f>_xlfn.IFNA(VLOOKUP($AH118,Programma!$F$3:$S$1107,14,0),"")</f>
        <v>1m</v>
      </c>
      <c r="AV118" s="310" t="str">
        <f>_xlfn.IFNA(VLOOKUP($AH118,Programma!$F$3:$T$1107,15,0),"")</f>
        <v>2j</v>
      </c>
      <c r="AW118" s="310" t="str">
        <f>_xlfn.IFNA(VLOOKUP($AH118,Programma!$F$3:$U$1107,16,0),"")</f>
        <v>1j</v>
      </c>
      <c r="AX118" s="310" t="str">
        <f>_xlfn.IFNA(VLOOKUP($AH118,Programma!$F$3:$V$1107,17,0),"")</f>
        <v>_</v>
      </c>
      <c r="AY118" s="310" t="str">
        <f>_xlfn.IFNA(VLOOKUP($AH118,Programma!$F$3:$W$1107,18,0),"")</f>
        <v>_</v>
      </c>
      <c r="AZ118" s="310" t="str">
        <f>_xlfn.IFNA(VLOOKUP($AH118,Programma!$F$3:$X$1107,19,0),"")</f>
        <v>_</v>
      </c>
      <c r="BA118" s="310" t="str">
        <f>_xlfn.IFNA(VLOOKUP($AH118,Programma!$F$3:$Y$1107,20,0),"")</f>
        <v>_</v>
      </c>
      <c r="BB118" s="273"/>
      <c r="BC118" s="272" t="str">
        <f>IF(Ruimtestaat[[#This Row],[Frequentie weekend]]="","",_xlfn.CONCAT(Ruimtestaat[[#This Row],[Ruimte code]],"-",Ruimtestaat[[#This Row],[Frequentie weekend]]," ",Ruimtestaat[[#This Row],[Vloer code]]))</f>
        <v/>
      </c>
      <c r="BD118" s="310" t="str">
        <f>_xlfn.IFNA(VLOOKUP($BC118,Programma!$F$3:$G$1107,2,0),"")</f>
        <v/>
      </c>
      <c r="BE118" s="310" t="str">
        <f>_xlfn.IFNA(VLOOKUP($BC118,Programma!$F$3:$H$1107,3,0),"")</f>
        <v/>
      </c>
      <c r="BF118" s="310" t="str">
        <f>_xlfn.IFNA(VLOOKUP($BC118,Programma!$F$3:$I$1107,4,0),"")</f>
        <v/>
      </c>
      <c r="BG118" s="310" t="str">
        <f>_xlfn.IFNA(VLOOKUP($BC118,Programma!$F$3:$J$1107,5,0),"")</f>
        <v/>
      </c>
      <c r="BH118" s="310" t="str">
        <f>_xlfn.IFNA(VLOOKUP($BC118,Programma!$F$3:$K$1107,6,0),"")</f>
        <v/>
      </c>
      <c r="BI118" s="310" t="str">
        <f>_xlfn.IFNA(VLOOKUP($BC118,Programma!$F$3:$L$1107,7,0),"")</f>
        <v/>
      </c>
      <c r="BJ118" s="310" t="str">
        <f>_xlfn.IFNA(VLOOKUP($BC118,Programma!$F$3:$M$1107,8,0),"")</f>
        <v/>
      </c>
      <c r="BK118" s="310" t="str">
        <f>_xlfn.IFNA(VLOOKUP($BC118,Programma!$F$3:$N$1107,9,0),"")</f>
        <v/>
      </c>
      <c r="BL118" s="310" t="str">
        <f>_xlfn.IFNA(VLOOKUP($BC118,Programma!$F$3:$O$1107,10,0),"")</f>
        <v/>
      </c>
      <c r="BM118" s="310" t="str">
        <f>_xlfn.IFNA(VLOOKUP($BC118,Programma!$F$3:$P$1107,11,0),"")</f>
        <v/>
      </c>
      <c r="BN118" s="310" t="str">
        <f>_xlfn.IFNA(VLOOKUP($BC118,Programma!$F$3:$Q$1107,12,0),"")</f>
        <v/>
      </c>
      <c r="BO118" s="310" t="str">
        <f>_xlfn.IFNA(VLOOKUP($BC118,Programma!$F$3:$R$1107,13,0),"")</f>
        <v/>
      </c>
      <c r="BP118" s="310" t="str">
        <f>_xlfn.IFNA(VLOOKUP($BC118,Programma!$F$3:$S$1107,14,0),"")</f>
        <v/>
      </c>
      <c r="BQ118" s="310" t="str">
        <f>_xlfn.IFNA(VLOOKUP($BC118,Programma!$F$3:$T$1107,15,0),"")</f>
        <v/>
      </c>
      <c r="BR118" s="310" t="str">
        <f>_xlfn.IFNA(VLOOKUP($BC118,Programma!$F$3:$U$1107,16,0),"")</f>
        <v/>
      </c>
      <c r="BS118" s="310" t="str">
        <f>_xlfn.IFNA(VLOOKUP($BC118,Programma!$F$3:$V$1107,17,0),"")</f>
        <v/>
      </c>
      <c r="BT118" s="310" t="str">
        <f>_xlfn.IFNA(VLOOKUP($BC118,Programma!$F$3:$W$1107,18,0),"")</f>
        <v/>
      </c>
      <c r="BU118" s="310" t="str">
        <f>_xlfn.IFNA(VLOOKUP($BC118,Programma!$F$3:$X$1107,19,0),"")</f>
        <v/>
      </c>
      <c r="BV118" s="310" t="str">
        <f>_xlfn.IFNA(VLOOKUP($BC118,Programma!$F$3:$Y$1107,20,0),"")</f>
        <v/>
      </c>
    </row>
    <row r="119" spans="1:74" ht="15" customHeight="1">
      <c r="A119" s="33">
        <v>1</v>
      </c>
      <c r="B119" s="173" t="str">
        <f>VLOOKUP(Ruimtestaat[[#This Row],[Code]],Locaties[[Code]:[Locatie]],2,FALSE)</f>
        <v>CCNV</v>
      </c>
      <c r="C119" s="173" t="str">
        <f>VLOOKUP(Ruimtestaat[[#This Row],[Code]],Locaties[[#All],[Code]:[Adres]],4,FALSE)</f>
        <v>Stationslaan 26</v>
      </c>
      <c r="D119" s="173" t="str">
        <f>VLOOKUP(Ruimtestaat[[#This Row],[Code]],Locaties[[#All],[Code]:[Postcode]],5,FALSE)</f>
        <v>3842 LA</v>
      </c>
      <c r="E119" s="173" t="str">
        <f>VLOOKUP(Ruimtestaat[[#This Row],[Code]],Locaties[#All],6,FALSE)</f>
        <v>Harderwijk</v>
      </c>
      <c r="F119" s="21" t="s">
        <v>1627</v>
      </c>
      <c r="G119" s="33" t="s">
        <v>1612</v>
      </c>
      <c r="I119" s="69" t="s">
        <v>1766</v>
      </c>
      <c r="J119" s="21">
        <v>6</v>
      </c>
      <c r="K119" s="69" t="str">
        <f>VLOOKUP(Ruimtestaat[[#This Row],[Ruimte code]],Ruimtegroepen[[#All],[Code]:[Ruimte omschrijving]],2,FALSE)</f>
        <v>Gangen/hallen</v>
      </c>
      <c r="L119" s="33" t="s">
        <v>101</v>
      </c>
      <c r="M119" s="312" t="s">
        <v>1804</v>
      </c>
      <c r="N119" s="148">
        <v>115</v>
      </c>
      <c r="O119" s="150"/>
      <c r="P119" s="134" t="str">
        <f>VLOOKUP(Ruimtestaat[[#This Row],[Ruimte code]],Ruimtegroepen[],4,FALSE)</f>
        <v>Ve</v>
      </c>
      <c r="Q119" s="33">
        <v>40</v>
      </c>
      <c r="R119" s="33" t="s">
        <v>2</v>
      </c>
      <c r="S119" s="33">
        <f>IF(Q119&gt;0,IF(RIGHT(Ruimtestaat[[#This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9" s="33">
        <f>IF(S119&gt;0,VLOOKUP($J119,Ruimtegroepen[],3,FALSE)*VLOOKUP($L119,Vloersoorten[],3,FALSE)*VLOOKUP($R119,Frequenties[],3,FALSE)*VLOOKUP($A119,Locaties[],3,FALSE),0)</f>
        <v>0</v>
      </c>
      <c r="U119" s="33">
        <f>Ruimtestaat[[#This Row],[Uitvoeringen werkdagen]]*Ruimtestaat[[#This Row],[Oppervlak (netto)]]</f>
        <v>23000</v>
      </c>
      <c r="V119" s="170">
        <f>IF(T119&gt;0,Ruimtestaat[[#This Row],[Prest. (m2 /jaar) werkdagen]]/Ruimtestaat[[#This Row],[Norm (m2/uur) werkdagen]],0)</f>
        <v>0</v>
      </c>
      <c r="W119" s="171">
        <f>Ruimtestaat[[#This Row],[uren / jaar werkdagen]]*Tariefsopbouw!$E$35</f>
        <v>0</v>
      </c>
      <c r="X119" s="33"/>
      <c r="Y119" s="33">
        <f>IF(Ruimtestaat[[#This Row],[Frequentie weekend]]&gt;0,VALUE(LEFT(X119,1))*Q119,0)</f>
        <v>0</v>
      </c>
      <c r="Z119" s="104">
        <f>IF($Y119&gt;0,VLOOKUP($J119,Ruimtegroepen[],3,FALSE)*VLOOKUP($L119,Vloersoorten[],3,FALSE)*VLOOKUP($X119,Frequenties[],3,FALSE)*VLOOKUP(Ruimtestaat[[#This Row],[Code]],Locaties[],3,FALSE),0)</f>
        <v>0</v>
      </c>
      <c r="AA119" s="104">
        <f>Ruimtestaat[[#This Row],[Uitvoeringen weekend]]*Ruimtestaat[[#This Row],[Oppervlak (netto)]]</f>
        <v>0</v>
      </c>
      <c r="AB119" s="104">
        <f>IF(Z119&gt;0,Ruimtestaat[[#This Row],[Prest. (m2 /jaar) weekend]]/Ruimtestaat[[#This Row],[Norm (m2/uur) weekend]],0)</f>
        <v>0</v>
      </c>
      <c r="AC119" s="171">
        <f>Ruimtestaat[[#This Row],[uren / jaar weekend]]*Tariefsopbouw!$D$40</f>
        <v>0</v>
      </c>
      <c r="AD119" s="170">
        <f>Ruimtestaat[[#This Row],[Prest. (m2 /jaar) weekend]]+Ruimtestaat[[#This Row],[Prest. (m2 /jaar) werkdagen]]</f>
        <v>23000</v>
      </c>
      <c r="AE119" s="170">
        <f>Ruimtestaat[[#This Row],[uren / jaar weekend]]+Ruimtestaat[[#This Row],[uren / jaar werkdagen]]</f>
        <v>0</v>
      </c>
      <c r="AF119" s="76">
        <f>Ruimtestaat[[#This Row],[kosten / jaar weekend]]+Ruimtestaat[[#This Row],[kosten / jaar werkdagen]]</f>
        <v>0</v>
      </c>
      <c r="AG119" s="76"/>
      <c r="AH119" s="272" t="str">
        <f>IF(Ruimtestaat[[#This Row],[Frequentie werkdagen]]="","",_xlfn.CONCAT(Ruimtestaat[[#This Row],[Ruimte code]],"-",Ruimtestaat[[#This Row],[Frequentie werkdagen]]," ",Ruimtestaat[[#This Row],[Vloer code]]))</f>
        <v>6-5w L</v>
      </c>
      <c r="AI119" s="310" t="str">
        <f>_xlfn.IFNA(VLOOKUP($AH119,Programma!$F$3:$G$1107,2,0),"")</f>
        <v>_</v>
      </c>
      <c r="AJ119" s="310" t="str">
        <f>_xlfn.IFNA(VLOOKUP($AH119,Programma!$F$3:$H$1107,3,0),"")</f>
        <v>_</v>
      </c>
      <c r="AK119" s="310" t="str">
        <f>_xlfn.IFNA(VLOOKUP($AH119,Programma!$F$3:$I$1107,4,0),"")</f>
        <v>_</v>
      </c>
      <c r="AL119" s="310" t="str">
        <f>_xlfn.IFNA(VLOOKUP($AH119,Programma!$F$3:$J$1107,5,0),"")</f>
        <v>5w</v>
      </c>
      <c r="AM119" s="310" t="str">
        <f>_xlfn.IFNA(VLOOKUP($AH119,Programma!$F$3:$K$1107,6,0),"")</f>
        <v>_</v>
      </c>
      <c r="AN119" s="310" t="str">
        <f>_xlfn.IFNA(VLOOKUP($AH119,Programma!$F$3:$L$1107,7,0),"")</f>
        <v>_</v>
      </c>
      <c r="AO119" s="310" t="str">
        <f>_xlfn.IFNA(VLOOKUP($AH119,Programma!$F$3:$M$1107,8,0),"")</f>
        <v>_</v>
      </c>
      <c r="AP119" s="310" t="str">
        <f>_xlfn.IFNA(VLOOKUP($AH119,Programma!$F$3:$N$1107,9,0),"")</f>
        <v>_</v>
      </c>
      <c r="AQ119" s="310" t="str">
        <f>_xlfn.IFNA(VLOOKUP($AH119,Programma!$F$3:$O$1107,10,0),"")</f>
        <v>5w</v>
      </c>
      <c r="AR119" s="310" t="str">
        <f>_xlfn.IFNA(VLOOKUP($AH119,Programma!$F$3:$P$1107,11,0),"")</f>
        <v>5w</v>
      </c>
      <c r="AS119" s="310" t="str">
        <f>_xlfn.IFNA(VLOOKUP($AH119,Programma!$F$3:$Q$1107,12,0),"")</f>
        <v>1w</v>
      </c>
      <c r="AT119" s="310" t="str">
        <f>_xlfn.IFNA(VLOOKUP($AH119,Programma!$F$3:$R$1107,13,0),"")</f>
        <v>1w</v>
      </c>
      <c r="AU119" s="310" t="str">
        <f>_xlfn.IFNA(VLOOKUP($AH119,Programma!$F$3:$S$1107,14,0),"")</f>
        <v>1m</v>
      </c>
      <c r="AV119" s="310" t="str">
        <f>_xlfn.IFNA(VLOOKUP($AH119,Programma!$F$3:$T$1107,15,0),"")</f>
        <v>2j</v>
      </c>
      <c r="AW119" s="310" t="str">
        <f>_xlfn.IFNA(VLOOKUP($AH119,Programma!$F$3:$U$1107,16,0),"")</f>
        <v>1j</v>
      </c>
      <c r="AX119" s="310" t="str">
        <f>_xlfn.IFNA(VLOOKUP($AH119,Programma!$F$3:$V$1107,17,0),"")</f>
        <v>_</v>
      </c>
      <c r="AY119" s="310" t="str">
        <f>_xlfn.IFNA(VLOOKUP($AH119,Programma!$F$3:$W$1107,18,0),"")</f>
        <v>_</v>
      </c>
      <c r="AZ119" s="310" t="str">
        <f>_xlfn.IFNA(VLOOKUP($AH119,Programma!$F$3:$X$1107,19,0),"")</f>
        <v>_</v>
      </c>
      <c r="BA119" s="310" t="str">
        <f>_xlfn.IFNA(VLOOKUP($AH119,Programma!$F$3:$Y$1107,20,0),"")</f>
        <v>_</v>
      </c>
      <c r="BB119" s="273"/>
      <c r="BC119" s="272" t="str">
        <f>IF(Ruimtestaat[[#This Row],[Frequentie weekend]]="","",_xlfn.CONCAT(Ruimtestaat[[#This Row],[Ruimte code]],"-",Ruimtestaat[[#This Row],[Frequentie weekend]]," ",Ruimtestaat[[#This Row],[Vloer code]]))</f>
        <v/>
      </c>
      <c r="BD119" s="310" t="str">
        <f>_xlfn.IFNA(VLOOKUP($BC119,Programma!$F$3:$G$1107,2,0),"")</f>
        <v/>
      </c>
      <c r="BE119" s="310" t="str">
        <f>_xlfn.IFNA(VLOOKUP($BC119,Programma!$F$3:$H$1107,3,0),"")</f>
        <v/>
      </c>
      <c r="BF119" s="310" t="str">
        <f>_xlfn.IFNA(VLOOKUP($BC119,Programma!$F$3:$I$1107,4,0),"")</f>
        <v/>
      </c>
      <c r="BG119" s="310" t="str">
        <f>_xlfn.IFNA(VLOOKUP($BC119,Programma!$F$3:$J$1107,5,0),"")</f>
        <v/>
      </c>
      <c r="BH119" s="310" t="str">
        <f>_xlfn.IFNA(VLOOKUP($BC119,Programma!$F$3:$K$1107,6,0),"")</f>
        <v/>
      </c>
      <c r="BI119" s="310" t="str">
        <f>_xlfn.IFNA(VLOOKUP($BC119,Programma!$F$3:$L$1107,7,0),"")</f>
        <v/>
      </c>
      <c r="BJ119" s="310" t="str">
        <f>_xlfn.IFNA(VLOOKUP($BC119,Programma!$F$3:$M$1107,8,0),"")</f>
        <v/>
      </c>
      <c r="BK119" s="310" t="str">
        <f>_xlfn.IFNA(VLOOKUP($BC119,Programma!$F$3:$N$1107,9,0),"")</f>
        <v/>
      </c>
      <c r="BL119" s="310" t="str">
        <f>_xlfn.IFNA(VLOOKUP($BC119,Programma!$F$3:$O$1107,10,0),"")</f>
        <v/>
      </c>
      <c r="BM119" s="310" t="str">
        <f>_xlfn.IFNA(VLOOKUP($BC119,Programma!$F$3:$P$1107,11,0),"")</f>
        <v/>
      </c>
      <c r="BN119" s="310" t="str">
        <f>_xlfn.IFNA(VLOOKUP($BC119,Programma!$F$3:$Q$1107,12,0),"")</f>
        <v/>
      </c>
      <c r="BO119" s="310" t="str">
        <f>_xlfn.IFNA(VLOOKUP($BC119,Programma!$F$3:$R$1107,13,0),"")</f>
        <v/>
      </c>
      <c r="BP119" s="310" t="str">
        <f>_xlfn.IFNA(VLOOKUP($BC119,Programma!$F$3:$S$1107,14,0),"")</f>
        <v/>
      </c>
      <c r="BQ119" s="310" t="str">
        <f>_xlfn.IFNA(VLOOKUP($BC119,Programma!$F$3:$T$1107,15,0),"")</f>
        <v/>
      </c>
      <c r="BR119" s="310" t="str">
        <f>_xlfn.IFNA(VLOOKUP($BC119,Programma!$F$3:$U$1107,16,0),"")</f>
        <v/>
      </c>
      <c r="BS119" s="310" t="str">
        <f>_xlfn.IFNA(VLOOKUP($BC119,Programma!$F$3:$V$1107,17,0),"")</f>
        <v/>
      </c>
      <c r="BT119" s="310" t="str">
        <f>_xlfn.IFNA(VLOOKUP($BC119,Programma!$F$3:$W$1107,18,0),"")</f>
        <v/>
      </c>
      <c r="BU119" s="310" t="str">
        <f>_xlfn.IFNA(VLOOKUP($BC119,Programma!$F$3:$X$1107,19,0),"")</f>
        <v/>
      </c>
      <c r="BV119" s="310" t="str">
        <f>_xlfn.IFNA(VLOOKUP($BC119,Programma!$F$3:$Y$1107,20,0),"")</f>
        <v/>
      </c>
    </row>
    <row r="120" spans="1:74" ht="15" customHeight="1">
      <c r="A120" s="33">
        <v>1</v>
      </c>
      <c r="B120" s="173" t="str">
        <f>VLOOKUP(Ruimtestaat[[#This Row],[Code]],Locaties[[Code]:[Locatie]],2,FALSE)</f>
        <v>CCNV</v>
      </c>
      <c r="C120" s="173" t="str">
        <f>VLOOKUP(Ruimtestaat[[#This Row],[Code]],Locaties[[#All],[Code]:[Adres]],4,FALSE)</f>
        <v>Stationslaan 26</v>
      </c>
      <c r="D120" s="173" t="str">
        <f>VLOOKUP(Ruimtestaat[[#This Row],[Code]],Locaties[[#All],[Code]:[Postcode]],5,FALSE)</f>
        <v>3842 LA</v>
      </c>
      <c r="E120" s="173" t="str">
        <f>VLOOKUP(Ruimtestaat[[#This Row],[Code]],Locaties[#All],6,FALSE)</f>
        <v>Harderwijk</v>
      </c>
      <c r="F120" s="21" t="s">
        <v>1627</v>
      </c>
      <c r="G120" s="33" t="s">
        <v>1612</v>
      </c>
      <c r="I120" s="69" t="s">
        <v>1785</v>
      </c>
      <c r="J120" s="21">
        <v>10</v>
      </c>
      <c r="K120" s="69" t="str">
        <f>VLOOKUP(Ruimtestaat[[#This Row],[Ruimte code]],Ruimtegroepen[[#All],[Code]:[Ruimte omschrijving]],2,FALSE)</f>
        <v>Trappenhuizen/lift</v>
      </c>
      <c r="L120" s="33" t="s">
        <v>101</v>
      </c>
      <c r="M120" s="312" t="s">
        <v>1804</v>
      </c>
      <c r="N120" s="148">
        <v>12</v>
      </c>
      <c r="O120" s="33"/>
      <c r="P120" s="134" t="str">
        <f>VLOOKUP(Ruimtestaat[[#This Row],[Ruimte code]],Ruimtegroepen[],4,FALSE)</f>
        <v>Ve</v>
      </c>
      <c r="Q120" s="33">
        <v>40</v>
      </c>
      <c r="R120" s="33" t="s">
        <v>2</v>
      </c>
      <c r="S120" s="33">
        <f>IF(Q120&gt;0,IF(RIGHT(Ruimtestaat[[#This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0" s="33">
        <f>IF(S120&gt;0,VLOOKUP($J120,Ruimtegroepen[],3,FALSE)*VLOOKUP($L120,Vloersoorten[],3,FALSE)*VLOOKUP($R120,Frequenties[],3,FALSE)*VLOOKUP($A120,Locaties[],3,FALSE),0)</f>
        <v>0</v>
      </c>
      <c r="U120" s="33">
        <f>Ruimtestaat[[#This Row],[Uitvoeringen werkdagen]]*Ruimtestaat[[#This Row],[Oppervlak (netto)]]</f>
        <v>2400</v>
      </c>
      <c r="V120" s="170">
        <f>IF(T120&gt;0,Ruimtestaat[[#This Row],[Prest. (m2 /jaar) werkdagen]]/Ruimtestaat[[#This Row],[Norm (m2/uur) werkdagen]],0)</f>
        <v>0</v>
      </c>
      <c r="W120" s="171">
        <f>Ruimtestaat[[#This Row],[uren / jaar werkdagen]]*Tariefsopbouw!$E$35</f>
        <v>0</v>
      </c>
      <c r="X120" s="33"/>
      <c r="Y120" s="33">
        <f>IF(Ruimtestaat[[#This Row],[Frequentie weekend]]&gt;0,VALUE(LEFT(X120,1))*Q120,0)</f>
        <v>0</v>
      </c>
      <c r="Z120" s="104">
        <f>IF($Y120&gt;0,VLOOKUP($J120,Ruimtegroepen[],3,FALSE)*VLOOKUP($L120,Vloersoorten[],3,FALSE)*VLOOKUP($X120,Frequenties[],3,FALSE)*VLOOKUP(Ruimtestaat[[#This Row],[Code]],Locaties[],3,FALSE),0)</f>
        <v>0</v>
      </c>
      <c r="AA120" s="104">
        <f>Ruimtestaat[[#This Row],[Uitvoeringen weekend]]*Ruimtestaat[[#This Row],[Oppervlak (netto)]]</f>
        <v>0</v>
      </c>
      <c r="AB120" s="104">
        <f>IF(Z120&gt;0,Ruimtestaat[[#This Row],[Prest. (m2 /jaar) weekend]]/Ruimtestaat[[#This Row],[Norm (m2/uur) weekend]],0)</f>
        <v>0</v>
      </c>
      <c r="AC120" s="171">
        <f>Ruimtestaat[[#This Row],[uren / jaar weekend]]*Tariefsopbouw!$D$40</f>
        <v>0</v>
      </c>
      <c r="AD120" s="170">
        <f>Ruimtestaat[[#This Row],[Prest. (m2 /jaar) weekend]]+Ruimtestaat[[#This Row],[Prest. (m2 /jaar) werkdagen]]</f>
        <v>2400</v>
      </c>
      <c r="AE120" s="170">
        <f>Ruimtestaat[[#This Row],[uren / jaar weekend]]+Ruimtestaat[[#This Row],[uren / jaar werkdagen]]</f>
        <v>0</v>
      </c>
      <c r="AF120" s="76">
        <f>Ruimtestaat[[#This Row],[kosten / jaar weekend]]+Ruimtestaat[[#This Row],[kosten / jaar werkdagen]]</f>
        <v>0</v>
      </c>
      <c r="AG120" s="76"/>
      <c r="AH120" s="272" t="str">
        <f>IF(Ruimtestaat[[#This Row],[Frequentie werkdagen]]="","",_xlfn.CONCAT(Ruimtestaat[[#This Row],[Ruimte code]],"-",Ruimtestaat[[#This Row],[Frequentie werkdagen]]," ",Ruimtestaat[[#This Row],[Vloer code]]))</f>
        <v>10-5w L</v>
      </c>
      <c r="AI120" s="314" t="str">
        <f>_xlfn.IFNA(VLOOKUP($AH120,Programma!$F$3:$G$1107,2,0),"")</f>
        <v>_</v>
      </c>
      <c r="AJ120" s="314" t="str">
        <f>_xlfn.IFNA(VLOOKUP($AH120,Programma!$F$3:$H$1107,3,0),"")</f>
        <v>_</v>
      </c>
      <c r="AK120" s="314" t="str">
        <f>_xlfn.IFNA(VLOOKUP($AH120,Programma!$F$3:$I$1107,4,0),"")</f>
        <v>4w</v>
      </c>
      <c r="AL120" s="314" t="str">
        <f>_xlfn.IFNA(VLOOKUP($AH120,Programma!$F$3:$J$1107,5,0),"")</f>
        <v>1w</v>
      </c>
      <c r="AM120" s="314" t="str">
        <f>_xlfn.IFNA(VLOOKUP($AH120,Programma!$F$3:$K$1107,6,0),"")</f>
        <v>_</v>
      </c>
      <c r="AN120" s="314" t="str">
        <f>_xlfn.IFNA(VLOOKUP($AH120,Programma!$F$3:$L$1107,7,0),"")</f>
        <v>_</v>
      </c>
      <c r="AO120" s="314" t="str">
        <f>_xlfn.IFNA(VLOOKUP($AH120,Programma!$F$3:$M$1107,8,0),"")</f>
        <v>_</v>
      </c>
      <c r="AP120" s="314" t="str">
        <f>_xlfn.IFNA(VLOOKUP($AH120,Programma!$F$3:$N$1107,9,0),"")</f>
        <v>_</v>
      </c>
      <c r="AQ120" s="314" t="str">
        <f>_xlfn.IFNA(VLOOKUP($AH120,Programma!$F$3:$O$1107,10,0),"")</f>
        <v>5w</v>
      </c>
      <c r="AR120" s="314" t="str">
        <f>_xlfn.IFNA(VLOOKUP($AH120,Programma!$F$3:$P$1107,11,0),"")</f>
        <v>5w</v>
      </c>
      <c r="AS120" s="314" t="str">
        <f>_xlfn.IFNA(VLOOKUP($AH120,Programma!$F$3:$Q$1107,12,0),"")</f>
        <v>1w</v>
      </c>
      <c r="AT120" s="314" t="str">
        <f>_xlfn.IFNA(VLOOKUP($AH120,Programma!$F$3:$R$1107,13,0),"")</f>
        <v>1w</v>
      </c>
      <c r="AU120" s="314" t="str">
        <f>_xlfn.IFNA(VLOOKUP($AH120,Programma!$F$3:$S$1107,14,0),"")</f>
        <v>1m</v>
      </c>
      <c r="AV120" s="314" t="str">
        <f>_xlfn.IFNA(VLOOKUP($AH120,Programma!$F$3:$T$1107,15,0),"")</f>
        <v>2j</v>
      </c>
      <c r="AW120" s="314" t="str">
        <f>_xlfn.IFNA(VLOOKUP($AH120,Programma!$F$3:$U$1107,16,0),"")</f>
        <v>1j</v>
      </c>
      <c r="AX120" s="314" t="str">
        <f>_xlfn.IFNA(VLOOKUP($AH120,Programma!$F$3:$V$1107,17,0),"")</f>
        <v>_</v>
      </c>
      <c r="AY120" s="314" t="str">
        <f>_xlfn.IFNA(VLOOKUP($AH120,Programma!$F$3:$W$1107,18,0),"")</f>
        <v>_</v>
      </c>
      <c r="AZ120" s="314" t="str">
        <f>_xlfn.IFNA(VLOOKUP($AH120,Programma!$F$3:$X$1107,19,0),"")</f>
        <v>_</v>
      </c>
      <c r="BA120" s="314" t="str">
        <f>_xlfn.IFNA(VLOOKUP($AH120,Programma!$F$3:$Y$1107,20,0),"")</f>
        <v>_</v>
      </c>
      <c r="BB120" s="273"/>
      <c r="BC120" s="272" t="str">
        <f>IF(Ruimtestaat[[#This Row],[Frequentie weekend]]="","",_xlfn.CONCAT(Ruimtestaat[[#This Row],[Ruimte code]],"-",Ruimtestaat[[#This Row],[Frequentie weekend]]," ",Ruimtestaat[[#This Row],[Vloer code]]))</f>
        <v/>
      </c>
      <c r="BD120" s="314" t="str">
        <f>_xlfn.IFNA(VLOOKUP($BC120,Programma!$F$3:$G$1107,2,0),"")</f>
        <v/>
      </c>
      <c r="BE120" s="314" t="str">
        <f>_xlfn.IFNA(VLOOKUP($BC120,Programma!$F$3:$H$1107,3,0),"")</f>
        <v/>
      </c>
      <c r="BF120" s="314" t="str">
        <f>_xlfn.IFNA(VLOOKUP($BC120,Programma!$F$3:$I$1107,4,0),"")</f>
        <v/>
      </c>
      <c r="BG120" s="314" t="str">
        <f>_xlfn.IFNA(VLOOKUP($BC120,Programma!$F$3:$J$1107,5,0),"")</f>
        <v/>
      </c>
      <c r="BH120" s="314" t="str">
        <f>_xlfn.IFNA(VLOOKUP($BC120,Programma!$F$3:$K$1107,6,0),"")</f>
        <v/>
      </c>
      <c r="BI120" s="314" t="str">
        <f>_xlfn.IFNA(VLOOKUP($BC120,Programma!$F$3:$L$1107,7,0),"")</f>
        <v/>
      </c>
      <c r="BJ120" s="314" t="str">
        <f>_xlfn.IFNA(VLOOKUP($BC120,Programma!$F$3:$M$1107,8,0),"")</f>
        <v/>
      </c>
      <c r="BK120" s="314" t="str">
        <f>_xlfn.IFNA(VLOOKUP($BC120,Programma!$F$3:$N$1107,9,0),"")</f>
        <v/>
      </c>
      <c r="BL120" s="314" t="str">
        <f>_xlfn.IFNA(VLOOKUP($BC120,Programma!$F$3:$O$1107,10,0),"")</f>
        <v/>
      </c>
      <c r="BM120" s="314" t="str">
        <f>_xlfn.IFNA(VLOOKUP($BC120,Programma!$F$3:$P$1107,11,0),"")</f>
        <v/>
      </c>
      <c r="BN120" s="314" t="str">
        <f>_xlfn.IFNA(VLOOKUP($BC120,Programma!$F$3:$Q$1107,12,0),"")</f>
        <v/>
      </c>
      <c r="BO120" s="314" t="str">
        <f>_xlfn.IFNA(VLOOKUP($BC120,Programma!$F$3:$R$1107,13,0),"")</f>
        <v/>
      </c>
      <c r="BP120" s="314" t="str">
        <f>_xlfn.IFNA(VLOOKUP($BC120,Programma!$F$3:$S$1107,14,0),"")</f>
        <v/>
      </c>
      <c r="BQ120" s="314" t="str">
        <f>_xlfn.IFNA(VLOOKUP($BC120,Programma!$F$3:$T$1107,15,0),"")</f>
        <v/>
      </c>
      <c r="BR120" s="314" t="str">
        <f>_xlfn.IFNA(VLOOKUP($BC120,Programma!$F$3:$U$1107,16,0),"")</f>
        <v/>
      </c>
      <c r="BS120" s="314" t="str">
        <f>_xlfn.IFNA(VLOOKUP($BC120,Programma!$F$3:$V$1107,17,0),"")</f>
        <v/>
      </c>
      <c r="BT120" s="314" t="str">
        <f>_xlfn.IFNA(VLOOKUP($BC120,Programma!$F$3:$W$1107,18,0),"")</f>
        <v/>
      </c>
      <c r="BU120" s="314" t="str">
        <f>_xlfn.IFNA(VLOOKUP($BC120,Programma!$F$3:$X$1107,19,0),"")</f>
        <v/>
      </c>
      <c r="BV120" s="314" t="str">
        <f>_xlfn.IFNA(VLOOKUP($BC120,Programma!$F$3:$Y$1107,20,0),"")</f>
        <v/>
      </c>
    </row>
    <row r="121" spans="1:74" ht="15" customHeight="1">
      <c r="A121" s="33">
        <v>1</v>
      </c>
      <c r="B121" s="173" t="str">
        <f>VLOOKUP(Ruimtestaat[[#This Row],[Code]],Locaties[[Code]:[Locatie]],2,FALSE)</f>
        <v>CCNV</v>
      </c>
      <c r="C121" s="173" t="str">
        <f>VLOOKUP(Ruimtestaat[[#This Row],[Code]],Locaties[[#All],[Code]:[Adres]],4,FALSE)</f>
        <v>Stationslaan 26</v>
      </c>
      <c r="D121" s="173" t="str">
        <f>VLOOKUP(Ruimtestaat[[#This Row],[Code]],Locaties[[#All],[Code]:[Postcode]],5,FALSE)</f>
        <v>3842 LA</v>
      </c>
      <c r="E121" s="173" t="str">
        <f>VLOOKUP(Ruimtestaat[[#This Row],[Code]],Locaties[#All],6,FALSE)</f>
        <v>Harderwijk</v>
      </c>
      <c r="F121" s="21" t="s">
        <v>1627</v>
      </c>
      <c r="G121" s="33" t="s">
        <v>1612</v>
      </c>
      <c r="H121" s="21" t="s">
        <v>1727</v>
      </c>
      <c r="I121" s="69" t="s">
        <v>1783</v>
      </c>
      <c r="J121" s="21">
        <v>2</v>
      </c>
      <c r="K121" s="69" t="str">
        <f>VLOOKUP(Ruimtestaat[[#This Row],[Ruimte code]],Ruimtegroepen[[#All],[Code]:[Ruimte omschrijving]],2,FALSE)</f>
        <v>Kantoren</v>
      </c>
      <c r="L121" s="33" t="s">
        <v>100</v>
      </c>
      <c r="M121" s="312" t="s">
        <v>1803</v>
      </c>
      <c r="N121" s="148">
        <v>20</v>
      </c>
      <c r="O121" s="150"/>
      <c r="P121" s="134" t="str">
        <f>VLOOKUP(Ruimtestaat[[#This Row],[Ruimte code]],Ruimtegroepen[],4,FALSE)</f>
        <v>Bu</v>
      </c>
      <c r="Q121" s="33">
        <v>40</v>
      </c>
      <c r="R121" s="33" t="s">
        <v>15</v>
      </c>
      <c r="S121" s="33">
        <f>IF(Q121&gt;0,IF(RIGHT(Ruimtestaat[[#This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21" s="33">
        <f>IF(S121&gt;0,VLOOKUP($J121,Ruimtegroepen[],3,FALSE)*VLOOKUP($L121,Vloersoorten[],3,FALSE)*VLOOKUP($R121,Frequenties[],3,FALSE)*VLOOKUP($A121,Locaties[],3,FALSE),0)</f>
        <v>0</v>
      </c>
      <c r="U121" s="33">
        <f>Ruimtestaat[[#This Row],[Uitvoeringen werkdagen]]*Ruimtestaat[[#This Row],[Oppervlak (netto)]]</f>
        <v>800</v>
      </c>
      <c r="V121" s="170">
        <f>IF(T121&gt;0,Ruimtestaat[[#This Row],[Prest. (m2 /jaar) werkdagen]]/Ruimtestaat[[#This Row],[Norm (m2/uur) werkdagen]],0)</f>
        <v>0</v>
      </c>
      <c r="W121" s="171">
        <f>Ruimtestaat[[#This Row],[uren / jaar werkdagen]]*Tariefsopbouw!$E$35</f>
        <v>0</v>
      </c>
      <c r="X121" s="33"/>
      <c r="Y121" s="33">
        <f>IF(Ruimtestaat[[#This Row],[Frequentie weekend]]&gt;0,VALUE(LEFT(X121,1))*Q121,0)</f>
        <v>0</v>
      </c>
      <c r="Z121" s="104">
        <f>IF($Y121&gt;0,VLOOKUP($J121,Ruimtegroepen[],3,FALSE)*VLOOKUP($L121,Vloersoorten[],3,FALSE)*VLOOKUP($X121,Frequenties[],3,FALSE)*VLOOKUP(Ruimtestaat[[#This Row],[Code]],Locaties[],3,FALSE),0)</f>
        <v>0</v>
      </c>
      <c r="AA121" s="104">
        <f>Ruimtestaat[[#This Row],[Uitvoeringen weekend]]*Ruimtestaat[[#This Row],[Oppervlak (netto)]]</f>
        <v>0</v>
      </c>
      <c r="AB121" s="104">
        <f>IF(Z121&gt;0,Ruimtestaat[[#This Row],[Prest. (m2 /jaar) weekend]]/Ruimtestaat[[#This Row],[Norm (m2/uur) weekend]],0)</f>
        <v>0</v>
      </c>
      <c r="AC121" s="171">
        <f>Ruimtestaat[[#This Row],[uren / jaar weekend]]*Tariefsopbouw!$D$40</f>
        <v>0</v>
      </c>
      <c r="AD121" s="170">
        <f>Ruimtestaat[[#This Row],[Prest. (m2 /jaar) weekend]]+Ruimtestaat[[#This Row],[Prest. (m2 /jaar) werkdagen]]</f>
        <v>800</v>
      </c>
      <c r="AE121" s="170">
        <f>Ruimtestaat[[#This Row],[uren / jaar weekend]]+Ruimtestaat[[#This Row],[uren / jaar werkdagen]]</f>
        <v>0</v>
      </c>
      <c r="AF121" s="76">
        <f>Ruimtestaat[[#This Row],[kosten / jaar weekend]]+Ruimtestaat[[#This Row],[kosten / jaar werkdagen]]</f>
        <v>0</v>
      </c>
      <c r="AG121" s="76"/>
      <c r="AH121" s="272" t="str">
        <f>IF(Ruimtestaat[[#This Row],[Frequentie werkdagen]]="","",_xlfn.CONCAT(Ruimtestaat[[#This Row],[Ruimte code]],"-",Ruimtestaat[[#This Row],[Frequentie werkdagen]]," ",Ruimtestaat[[#This Row],[Vloer code]]))</f>
        <v>2-1w T</v>
      </c>
      <c r="AI121" s="314" t="str">
        <f>_xlfn.IFNA(VLOOKUP($AH121,Programma!$F$3:$G$1107,2,0),"")</f>
        <v>_</v>
      </c>
      <c r="AJ121" s="314" t="str">
        <f>_xlfn.IFNA(VLOOKUP($AH121,Programma!$F$3:$H$1107,3,0),"")</f>
        <v>1w</v>
      </c>
      <c r="AK121" s="314" t="str">
        <f>_xlfn.IFNA(VLOOKUP($AH121,Programma!$F$3:$I$1107,4,0),"")</f>
        <v>_</v>
      </c>
      <c r="AL121" s="314" t="str">
        <f>_xlfn.IFNA(VLOOKUP($AH121,Programma!$F$3:$J$1107,5,0),"")</f>
        <v>_</v>
      </c>
      <c r="AM121" s="314" t="str">
        <f>_xlfn.IFNA(VLOOKUP($AH121,Programma!$F$3:$K$1107,6,0),"")</f>
        <v>_</v>
      </c>
      <c r="AN121" s="314" t="str">
        <f>_xlfn.IFNA(VLOOKUP($AH121,Programma!$F$3:$L$1107,7,0),"")</f>
        <v>_</v>
      </c>
      <c r="AO121" s="314" t="str">
        <f>_xlfn.IFNA(VLOOKUP($AH121,Programma!$F$3:$M$1107,8,0),"")</f>
        <v>_</v>
      </c>
      <c r="AP121" s="314" t="str">
        <f>_xlfn.IFNA(VLOOKUP($AH121,Programma!$F$3:$N$1107,9,0),"")</f>
        <v>_</v>
      </c>
      <c r="AQ121" s="314" t="str">
        <f>_xlfn.IFNA(VLOOKUP($AH121,Programma!$F$3:$O$1107,10,0),"")</f>
        <v>1w</v>
      </c>
      <c r="AR121" s="314" t="str">
        <f>_xlfn.IFNA(VLOOKUP($AH121,Programma!$F$3:$P$1107,11,0),"")</f>
        <v>1w</v>
      </c>
      <c r="AS121" s="314" t="str">
        <f>_xlfn.IFNA(VLOOKUP($AH121,Programma!$F$3:$Q$1107,12,0),"")</f>
        <v>1w</v>
      </c>
      <c r="AT121" s="314" t="str">
        <f>_xlfn.IFNA(VLOOKUP($AH121,Programma!$F$3:$R$1107,13,0),"")</f>
        <v>1w</v>
      </c>
      <c r="AU121" s="314" t="str">
        <f>_xlfn.IFNA(VLOOKUP($AH121,Programma!$F$3:$S$1107,14,0),"")</f>
        <v>1m</v>
      </c>
      <c r="AV121" s="314" t="str">
        <f>_xlfn.IFNA(VLOOKUP($AH121,Programma!$F$3:$T$1107,15,0),"")</f>
        <v>2j</v>
      </c>
      <c r="AW121" s="314" t="str">
        <f>_xlfn.IFNA(VLOOKUP($AH121,Programma!$F$3:$U$1107,16,0),"")</f>
        <v>1j</v>
      </c>
      <c r="AX121" s="314" t="str">
        <f>_xlfn.IFNA(VLOOKUP($AH121,Programma!$F$3:$V$1107,17,0),"")</f>
        <v>_</v>
      </c>
      <c r="AY121" s="314" t="str">
        <f>_xlfn.IFNA(VLOOKUP($AH121,Programma!$F$3:$W$1107,18,0),"")</f>
        <v>_</v>
      </c>
      <c r="AZ121" s="314" t="str">
        <f>_xlfn.IFNA(VLOOKUP($AH121,Programma!$F$3:$X$1107,19,0),"")</f>
        <v>_</v>
      </c>
      <c r="BA121" s="314" t="str">
        <f>_xlfn.IFNA(VLOOKUP($AH121,Programma!$F$3:$Y$1107,20,0),"")</f>
        <v>_</v>
      </c>
      <c r="BB121" s="273"/>
      <c r="BC121" s="272" t="str">
        <f>IF(Ruimtestaat[[#This Row],[Frequentie weekend]]="","",_xlfn.CONCAT(Ruimtestaat[[#This Row],[Ruimte code]],"-",Ruimtestaat[[#This Row],[Frequentie weekend]]," ",Ruimtestaat[[#This Row],[Vloer code]]))</f>
        <v/>
      </c>
      <c r="BD121" s="314" t="str">
        <f>_xlfn.IFNA(VLOOKUP($BC121,Programma!$F$3:$G$1107,2,0),"")</f>
        <v/>
      </c>
      <c r="BE121" s="314" t="str">
        <f>_xlfn.IFNA(VLOOKUP($BC121,Programma!$F$3:$H$1107,3,0),"")</f>
        <v/>
      </c>
      <c r="BF121" s="314" t="str">
        <f>_xlfn.IFNA(VLOOKUP($BC121,Programma!$F$3:$I$1107,4,0),"")</f>
        <v/>
      </c>
      <c r="BG121" s="314" t="str">
        <f>_xlfn.IFNA(VLOOKUP($BC121,Programma!$F$3:$J$1107,5,0),"")</f>
        <v/>
      </c>
      <c r="BH121" s="314" t="str">
        <f>_xlfn.IFNA(VLOOKUP($BC121,Programma!$F$3:$K$1107,6,0),"")</f>
        <v/>
      </c>
      <c r="BI121" s="314" t="str">
        <f>_xlfn.IFNA(VLOOKUP($BC121,Programma!$F$3:$L$1107,7,0),"")</f>
        <v/>
      </c>
      <c r="BJ121" s="314" t="str">
        <f>_xlfn.IFNA(VLOOKUP($BC121,Programma!$F$3:$M$1107,8,0),"")</f>
        <v/>
      </c>
      <c r="BK121" s="314" t="str">
        <f>_xlfn.IFNA(VLOOKUP($BC121,Programma!$F$3:$N$1107,9,0),"")</f>
        <v/>
      </c>
      <c r="BL121" s="314" t="str">
        <f>_xlfn.IFNA(VLOOKUP($BC121,Programma!$F$3:$O$1107,10,0),"")</f>
        <v/>
      </c>
      <c r="BM121" s="314" t="str">
        <f>_xlfn.IFNA(VLOOKUP($BC121,Programma!$F$3:$P$1107,11,0),"")</f>
        <v/>
      </c>
      <c r="BN121" s="314" t="str">
        <f>_xlfn.IFNA(VLOOKUP($BC121,Programma!$F$3:$Q$1107,12,0),"")</f>
        <v/>
      </c>
      <c r="BO121" s="314" t="str">
        <f>_xlfn.IFNA(VLOOKUP($BC121,Programma!$F$3:$R$1107,13,0),"")</f>
        <v/>
      </c>
      <c r="BP121" s="314" t="str">
        <f>_xlfn.IFNA(VLOOKUP($BC121,Programma!$F$3:$S$1107,14,0),"")</f>
        <v/>
      </c>
      <c r="BQ121" s="314" t="str">
        <f>_xlfn.IFNA(VLOOKUP($BC121,Programma!$F$3:$T$1107,15,0),"")</f>
        <v/>
      </c>
      <c r="BR121" s="314" t="str">
        <f>_xlfn.IFNA(VLOOKUP($BC121,Programma!$F$3:$U$1107,16,0),"")</f>
        <v/>
      </c>
      <c r="BS121" s="314" t="str">
        <f>_xlfn.IFNA(VLOOKUP($BC121,Programma!$F$3:$V$1107,17,0),"")</f>
        <v/>
      </c>
      <c r="BT121" s="314" t="str">
        <f>_xlfn.IFNA(VLOOKUP($BC121,Programma!$F$3:$W$1107,18,0),"")</f>
        <v/>
      </c>
      <c r="BU121" s="314" t="str">
        <f>_xlfn.IFNA(VLOOKUP($BC121,Programma!$F$3:$X$1107,19,0),"")</f>
        <v/>
      </c>
      <c r="BV121" s="314" t="str">
        <f>_xlfn.IFNA(VLOOKUP($BC121,Programma!$F$3:$Y$1107,20,0),"")</f>
        <v/>
      </c>
    </row>
    <row r="122" spans="1:74" ht="15" customHeight="1">
      <c r="A122" s="33">
        <v>1</v>
      </c>
      <c r="B122" s="173" t="str">
        <f>VLOOKUP(Ruimtestaat[[#This Row],[Code]],Locaties[[Code]:[Locatie]],2,FALSE)</f>
        <v>CCNV</v>
      </c>
      <c r="C122" s="173" t="str">
        <f>VLOOKUP(Ruimtestaat[[#This Row],[Code]],Locaties[[#All],[Code]:[Adres]],4,FALSE)</f>
        <v>Stationslaan 26</v>
      </c>
      <c r="D122" s="173" t="str">
        <f>VLOOKUP(Ruimtestaat[[#This Row],[Code]],Locaties[[#All],[Code]:[Postcode]],5,FALSE)</f>
        <v>3842 LA</v>
      </c>
      <c r="E122" s="173" t="str">
        <f>VLOOKUP(Ruimtestaat[[#This Row],[Code]],Locaties[#All],6,FALSE)</f>
        <v>Harderwijk</v>
      </c>
      <c r="F122" s="21" t="s">
        <v>1627</v>
      </c>
      <c r="G122" s="33" t="s">
        <v>1612</v>
      </c>
      <c r="H122" s="21" t="s">
        <v>1728</v>
      </c>
      <c r="I122" s="69" t="s">
        <v>1783</v>
      </c>
      <c r="J122" s="21">
        <v>2</v>
      </c>
      <c r="K122" s="69" t="str">
        <f>VLOOKUP(Ruimtestaat[[#This Row],[Ruimte code]],Ruimtegroepen[[#All],[Code]:[Ruimte omschrijving]],2,FALSE)</f>
        <v>Kantoren</v>
      </c>
      <c r="L122" s="33" t="s">
        <v>100</v>
      </c>
      <c r="M122" s="312" t="s">
        <v>1803</v>
      </c>
      <c r="N122" s="148">
        <v>20</v>
      </c>
      <c r="O122" s="150"/>
      <c r="P122" s="134" t="str">
        <f>VLOOKUP(Ruimtestaat[[#This Row],[Ruimte code]],Ruimtegroepen[],4,FALSE)</f>
        <v>Bu</v>
      </c>
      <c r="Q122" s="33">
        <v>40</v>
      </c>
      <c r="R122" s="33" t="s">
        <v>15</v>
      </c>
      <c r="S122" s="33">
        <f>IF(Q122&gt;0,IF(RIGHT(Ruimtestaat[[#This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22" s="33">
        <f>IF(S122&gt;0,VLOOKUP($J122,Ruimtegroepen[],3,FALSE)*VLOOKUP($L122,Vloersoorten[],3,FALSE)*VLOOKUP($R122,Frequenties[],3,FALSE)*VLOOKUP($A122,Locaties[],3,FALSE),0)</f>
        <v>0</v>
      </c>
      <c r="U122" s="33">
        <f>Ruimtestaat[[#This Row],[Uitvoeringen werkdagen]]*Ruimtestaat[[#This Row],[Oppervlak (netto)]]</f>
        <v>800</v>
      </c>
      <c r="V122" s="170">
        <f>IF(T122&gt;0,Ruimtestaat[[#This Row],[Prest. (m2 /jaar) werkdagen]]/Ruimtestaat[[#This Row],[Norm (m2/uur) werkdagen]],0)</f>
        <v>0</v>
      </c>
      <c r="W122" s="171">
        <f>Ruimtestaat[[#This Row],[uren / jaar werkdagen]]*Tariefsopbouw!$E$35</f>
        <v>0</v>
      </c>
      <c r="X122" s="33"/>
      <c r="Y122" s="33">
        <f>IF(Ruimtestaat[[#This Row],[Frequentie weekend]]&gt;0,VALUE(LEFT(X122,1))*Q122,0)</f>
        <v>0</v>
      </c>
      <c r="Z122" s="104">
        <f>IF($Y122&gt;0,VLOOKUP($J122,Ruimtegroepen[],3,FALSE)*VLOOKUP($L122,Vloersoorten[],3,FALSE)*VLOOKUP($X122,Frequenties[],3,FALSE)*VLOOKUP(Ruimtestaat[[#This Row],[Code]],Locaties[],3,FALSE),0)</f>
        <v>0</v>
      </c>
      <c r="AA122" s="104">
        <f>Ruimtestaat[[#This Row],[Uitvoeringen weekend]]*Ruimtestaat[[#This Row],[Oppervlak (netto)]]</f>
        <v>0</v>
      </c>
      <c r="AB122" s="104">
        <f>IF(Z122&gt;0,Ruimtestaat[[#This Row],[Prest. (m2 /jaar) weekend]]/Ruimtestaat[[#This Row],[Norm (m2/uur) weekend]],0)</f>
        <v>0</v>
      </c>
      <c r="AC122" s="171">
        <f>Ruimtestaat[[#This Row],[uren / jaar weekend]]*Tariefsopbouw!$D$40</f>
        <v>0</v>
      </c>
      <c r="AD122" s="170">
        <f>Ruimtestaat[[#This Row],[Prest. (m2 /jaar) weekend]]+Ruimtestaat[[#This Row],[Prest. (m2 /jaar) werkdagen]]</f>
        <v>800</v>
      </c>
      <c r="AE122" s="170">
        <f>Ruimtestaat[[#This Row],[uren / jaar weekend]]+Ruimtestaat[[#This Row],[uren / jaar werkdagen]]</f>
        <v>0</v>
      </c>
      <c r="AF122" s="76">
        <f>Ruimtestaat[[#This Row],[kosten / jaar weekend]]+Ruimtestaat[[#This Row],[kosten / jaar werkdagen]]</f>
        <v>0</v>
      </c>
      <c r="AG122" s="76"/>
      <c r="AH122" s="272" t="str">
        <f>IF(Ruimtestaat[[#This Row],[Frequentie werkdagen]]="","",_xlfn.CONCAT(Ruimtestaat[[#This Row],[Ruimte code]],"-",Ruimtestaat[[#This Row],[Frequentie werkdagen]]," ",Ruimtestaat[[#This Row],[Vloer code]]))</f>
        <v>2-1w T</v>
      </c>
      <c r="AI122" s="314" t="str">
        <f>_xlfn.IFNA(VLOOKUP($AH122,Programma!$F$3:$G$1107,2,0),"")</f>
        <v>_</v>
      </c>
      <c r="AJ122" s="314" t="str">
        <f>_xlfn.IFNA(VLOOKUP($AH122,Programma!$F$3:$H$1107,3,0),"")</f>
        <v>1w</v>
      </c>
      <c r="AK122" s="314" t="str">
        <f>_xlfn.IFNA(VLOOKUP($AH122,Programma!$F$3:$I$1107,4,0),"")</f>
        <v>_</v>
      </c>
      <c r="AL122" s="314" t="str">
        <f>_xlfn.IFNA(VLOOKUP($AH122,Programma!$F$3:$J$1107,5,0),"")</f>
        <v>_</v>
      </c>
      <c r="AM122" s="314" t="str">
        <f>_xlfn.IFNA(VLOOKUP($AH122,Programma!$F$3:$K$1107,6,0),"")</f>
        <v>_</v>
      </c>
      <c r="AN122" s="314" t="str">
        <f>_xlfn.IFNA(VLOOKUP($AH122,Programma!$F$3:$L$1107,7,0),"")</f>
        <v>_</v>
      </c>
      <c r="AO122" s="314" t="str">
        <f>_xlfn.IFNA(VLOOKUP($AH122,Programma!$F$3:$M$1107,8,0),"")</f>
        <v>_</v>
      </c>
      <c r="AP122" s="314" t="str">
        <f>_xlfn.IFNA(VLOOKUP($AH122,Programma!$F$3:$N$1107,9,0),"")</f>
        <v>_</v>
      </c>
      <c r="AQ122" s="314" t="str">
        <f>_xlfn.IFNA(VLOOKUP($AH122,Programma!$F$3:$O$1107,10,0),"")</f>
        <v>1w</v>
      </c>
      <c r="AR122" s="314" t="str">
        <f>_xlfn.IFNA(VLOOKUP($AH122,Programma!$F$3:$P$1107,11,0),"")</f>
        <v>1w</v>
      </c>
      <c r="AS122" s="314" t="str">
        <f>_xlfn.IFNA(VLOOKUP($AH122,Programma!$F$3:$Q$1107,12,0),"")</f>
        <v>1w</v>
      </c>
      <c r="AT122" s="314" t="str">
        <f>_xlfn.IFNA(VLOOKUP($AH122,Programma!$F$3:$R$1107,13,0),"")</f>
        <v>1w</v>
      </c>
      <c r="AU122" s="314" t="str">
        <f>_xlfn.IFNA(VLOOKUP($AH122,Programma!$F$3:$S$1107,14,0),"")</f>
        <v>1m</v>
      </c>
      <c r="AV122" s="314" t="str">
        <f>_xlfn.IFNA(VLOOKUP($AH122,Programma!$F$3:$T$1107,15,0),"")</f>
        <v>2j</v>
      </c>
      <c r="AW122" s="314" t="str">
        <f>_xlfn.IFNA(VLOOKUP($AH122,Programma!$F$3:$U$1107,16,0),"")</f>
        <v>1j</v>
      </c>
      <c r="AX122" s="314" t="str">
        <f>_xlfn.IFNA(VLOOKUP($AH122,Programma!$F$3:$V$1107,17,0),"")</f>
        <v>_</v>
      </c>
      <c r="AY122" s="314" t="str">
        <f>_xlfn.IFNA(VLOOKUP($AH122,Programma!$F$3:$W$1107,18,0),"")</f>
        <v>_</v>
      </c>
      <c r="AZ122" s="314" t="str">
        <f>_xlfn.IFNA(VLOOKUP($AH122,Programma!$F$3:$X$1107,19,0),"")</f>
        <v>_</v>
      </c>
      <c r="BA122" s="314" t="str">
        <f>_xlfn.IFNA(VLOOKUP($AH122,Programma!$F$3:$Y$1107,20,0),"")</f>
        <v>_</v>
      </c>
      <c r="BB122" s="273"/>
      <c r="BC122" s="272" t="str">
        <f>IF(Ruimtestaat[[#This Row],[Frequentie weekend]]="","",_xlfn.CONCAT(Ruimtestaat[[#This Row],[Ruimte code]],"-",Ruimtestaat[[#This Row],[Frequentie weekend]]," ",Ruimtestaat[[#This Row],[Vloer code]]))</f>
        <v/>
      </c>
      <c r="BD122" s="314" t="str">
        <f>_xlfn.IFNA(VLOOKUP($BC122,Programma!$F$3:$G$1107,2,0),"")</f>
        <v/>
      </c>
      <c r="BE122" s="314" t="str">
        <f>_xlfn.IFNA(VLOOKUP($BC122,Programma!$F$3:$H$1107,3,0),"")</f>
        <v/>
      </c>
      <c r="BF122" s="314" t="str">
        <f>_xlfn.IFNA(VLOOKUP($BC122,Programma!$F$3:$I$1107,4,0),"")</f>
        <v/>
      </c>
      <c r="BG122" s="314" t="str">
        <f>_xlfn.IFNA(VLOOKUP($BC122,Programma!$F$3:$J$1107,5,0),"")</f>
        <v/>
      </c>
      <c r="BH122" s="314" t="str">
        <f>_xlfn.IFNA(VLOOKUP($BC122,Programma!$F$3:$K$1107,6,0),"")</f>
        <v/>
      </c>
      <c r="BI122" s="314" t="str">
        <f>_xlfn.IFNA(VLOOKUP($BC122,Programma!$F$3:$L$1107,7,0),"")</f>
        <v/>
      </c>
      <c r="BJ122" s="314" t="str">
        <f>_xlfn.IFNA(VLOOKUP($BC122,Programma!$F$3:$M$1107,8,0),"")</f>
        <v/>
      </c>
      <c r="BK122" s="314" t="str">
        <f>_xlfn.IFNA(VLOOKUP($BC122,Programma!$F$3:$N$1107,9,0),"")</f>
        <v/>
      </c>
      <c r="BL122" s="314" t="str">
        <f>_xlfn.IFNA(VLOOKUP($BC122,Programma!$F$3:$O$1107,10,0),"")</f>
        <v/>
      </c>
      <c r="BM122" s="314" t="str">
        <f>_xlfn.IFNA(VLOOKUP($BC122,Programma!$F$3:$P$1107,11,0),"")</f>
        <v/>
      </c>
      <c r="BN122" s="314" t="str">
        <f>_xlfn.IFNA(VLOOKUP($BC122,Programma!$F$3:$Q$1107,12,0),"")</f>
        <v/>
      </c>
      <c r="BO122" s="314" t="str">
        <f>_xlfn.IFNA(VLOOKUP($BC122,Programma!$F$3:$R$1107,13,0),"")</f>
        <v/>
      </c>
      <c r="BP122" s="314" t="str">
        <f>_xlfn.IFNA(VLOOKUP($BC122,Programma!$F$3:$S$1107,14,0),"")</f>
        <v/>
      </c>
      <c r="BQ122" s="314" t="str">
        <f>_xlfn.IFNA(VLOOKUP($BC122,Programma!$F$3:$T$1107,15,0),"")</f>
        <v/>
      </c>
      <c r="BR122" s="314" t="str">
        <f>_xlfn.IFNA(VLOOKUP($BC122,Programma!$F$3:$U$1107,16,0),"")</f>
        <v/>
      </c>
      <c r="BS122" s="314" t="str">
        <f>_xlfn.IFNA(VLOOKUP($BC122,Programma!$F$3:$V$1107,17,0),"")</f>
        <v/>
      </c>
      <c r="BT122" s="314" t="str">
        <f>_xlfn.IFNA(VLOOKUP($BC122,Programma!$F$3:$W$1107,18,0),"")</f>
        <v/>
      </c>
      <c r="BU122" s="314" t="str">
        <f>_xlfn.IFNA(VLOOKUP($BC122,Programma!$F$3:$X$1107,19,0),"")</f>
        <v/>
      </c>
      <c r="BV122" s="314" t="str">
        <f>_xlfn.IFNA(VLOOKUP($BC122,Programma!$F$3:$Y$1107,20,0),"")</f>
        <v/>
      </c>
    </row>
    <row r="123" spans="1:74" ht="15" customHeight="1">
      <c r="A123" s="33">
        <v>1</v>
      </c>
      <c r="B123" s="173" t="str">
        <f>VLOOKUP(Ruimtestaat[[#This Row],[Code]],Locaties[[Code]:[Locatie]],2,FALSE)</f>
        <v>CCNV</v>
      </c>
      <c r="C123" s="173" t="str">
        <f>VLOOKUP(Ruimtestaat[[#This Row],[Code]],Locaties[[#All],[Code]:[Adres]],4,FALSE)</f>
        <v>Stationslaan 26</v>
      </c>
      <c r="D123" s="173" t="str">
        <f>VLOOKUP(Ruimtestaat[[#This Row],[Code]],Locaties[[#All],[Code]:[Postcode]],5,FALSE)</f>
        <v>3842 LA</v>
      </c>
      <c r="E123" s="173" t="str">
        <f>VLOOKUP(Ruimtestaat[[#This Row],[Code]],Locaties[#All],6,FALSE)</f>
        <v>Harderwijk</v>
      </c>
      <c r="F123" s="21" t="s">
        <v>1627</v>
      </c>
      <c r="G123" s="33" t="s">
        <v>1612</v>
      </c>
      <c r="H123" s="21" t="s">
        <v>1729</v>
      </c>
      <c r="I123" s="69" t="s">
        <v>1783</v>
      </c>
      <c r="J123" s="21">
        <v>2</v>
      </c>
      <c r="K123" s="69" t="str">
        <f>VLOOKUP(Ruimtestaat[[#This Row],[Ruimte code]],Ruimtegroepen[[#All],[Code]:[Ruimte omschrijving]],2,FALSE)</f>
        <v>Kantoren</v>
      </c>
      <c r="L123" s="33" t="s">
        <v>100</v>
      </c>
      <c r="M123" s="312" t="s">
        <v>1803</v>
      </c>
      <c r="N123" s="148">
        <v>23</v>
      </c>
      <c r="O123" s="33"/>
      <c r="P123" s="134" t="str">
        <f>VLOOKUP(Ruimtestaat[[#This Row],[Ruimte code]],Ruimtegroepen[],4,FALSE)</f>
        <v>Bu</v>
      </c>
      <c r="Q123" s="33">
        <v>40</v>
      </c>
      <c r="R123" s="33" t="s">
        <v>15</v>
      </c>
      <c r="S123" s="33">
        <f>IF(Q123&gt;0,IF(RIGHT(Ruimtestaat[[#This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23" s="33">
        <f>IF(S123&gt;0,VLOOKUP($J123,Ruimtegroepen[],3,FALSE)*VLOOKUP($L123,Vloersoorten[],3,FALSE)*VLOOKUP($R123,Frequenties[],3,FALSE)*VLOOKUP($A123,Locaties[],3,FALSE),0)</f>
        <v>0</v>
      </c>
      <c r="U123" s="33">
        <f>Ruimtestaat[[#This Row],[Uitvoeringen werkdagen]]*Ruimtestaat[[#This Row],[Oppervlak (netto)]]</f>
        <v>920</v>
      </c>
      <c r="V123" s="170">
        <f>IF(T123&gt;0,Ruimtestaat[[#This Row],[Prest. (m2 /jaar) werkdagen]]/Ruimtestaat[[#This Row],[Norm (m2/uur) werkdagen]],0)</f>
        <v>0</v>
      </c>
      <c r="W123" s="171">
        <f>Ruimtestaat[[#This Row],[uren / jaar werkdagen]]*Tariefsopbouw!$E$35</f>
        <v>0</v>
      </c>
      <c r="X123" s="33"/>
      <c r="Y123" s="33">
        <f>IF(Ruimtestaat[[#This Row],[Frequentie weekend]]&gt;0,VALUE(LEFT(X123,1))*Q123,0)</f>
        <v>0</v>
      </c>
      <c r="Z123" s="104">
        <f>IF($Y123&gt;0,VLOOKUP($J123,Ruimtegroepen[],3,FALSE)*VLOOKUP($L123,Vloersoorten[],3,FALSE)*VLOOKUP($X123,Frequenties[],3,FALSE)*VLOOKUP(Ruimtestaat[[#This Row],[Code]],Locaties[],3,FALSE),0)</f>
        <v>0</v>
      </c>
      <c r="AA123" s="104">
        <f>Ruimtestaat[[#This Row],[Uitvoeringen weekend]]*Ruimtestaat[[#This Row],[Oppervlak (netto)]]</f>
        <v>0</v>
      </c>
      <c r="AB123" s="104">
        <f>IF(Z123&gt;0,Ruimtestaat[[#This Row],[Prest. (m2 /jaar) weekend]]/Ruimtestaat[[#This Row],[Norm (m2/uur) weekend]],0)</f>
        <v>0</v>
      </c>
      <c r="AC123" s="171">
        <f>Ruimtestaat[[#This Row],[uren / jaar weekend]]*Tariefsopbouw!$D$40</f>
        <v>0</v>
      </c>
      <c r="AD123" s="170">
        <f>Ruimtestaat[[#This Row],[Prest. (m2 /jaar) weekend]]+Ruimtestaat[[#This Row],[Prest. (m2 /jaar) werkdagen]]</f>
        <v>920</v>
      </c>
      <c r="AE123" s="170">
        <f>Ruimtestaat[[#This Row],[uren / jaar weekend]]+Ruimtestaat[[#This Row],[uren / jaar werkdagen]]</f>
        <v>0</v>
      </c>
      <c r="AF123" s="76">
        <f>Ruimtestaat[[#This Row],[kosten / jaar weekend]]+Ruimtestaat[[#This Row],[kosten / jaar werkdagen]]</f>
        <v>0</v>
      </c>
      <c r="AG123" s="76"/>
      <c r="AH123" s="272" t="str">
        <f>IF(Ruimtestaat[[#This Row],[Frequentie werkdagen]]="","",_xlfn.CONCAT(Ruimtestaat[[#This Row],[Ruimte code]],"-",Ruimtestaat[[#This Row],[Frequentie werkdagen]]," ",Ruimtestaat[[#This Row],[Vloer code]]))</f>
        <v>2-1w T</v>
      </c>
      <c r="AI123" s="314" t="str">
        <f>_xlfn.IFNA(VLOOKUP($AH123,Programma!$F$3:$G$1107,2,0),"")</f>
        <v>_</v>
      </c>
      <c r="AJ123" s="314" t="str">
        <f>_xlfn.IFNA(VLOOKUP($AH123,Programma!$F$3:$H$1107,3,0),"")</f>
        <v>1w</v>
      </c>
      <c r="AK123" s="314" t="str">
        <f>_xlfn.IFNA(VLOOKUP($AH123,Programma!$F$3:$I$1107,4,0),"")</f>
        <v>_</v>
      </c>
      <c r="AL123" s="314" t="str">
        <f>_xlfn.IFNA(VLOOKUP($AH123,Programma!$F$3:$J$1107,5,0),"")</f>
        <v>_</v>
      </c>
      <c r="AM123" s="314" t="str">
        <f>_xlfn.IFNA(VLOOKUP($AH123,Programma!$F$3:$K$1107,6,0),"")</f>
        <v>_</v>
      </c>
      <c r="AN123" s="314" t="str">
        <f>_xlfn.IFNA(VLOOKUP($AH123,Programma!$F$3:$L$1107,7,0),"")</f>
        <v>_</v>
      </c>
      <c r="AO123" s="314" t="str">
        <f>_xlfn.IFNA(VLOOKUP($AH123,Programma!$F$3:$M$1107,8,0),"")</f>
        <v>_</v>
      </c>
      <c r="AP123" s="314" t="str">
        <f>_xlfn.IFNA(VLOOKUP($AH123,Programma!$F$3:$N$1107,9,0),"")</f>
        <v>_</v>
      </c>
      <c r="AQ123" s="314" t="str">
        <f>_xlfn.IFNA(VLOOKUP($AH123,Programma!$F$3:$O$1107,10,0),"")</f>
        <v>1w</v>
      </c>
      <c r="AR123" s="314" t="str">
        <f>_xlfn.IFNA(VLOOKUP($AH123,Programma!$F$3:$P$1107,11,0),"")</f>
        <v>1w</v>
      </c>
      <c r="AS123" s="314" t="str">
        <f>_xlfn.IFNA(VLOOKUP($AH123,Programma!$F$3:$Q$1107,12,0),"")</f>
        <v>1w</v>
      </c>
      <c r="AT123" s="314" t="str">
        <f>_xlfn.IFNA(VLOOKUP($AH123,Programma!$F$3:$R$1107,13,0),"")</f>
        <v>1w</v>
      </c>
      <c r="AU123" s="314" t="str">
        <f>_xlfn.IFNA(VLOOKUP($AH123,Programma!$F$3:$S$1107,14,0),"")</f>
        <v>1m</v>
      </c>
      <c r="AV123" s="314" t="str">
        <f>_xlfn.IFNA(VLOOKUP($AH123,Programma!$F$3:$T$1107,15,0),"")</f>
        <v>2j</v>
      </c>
      <c r="AW123" s="314" t="str">
        <f>_xlfn.IFNA(VLOOKUP($AH123,Programma!$F$3:$U$1107,16,0),"")</f>
        <v>1j</v>
      </c>
      <c r="AX123" s="314" t="str">
        <f>_xlfn.IFNA(VLOOKUP($AH123,Programma!$F$3:$V$1107,17,0),"")</f>
        <v>_</v>
      </c>
      <c r="AY123" s="314" t="str">
        <f>_xlfn.IFNA(VLOOKUP($AH123,Programma!$F$3:$W$1107,18,0),"")</f>
        <v>_</v>
      </c>
      <c r="AZ123" s="314" t="str">
        <f>_xlfn.IFNA(VLOOKUP($AH123,Programma!$F$3:$X$1107,19,0),"")</f>
        <v>_</v>
      </c>
      <c r="BA123" s="314" t="str">
        <f>_xlfn.IFNA(VLOOKUP($AH123,Programma!$F$3:$Y$1107,20,0),"")</f>
        <v>_</v>
      </c>
      <c r="BB123" s="273"/>
      <c r="BC123" s="272" t="str">
        <f>IF(Ruimtestaat[[#This Row],[Frequentie weekend]]="","",_xlfn.CONCAT(Ruimtestaat[[#This Row],[Ruimte code]],"-",Ruimtestaat[[#This Row],[Frequentie weekend]]," ",Ruimtestaat[[#This Row],[Vloer code]]))</f>
        <v/>
      </c>
      <c r="BD123" s="314" t="str">
        <f>_xlfn.IFNA(VLOOKUP($BC123,Programma!$F$3:$G$1107,2,0),"")</f>
        <v/>
      </c>
      <c r="BE123" s="314" t="str">
        <f>_xlfn.IFNA(VLOOKUP($BC123,Programma!$F$3:$H$1107,3,0),"")</f>
        <v/>
      </c>
      <c r="BF123" s="314" t="str">
        <f>_xlfn.IFNA(VLOOKUP($BC123,Programma!$F$3:$I$1107,4,0),"")</f>
        <v/>
      </c>
      <c r="BG123" s="314" t="str">
        <f>_xlfn.IFNA(VLOOKUP($BC123,Programma!$F$3:$J$1107,5,0),"")</f>
        <v/>
      </c>
      <c r="BH123" s="314" t="str">
        <f>_xlfn.IFNA(VLOOKUP($BC123,Programma!$F$3:$K$1107,6,0),"")</f>
        <v/>
      </c>
      <c r="BI123" s="314" t="str">
        <f>_xlfn.IFNA(VLOOKUP($BC123,Programma!$F$3:$L$1107,7,0),"")</f>
        <v/>
      </c>
      <c r="BJ123" s="314" t="str">
        <f>_xlfn.IFNA(VLOOKUP($BC123,Programma!$F$3:$M$1107,8,0),"")</f>
        <v/>
      </c>
      <c r="BK123" s="314" t="str">
        <f>_xlfn.IFNA(VLOOKUP($BC123,Programma!$F$3:$N$1107,9,0),"")</f>
        <v/>
      </c>
      <c r="BL123" s="314" t="str">
        <f>_xlfn.IFNA(VLOOKUP($BC123,Programma!$F$3:$O$1107,10,0),"")</f>
        <v/>
      </c>
      <c r="BM123" s="314" t="str">
        <f>_xlfn.IFNA(VLOOKUP($BC123,Programma!$F$3:$P$1107,11,0),"")</f>
        <v/>
      </c>
      <c r="BN123" s="314" t="str">
        <f>_xlfn.IFNA(VLOOKUP($BC123,Programma!$F$3:$Q$1107,12,0),"")</f>
        <v/>
      </c>
      <c r="BO123" s="314" t="str">
        <f>_xlfn.IFNA(VLOOKUP($BC123,Programma!$F$3:$R$1107,13,0),"")</f>
        <v/>
      </c>
      <c r="BP123" s="314" t="str">
        <f>_xlfn.IFNA(VLOOKUP($BC123,Programma!$F$3:$S$1107,14,0),"")</f>
        <v/>
      </c>
      <c r="BQ123" s="314" t="str">
        <f>_xlfn.IFNA(VLOOKUP($BC123,Programma!$F$3:$T$1107,15,0),"")</f>
        <v/>
      </c>
      <c r="BR123" s="314" t="str">
        <f>_xlfn.IFNA(VLOOKUP($BC123,Programma!$F$3:$U$1107,16,0),"")</f>
        <v/>
      </c>
      <c r="BS123" s="314" t="str">
        <f>_xlfn.IFNA(VLOOKUP($BC123,Programma!$F$3:$V$1107,17,0),"")</f>
        <v/>
      </c>
      <c r="BT123" s="314" t="str">
        <f>_xlfn.IFNA(VLOOKUP($BC123,Programma!$F$3:$W$1107,18,0),"")</f>
        <v/>
      </c>
      <c r="BU123" s="314" t="str">
        <f>_xlfn.IFNA(VLOOKUP($BC123,Programma!$F$3:$X$1107,19,0),"")</f>
        <v/>
      </c>
      <c r="BV123" s="314" t="str">
        <f>_xlfn.IFNA(VLOOKUP($BC123,Programma!$F$3:$Y$1107,20,0),"")</f>
        <v/>
      </c>
    </row>
    <row r="124" spans="1:74" ht="15" customHeight="1">
      <c r="A124" s="33">
        <v>1</v>
      </c>
      <c r="B124" s="173" t="str">
        <f>VLOOKUP(Ruimtestaat[[#This Row],[Code]],Locaties[[Code]:[Locatie]],2,FALSE)</f>
        <v>CCNV</v>
      </c>
      <c r="C124" s="173" t="str">
        <f>VLOOKUP(Ruimtestaat[[#This Row],[Code]],Locaties[[#All],[Code]:[Adres]],4,FALSE)</f>
        <v>Stationslaan 26</v>
      </c>
      <c r="D124" s="173" t="str">
        <f>VLOOKUP(Ruimtestaat[[#This Row],[Code]],Locaties[[#All],[Code]:[Postcode]],5,FALSE)</f>
        <v>3842 LA</v>
      </c>
      <c r="E124" s="173" t="str">
        <f>VLOOKUP(Ruimtestaat[[#This Row],[Code]],Locaties[#All],6,FALSE)</f>
        <v>Harderwijk</v>
      </c>
      <c r="F124" s="21" t="s">
        <v>1627</v>
      </c>
      <c r="G124" s="33" t="s">
        <v>1612</v>
      </c>
      <c r="I124" s="69" t="s">
        <v>1789</v>
      </c>
      <c r="J124" s="21">
        <v>1</v>
      </c>
      <c r="K124" s="69" t="str">
        <f>VLOOKUP(Ruimtestaat[[#This Row],[Ruimte code]],Ruimtegroepen[[#All],[Code]:[Ruimte omschrijving]],2,FALSE)</f>
        <v>Magazijnen/bergingen</v>
      </c>
      <c r="L124" s="33" t="s">
        <v>101</v>
      </c>
      <c r="M124" s="312" t="s">
        <v>1804</v>
      </c>
      <c r="N124" s="148">
        <v>12</v>
      </c>
      <c r="O124" s="150"/>
      <c r="P124" s="134" t="str">
        <f>VLOOKUP(Ruimtestaat[[#This Row],[Ruimte code]],Ruimtegroepen[],4,FALSE)</f>
        <v>Ve</v>
      </c>
      <c r="Q124" s="33">
        <v>40</v>
      </c>
      <c r="R124" s="33" t="s">
        <v>16</v>
      </c>
      <c r="S124" s="33">
        <f>IF(Q124&gt;0,IF(RIGHT(Ruimtestaat[[#This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24" s="33">
        <f>IF(S124&gt;0,VLOOKUP($J124,Ruimtegroepen[],3,FALSE)*VLOOKUP($L124,Vloersoorten[],3,FALSE)*VLOOKUP($R124,Frequenties[],3,FALSE)*VLOOKUP($A124,Locaties[],3,FALSE),0)</f>
        <v>0</v>
      </c>
      <c r="U124" s="33">
        <f>Ruimtestaat[[#This Row],[Uitvoeringen werkdagen]]*Ruimtestaat[[#This Row],[Oppervlak (netto)]]</f>
        <v>144</v>
      </c>
      <c r="V124" s="170">
        <f>IF(T124&gt;0,Ruimtestaat[[#This Row],[Prest. (m2 /jaar) werkdagen]]/Ruimtestaat[[#This Row],[Norm (m2/uur) werkdagen]],0)</f>
        <v>0</v>
      </c>
      <c r="W124" s="171">
        <f>Ruimtestaat[[#This Row],[uren / jaar werkdagen]]*Tariefsopbouw!$E$35</f>
        <v>0</v>
      </c>
      <c r="X124" s="33"/>
      <c r="Y124" s="33">
        <f>IF(Ruimtestaat[[#This Row],[Frequentie weekend]]&gt;0,VALUE(LEFT(X124,1))*Q124,0)</f>
        <v>0</v>
      </c>
      <c r="Z124" s="104">
        <f>IF($Y124&gt;0,VLOOKUP($J124,Ruimtegroepen[],3,FALSE)*VLOOKUP($L124,Vloersoorten[],3,FALSE)*VLOOKUP($X124,Frequenties[],3,FALSE)*VLOOKUP(Ruimtestaat[[#This Row],[Code]],Locaties[],3,FALSE),0)</f>
        <v>0</v>
      </c>
      <c r="AA124" s="104">
        <f>Ruimtestaat[[#This Row],[Uitvoeringen weekend]]*Ruimtestaat[[#This Row],[Oppervlak (netto)]]</f>
        <v>0</v>
      </c>
      <c r="AB124" s="104">
        <f>IF(Z124&gt;0,Ruimtestaat[[#This Row],[Prest. (m2 /jaar) weekend]]/Ruimtestaat[[#This Row],[Norm (m2/uur) weekend]],0)</f>
        <v>0</v>
      </c>
      <c r="AC124" s="171">
        <f>Ruimtestaat[[#This Row],[uren / jaar weekend]]*Tariefsopbouw!$D$40</f>
        <v>0</v>
      </c>
      <c r="AD124" s="170">
        <f>Ruimtestaat[[#This Row],[Prest. (m2 /jaar) weekend]]+Ruimtestaat[[#This Row],[Prest. (m2 /jaar) werkdagen]]</f>
        <v>144</v>
      </c>
      <c r="AE124" s="170">
        <f>Ruimtestaat[[#This Row],[uren / jaar weekend]]+Ruimtestaat[[#This Row],[uren / jaar werkdagen]]</f>
        <v>0</v>
      </c>
      <c r="AF124" s="76">
        <f>Ruimtestaat[[#This Row],[kosten / jaar weekend]]+Ruimtestaat[[#This Row],[kosten / jaar werkdagen]]</f>
        <v>0</v>
      </c>
      <c r="AG124" s="76"/>
      <c r="AH124" s="272" t="str">
        <f>IF(Ruimtestaat[[#This Row],[Frequentie werkdagen]]="","",_xlfn.CONCAT(Ruimtestaat[[#This Row],[Ruimte code]],"-",Ruimtestaat[[#This Row],[Frequentie werkdagen]]," ",Ruimtestaat[[#This Row],[Vloer code]]))</f>
        <v>1-1m L</v>
      </c>
      <c r="AI124" s="314" t="str">
        <f>_xlfn.IFNA(VLOOKUP($AH124,Programma!$F$3:$G$1107,2,0),"")</f>
        <v>_</v>
      </c>
      <c r="AJ124" s="314" t="str">
        <f>_xlfn.IFNA(VLOOKUP($AH124,Programma!$F$3:$H$1107,3,0),"")</f>
        <v>_</v>
      </c>
      <c r="AK124" s="314" t="str">
        <f>_xlfn.IFNA(VLOOKUP($AH124,Programma!$F$3:$I$1107,4,0),"")</f>
        <v>1m</v>
      </c>
      <c r="AL124" s="314" t="str">
        <f>_xlfn.IFNA(VLOOKUP($AH124,Programma!$F$3:$J$1107,5,0),"")</f>
        <v>1m</v>
      </c>
      <c r="AM124" s="314" t="str">
        <f>_xlfn.IFNA(VLOOKUP($AH124,Programma!$F$3:$K$1107,6,0),"")</f>
        <v>_</v>
      </c>
      <c r="AN124" s="314" t="str">
        <f>_xlfn.IFNA(VLOOKUP($AH124,Programma!$F$3:$L$1107,7,0),"")</f>
        <v>_</v>
      </c>
      <c r="AO124" s="314" t="str">
        <f>_xlfn.IFNA(VLOOKUP($AH124,Programma!$F$3:$M$1107,8,0),"")</f>
        <v>_</v>
      </c>
      <c r="AP124" s="314" t="str">
        <f>_xlfn.IFNA(VLOOKUP($AH124,Programma!$F$3:$N$1107,9,0),"")</f>
        <v>_</v>
      </c>
      <c r="AQ124" s="314" t="str">
        <f>_xlfn.IFNA(VLOOKUP($AH124,Programma!$F$3:$O$1107,10,0),"")</f>
        <v>_</v>
      </c>
      <c r="AR124" s="314" t="str">
        <f>_xlfn.IFNA(VLOOKUP($AH124,Programma!$F$3:$P$1107,11,0),"")</f>
        <v>_</v>
      </c>
      <c r="AS124" s="314" t="str">
        <f>_xlfn.IFNA(VLOOKUP($AH124,Programma!$F$3:$Q$1107,12,0),"")</f>
        <v>_</v>
      </c>
      <c r="AT124" s="314" t="str">
        <f>_xlfn.IFNA(VLOOKUP($AH124,Programma!$F$3:$R$1107,13,0),"")</f>
        <v>_</v>
      </c>
      <c r="AU124" s="314" t="str">
        <f>_xlfn.IFNA(VLOOKUP($AH124,Programma!$F$3:$S$1107,14,0),"")</f>
        <v>1m</v>
      </c>
      <c r="AV124" s="314" t="str">
        <f>_xlfn.IFNA(VLOOKUP($AH124,Programma!$F$3:$T$1107,15,0),"")</f>
        <v>4j</v>
      </c>
      <c r="AW124" s="314" t="str">
        <f>_xlfn.IFNA(VLOOKUP($AH124,Programma!$F$3:$U$1107,16,0),"")</f>
        <v>4j</v>
      </c>
      <c r="AX124" s="314" t="str">
        <f>_xlfn.IFNA(VLOOKUP($AH124,Programma!$F$3:$V$1107,17,0),"")</f>
        <v>_</v>
      </c>
      <c r="AY124" s="314" t="str">
        <f>_xlfn.IFNA(VLOOKUP($AH124,Programma!$F$3:$W$1107,18,0),"")</f>
        <v>_</v>
      </c>
      <c r="AZ124" s="314" t="str">
        <f>_xlfn.IFNA(VLOOKUP($AH124,Programma!$F$3:$X$1107,19,0),"")</f>
        <v>_</v>
      </c>
      <c r="BA124" s="314" t="str">
        <f>_xlfn.IFNA(VLOOKUP($AH124,Programma!$F$3:$Y$1107,20,0),"")</f>
        <v>_</v>
      </c>
      <c r="BB124" s="273"/>
      <c r="BC124" s="272" t="str">
        <f>IF(Ruimtestaat[[#This Row],[Frequentie weekend]]="","",_xlfn.CONCAT(Ruimtestaat[[#This Row],[Ruimte code]],"-",Ruimtestaat[[#This Row],[Frequentie weekend]]," ",Ruimtestaat[[#This Row],[Vloer code]]))</f>
        <v/>
      </c>
      <c r="BD124" s="314" t="str">
        <f>_xlfn.IFNA(VLOOKUP($BC124,Programma!$F$3:$G$1107,2,0),"")</f>
        <v/>
      </c>
      <c r="BE124" s="314" t="str">
        <f>_xlfn.IFNA(VLOOKUP($BC124,Programma!$F$3:$H$1107,3,0),"")</f>
        <v/>
      </c>
      <c r="BF124" s="314" t="str">
        <f>_xlfn.IFNA(VLOOKUP($BC124,Programma!$F$3:$I$1107,4,0),"")</f>
        <v/>
      </c>
      <c r="BG124" s="314" t="str">
        <f>_xlfn.IFNA(VLOOKUP($BC124,Programma!$F$3:$J$1107,5,0),"")</f>
        <v/>
      </c>
      <c r="BH124" s="314" t="str">
        <f>_xlfn.IFNA(VLOOKUP($BC124,Programma!$F$3:$K$1107,6,0),"")</f>
        <v/>
      </c>
      <c r="BI124" s="314" t="str">
        <f>_xlfn.IFNA(VLOOKUP($BC124,Programma!$F$3:$L$1107,7,0),"")</f>
        <v/>
      </c>
      <c r="BJ124" s="314" t="str">
        <f>_xlfn.IFNA(VLOOKUP($BC124,Programma!$F$3:$M$1107,8,0),"")</f>
        <v/>
      </c>
      <c r="BK124" s="314" t="str">
        <f>_xlfn.IFNA(VLOOKUP($BC124,Programma!$F$3:$N$1107,9,0),"")</f>
        <v/>
      </c>
      <c r="BL124" s="314" t="str">
        <f>_xlfn.IFNA(VLOOKUP($BC124,Programma!$F$3:$O$1107,10,0),"")</f>
        <v/>
      </c>
      <c r="BM124" s="314" t="str">
        <f>_xlfn.IFNA(VLOOKUP($BC124,Programma!$F$3:$P$1107,11,0),"")</f>
        <v/>
      </c>
      <c r="BN124" s="314" t="str">
        <f>_xlfn.IFNA(VLOOKUP($BC124,Programma!$F$3:$Q$1107,12,0),"")</f>
        <v/>
      </c>
      <c r="BO124" s="314" t="str">
        <f>_xlfn.IFNA(VLOOKUP($BC124,Programma!$F$3:$R$1107,13,0),"")</f>
        <v/>
      </c>
      <c r="BP124" s="314" t="str">
        <f>_xlfn.IFNA(VLOOKUP($BC124,Programma!$F$3:$S$1107,14,0),"")</f>
        <v/>
      </c>
      <c r="BQ124" s="314" t="str">
        <f>_xlfn.IFNA(VLOOKUP($BC124,Programma!$F$3:$T$1107,15,0),"")</f>
        <v/>
      </c>
      <c r="BR124" s="314" t="str">
        <f>_xlfn.IFNA(VLOOKUP($BC124,Programma!$F$3:$U$1107,16,0),"")</f>
        <v/>
      </c>
      <c r="BS124" s="314" t="str">
        <f>_xlfn.IFNA(VLOOKUP($BC124,Programma!$F$3:$V$1107,17,0),"")</f>
        <v/>
      </c>
      <c r="BT124" s="314" t="str">
        <f>_xlfn.IFNA(VLOOKUP($BC124,Programma!$F$3:$W$1107,18,0),"")</f>
        <v/>
      </c>
      <c r="BU124" s="314" t="str">
        <f>_xlfn.IFNA(VLOOKUP($BC124,Programma!$F$3:$X$1107,19,0),"")</f>
        <v/>
      </c>
      <c r="BV124" s="314" t="str">
        <f>_xlfn.IFNA(VLOOKUP($BC124,Programma!$F$3:$Y$1107,20,0),"")</f>
        <v/>
      </c>
    </row>
    <row r="125" spans="1:74" ht="15" customHeight="1">
      <c r="A125" s="33">
        <v>1</v>
      </c>
      <c r="B125" s="173" t="str">
        <f>VLOOKUP(Ruimtestaat[[#This Row],[Code]],Locaties[[Code]:[Locatie]],2,FALSE)</f>
        <v>CCNV</v>
      </c>
      <c r="C125" s="173" t="str">
        <f>VLOOKUP(Ruimtestaat[[#This Row],[Code]],Locaties[[#All],[Code]:[Adres]],4,FALSE)</f>
        <v>Stationslaan 26</v>
      </c>
      <c r="D125" s="173" t="str">
        <f>VLOOKUP(Ruimtestaat[[#This Row],[Code]],Locaties[[#All],[Code]:[Postcode]],5,FALSE)</f>
        <v>3842 LA</v>
      </c>
      <c r="E125" s="173" t="str">
        <f>VLOOKUP(Ruimtestaat[[#This Row],[Code]],Locaties[#All],6,FALSE)</f>
        <v>Harderwijk</v>
      </c>
      <c r="F125" s="21" t="s">
        <v>1627</v>
      </c>
      <c r="G125" s="33" t="s">
        <v>1612</v>
      </c>
      <c r="H125" s="21" t="s">
        <v>1730</v>
      </c>
      <c r="I125" s="69" t="s">
        <v>1790</v>
      </c>
      <c r="J125" s="21">
        <v>5</v>
      </c>
      <c r="K125" s="69" t="str">
        <f>VLOOKUP(Ruimtestaat[[#This Row],[Ruimte code]],Ruimtegroepen[[#All],[Code]:[Ruimte omschrijving]],2,FALSE)</f>
        <v>Sanitair</v>
      </c>
      <c r="L125" s="33" t="s">
        <v>102</v>
      </c>
      <c r="M125" s="312" t="s">
        <v>1805</v>
      </c>
      <c r="N125" s="148">
        <v>7</v>
      </c>
      <c r="O125" s="150"/>
      <c r="P125" s="134" t="str">
        <f>VLOOKUP(Ruimtestaat[[#This Row],[Ruimte code]],Ruimtegroepen[],4,FALSE)</f>
        <v>Sa</v>
      </c>
      <c r="Q125" s="33">
        <v>40</v>
      </c>
      <c r="R125" s="33" t="s">
        <v>2</v>
      </c>
      <c r="S125" s="33">
        <f>IF(Q125&gt;0,IF(RIGHT(Ruimtestaat[[#This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5" s="33">
        <f>IF(S125&gt;0,VLOOKUP($J125,Ruimtegroepen[],3,FALSE)*VLOOKUP($L125,Vloersoorten[],3,FALSE)*VLOOKUP($R125,Frequenties[],3,FALSE)*VLOOKUP($A125,Locaties[],3,FALSE),0)</f>
        <v>0</v>
      </c>
      <c r="U125" s="33">
        <f>Ruimtestaat[[#This Row],[Uitvoeringen werkdagen]]*Ruimtestaat[[#This Row],[Oppervlak (netto)]]</f>
        <v>1400</v>
      </c>
      <c r="V125" s="170">
        <f>IF(T125&gt;0,Ruimtestaat[[#This Row],[Prest. (m2 /jaar) werkdagen]]/Ruimtestaat[[#This Row],[Norm (m2/uur) werkdagen]],0)</f>
        <v>0</v>
      </c>
      <c r="W125" s="171">
        <f>Ruimtestaat[[#This Row],[uren / jaar werkdagen]]*Tariefsopbouw!$E$35</f>
        <v>0</v>
      </c>
      <c r="X125" s="33"/>
      <c r="Y125" s="33">
        <f>IF(Ruimtestaat[[#This Row],[Frequentie weekend]]&gt;0,VALUE(LEFT(X125,1))*Q125,0)</f>
        <v>0</v>
      </c>
      <c r="Z125" s="104">
        <f>IF($Y125&gt;0,VLOOKUP($J125,Ruimtegroepen[],3,FALSE)*VLOOKUP($L125,Vloersoorten[],3,FALSE)*VLOOKUP($X125,Frequenties[],3,FALSE)*VLOOKUP(Ruimtestaat[[#This Row],[Code]],Locaties[],3,FALSE),0)</f>
        <v>0</v>
      </c>
      <c r="AA125" s="104">
        <f>Ruimtestaat[[#This Row],[Uitvoeringen weekend]]*Ruimtestaat[[#This Row],[Oppervlak (netto)]]</f>
        <v>0</v>
      </c>
      <c r="AB125" s="104">
        <f>IF(Z125&gt;0,Ruimtestaat[[#This Row],[Prest. (m2 /jaar) weekend]]/Ruimtestaat[[#This Row],[Norm (m2/uur) weekend]],0)</f>
        <v>0</v>
      </c>
      <c r="AC125" s="171">
        <f>Ruimtestaat[[#This Row],[uren / jaar weekend]]*Tariefsopbouw!$D$40</f>
        <v>0</v>
      </c>
      <c r="AD125" s="170">
        <f>Ruimtestaat[[#This Row],[Prest. (m2 /jaar) weekend]]+Ruimtestaat[[#This Row],[Prest. (m2 /jaar) werkdagen]]</f>
        <v>1400</v>
      </c>
      <c r="AE125" s="170">
        <f>Ruimtestaat[[#This Row],[uren / jaar weekend]]+Ruimtestaat[[#This Row],[uren / jaar werkdagen]]</f>
        <v>0</v>
      </c>
      <c r="AF125" s="76">
        <f>Ruimtestaat[[#This Row],[kosten / jaar weekend]]+Ruimtestaat[[#This Row],[kosten / jaar werkdagen]]</f>
        <v>0</v>
      </c>
      <c r="AG125" s="76"/>
      <c r="AH125" s="272" t="str">
        <f>IF(Ruimtestaat[[#This Row],[Frequentie werkdagen]]="","",_xlfn.CONCAT(Ruimtestaat[[#This Row],[Ruimte code]],"-",Ruimtestaat[[#This Row],[Frequentie werkdagen]]," ",Ruimtestaat[[#This Row],[Vloer code]]))</f>
        <v>5-5w S</v>
      </c>
      <c r="AI125" s="314" t="str">
        <f>_xlfn.IFNA(VLOOKUP($AH125,Programma!$F$3:$G$1107,2,0),"")</f>
        <v>_</v>
      </c>
      <c r="AJ125" s="314" t="str">
        <f>_xlfn.IFNA(VLOOKUP($AH125,Programma!$F$3:$H$1107,3,0),"")</f>
        <v>_</v>
      </c>
      <c r="AK125" s="314" t="str">
        <f>_xlfn.IFNA(VLOOKUP($AH125,Programma!$F$3:$I$1107,4,0),"")</f>
        <v>_</v>
      </c>
      <c r="AL125" s="314" t="str">
        <f>_xlfn.IFNA(VLOOKUP($AH125,Programma!$F$3:$J$1107,5,0),"")</f>
        <v>4w</v>
      </c>
      <c r="AM125" s="314" t="str">
        <f>_xlfn.IFNA(VLOOKUP($AH125,Programma!$F$3:$K$1107,6,0),"")</f>
        <v>1w</v>
      </c>
      <c r="AN125" s="314" t="str">
        <f>_xlfn.IFNA(VLOOKUP($AH125,Programma!$F$3:$L$1107,7,0),"")</f>
        <v>_</v>
      </c>
      <c r="AO125" s="314" t="str">
        <f>_xlfn.IFNA(VLOOKUP($AH125,Programma!$F$3:$M$1107,8,0),"")</f>
        <v>_</v>
      </c>
      <c r="AP125" s="314" t="str">
        <f>_xlfn.IFNA(VLOOKUP($AH125,Programma!$F$3:$N$1107,9,0),"")</f>
        <v>_</v>
      </c>
      <c r="AQ125" s="314" t="str">
        <f>_xlfn.IFNA(VLOOKUP($AH125,Programma!$F$3:$O$1107,10,0),"")</f>
        <v>_</v>
      </c>
      <c r="AR125" s="314" t="str">
        <f>_xlfn.IFNA(VLOOKUP($AH125,Programma!$F$3:$P$1107,11,0),"")</f>
        <v>_</v>
      </c>
      <c r="AS125" s="314" t="str">
        <f>_xlfn.IFNA(VLOOKUP($AH125,Programma!$F$3:$Q$1107,12,0),"")</f>
        <v>_</v>
      </c>
      <c r="AT125" s="314" t="str">
        <f>_xlfn.IFNA(VLOOKUP($AH125,Programma!$F$3:$R$1107,13,0),"")</f>
        <v>_</v>
      </c>
      <c r="AU125" s="314" t="str">
        <f>_xlfn.IFNA(VLOOKUP($AH125,Programma!$F$3:$S$1107,14,0),"")</f>
        <v>_</v>
      </c>
      <c r="AV125" s="314" t="str">
        <f>_xlfn.IFNA(VLOOKUP($AH125,Programma!$F$3:$T$1107,15,0),"")</f>
        <v>_</v>
      </c>
      <c r="AW125" s="314" t="str">
        <f>_xlfn.IFNA(VLOOKUP($AH125,Programma!$F$3:$U$1107,16,0),"")</f>
        <v>_</v>
      </c>
      <c r="AX125" s="314" t="str">
        <f>_xlfn.IFNA(VLOOKUP($AH125,Programma!$F$3:$V$1107,17,0),"")</f>
        <v>_</v>
      </c>
      <c r="AY125" s="314" t="str">
        <f>_xlfn.IFNA(VLOOKUP($AH125,Programma!$F$3:$W$1107,18,0),"")</f>
        <v>4w</v>
      </c>
      <c r="AZ125" s="314" t="str">
        <f>_xlfn.IFNA(VLOOKUP($AH125,Programma!$F$3:$X$1107,19,0),"")</f>
        <v>1w</v>
      </c>
      <c r="BA125" s="314" t="str">
        <f>_xlfn.IFNA(VLOOKUP($AH125,Programma!$F$3:$Y$1107,20,0),"")</f>
        <v>_</v>
      </c>
      <c r="BB125" s="273"/>
      <c r="BC125" s="272" t="str">
        <f>IF(Ruimtestaat[[#This Row],[Frequentie weekend]]="","",_xlfn.CONCAT(Ruimtestaat[[#This Row],[Ruimte code]],"-",Ruimtestaat[[#This Row],[Frequentie weekend]]," ",Ruimtestaat[[#This Row],[Vloer code]]))</f>
        <v/>
      </c>
      <c r="BD125" s="314" t="str">
        <f>_xlfn.IFNA(VLOOKUP($BC125,Programma!$F$3:$G$1107,2,0),"")</f>
        <v/>
      </c>
      <c r="BE125" s="314" t="str">
        <f>_xlfn.IFNA(VLOOKUP($BC125,Programma!$F$3:$H$1107,3,0),"")</f>
        <v/>
      </c>
      <c r="BF125" s="314" t="str">
        <f>_xlfn.IFNA(VLOOKUP($BC125,Programma!$F$3:$I$1107,4,0),"")</f>
        <v/>
      </c>
      <c r="BG125" s="314" t="str">
        <f>_xlfn.IFNA(VLOOKUP($BC125,Programma!$F$3:$J$1107,5,0),"")</f>
        <v/>
      </c>
      <c r="BH125" s="314" t="str">
        <f>_xlfn.IFNA(VLOOKUP($BC125,Programma!$F$3:$K$1107,6,0),"")</f>
        <v/>
      </c>
      <c r="BI125" s="314" t="str">
        <f>_xlfn.IFNA(VLOOKUP($BC125,Programma!$F$3:$L$1107,7,0),"")</f>
        <v/>
      </c>
      <c r="BJ125" s="314" t="str">
        <f>_xlfn.IFNA(VLOOKUP($BC125,Programma!$F$3:$M$1107,8,0),"")</f>
        <v/>
      </c>
      <c r="BK125" s="314" t="str">
        <f>_xlfn.IFNA(VLOOKUP($BC125,Programma!$F$3:$N$1107,9,0),"")</f>
        <v/>
      </c>
      <c r="BL125" s="314" t="str">
        <f>_xlfn.IFNA(VLOOKUP($BC125,Programma!$F$3:$O$1107,10,0),"")</f>
        <v/>
      </c>
      <c r="BM125" s="314" t="str">
        <f>_xlfn.IFNA(VLOOKUP($BC125,Programma!$F$3:$P$1107,11,0),"")</f>
        <v/>
      </c>
      <c r="BN125" s="314" t="str">
        <f>_xlfn.IFNA(VLOOKUP($BC125,Programma!$F$3:$Q$1107,12,0),"")</f>
        <v/>
      </c>
      <c r="BO125" s="314" t="str">
        <f>_xlfn.IFNA(VLOOKUP($BC125,Programma!$F$3:$R$1107,13,0),"")</f>
        <v/>
      </c>
      <c r="BP125" s="314" t="str">
        <f>_xlfn.IFNA(VLOOKUP($BC125,Programma!$F$3:$S$1107,14,0),"")</f>
        <v/>
      </c>
      <c r="BQ125" s="314" t="str">
        <f>_xlfn.IFNA(VLOOKUP($BC125,Programma!$F$3:$T$1107,15,0),"")</f>
        <v/>
      </c>
      <c r="BR125" s="314" t="str">
        <f>_xlfn.IFNA(VLOOKUP($BC125,Programma!$F$3:$U$1107,16,0),"")</f>
        <v/>
      </c>
      <c r="BS125" s="314" t="str">
        <f>_xlfn.IFNA(VLOOKUP($BC125,Programma!$F$3:$V$1107,17,0),"")</f>
        <v/>
      </c>
      <c r="BT125" s="314" t="str">
        <f>_xlfn.IFNA(VLOOKUP($BC125,Programma!$F$3:$W$1107,18,0),"")</f>
        <v/>
      </c>
      <c r="BU125" s="314" t="str">
        <f>_xlfn.IFNA(VLOOKUP($BC125,Programma!$F$3:$X$1107,19,0),"")</f>
        <v/>
      </c>
      <c r="BV125" s="314" t="str">
        <f>_xlfn.IFNA(VLOOKUP($BC125,Programma!$F$3:$Y$1107,20,0),"")</f>
        <v/>
      </c>
    </row>
    <row r="126" spans="1:74" ht="15" customHeight="1">
      <c r="A126" s="33">
        <v>1</v>
      </c>
      <c r="B126" s="173" t="str">
        <f>VLOOKUP(Ruimtestaat[[#This Row],[Code]],Locaties[[Code]:[Locatie]],2,FALSE)</f>
        <v>CCNV</v>
      </c>
      <c r="C126" s="173" t="str">
        <f>VLOOKUP(Ruimtestaat[[#This Row],[Code]],Locaties[[#All],[Code]:[Adres]],4,FALSE)</f>
        <v>Stationslaan 26</v>
      </c>
      <c r="D126" s="173" t="str">
        <f>VLOOKUP(Ruimtestaat[[#This Row],[Code]],Locaties[[#All],[Code]:[Postcode]],5,FALSE)</f>
        <v>3842 LA</v>
      </c>
      <c r="E126" s="173" t="str">
        <f>VLOOKUP(Ruimtestaat[[#This Row],[Code]],Locaties[#All],6,FALSE)</f>
        <v>Harderwijk</v>
      </c>
      <c r="F126" s="21" t="s">
        <v>1627</v>
      </c>
      <c r="G126" s="33" t="s">
        <v>1612</v>
      </c>
      <c r="H126" s="21" t="s">
        <v>1730</v>
      </c>
      <c r="I126" s="69" t="s">
        <v>1790</v>
      </c>
      <c r="J126" s="21">
        <v>5</v>
      </c>
      <c r="K126" s="69" t="str">
        <f>VLOOKUP(Ruimtestaat[[#This Row],[Ruimte code]],Ruimtegroepen[[#All],[Code]:[Ruimte omschrijving]],2,FALSE)</f>
        <v>Sanitair</v>
      </c>
      <c r="L126" s="33" t="s">
        <v>102</v>
      </c>
      <c r="M126" s="312" t="s">
        <v>1805</v>
      </c>
      <c r="N126" s="148">
        <v>7</v>
      </c>
      <c r="O126" s="33"/>
      <c r="P126" s="134" t="str">
        <f>VLOOKUP(Ruimtestaat[[#This Row],[Ruimte code]],Ruimtegroepen[],4,FALSE)</f>
        <v>Sa</v>
      </c>
      <c r="Q126" s="33">
        <v>40</v>
      </c>
      <c r="R126" s="33" t="s">
        <v>2</v>
      </c>
      <c r="S126" s="33">
        <f>IF(Q126&gt;0,IF(RIGHT(Ruimtestaat[[#This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6" s="33">
        <f>IF(S126&gt;0,VLOOKUP($J126,Ruimtegroepen[],3,FALSE)*VLOOKUP($L126,Vloersoorten[],3,FALSE)*VLOOKUP($R126,Frequenties[],3,FALSE)*VLOOKUP($A126,Locaties[],3,FALSE),0)</f>
        <v>0</v>
      </c>
      <c r="U126" s="33">
        <f>Ruimtestaat[[#This Row],[Uitvoeringen werkdagen]]*Ruimtestaat[[#This Row],[Oppervlak (netto)]]</f>
        <v>1400</v>
      </c>
      <c r="V126" s="170">
        <f>IF(T126&gt;0,Ruimtestaat[[#This Row],[Prest. (m2 /jaar) werkdagen]]/Ruimtestaat[[#This Row],[Norm (m2/uur) werkdagen]],0)</f>
        <v>0</v>
      </c>
      <c r="W126" s="171">
        <f>Ruimtestaat[[#This Row],[uren / jaar werkdagen]]*Tariefsopbouw!$E$35</f>
        <v>0</v>
      </c>
      <c r="X126" s="33"/>
      <c r="Y126" s="33">
        <f>IF(Ruimtestaat[[#This Row],[Frequentie weekend]]&gt;0,VALUE(LEFT(X126,1))*Q126,0)</f>
        <v>0</v>
      </c>
      <c r="Z126" s="104">
        <f>IF($Y126&gt;0,VLOOKUP($J126,Ruimtegroepen[],3,FALSE)*VLOOKUP($L126,Vloersoorten[],3,FALSE)*VLOOKUP($X126,Frequenties[],3,FALSE)*VLOOKUP(Ruimtestaat[[#This Row],[Code]],Locaties[],3,FALSE),0)</f>
        <v>0</v>
      </c>
      <c r="AA126" s="104">
        <f>Ruimtestaat[[#This Row],[Uitvoeringen weekend]]*Ruimtestaat[[#This Row],[Oppervlak (netto)]]</f>
        <v>0</v>
      </c>
      <c r="AB126" s="104">
        <f>IF(Z126&gt;0,Ruimtestaat[[#This Row],[Prest. (m2 /jaar) weekend]]/Ruimtestaat[[#This Row],[Norm (m2/uur) weekend]],0)</f>
        <v>0</v>
      </c>
      <c r="AC126" s="171">
        <f>Ruimtestaat[[#This Row],[uren / jaar weekend]]*Tariefsopbouw!$D$40</f>
        <v>0</v>
      </c>
      <c r="AD126" s="170">
        <f>Ruimtestaat[[#This Row],[Prest. (m2 /jaar) weekend]]+Ruimtestaat[[#This Row],[Prest. (m2 /jaar) werkdagen]]</f>
        <v>1400</v>
      </c>
      <c r="AE126" s="170">
        <f>Ruimtestaat[[#This Row],[uren / jaar weekend]]+Ruimtestaat[[#This Row],[uren / jaar werkdagen]]</f>
        <v>0</v>
      </c>
      <c r="AF126" s="76">
        <f>Ruimtestaat[[#This Row],[kosten / jaar weekend]]+Ruimtestaat[[#This Row],[kosten / jaar werkdagen]]</f>
        <v>0</v>
      </c>
      <c r="AG126" s="76"/>
      <c r="AH126" s="272" t="str">
        <f>IF(Ruimtestaat[[#This Row],[Frequentie werkdagen]]="","",_xlfn.CONCAT(Ruimtestaat[[#This Row],[Ruimte code]],"-",Ruimtestaat[[#This Row],[Frequentie werkdagen]]," ",Ruimtestaat[[#This Row],[Vloer code]]))</f>
        <v>5-5w S</v>
      </c>
      <c r="AI126" s="314" t="str">
        <f>_xlfn.IFNA(VLOOKUP($AH126,Programma!$F$3:$G$1107,2,0),"")</f>
        <v>_</v>
      </c>
      <c r="AJ126" s="314" t="str">
        <f>_xlfn.IFNA(VLOOKUP($AH126,Programma!$F$3:$H$1107,3,0),"")</f>
        <v>_</v>
      </c>
      <c r="AK126" s="314" t="str">
        <f>_xlfn.IFNA(VLOOKUP($AH126,Programma!$F$3:$I$1107,4,0),"")</f>
        <v>_</v>
      </c>
      <c r="AL126" s="314" t="str">
        <f>_xlfn.IFNA(VLOOKUP($AH126,Programma!$F$3:$J$1107,5,0),"")</f>
        <v>4w</v>
      </c>
      <c r="AM126" s="314" t="str">
        <f>_xlfn.IFNA(VLOOKUP($AH126,Programma!$F$3:$K$1107,6,0),"")</f>
        <v>1w</v>
      </c>
      <c r="AN126" s="314" t="str">
        <f>_xlfn.IFNA(VLOOKUP($AH126,Programma!$F$3:$L$1107,7,0),"")</f>
        <v>_</v>
      </c>
      <c r="AO126" s="314" t="str">
        <f>_xlfn.IFNA(VLOOKUP($AH126,Programma!$F$3:$M$1107,8,0),"")</f>
        <v>_</v>
      </c>
      <c r="AP126" s="314" t="str">
        <f>_xlfn.IFNA(VLOOKUP($AH126,Programma!$F$3:$N$1107,9,0),"")</f>
        <v>_</v>
      </c>
      <c r="AQ126" s="314" t="str">
        <f>_xlfn.IFNA(VLOOKUP($AH126,Programma!$F$3:$O$1107,10,0),"")</f>
        <v>_</v>
      </c>
      <c r="AR126" s="314" t="str">
        <f>_xlfn.IFNA(VLOOKUP($AH126,Programma!$F$3:$P$1107,11,0),"")</f>
        <v>_</v>
      </c>
      <c r="AS126" s="314" t="str">
        <f>_xlfn.IFNA(VLOOKUP($AH126,Programma!$F$3:$Q$1107,12,0),"")</f>
        <v>_</v>
      </c>
      <c r="AT126" s="314" t="str">
        <f>_xlfn.IFNA(VLOOKUP($AH126,Programma!$F$3:$R$1107,13,0),"")</f>
        <v>_</v>
      </c>
      <c r="AU126" s="314" t="str">
        <f>_xlfn.IFNA(VLOOKUP($AH126,Programma!$F$3:$S$1107,14,0),"")</f>
        <v>_</v>
      </c>
      <c r="AV126" s="314" t="str">
        <f>_xlfn.IFNA(VLOOKUP($AH126,Programma!$F$3:$T$1107,15,0),"")</f>
        <v>_</v>
      </c>
      <c r="AW126" s="314" t="str">
        <f>_xlfn.IFNA(VLOOKUP($AH126,Programma!$F$3:$U$1107,16,0),"")</f>
        <v>_</v>
      </c>
      <c r="AX126" s="314" t="str">
        <f>_xlfn.IFNA(VLOOKUP($AH126,Programma!$F$3:$V$1107,17,0),"")</f>
        <v>_</v>
      </c>
      <c r="AY126" s="314" t="str">
        <f>_xlfn.IFNA(VLOOKUP($AH126,Programma!$F$3:$W$1107,18,0),"")</f>
        <v>4w</v>
      </c>
      <c r="AZ126" s="314" t="str">
        <f>_xlfn.IFNA(VLOOKUP($AH126,Programma!$F$3:$X$1107,19,0),"")</f>
        <v>1w</v>
      </c>
      <c r="BA126" s="314" t="str">
        <f>_xlfn.IFNA(VLOOKUP($AH126,Programma!$F$3:$Y$1107,20,0),"")</f>
        <v>_</v>
      </c>
      <c r="BB126" s="273"/>
      <c r="BC126" s="272" t="str">
        <f>IF(Ruimtestaat[[#This Row],[Frequentie weekend]]="","",_xlfn.CONCAT(Ruimtestaat[[#This Row],[Ruimte code]],"-",Ruimtestaat[[#This Row],[Frequentie weekend]]," ",Ruimtestaat[[#This Row],[Vloer code]]))</f>
        <v/>
      </c>
      <c r="BD126" s="314" t="str">
        <f>_xlfn.IFNA(VLOOKUP($BC126,Programma!$F$3:$G$1107,2,0),"")</f>
        <v/>
      </c>
      <c r="BE126" s="314" t="str">
        <f>_xlfn.IFNA(VLOOKUP($BC126,Programma!$F$3:$H$1107,3,0),"")</f>
        <v/>
      </c>
      <c r="BF126" s="314" t="str">
        <f>_xlfn.IFNA(VLOOKUP($BC126,Programma!$F$3:$I$1107,4,0),"")</f>
        <v/>
      </c>
      <c r="BG126" s="314" t="str">
        <f>_xlfn.IFNA(VLOOKUP($BC126,Programma!$F$3:$J$1107,5,0),"")</f>
        <v/>
      </c>
      <c r="BH126" s="314" t="str">
        <f>_xlfn.IFNA(VLOOKUP($BC126,Programma!$F$3:$K$1107,6,0),"")</f>
        <v/>
      </c>
      <c r="BI126" s="314" t="str">
        <f>_xlfn.IFNA(VLOOKUP($BC126,Programma!$F$3:$L$1107,7,0),"")</f>
        <v/>
      </c>
      <c r="BJ126" s="314" t="str">
        <f>_xlfn.IFNA(VLOOKUP($BC126,Programma!$F$3:$M$1107,8,0),"")</f>
        <v/>
      </c>
      <c r="BK126" s="314" t="str">
        <f>_xlfn.IFNA(VLOOKUP($BC126,Programma!$F$3:$N$1107,9,0),"")</f>
        <v/>
      </c>
      <c r="BL126" s="314" t="str">
        <f>_xlfn.IFNA(VLOOKUP($BC126,Programma!$F$3:$O$1107,10,0),"")</f>
        <v/>
      </c>
      <c r="BM126" s="314" t="str">
        <f>_xlfn.IFNA(VLOOKUP($BC126,Programma!$F$3:$P$1107,11,0),"")</f>
        <v/>
      </c>
      <c r="BN126" s="314" t="str">
        <f>_xlfn.IFNA(VLOOKUP($BC126,Programma!$F$3:$Q$1107,12,0),"")</f>
        <v/>
      </c>
      <c r="BO126" s="314" t="str">
        <f>_xlfn.IFNA(VLOOKUP($BC126,Programma!$F$3:$R$1107,13,0),"")</f>
        <v/>
      </c>
      <c r="BP126" s="314" t="str">
        <f>_xlfn.IFNA(VLOOKUP($BC126,Programma!$F$3:$S$1107,14,0),"")</f>
        <v/>
      </c>
      <c r="BQ126" s="314" t="str">
        <f>_xlfn.IFNA(VLOOKUP($BC126,Programma!$F$3:$T$1107,15,0),"")</f>
        <v/>
      </c>
      <c r="BR126" s="314" t="str">
        <f>_xlfn.IFNA(VLOOKUP($BC126,Programma!$F$3:$U$1107,16,0),"")</f>
        <v/>
      </c>
      <c r="BS126" s="314" t="str">
        <f>_xlfn.IFNA(VLOOKUP($BC126,Programma!$F$3:$V$1107,17,0),"")</f>
        <v/>
      </c>
      <c r="BT126" s="314" t="str">
        <f>_xlfn.IFNA(VLOOKUP($BC126,Programma!$F$3:$W$1107,18,0),"")</f>
        <v/>
      </c>
      <c r="BU126" s="314" t="str">
        <f>_xlfn.IFNA(VLOOKUP($BC126,Programma!$F$3:$X$1107,19,0),"")</f>
        <v/>
      </c>
      <c r="BV126" s="314" t="str">
        <f>_xlfn.IFNA(VLOOKUP($BC126,Programma!$F$3:$Y$1107,20,0),"")</f>
        <v/>
      </c>
    </row>
    <row r="127" spans="1:74" ht="15" customHeight="1">
      <c r="A127" s="33">
        <v>1</v>
      </c>
      <c r="B127" s="173" t="str">
        <f>VLOOKUP(Ruimtestaat[[#This Row],[Code]],Locaties[[Code]:[Locatie]],2,FALSE)</f>
        <v>CCNV</v>
      </c>
      <c r="C127" s="173" t="str">
        <f>VLOOKUP(Ruimtestaat[[#This Row],[Code]],Locaties[[#All],[Code]:[Adres]],4,FALSE)</f>
        <v>Stationslaan 26</v>
      </c>
      <c r="D127" s="173" t="str">
        <f>VLOOKUP(Ruimtestaat[[#This Row],[Code]],Locaties[[#All],[Code]:[Postcode]],5,FALSE)</f>
        <v>3842 LA</v>
      </c>
      <c r="E127" s="173" t="str">
        <f>VLOOKUP(Ruimtestaat[[#This Row],[Code]],Locaties[#All],6,FALSE)</f>
        <v>Harderwijk</v>
      </c>
      <c r="F127" s="21" t="s">
        <v>1628</v>
      </c>
      <c r="G127" s="33" t="s">
        <v>1613</v>
      </c>
      <c r="H127" s="21" t="s">
        <v>1731</v>
      </c>
      <c r="I127" s="69" t="s">
        <v>1615</v>
      </c>
      <c r="J127" s="21">
        <v>16</v>
      </c>
      <c r="K127" s="69" t="str">
        <f>VLOOKUP(Ruimtestaat[[#This Row],[Ruimte code]],Ruimtegroepen[[#All],[Code]:[Ruimte omschrijving]],2,FALSE)</f>
        <v>Leslokalen</v>
      </c>
      <c r="L127" s="33" t="s">
        <v>100</v>
      </c>
      <c r="M127" s="312" t="s">
        <v>1803</v>
      </c>
      <c r="N127" s="148">
        <v>120</v>
      </c>
      <c r="O127" s="150"/>
      <c r="P127" s="134" t="str">
        <f>VLOOKUP(Ruimtestaat[[#This Row],[Ruimte code]],Ruimtegroepen[],4,FALSE)</f>
        <v>Le</v>
      </c>
      <c r="Q127" s="33">
        <v>40</v>
      </c>
      <c r="R127" s="33" t="s">
        <v>2</v>
      </c>
      <c r="S127" s="33">
        <f>IF(Q127&gt;0,IF(RIGHT(Ruimtestaat[[#This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7" s="33">
        <f>IF(S127&gt;0,VLOOKUP($J127,Ruimtegroepen[],3,FALSE)*VLOOKUP($L127,Vloersoorten[],3,FALSE)*VLOOKUP($R127,Frequenties[],3,FALSE)*VLOOKUP($A127,Locaties[],3,FALSE),0)</f>
        <v>0</v>
      </c>
      <c r="U127" s="33">
        <f>Ruimtestaat[[#This Row],[Uitvoeringen werkdagen]]*Ruimtestaat[[#This Row],[Oppervlak (netto)]]</f>
        <v>24000</v>
      </c>
      <c r="V127" s="170">
        <f>IF(T127&gt;0,Ruimtestaat[[#This Row],[Prest. (m2 /jaar) werkdagen]]/Ruimtestaat[[#This Row],[Norm (m2/uur) werkdagen]],0)</f>
        <v>0</v>
      </c>
      <c r="W127" s="171">
        <f>Ruimtestaat[[#This Row],[uren / jaar werkdagen]]*Tariefsopbouw!$E$35</f>
        <v>0</v>
      </c>
      <c r="X127" s="33"/>
      <c r="Y127" s="33">
        <f>IF(Ruimtestaat[[#This Row],[Frequentie weekend]]&gt;0,VALUE(LEFT(X127,1))*Q127,0)</f>
        <v>0</v>
      </c>
      <c r="Z127" s="104">
        <f>IF($Y127&gt;0,VLOOKUP($J127,Ruimtegroepen[],3,FALSE)*VLOOKUP($L127,Vloersoorten[],3,FALSE)*VLOOKUP($X127,Frequenties[],3,FALSE)*VLOOKUP(Ruimtestaat[[#This Row],[Code]],Locaties[],3,FALSE),0)</f>
        <v>0</v>
      </c>
      <c r="AA127" s="104">
        <f>Ruimtestaat[[#This Row],[Uitvoeringen weekend]]*Ruimtestaat[[#This Row],[Oppervlak (netto)]]</f>
        <v>0</v>
      </c>
      <c r="AB127" s="104">
        <f>IF(Z127&gt;0,Ruimtestaat[[#This Row],[Prest. (m2 /jaar) weekend]]/Ruimtestaat[[#This Row],[Norm (m2/uur) weekend]],0)</f>
        <v>0</v>
      </c>
      <c r="AC127" s="171">
        <f>Ruimtestaat[[#This Row],[uren / jaar weekend]]*Tariefsopbouw!$D$40</f>
        <v>0</v>
      </c>
      <c r="AD127" s="170">
        <f>Ruimtestaat[[#This Row],[Prest. (m2 /jaar) weekend]]+Ruimtestaat[[#This Row],[Prest. (m2 /jaar) werkdagen]]</f>
        <v>24000</v>
      </c>
      <c r="AE127" s="170">
        <f>Ruimtestaat[[#This Row],[uren / jaar weekend]]+Ruimtestaat[[#This Row],[uren / jaar werkdagen]]</f>
        <v>0</v>
      </c>
      <c r="AF127" s="76">
        <f>Ruimtestaat[[#This Row],[kosten / jaar weekend]]+Ruimtestaat[[#This Row],[kosten / jaar werkdagen]]</f>
        <v>0</v>
      </c>
      <c r="AG127" s="76"/>
      <c r="AH127" s="272" t="str">
        <f>IF(Ruimtestaat[[#This Row],[Frequentie werkdagen]]="","",_xlfn.CONCAT(Ruimtestaat[[#This Row],[Ruimte code]],"-",Ruimtestaat[[#This Row],[Frequentie werkdagen]]," ",Ruimtestaat[[#This Row],[Vloer code]]))</f>
        <v>16-5w T</v>
      </c>
      <c r="AI127" s="314" t="str">
        <f>_xlfn.IFNA(VLOOKUP($AH127,Programma!$F$3:$G$1107,2,0),"")</f>
        <v>3w</v>
      </c>
      <c r="AJ127" s="314" t="str">
        <f>_xlfn.IFNA(VLOOKUP($AH127,Programma!$F$3:$H$1107,3,0),"")</f>
        <v>2w</v>
      </c>
      <c r="AK127" s="314" t="str">
        <f>_xlfn.IFNA(VLOOKUP($AH127,Programma!$F$3:$I$1107,4,0),"")</f>
        <v>_</v>
      </c>
      <c r="AL127" s="314" t="str">
        <f>_xlfn.IFNA(VLOOKUP($AH127,Programma!$F$3:$J$1107,5,0),"")</f>
        <v>_</v>
      </c>
      <c r="AM127" s="314" t="str">
        <f>_xlfn.IFNA(VLOOKUP($AH127,Programma!$F$3:$K$1107,6,0),"")</f>
        <v>_</v>
      </c>
      <c r="AN127" s="314" t="str">
        <f>_xlfn.IFNA(VLOOKUP($AH127,Programma!$F$3:$L$1107,7,0),"")</f>
        <v>_</v>
      </c>
      <c r="AO127" s="314" t="str">
        <f>_xlfn.IFNA(VLOOKUP($AH127,Programma!$F$3:$M$1107,8,0),"")</f>
        <v>_</v>
      </c>
      <c r="AP127" s="314" t="str">
        <f>_xlfn.IFNA(VLOOKUP($AH127,Programma!$F$3:$N$1107,9,0),"")</f>
        <v>_</v>
      </c>
      <c r="AQ127" s="314" t="str">
        <f>_xlfn.IFNA(VLOOKUP($AH127,Programma!$F$3:$O$1107,10,0),"")</f>
        <v>5w</v>
      </c>
      <c r="AR127" s="314" t="str">
        <f>_xlfn.IFNA(VLOOKUP($AH127,Programma!$F$3:$P$1107,11,0),"")</f>
        <v>5w</v>
      </c>
      <c r="AS127" s="314" t="str">
        <f>_xlfn.IFNA(VLOOKUP($AH127,Programma!$F$3:$Q$1107,12,0),"")</f>
        <v>1w</v>
      </c>
      <c r="AT127" s="314" t="str">
        <f>_xlfn.IFNA(VLOOKUP($AH127,Programma!$F$3:$R$1107,13,0),"")</f>
        <v>1w</v>
      </c>
      <c r="AU127" s="314" t="str">
        <f>_xlfn.IFNA(VLOOKUP($AH127,Programma!$F$3:$S$1107,14,0),"")</f>
        <v>1m</v>
      </c>
      <c r="AV127" s="314" t="str">
        <f>_xlfn.IFNA(VLOOKUP($AH127,Programma!$F$3:$T$1107,15,0),"")</f>
        <v>2j</v>
      </c>
      <c r="AW127" s="314" t="str">
        <f>_xlfn.IFNA(VLOOKUP($AH127,Programma!$F$3:$U$1107,16,0),"")</f>
        <v>1j</v>
      </c>
      <c r="AX127" s="314" t="str">
        <f>_xlfn.IFNA(VLOOKUP($AH127,Programma!$F$3:$V$1107,17,0),"")</f>
        <v>_</v>
      </c>
      <c r="AY127" s="314" t="str">
        <f>_xlfn.IFNA(VLOOKUP($AH127,Programma!$F$3:$W$1107,18,0),"")</f>
        <v>_</v>
      </c>
      <c r="AZ127" s="314" t="str">
        <f>_xlfn.IFNA(VLOOKUP($AH127,Programma!$F$3:$X$1107,19,0),"")</f>
        <v>_</v>
      </c>
      <c r="BA127" s="314" t="str">
        <f>_xlfn.IFNA(VLOOKUP($AH127,Programma!$F$3:$Y$1107,20,0),"")</f>
        <v>_</v>
      </c>
      <c r="BB127" s="273"/>
      <c r="BC127" s="272" t="str">
        <f>IF(Ruimtestaat[[#This Row],[Frequentie weekend]]="","",_xlfn.CONCAT(Ruimtestaat[[#This Row],[Ruimte code]],"-",Ruimtestaat[[#This Row],[Frequentie weekend]]," ",Ruimtestaat[[#This Row],[Vloer code]]))</f>
        <v/>
      </c>
      <c r="BD127" s="314" t="str">
        <f>_xlfn.IFNA(VLOOKUP($BC127,Programma!$F$3:$G$1107,2,0),"")</f>
        <v/>
      </c>
      <c r="BE127" s="314" t="str">
        <f>_xlfn.IFNA(VLOOKUP($BC127,Programma!$F$3:$H$1107,3,0),"")</f>
        <v/>
      </c>
      <c r="BF127" s="314" t="str">
        <f>_xlfn.IFNA(VLOOKUP($BC127,Programma!$F$3:$I$1107,4,0),"")</f>
        <v/>
      </c>
      <c r="BG127" s="314" t="str">
        <f>_xlfn.IFNA(VLOOKUP($BC127,Programma!$F$3:$J$1107,5,0),"")</f>
        <v/>
      </c>
      <c r="BH127" s="314" t="str">
        <f>_xlfn.IFNA(VLOOKUP($BC127,Programma!$F$3:$K$1107,6,0),"")</f>
        <v/>
      </c>
      <c r="BI127" s="314" t="str">
        <f>_xlfn.IFNA(VLOOKUP($BC127,Programma!$F$3:$L$1107,7,0),"")</f>
        <v/>
      </c>
      <c r="BJ127" s="314" t="str">
        <f>_xlfn.IFNA(VLOOKUP($BC127,Programma!$F$3:$M$1107,8,0),"")</f>
        <v/>
      </c>
      <c r="BK127" s="314" t="str">
        <f>_xlfn.IFNA(VLOOKUP($BC127,Programma!$F$3:$N$1107,9,0),"")</f>
        <v/>
      </c>
      <c r="BL127" s="314" t="str">
        <f>_xlfn.IFNA(VLOOKUP($BC127,Programma!$F$3:$O$1107,10,0),"")</f>
        <v/>
      </c>
      <c r="BM127" s="314" t="str">
        <f>_xlfn.IFNA(VLOOKUP($BC127,Programma!$F$3:$P$1107,11,0),"")</f>
        <v/>
      </c>
      <c r="BN127" s="314" t="str">
        <f>_xlfn.IFNA(VLOOKUP($BC127,Programma!$F$3:$Q$1107,12,0),"")</f>
        <v/>
      </c>
      <c r="BO127" s="314" t="str">
        <f>_xlfn.IFNA(VLOOKUP($BC127,Programma!$F$3:$R$1107,13,0),"")</f>
        <v/>
      </c>
      <c r="BP127" s="314" t="str">
        <f>_xlfn.IFNA(VLOOKUP($BC127,Programma!$F$3:$S$1107,14,0),"")</f>
        <v/>
      </c>
      <c r="BQ127" s="314" t="str">
        <f>_xlfn.IFNA(VLOOKUP($BC127,Programma!$F$3:$T$1107,15,0),"")</f>
        <v/>
      </c>
      <c r="BR127" s="314" t="str">
        <f>_xlfn.IFNA(VLOOKUP($BC127,Programma!$F$3:$U$1107,16,0),"")</f>
        <v/>
      </c>
      <c r="BS127" s="314" t="str">
        <f>_xlfn.IFNA(VLOOKUP($BC127,Programma!$F$3:$V$1107,17,0),"")</f>
        <v/>
      </c>
      <c r="BT127" s="314" t="str">
        <f>_xlfn.IFNA(VLOOKUP($BC127,Programma!$F$3:$W$1107,18,0),"")</f>
        <v/>
      </c>
      <c r="BU127" s="314" t="str">
        <f>_xlfn.IFNA(VLOOKUP($BC127,Programma!$F$3:$X$1107,19,0),"")</f>
        <v/>
      </c>
      <c r="BV127" s="314" t="str">
        <f>_xlfn.IFNA(VLOOKUP($BC127,Programma!$F$3:$Y$1107,20,0),"")</f>
        <v/>
      </c>
    </row>
    <row r="128" spans="1:74" ht="15" customHeight="1">
      <c r="A128" s="33">
        <v>1</v>
      </c>
      <c r="B128" s="173" t="str">
        <f>VLOOKUP(Ruimtestaat[[#This Row],[Code]],Locaties[[Code]:[Locatie]],2,FALSE)</f>
        <v>CCNV</v>
      </c>
      <c r="C128" s="173" t="str">
        <f>VLOOKUP(Ruimtestaat[[#This Row],[Code]],Locaties[[#All],[Code]:[Adres]],4,FALSE)</f>
        <v>Stationslaan 26</v>
      </c>
      <c r="D128" s="173" t="str">
        <f>VLOOKUP(Ruimtestaat[[#This Row],[Code]],Locaties[[#All],[Code]:[Postcode]],5,FALSE)</f>
        <v>3842 LA</v>
      </c>
      <c r="E128" s="173" t="str">
        <f>VLOOKUP(Ruimtestaat[[#This Row],[Code]],Locaties[#All],6,FALSE)</f>
        <v>Harderwijk</v>
      </c>
      <c r="F128" s="21" t="s">
        <v>1628</v>
      </c>
      <c r="G128" s="33" t="s">
        <v>1613</v>
      </c>
      <c r="H128" s="21" t="s">
        <v>1731</v>
      </c>
      <c r="I128" s="69" t="s">
        <v>1615</v>
      </c>
      <c r="J128" s="21">
        <v>16</v>
      </c>
      <c r="K128" s="69" t="str">
        <f>VLOOKUP(Ruimtestaat[[#This Row],[Ruimte code]],Ruimtegroepen[[#All],[Code]:[Ruimte omschrijving]],2,FALSE)</f>
        <v>Leslokalen</v>
      </c>
      <c r="L128" s="33" t="s">
        <v>101</v>
      </c>
      <c r="M128" s="312" t="s">
        <v>1804</v>
      </c>
      <c r="N128" s="148">
        <v>12.5</v>
      </c>
      <c r="O128" s="150"/>
      <c r="P128" s="134" t="str">
        <f>VLOOKUP(Ruimtestaat[[#This Row],[Ruimte code]],Ruimtegroepen[],4,FALSE)</f>
        <v>Le</v>
      </c>
      <c r="Q128" s="33">
        <v>40</v>
      </c>
      <c r="R128" s="33" t="s">
        <v>2</v>
      </c>
      <c r="S128" s="33">
        <f>IF(Q128&gt;0,IF(RIGHT(Ruimtestaat[[#This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8" s="33">
        <f>IF(S128&gt;0,VLOOKUP($J128,Ruimtegroepen[],3,FALSE)*VLOOKUP($L128,Vloersoorten[],3,FALSE)*VLOOKUP($R128,Frequenties[],3,FALSE)*VLOOKUP($A128,Locaties[],3,FALSE),0)</f>
        <v>0</v>
      </c>
      <c r="U128" s="33">
        <f>Ruimtestaat[[#This Row],[Uitvoeringen werkdagen]]*Ruimtestaat[[#This Row],[Oppervlak (netto)]]</f>
        <v>2500</v>
      </c>
      <c r="V128" s="170">
        <f>IF(T128&gt;0,Ruimtestaat[[#This Row],[Prest. (m2 /jaar) werkdagen]]/Ruimtestaat[[#This Row],[Norm (m2/uur) werkdagen]],0)</f>
        <v>0</v>
      </c>
      <c r="W128" s="171">
        <f>Ruimtestaat[[#This Row],[uren / jaar werkdagen]]*Tariefsopbouw!$E$35</f>
        <v>0</v>
      </c>
      <c r="X128" s="33"/>
      <c r="Y128" s="33">
        <f>IF(Ruimtestaat[[#This Row],[Frequentie weekend]]&gt;0,VALUE(LEFT(X128,1))*Q128,0)</f>
        <v>0</v>
      </c>
      <c r="Z128" s="104">
        <f>IF($Y128&gt;0,VLOOKUP($J128,Ruimtegroepen[],3,FALSE)*VLOOKUP($L128,Vloersoorten[],3,FALSE)*VLOOKUP($X128,Frequenties[],3,FALSE)*VLOOKUP(Ruimtestaat[[#This Row],[Code]],Locaties[],3,FALSE),0)</f>
        <v>0</v>
      </c>
      <c r="AA128" s="104">
        <f>Ruimtestaat[[#This Row],[Uitvoeringen weekend]]*Ruimtestaat[[#This Row],[Oppervlak (netto)]]</f>
        <v>0</v>
      </c>
      <c r="AB128" s="104">
        <f>IF(Z128&gt;0,Ruimtestaat[[#This Row],[Prest. (m2 /jaar) weekend]]/Ruimtestaat[[#This Row],[Norm (m2/uur) weekend]],0)</f>
        <v>0</v>
      </c>
      <c r="AC128" s="171">
        <f>Ruimtestaat[[#This Row],[uren / jaar weekend]]*Tariefsopbouw!$D$40</f>
        <v>0</v>
      </c>
      <c r="AD128" s="170">
        <f>Ruimtestaat[[#This Row],[Prest. (m2 /jaar) weekend]]+Ruimtestaat[[#This Row],[Prest. (m2 /jaar) werkdagen]]</f>
        <v>2500</v>
      </c>
      <c r="AE128" s="170">
        <f>Ruimtestaat[[#This Row],[uren / jaar weekend]]+Ruimtestaat[[#This Row],[uren / jaar werkdagen]]</f>
        <v>0</v>
      </c>
      <c r="AF128" s="76">
        <f>Ruimtestaat[[#This Row],[kosten / jaar weekend]]+Ruimtestaat[[#This Row],[kosten / jaar werkdagen]]</f>
        <v>0</v>
      </c>
      <c r="AG128" s="76"/>
      <c r="AH128" s="272" t="str">
        <f>IF(Ruimtestaat[[#This Row],[Frequentie werkdagen]]="","",_xlfn.CONCAT(Ruimtestaat[[#This Row],[Ruimte code]],"-",Ruimtestaat[[#This Row],[Frequentie werkdagen]]," ",Ruimtestaat[[#This Row],[Vloer code]]))</f>
        <v>16-5w L</v>
      </c>
      <c r="AI128" s="310" t="str">
        <f>_xlfn.IFNA(VLOOKUP($AH128,Programma!$F$3:$G$1107,2,0),"")</f>
        <v>_</v>
      </c>
      <c r="AJ128" s="310" t="str">
        <f>_xlfn.IFNA(VLOOKUP($AH128,Programma!$F$3:$H$1107,3,0),"")</f>
        <v>_</v>
      </c>
      <c r="AK128" s="310" t="str">
        <f>_xlfn.IFNA(VLOOKUP($AH128,Programma!$F$3:$I$1107,4,0),"")</f>
        <v>4w</v>
      </c>
      <c r="AL128" s="310" t="str">
        <f>_xlfn.IFNA(VLOOKUP($AH128,Programma!$F$3:$J$1107,5,0),"")</f>
        <v>1w</v>
      </c>
      <c r="AM128" s="310" t="str">
        <f>_xlfn.IFNA(VLOOKUP($AH128,Programma!$F$3:$K$1107,6,0),"")</f>
        <v>_</v>
      </c>
      <c r="AN128" s="310" t="str">
        <f>_xlfn.IFNA(VLOOKUP($AH128,Programma!$F$3:$L$1107,7,0),"")</f>
        <v>_</v>
      </c>
      <c r="AO128" s="310" t="str">
        <f>_xlfn.IFNA(VLOOKUP($AH128,Programma!$F$3:$M$1107,8,0),"")</f>
        <v>_</v>
      </c>
      <c r="AP128" s="310" t="str">
        <f>_xlfn.IFNA(VLOOKUP($AH128,Programma!$F$3:$N$1107,9,0),"")</f>
        <v>_</v>
      </c>
      <c r="AQ128" s="310" t="str">
        <f>_xlfn.IFNA(VLOOKUP($AH128,Programma!$F$3:$O$1107,10,0),"")</f>
        <v>5w</v>
      </c>
      <c r="AR128" s="310" t="str">
        <f>_xlfn.IFNA(VLOOKUP($AH128,Programma!$F$3:$P$1107,11,0),"")</f>
        <v>5w</v>
      </c>
      <c r="AS128" s="310" t="str">
        <f>_xlfn.IFNA(VLOOKUP($AH128,Programma!$F$3:$Q$1107,12,0),"")</f>
        <v>1w</v>
      </c>
      <c r="AT128" s="310" t="str">
        <f>_xlfn.IFNA(VLOOKUP($AH128,Programma!$F$3:$R$1107,13,0),"")</f>
        <v>1w</v>
      </c>
      <c r="AU128" s="310" t="str">
        <f>_xlfn.IFNA(VLOOKUP($AH128,Programma!$F$3:$S$1107,14,0),"")</f>
        <v>1m</v>
      </c>
      <c r="AV128" s="310" t="str">
        <f>_xlfn.IFNA(VLOOKUP($AH128,Programma!$F$3:$T$1107,15,0),"")</f>
        <v>2j</v>
      </c>
      <c r="AW128" s="310" t="str">
        <f>_xlfn.IFNA(VLOOKUP($AH128,Programma!$F$3:$U$1107,16,0),"")</f>
        <v>1j</v>
      </c>
      <c r="AX128" s="310" t="str">
        <f>_xlfn.IFNA(VLOOKUP($AH128,Programma!$F$3:$V$1107,17,0),"")</f>
        <v>_</v>
      </c>
      <c r="AY128" s="310" t="str">
        <f>_xlfn.IFNA(VLOOKUP($AH128,Programma!$F$3:$W$1107,18,0),"")</f>
        <v>_</v>
      </c>
      <c r="AZ128" s="310" t="str">
        <f>_xlfn.IFNA(VLOOKUP($AH128,Programma!$F$3:$X$1107,19,0),"")</f>
        <v>_</v>
      </c>
      <c r="BA128" s="310" t="str">
        <f>_xlfn.IFNA(VLOOKUP($AH128,Programma!$F$3:$Y$1107,20,0),"")</f>
        <v>_</v>
      </c>
      <c r="BB128" s="273"/>
      <c r="BC128" s="272" t="str">
        <f>IF(Ruimtestaat[[#This Row],[Frequentie weekend]]="","",_xlfn.CONCAT(Ruimtestaat[[#This Row],[Ruimte code]],"-",Ruimtestaat[[#This Row],[Frequentie weekend]]," ",Ruimtestaat[[#This Row],[Vloer code]]))</f>
        <v/>
      </c>
      <c r="BD128" s="310" t="str">
        <f>_xlfn.IFNA(VLOOKUP($BC128,Programma!$F$3:$G$1107,2,0),"")</f>
        <v/>
      </c>
      <c r="BE128" s="310" t="str">
        <f>_xlfn.IFNA(VLOOKUP($BC128,Programma!$F$3:$H$1107,3,0),"")</f>
        <v/>
      </c>
      <c r="BF128" s="310" t="str">
        <f>_xlfn.IFNA(VLOOKUP($BC128,Programma!$F$3:$I$1107,4,0),"")</f>
        <v/>
      </c>
      <c r="BG128" s="310" t="str">
        <f>_xlfn.IFNA(VLOOKUP($BC128,Programma!$F$3:$J$1107,5,0),"")</f>
        <v/>
      </c>
      <c r="BH128" s="310" t="str">
        <f>_xlfn.IFNA(VLOOKUP($BC128,Programma!$F$3:$K$1107,6,0),"")</f>
        <v/>
      </c>
      <c r="BI128" s="310" t="str">
        <f>_xlfn.IFNA(VLOOKUP($BC128,Programma!$F$3:$L$1107,7,0),"")</f>
        <v/>
      </c>
      <c r="BJ128" s="310" t="str">
        <f>_xlfn.IFNA(VLOOKUP($BC128,Programma!$F$3:$M$1107,8,0),"")</f>
        <v/>
      </c>
      <c r="BK128" s="310" t="str">
        <f>_xlfn.IFNA(VLOOKUP($BC128,Programma!$F$3:$N$1107,9,0),"")</f>
        <v/>
      </c>
      <c r="BL128" s="310" t="str">
        <f>_xlfn.IFNA(VLOOKUP($BC128,Programma!$F$3:$O$1107,10,0),"")</f>
        <v/>
      </c>
      <c r="BM128" s="310" t="str">
        <f>_xlfn.IFNA(VLOOKUP($BC128,Programma!$F$3:$P$1107,11,0),"")</f>
        <v/>
      </c>
      <c r="BN128" s="310" t="str">
        <f>_xlfn.IFNA(VLOOKUP($BC128,Programma!$F$3:$Q$1107,12,0),"")</f>
        <v/>
      </c>
      <c r="BO128" s="310" t="str">
        <f>_xlfn.IFNA(VLOOKUP($BC128,Programma!$F$3:$R$1107,13,0),"")</f>
        <v/>
      </c>
      <c r="BP128" s="310" t="str">
        <f>_xlfn.IFNA(VLOOKUP($BC128,Programma!$F$3:$S$1107,14,0),"")</f>
        <v/>
      </c>
      <c r="BQ128" s="310" t="str">
        <f>_xlfn.IFNA(VLOOKUP($BC128,Programma!$F$3:$T$1107,15,0),"")</f>
        <v/>
      </c>
      <c r="BR128" s="310" t="str">
        <f>_xlfn.IFNA(VLOOKUP($BC128,Programma!$F$3:$U$1107,16,0),"")</f>
        <v/>
      </c>
      <c r="BS128" s="310" t="str">
        <f>_xlfn.IFNA(VLOOKUP($BC128,Programma!$F$3:$V$1107,17,0),"")</f>
        <v/>
      </c>
      <c r="BT128" s="310" t="str">
        <f>_xlfn.IFNA(VLOOKUP($BC128,Programma!$F$3:$W$1107,18,0),"")</f>
        <v/>
      </c>
      <c r="BU128" s="310" t="str">
        <f>_xlfn.IFNA(VLOOKUP($BC128,Programma!$F$3:$X$1107,19,0),"")</f>
        <v/>
      </c>
      <c r="BV128" s="310" t="str">
        <f>_xlfn.IFNA(VLOOKUP($BC128,Programma!$F$3:$Y$1107,20,0),"")</f>
        <v/>
      </c>
    </row>
    <row r="129" spans="1:74" ht="15" customHeight="1">
      <c r="A129" s="33">
        <v>1</v>
      </c>
      <c r="B129" s="173" t="str">
        <f>VLOOKUP(Ruimtestaat[[#This Row],[Code]],Locaties[[Code]:[Locatie]],2,FALSE)</f>
        <v>CCNV</v>
      </c>
      <c r="C129" s="173" t="str">
        <f>VLOOKUP(Ruimtestaat[[#This Row],[Code]],Locaties[[#All],[Code]:[Adres]],4,FALSE)</f>
        <v>Stationslaan 26</v>
      </c>
      <c r="D129" s="173" t="str">
        <f>VLOOKUP(Ruimtestaat[[#This Row],[Code]],Locaties[[#All],[Code]:[Postcode]],5,FALSE)</f>
        <v>3842 LA</v>
      </c>
      <c r="E129" s="173" t="str">
        <f>VLOOKUP(Ruimtestaat[[#This Row],[Code]],Locaties[#All],6,FALSE)</f>
        <v>Harderwijk</v>
      </c>
      <c r="F129" s="21" t="s">
        <v>1628</v>
      </c>
      <c r="G129" s="33" t="s">
        <v>1613</v>
      </c>
      <c r="H129" s="21" t="s">
        <v>1732</v>
      </c>
      <c r="I129" s="69" t="s">
        <v>1615</v>
      </c>
      <c r="J129" s="21">
        <v>16</v>
      </c>
      <c r="K129" s="69" t="str">
        <f>VLOOKUP(Ruimtestaat[[#This Row],[Ruimte code]],Ruimtegroepen[[#All],[Code]:[Ruimte omschrijving]],2,FALSE)</f>
        <v>Leslokalen</v>
      </c>
      <c r="L129" s="33" t="s">
        <v>101</v>
      </c>
      <c r="M129" s="312" t="s">
        <v>1804</v>
      </c>
      <c r="N129" s="148">
        <v>46</v>
      </c>
      <c r="O129" s="33"/>
      <c r="P129" s="134" t="str">
        <f>VLOOKUP(Ruimtestaat[[#This Row],[Ruimte code]],Ruimtegroepen[],4,FALSE)</f>
        <v>Le</v>
      </c>
      <c r="Q129" s="33">
        <v>40</v>
      </c>
      <c r="R129" s="33" t="s">
        <v>2</v>
      </c>
      <c r="S129" s="33">
        <f>IF(Q129&gt;0,IF(RIGHT(Ruimtestaat[[#This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9" s="33">
        <f>IF(S129&gt;0,VLOOKUP($J129,Ruimtegroepen[],3,FALSE)*VLOOKUP($L129,Vloersoorten[],3,FALSE)*VLOOKUP($R129,Frequenties[],3,FALSE)*VLOOKUP($A129,Locaties[],3,FALSE),0)</f>
        <v>0</v>
      </c>
      <c r="U129" s="33">
        <f>Ruimtestaat[[#This Row],[Uitvoeringen werkdagen]]*Ruimtestaat[[#This Row],[Oppervlak (netto)]]</f>
        <v>9200</v>
      </c>
      <c r="V129" s="170">
        <f>IF(T129&gt;0,Ruimtestaat[[#This Row],[Prest. (m2 /jaar) werkdagen]]/Ruimtestaat[[#This Row],[Norm (m2/uur) werkdagen]],0)</f>
        <v>0</v>
      </c>
      <c r="W129" s="171">
        <f>Ruimtestaat[[#This Row],[uren / jaar werkdagen]]*Tariefsopbouw!$E$35</f>
        <v>0</v>
      </c>
      <c r="X129" s="33"/>
      <c r="Y129" s="33">
        <f>IF(Ruimtestaat[[#This Row],[Frequentie weekend]]&gt;0,VALUE(LEFT(X129,1))*Q129,0)</f>
        <v>0</v>
      </c>
      <c r="Z129" s="104">
        <f>IF($Y129&gt;0,VLOOKUP($J129,Ruimtegroepen[],3,FALSE)*VLOOKUP($L129,Vloersoorten[],3,FALSE)*VLOOKUP($X129,Frequenties[],3,FALSE)*VLOOKUP(Ruimtestaat[[#This Row],[Code]],Locaties[],3,FALSE),0)</f>
        <v>0</v>
      </c>
      <c r="AA129" s="104">
        <f>Ruimtestaat[[#This Row],[Uitvoeringen weekend]]*Ruimtestaat[[#This Row],[Oppervlak (netto)]]</f>
        <v>0</v>
      </c>
      <c r="AB129" s="104">
        <f>IF(Z129&gt;0,Ruimtestaat[[#This Row],[Prest. (m2 /jaar) weekend]]/Ruimtestaat[[#This Row],[Norm (m2/uur) weekend]],0)</f>
        <v>0</v>
      </c>
      <c r="AC129" s="171">
        <f>Ruimtestaat[[#This Row],[uren / jaar weekend]]*Tariefsopbouw!$D$40</f>
        <v>0</v>
      </c>
      <c r="AD129" s="170">
        <f>Ruimtestaat[[#This Row],[Prest. (m2 /jaar) weekend]]+Ruimtestaat[[#This Row],[Prest. (m2 /jaar) werkdagen]]</f>
        <v>9200</v>
      </c>
      <c r="AE129" s="170">
        <f>Ruimtestaat[[#This Row],[uren / jaar weekend]]+Ruimtestaat[[#This Row],[uren / jaar werkdagen]]</f>
        <v>0</v>
      </c>
      <c r="AF129" s="76">
        <f>Ruimtestaat[[#This Row],[kosten / jaar weekend]]+Ruimtestaat[[#This Row],[kosten / jaar werkdagen]]</f>
        <v>0</v>
      </c>
      <c r="AG129" s="76"/>
      <c r="AH129" s="272" t="str">
        <f>IF(Ruimtestaat[[#This Row],[Frequentie werkdagen]]="","",_xlfn.CONCAT(Ruimtestaat[[#This Row],[Ruimte code]],"-",Ruimtestaat[[#This Row],[Frequentie werkdagen]]," ",Ruimtestaat[[#This Row],[Vloer code]]))</f>
        <v>16-5w L</v>
      </c>
      <c r="AI129" s="310" t="str">
        <f>_xlfn.IFNA(VLOOKUP($AH129,Programma!$F$3:$G$1107,2,0),"")</f>
        <v>_</v>
      </c>
      <c r="AJ129" s="310" t="str">
        <f>_xlfn.IFNA(VLOOKUP($AH129,Programma!$F$3:$H$1107,3,0),"")</f>
        <v>_</v>
      </c>
      <c r="AK129" s="310" t="str">
        <f>_xlfn.IFNA(VLOOKUP($AH129,Programma!$F$3:$I$1107,4,0),"")</f>
        <v>4w</v>
      </c>
      <c r="AL129" s="310" t="str">
        <f>_xlfn.IFNA(VLOOKUP($AH129,Programma!$F$3:$J$1107,5,0),"")</f>
        <v>1w</v>
      </c>
      <c r="AM129" s="310" t="str">
        <f>_xlfn.IFNA(VLOOKUP($AH129,Programma!$F$3:$K$1107,6,0),"")</f>
        <v>_</v>
      </c>
      <c r="AN129" s="310" t="str">
        <f>_xlfn.IFNA(VLOOKUP($AH129,Programma!$F$3:$L$1107,7,0),"")</f>
        <v>_</v>
      </c>
      <c r="AO129" s="310" t="str">
        <f>_xlfn.IFNA(VLOOKUP($AH129,Programma!$F$3:$M$1107,8,0),"")</f>
        <v>_</v>
      </c>
      <c r="AP129" s="310" t="str">
        <f>_xlfn.IFNA(VLOOKUP($AH129,Programma!$F$3:$N$1107,9,0),"")</f>
        <v>_</v>
      </c>
      <c r="AQ129" s="310" t="str">
        <f>_xlfn.IFNA(VLOOKUP($AH129,Programma!$F$3:$O$1107,10,0),"")</f>
        <v>5w</v>
      </c>
      <c r="AR129" s="310" t="str">
        <f>_xlfn.IFNA(VLOOKUP($AH129,Programma!$F$3:$P$1107,11,0),"")</f>
        <v>5w</v>
      </c>
      <c r="AS129" s="310" t="str">
        <f>_xlfn.IFNA(VLOOKUP($AH129,Programma!$F$3:$Q$1107,12,0),"")</f>
        <v>1w</v>
      </c>
      <c r="AT129" s="310" t="str">
        <f>_xlfn.IFNA(VLOOKUP($AH129,Programma!$F$3:$R$1107,13,0),"")</f>
        <v>1w</v>
      </c>
      <c r="AU129" s="310" t="str">
        <f>_xlfn.IFNA(VLOOKUP($AH129,Programma!$F$3:$S$1107,14,0),"")</f>
        <v>1m</v>
      </c>
      <c r="AV129" s="310" t="str">
        <f>_xlfn.IFNA(VLOOKUP($AH129,Programma!$F$3:$T$1107,15,0),"")</f>
        <v>2j</v>
      </c>
      <c r="AW129" s="310" t="str">
        <f>_xlfn.IFNA(VLOOKUP($AH129,Programma!$F$3:$U$1107,16,0),"")</f>
        <v>1j</v>
      </c>
      <c r="AX129" s="310" t="str">
        <f>_xlfn.IFNA(VLOOKUP($AH129,Programma!$F$3:$V$1107,17,0),"")</f>
        <v>_</v>
      </c>
      <c r="AY129" s="310" t="str">
        <f>_xlfn.IFNA(VLOOKUP($AH129,Programma!$F$3:$W$1107,18,0),"")</f>
        <v>_</v>
      </c>
      <c r="AZ129" s="310" t="str">
        <f>_xlfn.IFNA(VLOOKUP($AH129,Programma!$F$3:$X$1107,19,0),"")</f>
        <v>_</v>
      </c>
      <c r="BA129" s="310" t="str">
        <f>_xlfn.IFNA(VLOOKUP($AH129,Programma!$F$3:$Y$1107,20,0),"")</f>
        <v>_</v>
      </c>
      <c r="BB129" s="273"/>
      <c r="BC129" s="272" t="str">
        <f>IF(Ruimtestaat[[#This Row],[Frequentie weekend]]="","",_xlfn.CONCAT(Ruimtestaat[[#This Row],[Ruimte code]],"-",Ruimtestaat[[#This Row],[Frequentie weekend]]," ",Ruimtestaat[[#This Row],[Vloer code]]))</f>
        <v/>
      </c>
      <c r="BD129" s="310" t="str">
        <f>_xlfn.IFNA(VLOOKUP($BC129,Programma!$F$3:$G$1107,2,0),"")</f>
        <v/>
      </c>
      <c r="BE129" s="310" t="str">
        <f>_xlfn.IFNA(VLOOKUP($BC129,Programma!$F$3:$H$1107,3,0),"")</f>
        <v/>
      </c>
      <c r="BF129" s="310" t="str">
        <f>_xlfn.IFNA(VLOOKUP($BC129,Programma!$F$3:$I$1107,4,0),"")</f>
        <v/>
      </c>
      <c r="BG129" s="310" t="str">
        <f>_xlfn.IFNA(VLOOKUP($BC129,Programma!$F$3:$J$1107,5,0),"")</f>
        <v/>
      </c>
      <c r="BH129" s="310" t="str">
        <f>_xlfn.IFNA(VLOOKUP($BC129,Programma!$F$3:$K$1107,6,0),"")</f>
        <v/>
      </c>
      <c r="BI129" s="310" t="str">
        <f>_xlfn.IFNA(VLOOKUP($BC129,Programma!$F$3:$L$1107,7,0),"")</f>
        <v/>
      </c>
      <c r="BJ129" s="310" t="str">
        <f>_xlfn.IFNA(VLOOKUP($BC129,Programma!$F$3:$M$1107,8,0),"")</f>
        <v/>
      </c>
      <c r="BK129" s="310" t="str">
        <f>_xlfn.IFNA(VLOOKUP($BC129,Programma!$F$3:$N$1107,9,0),"")</f>
        <v/>
      </c>
      <c r="BL129" s="310" t="str">
        <f>_xlfn.IFNA(VLOOKUP($BC129,Programma!$F$3:$O$1107,10,0),"")</f>
        <v/>
      </c>
      <c r="BM129" s="310" t="str">
        <f>_xlfn.IFNA(VLOOKUP($BC129,Programma!$F$3:$P$1107,11,0),"")</f>
        <v/>
      </c>
      <c r="BN129" s="310" t="str">
        <f>_xlfn.IFNA(VLOOKUP($BC129,Programma!$F$3:$Q$1107,12,0),"")</f>
        <v/>
      </c>
      <c r="BO129" s="310" t="str">
        <f>_xlfn.IFNA(VLOOKUP($BC129,Programma!$F$3:$R$1107,13,0),"")</f>
        <v/>
      </c>
      <c r="BP129" s="310" t="str">
        <f>_xlfn.IFNA(VLOOKUP($BC129,Programma!$F$3:$S$1107,14,0),"")</f>
        <v/>
      </c>
      <c r="BQ129" s="310" t="str">
        <f>_xlfn.IFNA(VLOOKUP($BC129,Programma!$F$3:$T$1107,15,0),"")</f>
        <v/>
      </c>
      <c r="BR129" s="310" t="str">
        <f>_xlfn.IFNA(VLOOKUP($BC129,Programma!$F$3:$U$1107,16,0),"")</f>
        <v/>
      </c>
      <c r="BS129" s="310" t="str">
        <f>_xlfn.IFNA(VLOOKUP($BC129,Programma!$F$3:$V$1107,17,0),"")</f>
        <v/>
      </c>
      <c r="BT129" s="310" t="str">
        <f>_xlfn.IFNA(VLOOKUP($BC129,Programma!$F$3:$W$1107,18,0),"")</f>
        <v/>
      </c>
      <c r="BU129" s="310" t="str">
        <f>_xlfn.IFNA(VLOOKUP($BC129,Programma!$F$3:$X$1107,19,0),"")</f>
        <v/>
      </c>
      <c r="BV129" s="310" t="str">
        <f>_xlfn.IFNA(VLOOKUP($BC129,Programma!$F$3:$Y$1107,20,0),"")</f>
        <v/>
      </c>
    </row>
    <row r="130" spans="1:74" ht="15" customHeight="1">
      <c r="A130" s="33">
        <v>1</v>
      </c>
      <c r="B130" s="173" t="str">
        <f>VLOOKUP(Ruimtestaat[[#This Row],[Code]],Locaties[[Code]:[Locatie]],2,FALSE)</f>
        <v>CCNV</v>
      </c>
      <c r="C130" s="173" t="str">
        <f>VLOOKUP(Ruimtestaat[[#This Row],[Code]],Locaties[[#All],[Code]:[Adres]],4,FALSE)</f>
        <v>Stationslaan 26</v>
      </c>
      <c r="D130" s="173" t="str">
        <f>VLOOKUP(Ruimtestaat[[#This Row],[Code]],Locaties[[#All],[Code]:[Postcode]],5,FALSE)</f>
        <v>3842 LA</v>
      </c>
      <c r="E130" s="173" t="str">
        <f>VLOOKUP(Ruimtestaat[[#This Row],[Code]],Locaties[#All],6,FALSE)</f>
        <v>Harderwijk</v>
      </c>
      <c r="F130" s="21" t="s">
        <v>1628</v>
      </c>
      <c r="G130" s="33" t="s">
        <v>1613</v>
      </c>
      <c r="H130" s="21" t="s">
        <v>1733</v>
      </c>
      <c r="I130" s="69" t="s">
        <v>1615</v>
      </c>
      <c r="J130" s="21">
        <v>16</v>
      </c>
      <c r="K130" s="69" t="str">
        <f>VLOOKUP(Ruimtestaat[[#This Row],[Ruimte code]],Ruimtegroepen[[#All],[Code]:[Ruimte omschrijving]],2,FALSE)</f>
        <v>Leslokalen</v>
      </c>
      <c r="L130" s="33" t="s">
        <v>101</v>
      </c>
      <c r="M130" s="312" t="s">
        <v>1804</v>
      </c>
      <c r="N130" s="148">
        <v>46</v>
      </c>
      <c r="O130" s="150"/>
      <c r="P130" s="134" t="str">
        <f>VLOOKUP(Ruimtestaat[[#This Row],[Ruimte code]],Ruimtegroepen[],4,FALSE)</f>
        <v>Le</v>
      </c>
      <c r="Q130" s="33">
        <v>40</v>
      </c>
      <c r="R130" s="33" t="s">
        <v>2</v>
      </c>
      <c r="S130" s="33">
        <f>IF(Q130&gt;0,IF(RIGHT(Ruimtestaat[[#This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0" s="33">
        <f>IF(S130&gt;0,VLOOKUP($J130,Ruimtegroepen[],3,FALSE)*VLOOKUP($L130,Vloersoorten[],3,FALSE)*VLOOKUP($R130,Frequenties[],3,FALSE)*VLOOKUP($A130,Locaties[],3,FALSE),0)</f>
        <v>0</v>
      </c>
      <c r="U130" s="33">
        <f>Ruimtestaat[[#This Row],[Uitvoeringen werkdagen]]*Ruimtestaat[[#This Row],[Oppervlak (netto)]]</f>
        <v>9200</v>
      </c>
      <c r="V130" s="170">
        <f>IF(T130&gt;0,Ruimtestaat[[#This Row],[Prest. (m2 /jaar) werkdagen]]/Ruimtestaat[[#This Row],[Norm (m2/uur) werkdagen]],0)</f>
        <v>0</v>
      </c>
      <c r="W130" s="171">
        <f>Ruimtestaat[[#This Row],[uren / jaar werkdagen]]*Tariefsopbouw!$E$35</f>
        <v>0</v>
      </c>
      <c r="X130" s="33"/>
      <c r="Y130" s="33">
        <f>IF(Ruimtestaat[[#This Row],[Frequentie weekend]]&gt;0,VALUE(LEFT(X130,1))*Q130,0)</f>
        <v>0</v>
      </c>
      <c r="Z130" s="104">
        <f>IF($Y130&gt;0,VLOOKUP($J130,Ruimtegroepen[],3,FALSE)*VLOOKUP($L130,Vloersoorten[],3,FALSE)*VLOOKUP($X130,Frequenties[],3,FALSE)*VLOOKUP(Ruimtestaat[[#This Row],[Code]],Locaties[],3,FALSE),0)</f>
        <v>0</v>
      </c>
      <c r="AA130" s="104">
        <f>Ruimtestaat[[#This Row],[Uitvoeringen weekend]]*Ruimtestaat[[#This Row],[Oppervlak (netto)]]</f>
        <v>0</v>
      </c>
      <c r="AB130" s="104">
        <f>IF(Z130&gt;0,Ruimtestaat[[#This Row],[Prest. (m2 /jaar) weekend]]/Ruimtestaat[[#This Row],[Norm (m2/uur) weekend]],0)</f>
        <v>0</v>
      </c>
      <c r="AC130" s="171">
        <f>Ruimtestaat[[#This Row],[uren / jaar weekend]]*Tariefsopbouw!$D$40</f>
        <v>0</v>
      </c>
      <c r="AD130" s="170">
        <f>Ruimtestaat[[#This Row],[Prest. (m2 /jaar) weekend]]+Ruimtestaat[[#This Row],[Prest. (m2 /jaar) werkdagen]]</f>
        <v>9200</v>
      </c>
      <c r="AE130" s="170">
        <f>Ruimtestaat[[#This Row],[uren / jaar weekend]]+Ruimtestaat[[#This Row],[uren / jaar werkdagen]]</f>
        <v>0</v>
      </c>
      <c r="AF130" s="76">
        <f>Ruimtestaat[[#This Row],[kosten / jaar weekend]]+Ruimtestaat[[#This Row],[kosten / jaar werkdagen]]</f>
        <v>0</v>
      </c>
      <c r="AG130" s="76"/>
      <c r="AH130" s="272" t="str">
        <f>IF(Ruimtestaat[[#This Row],[Frequentie werkdagen]]="","",_xlfn.CONCAT(Ruimtestaat[[#This Row],[Ruimte code]],"-",Ruimtestaat[[#This Row],[Frequentie werkdagen]]," ",Ruimtestaat[[#This Row],[Vloer code]]))</f>
        <v>16-5w L</v>
      </c>
      <c r="AI130" s="310" t="str">
        <f>_xlfn.IFNA(VLOOKUP($AH130,Programma!$F$3:$G$1107,2,0),"")</f>
        <v>_</v>
      </c>
      <c r="AJ130" s="310" t="str">
        <f>_xlfn.IFNA(VLOOKUP($AH130,Programma!$F$3:$H$1107,3,0),"")</f>
        <v>_</v>
      </c>
      <c r="AK130" s="310" t="str">
        <f>_xlfn.IFNA(VLOOKUP($AH130,Programma!$F$3:$I$1107,4,0),"")</f>
        <v>4w</v>
      </c>
      <c r="AL130" s="310" t="str">
        <f>_xlfn.IFNA(VLOOKUP($AH130,Programma!$F$3:$J$1107,5,0),"")</f>
        <v>1w</v>
      </c>
      <c r="AM130" s="310" t="str">
        <f>_xlfn.IFNA(VLOOKUP($AH130,Programma!$F$3:$K$1107,6,0),"")</f>
        <v>_</v>
      </c>
      <c r="AN130" s="310" t="str">
        <f>_xlfn.IFNA(VLOOKUP($AH130,Programma!$F$3:$L$1107,7,0),"")</f>
        <v>_</v>
      </c>
      <c r="AO130" s="310" t="str">
        <f>_xlfn.IFNA(VLOOKUP($AH130,Programma!$F$3:$M$1107,8,0),"")</f>
        <v>_</v>
      </c>
      <c r="AP130" s="310" t="str">
        <f>_xlfn.IFNA(VLOOKUP($AH130,Programma!$F$3:$N$1107,9,0),"")</f>
        <v>_</v>
      </c>
      <c r="AQ130" s="310" t="str">
        <f>_xlfn.IFNA(VLOOKUP($AH130,Programma!$F$3:$O$1107,10,0),"")</f>
        <v>5w</v>
      </c>
      <c r="AR130" s="310" t="str">
        <f>_xlfn.IFNA(VLOOKUP($AH130,Programma!$F$3:$P$1107,11,0),"")</f>
        <v>5w</v>
      </c>
      <c r="AS130" s="310" t="str">
        <f>_xlfn.IFNA(VLOOKUP($AH130,Programma!$F$3:$Q$1107,12,0),"")</f>
        <v>1w</v>
      </c>
      <c r="AT130" s="310" t="str">
        <f>_xlfn.IFNA(VLOOKUP($AH130,Programma!$F$3:$R$1107,13,0),"")</f>
        <v>1w</v>
      </c>
      <c r="AU130" s="310" t="str">
        <f>_xlfn.IFNA(VLOOKUP($AH130,Programma!$F$3:$S$1107,14,0),"")</f>
        <v>1m</v>
      </c>
      <c r="AV130" s="310" t="str">
        <f>_xlfn.IFNA(VLOOKUP($AH130,Programma!$F$3:$T$1107,15,0),"")</f>
        <v>2j</v>
      </c>
      <c r="AW130" s="310" t="str">
        <f>_xlfn.IFNA(VLOOKUP($AH130,Programma!$F$3:$U$1107,16,0),"")</f>
        <v>1j</v>
      </c>
      <c r="AX130" s="310" t="str">
        <f>_xlfn.IFNA(VLOOKUP($AH130,Programma!$F$3:$V$1107,17,0),"")</f>
        <v>_</v>
      </c>
      <c r="AY130" s="310" t="str">
        <f>_xlfn.IFNA(VLOOKUP($AH130,Programma!$F$3:$W$1107,18,0),"")</f>
        <v>_</v>
      </c>
      <c r="AZ130" s="310" t="str">
        <f>_xlfn.IFNA(VLOOKUP($AH130,Programma!$F$3:$X$1107,19,0),"")</f>
        <v>_</v>
      </c>
      <c r="BA130" s="310" t="str">
        <f>_xlfn.IFNA(VLOOKUP($AH130,Programma!$F$3:$Y$1107,20,0),"")</f>
        <v>_</v>
      </c>
      <c r="BB130" s="273"/>
      <c r="BC130" s="272" t="str">
        <f>IF(Ruimtestaat[[#This Row],[Frequentie weekend]]="","",_xlfn.CONCAT(Ruimtestaat[[#This Row],[Ruimte code]],"-",Ruimtestaat[[#This Row],[Frequentie weekend]]," ",Ruimtestaat[[#This Row],[Vloer code]]))</f>
        <v/>
      </c>
      <c r="BD130" s="310" t="str">
        <f>_xlfn.IFNA(VLOOKUP($BC130,Programma!$F$3:$G$1107,2,0),"")</f>
        <v/>
      </c>
      <c r="BE130" s="310" t="str">
        <f>_xlfn.IFNA(VLOOKUP($BC130,Programma!$F$3:$H$1107,3,0),"")</f>
        <v/>
      </c>
      <c r="BF130" s="310" t="str">
        <f>_xlfn.IFNA(VLOOKUP($BC130,Programma!$F$3:$I$1107,4,0),"")</f>
        <v/>
      </c>
      <c r="BG130" s="310" t="str">
        <f>_xlfn.IFNA(VLOOKUP($BC130,Programma!$F$3:$J$1107,5,0),"")</f>
        <v/>
      </c>
      <c r="BH130" s="310" t="str">
        <f>_xlfn.IFNA(VLOOKUP($BC130,Programma!$F$3:$K$1107,6,0),"")</f>
        <v/>
      </c>
      <c r="BI130" s="310" t="str">
        <f>_xlfn.IFNA(VLOOKUP($BC130,Programma!$F$3:$L$1107,7,0),"")</f>
        <v/>
      </c>
      <c r="BJ130" s="310" t="str">
        <f>_xlfn.IFNA(VLOOKUP($BC130,Programma!$F$3:$M$1107,8,0),"")</f>
        <v/>
      </c>
      <c r="BK130" s="310" t="str">
        <f>_xlfn.IFNA(VLOOKUP($BC130,Programma!$F$3:$N$1107,9,0),"")</f>
        <v/>
      </c>
      <c r="BL130" s="310" t="str">
        <f>_xlfn.IFNA(VLOOKUP($BC130,Programma!$F$3:$O$1107,10,0),"")</f>
        <v/>
      </c>
      <c r="BM130" s="310" t="str">
        <f>_xlfn.IFNA(VLOOKUP($BC130,Programma!$F$3:$P$1107,11,0),"")</f>
        <v/>
      </c>
      <c r="BN130" s="310" t="str">
        <f>_xlfn.IFNA(VLOOKUP($BC130,Programma!$F$3:$Q$1107,12,0),"")</f>
        <v/>
      </c>
      <c r="BO130" s="310" t="str">
        <f>_xlfn.IFNA(VLOOKUP($BC130,Programma!$F$3:$R$1107,13,0),"")</f>
        <v/>
      </c>
      <c r="BP130" s="310" t="str">
        <f>_xlfn.IFNA(VLOOKUP($BC130,Programma!$F$3:$S$1107,14,0),"")</f>
        <v/>
      </c>
      <c r="BQ130" s="310" t="str">
        <f>_xlfn.IFNA(VLOOKUP($BC130,Programma!$F$3:$T$1107,15,0),"")</f>
        <v/>
      </c>
      <c r="BR130" s="310" t="str">
        <f>_xlfn.IFNA(VLOOKUP($BC130,Programma!$F$3:$U$1107,16,0),"")</f>
        <v/>
      </c>
      <c r="BS130" s="310" t="str">
        <f>_xlfn.IFNA(VLOOKUP($BC130,Programma!$F$3:$V$1107,17,0),"")</f>
        <v/>
      </c>
      <c r="BT130" s="310" t="str">
        <f>_xlfn.IFNA(VLOOKUP($BC130,Programma!$F$3:$W$1107,18,0),"")</f>
        <v/>
      </c>
      <c r="BU130" s="310" t="str">
        <f>_xlfn.IFNA(VLOOKUP($BC130,Programma!$F$3:$X$1107,19,0),"")</f>
        <v/>
      </c>
      <c r="BV130" s="310" t="str">
        <f>_xlfn.IFNA(VLOOKUP($BC130,Programma!$F$3:$Y$1107,20,0),"")</f>
        <v/>
      </c>
    </row>
    <row r="131" spans="1:74" ht="15" customHeight="1">
      <c r="A131" s="33">
        <v>1</v>
      </c>
      <c r="B131" s="173" t="str">
        <f>VLOOKUP(Ruimtestaat[[#This Row],[Code]],Locaties[[Code]:[Locatie]],2,FALSE)</f>
        <v>CCNV</v>
      </c>
      <c r="C131" s="173" t="str">
        <f>VLOOKUP(Ruimtestaat[[#This Row],[Code]],Locaties[[#All],[Code]:[Adres]],4,FALSE)</f>
        <v>Stationslaan 26</v>
      </c>
      <c r="D131" s="173" t="str">
        <f>VLOOKUP(Ruimtestaat[[#This Row],[Code]],Locaties[[#All],[Code]:[Postcode]],5,FALSE)</f>
        <v>3842 LA</v>
      </c>
      <c r="E131" s="173" t="str">
        <f>VLOOKUP(Ruimtestaat[[#This Row],[Code]],Locaties[#All],6,FALSE)</f>
        <v>Harderwijk</v>
      </c>
      <c r="F131" s="21" t="s">
        <v>1628</v>
      </c>
      <c r="G131" s="33" t="s">
        <v>1613</v>
      </c>
      <c r="H131" s="33" t="s">
        <v>1734</v>
      </c>
      <c r="I131" s="69" t="s">
        <v>1615</v>
      </c>
      <c r="J131" s="33">
        <v>16</v>
      </c>
      <c r="K131" s="70" t="str">
        <f>VLOOKUP(Ruimtestaat[[#This Row],[Ruimte code]],Ruimtegroepen[[#All],[Code]:[Ruimte omschrijving]],2,FALSE)</f>
        <v>Leslokalen</v>
      </c>
      <c r="L131" s="33" t="s">
        <v>101</v>
      </c>
      <c r="M131" s="312" t="s">
        <v>1804</v>
      </c>
      <c r="N131" s="148">
        <v>46</v>
      </c>
      <c r="O131" s="150"/>
      <c r="P131" s="134" t="str">
        <f>VLOOKUP(Ruimtestaat[[#This Row],[Ruimte code]],Ruimtegroepen[],4,FALSE)</f>
        <v>Le</v>
      </c>
      <c r="Q131" s="33">
        <v>40</v>
      </c>
      <c r="R131" s="33" t="s">
        <v>2</v>
      </c>
      <c r="S131" s="33">
        <f>IF(Q131&gt;0,IF(RIGHT(Ruimtestaat[[#This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1" s="33">
        <f>IF(S131&gt;0,VLOOKUP($J131,Ruimtegroepen[],3,FALSE)*VLOOKUP($L131,Vloersoorten[],3,FALSE)*VLOOKUP($R131,Frequenties[],3,FALSE)*VLOOKUP($A131,Locaties[],3,FALSE),0)</f>
        <v>0</v>
      </c>
      <c r="U131" s="33">
        <f>Ruimtestaat[[#This Row],[Uitvoeringen werkdagen]]*Ruimtestaat[[#This Row],[Oppervlak (netto)]]</f>
        <v>9200</v>
      </c>
      <c r="V131" s="170">
        <f>IF(T131&gt;0,Ruimtestaat[[#This Row],[Prest. (m2 /jaar) werkdagen]]/Ruimtestaat[[#This Row],[Norm (m2/uur) werkdagen]],0)</f>
        <v>0</v>
      </c>
      <c r="W131" s="171">
        <f>Ruimtestaat[[#This Row],[uren / jaar werkdagen]]*Tariefsopbouw!$E$35</f>
        <v>0</v>
      </c>
      <c r="X131" s="33"/>
      <c r="Y131" s="33">
        <f>IF(Ruimtestaat[[#This Row],[Frequentie weekend]]&gt;0,VALUE(LEFT(X131,1))*Q131,0)</f>
        <v>0</v>
      </c>
      <c r="Z131" s="104">
        <f>IF($Y131&gt;0,VLOOKUP($J131,Ruimtegroepen[],3,FALSE)*VLOOKUP($L131,Vloersoorten[],3,FALSE)*VLOOKUP($X131,Frequenties[],3,FALSE)*VLOOKUP(Ruimtestaat[[#This Row],[Code]],Locaties[],3,FALSE),0)</f>
        <v>0</v>
      </c>
      <c r="AA131" s="104">
        <f>Ruimtestaat[[#This Row],[Uitvoeringen weekend]]*Ruimtestaat[[#This Row],[Oppervlak (netto)]]</f>
        <v>0</v>
      </c>
      <c r="AB131" s="104">
        <f>IF(Z131&gt;0,Ruimtestaat[[#This Row],[Prest. (m2 /jaar) weekend]]/Ruimtestaat[[#This Row],[Norm (m2/uur) weekend]],0)</f>
        <v>0</v>
      </c>
      <c r="AC131" s="171">
        <f>Ruimtestaat[[#This Row],[uren / jaar weekend]]*Tariefsopbouw!$D$40</f>
        <v>0</v>
      </c>
      <c r="AD131" s="170">
        <f>Ruimtestaat[[#This Row],[Prest. (m2 /jaar) weekend]]+Ruimtestaat[[#This Row],[Prest. (m2 /jaar) werkdagen]]</f>
        <v>9200</v>
      </c>
      <c r="AE131" s="170">
        <f>Ruimtestaat[[#This Row],[uren / jaar weekend]]+Ruimtestaat[[#This Row],[uren / jaar werkdagen]]</f>
        <v>0</v>
      </c>
      <c r="AF131" s="76">
        <f>Ruimtestaat[[#This Row],[kosten / jaar weekend]]+Ruimtestaat[[#This Row],[kosten / jaar werkdagen]]</f>
        <v>0</v>
      </c>
      <c r="AG131" s="76"/>
      <c r="AH131" s="272" t="str">
        <f>IF(Ruimtestaat[[#This Row],[Frequentie werkdagen]]="","",_xlfn.CONCAT(Ruimtestaat[[#This Row],[Ruimte code]],"-",Ruimtestaat[[#This Row],[Frequentie werkdagen]]," ",Ruimtestaat[[#This Row],[Vloer code]]))</f>
        <v>16-5w L</v>
      </c>
      <c r="AI131" s="310" t="str">
        <f>_xlfn.IFNA(VLOOKUP($AH131,Programma!$F$3:$G$1107,2,0),"")</f>
        <v>_</v>
      </c>
      <c r="AJ131" s="310" t="str">
        <f>_xlfn.IFNA(VLOOKUP($AH131,Programma!$F$3:$H$1107,3,0),"")</f>
        <v>_</v>
      </c>
      <c r="AK131" s="310" t="str">
        <f>_xlfn.IFNA(VLOOKUP($AH131,Programma!$F$3:$I$1107,4,0),"")</f>
        <v>4w</v>
      </c>
      <c r="AL131" s="310" t="str">
        <f>_xlfn.IFNA(VLOOKUP($AH131,Programma!$F$3:$J$1107,5,0),"")</f>
        <v>1w</v>
      </c>
      <c r="AM131" s="310" t="str">
        <f>_xlfn.IFNA(VLOOKUP($AH131,Programma!$F$3:$K$1107,6,0),"")</f>
        <v>_</v>
      </c>
      <c r="AN131" s="310" t="str">
        <f>_xlfn.IFNA(VLOOKUP($AH131,Programma!$F$3:$L$1107,7,0),"")</f>
        <v>_</v>
      </c>
      <c r="AO131" s="310" t="str">
        <f>_xlfn.IFNA(VLOOKUP($AH131,Programma!$F$3:$M$1107,8,0),"")</f>
        <v>_</v>
      </c>
      <c r="AP131" s="310" t="str">
        <f>_xlfn.IFNA(VLOOKUP($AH131,Programma!$F$3:$N$1107,9,0),"")</f>
        <v>_</v>
      </c>
      <c r="AQ131" s="310" t="str">
        <f>_xlfn.IFNA(VLOOKUP($AH131,Programma!$F$3:$O$1107,10,0),"")</f>
        <v>5w</v>
      </c>
      <c r="AR131" s="310" t="str">
        <f>_xlfn.IFNA(VLOOKUP($AH131,Programma!$F$3:$P$1107,11,0),"")</f>
        <v>5w</v>
      </c>
      <c r="AS131" s="310" t="str">
        <f>_xlfn.IFNA(VLOOKUP($AH131,Programma!$F$3:$Q$1107,12,0),"")</f>
        <v>1w</v>
      </c>
      <c r="AT131" s="310" t="str">
        <f>_xlfn.IFNA(VLOOKUP($AH131,Programma!$F$3:$R$1107,13,0),"")</f>
        <v>1w</v>
      </c>
      <c r="AU131" s="310" t="str">
        <f>_xlfn.IFNA(VLOOKUP($AH131,Programma!$F$3:$S$1107,14,0),"")</f>
        <v>1m</v>
      </c>
      <c r="AV131" s="310" t="str">
        <f>_xlfn.IFNA(VLOOKUP($AH131,Programma!$F$3:$T$1107,15,0),"")</f>
        <v>2j</v>
      </c>
      <c r="AW131" s="310" t="str">
        <f>_xlfn.IFNA(VLOOKUP($AH131,Programma!$F$3:$U$1107,16,0),"")</f>
        <v>1j</v>
      </c>
      <c r="AX131" s="310" t="str">
        <f>_xlfn.IFNA(VLOOKUP($AH131,Programma!$F$3:$V$1107,17,0),"")</f>
        <v>_</v>
      </c>
      <c r="AY131" s="310" t="str">
        <f>_xlfn.IFNA(VLOOKUP($AH131,Programma!$F$3:$W$1107,18,0),"")</f>
        <v>_</v>
      </c>
      <c r="AZ131" s="310" t="str">
        <f>_xlfn.IFNA(VLOOKUP($AH131,Programma!$F$3:$X$1107,19,0),"")</f>
        <v>_</v>
      </c>
      <c r="BA131" s="310" t="str">
        <f>_xlfn.IFNA(VLOOKUP($AH131,Programma!$F$3:$Y$1107,20,0),"")</f>
        <v>_</v>
      </c>
      <c r="BB131" s="273"/>
      <c r="BC131" s="272" t="str">
        <f>IF(Ruimtestaat[[#This Row],[Frequentie weekend]]="","",_xlfn.CONCAT(Ruimtestaat[[#This Row],[Ruimte code]],"-",Ruimtestaat[[#This Row],[Frequentie weekend]]," ",Ruimtestaat[[#This Row],[Vloer code]]))</f>
        <v/>
      </c>
      <c r="BD131" s="310" t="str">
        <f>_xlfn.IFNA(VLOOKUP($BC131,Programma!$F$3:$G$1107,2,0),"")</f>
        <v/>
      </c>
      <c r="BE131" s="310" t="str">
        <f>_xlfn.IFNA(VLOOKUP($BC131,Programma!$F$3:$H$1107,3,0),"")</f>
        <v/>
      </c>
      <c r="BF131" s="310" t="str">
        <f>_xlfn.IFNA(VLOOKUP($BC131,Programma!$F$3:$I$1107,4,0),"")</f>
        <v/>
      </c>
      <c r="BG131" s="310" t="str">
        <f>_xlfn.IFNA(VLOOKUP($BC131,Programma!$F$3:$J$1107,5,0),"")</f>
        <v/>
      </c>
      <c r="BH131" s="310" t="str">
        <f>_xlfn.IFNA(VLOOKUP($BC131,Programma!$F$3:$K$1107,6,0),"")</f>
        <v/>
      </c>
      <c r="BI131" s="310" t="str">
        <f>_xlfn.IFNA(VLOOKUP($BC131,Programma!$F$3:$L$1107,7,0),"")</f>
        <v/>
      </c>
      <c r="BJ131" s="310" t="str">
        <f>_xlfn.IFNA(VLOOKUP($BC131,Programma!$F$3:$M$1107,8,0),"")</f>
        <v/>
      </c>
      <c r="BK131" s="310" t="str">
        <f>_xlfn.IFNA(VLOOKUP($BC131,Programma!$F$3:$N$1107,9,0),"")</f>
        <v/>
      </c>
      <c r="BL131" s="310" t="str">
        <f>_xlfn.IFNA(VLOOKUP($BC131,Programma!$F$3:$O$1107,10,0),"")</f>
        <v/>
      </c>
      <c r="BM131" s="310" t="str">
        <f>_xlfn.IFNA(VLOOKUP($BC131,Programma!$F$3:$P$1107,11,0),"")</f>
        <v/>
      </c>
      <c r="BN131" s="310" t="str">
        <f>_xlfn.IFNA(VLOOKUP($BC131,Programma!$F$3:$Q$1107,12,0),"")</f>
        <v/>
      </c>
      <c r="BO131" s="310" t="str">
        <f>_xlfn.IFNA(VLOOKUP($BC131,Programma!$F$3:$R$1107,13,0),"")</f>
        <v/>
      </c>
      <c r="BP131" s="310" t="str">
        <f>_xlfn.IFNA(VLOOKUP($BC131,Programma!$F$3:$S$1107,14,0),"")</f>
        <v/>
      </c>
      <c r="BQ131" s="310" t="str">
        <f>_xlfn.IFNA(VLOOKUP($BC131,Programma!$F$3:$T$1107,15,0),"")</f>
        <v/>
      </c>
      <c r="BR131" s="310" t="str">
        <f>_xlfn.IFNA(VLOOKUP($BC131,Programma!$F$3:$U$1107,16,0),"")</f>
        <v/>
      </c>
      <c r="BS131" s="310" t="str">
        <f>_xlfn.IFNA(VLOOKUP($BC131,Programma!$F$3:$V$1107,17,0),"")</f>
        <v/>
      </c>
      <c r="BT131" s="310" t="str">
        <f>_xlfn.IFNA(VLOOKUP($BC131,Programma!$F$3:$W$1107,18,0),"")</f>
        <v/>
      </c>
      <c r="BU131" s="310" t="str">
        <f>_xlfn.IFNA(VLOOKUP($BC131,Programma!$F$3:$X$1107,19,0),"")</f>
        <v/>
      </c>
      <c r="BV131" s="310" t="str">
        <f>_xlfn.IFNA(VLOOKUP($BC131,Programma!$F$3:$Y$1107,20,0),"")</f>
        <v/>
      </c>
    </row>
    <row r="132" spans="1:74" ht="15" customHeight="1">
      <c r="A132" s="33">
        <v>1</v>
      </c>
      <c r="B132" s="173" t="str">
        <f>VLOOKUP(Ruimtestaat[[#This Row],[Code]],Locaties[[Code]:[Locatie]],2,FALSE)</f>
        <v>CCNV</v>
      </c>
      <c r="C132" s="173" t="str">
        <f>VLOOKUP(Ruimtestaat[[#This Row],[Code]],Locaties[[#All],[Code]:[Adres]],4,FALSE)</f>
        <v>Stationslaan 26</v>
      </c>
      <c r="D132" s="173" t="str">
        <f>VLOOKUP(Ruimtestaat[[#This Row],[Code]],Locaties[[#All],[Code]:[Postcode]],5,FALSE)</f>
        <v>3842 LA</v>
      </c>
      <c r="E132" s="173" t="str">
        <f>VLOOKUP(Ruimtestaat[[#This Row],[Code]],Locaties[#All],6,FALSE)</f>
        <v>Harderwijk</v>
      </c>
      <c r="F132" s="21" t="s">
        <v>1628</v>
      </c>
      <c r="G132" s="33" t="s">
        <v>1613</v>
      </c>
      <c r="H132" s="21" t="s">
        <v>1735</v>
      </c>
      <c r="I132" s="69" t="s">
        <v>1615</v>
      </c>
      <c r="J132" s="33">
        <v>16</v>
      </c>
      <c r="K132" s="69" t="str">
        <f>VLOOKUP(Ruimtestaat[[#This Row],[Ruimte code]],Ruimtegroepen[[#All],[Code]:[Ruimte omschrijving]],2,FALSE)</f>
        <v>Leslokalen</v>
      </c>
      <c r="L132" s="33" t="s">
        <v>101</v>
      </c>
      <c r="M132" s="312" t="s">
        <v>1804</v>
      </c>
      <c r="N132" s="148">
        <v>55</v>
      </c>
      <c r="O132" s="33"/>
      <c r="P132" s="134" t="str">
        <f>VLOOKUP(Ruimtestaat[[#This Row],[Ruimte code]],Ruimtegroepen[],4,FALSE)</f>
        <v>Le</v>
      </c>
      <c r="Q132" s="33">
        <v>40</v>
      </c>
      <c r="R132" s="33" t="s">
        <v>2</v>
      </c>
      <c r="S132" s="33">
        <f>IF(Q132&gt;0,IF(RIGHT(Ruimtestaat[[#This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2" s="33">
        <f>IF(S132&gt;0,VLOOKUP($J132,Ruimtegroepen[],3,FALSE)*VLOOKUP($L132,Vloersoorten[],3,FALSE)*VLOOKUP($R132,Frequenties[],3,FALSE)*VLOOKUP($A132,Locaties[],3,FALSE),0)</f>
        <v>0</v>
      </c>
      <c r="U132" s="33">
        <f>Ruimtestaat[[#This Row],[Uitvoeringen werkdagen]]*Ruimtestaat[[#This Row],[Oppervlak (netto)]]</f>
        <v>11000</v>
      </c>
      <c r="V132" s="170">
        <f>IF(T132&gt;0,Ruimtestaat[[#This Row],[Prest. (m2 /jaar) werkdagen]]/Ruimtestaat[[#This Row],[Norm (m2/uur) werkdagen]],0)</f>
        <v>0</v>
      </c>
      <c r="W132" s="171">
        <f>Ruimtestaat[[#This Row],[uren / jaar werkdagen]]*Tariefsopbouw!$E$35</f>
        <v>0</v>
      </c>
      <c r="X132" s="33"/>
      <c r="Y132" s="33">
        <f>IF(Ruimtestaat[[#This Row],[Frequentie weekend]]&gt;0,VALUE(LEFT(X132,1))*Q132,0)</f>
        <v>0</v>
      </c>
      <c r="Z132" s="104">
        <f>IF($Y132&gt;0,VLOOKUP($J132,Ruimtegroepen[],3,FALSE)*VLOOKUP($L132,Vloersoorten[],3,FALSE)*VLOOKUP($X132,Frequenties[],3,FALSE)*VLOOKUP(Ruimtestaat[[#This Row],[Code]],Locaties[],3,FALSE),0)</f>
        <v>0</v>
      </c>
      <c r="AA132" s="104">
        <f>Ruimtestaat[[#This Row],[Uitvoeringen weekend]]*Ruimtestaat[[#This Row],[Oppervlak (netto)]]</f>
        <v>0</v>
      </c>
      <c r="AB132" s="104">
        <f>IF(Z132&gt;0,Ruimtestaat[[#This Row],[Prest. (m2 /jaar) weekend]]/Ruimtestaat[[#This Row],[Norm (m2/uur) weekend]],0)</f>
        <v>0</v>
      </c>
      <c r="AC132" s="171">
        <f>Ruimtestaat[[#This Row],[uren / jaar weekend]]*Tariefsopbouw!$D$40</f>
        <v>0</v>
      </c>
      <c r="AD132" s="170">
        <f>Ruimtestaat[[#This Row],[Prest. (m2 /jaar) weekend]]+Ruimtestaat[[#This Row],[Prest. (m2 /jaar) werkdagen]]</f>
        <v>11000</v>
      </c>
      <c r="AE132" s="170">
        <f>Ruimtestaat[[#This Row],[uren / jaar weekend]]+Ruimtestaat[[#This Row],[uren / jaar werkdagen]]</f>
        <v>0</v>
      </c>
      <c r="AF132" s="76">
        <f>Ruimtestaat[[#This Row],[kosten / jaar weekend]]+Ruimtestaat[[#This Row],[kosten / jaar werkdagen]]</f>
        <v>0</v>
      </c>
      <c r="AG132" s="76"/>
      <c r="AH132" s="272" t="str">
        <f>IF(Ruimtestaat[[#This Row],[Frequentie werkdagen]]="","",_xlfn.CONCAT(Ruimtestaat[[#This Row],[Ruimte code]],"-",Ruimtestaat[[#This Row],[Frequentie werkdagen]]," ",Ruimtestaat[[#This Row],[Vloer code]]))</f>
        <v>16-5w L</v>
      </c>
      <c r="AI132" s="310" t="str">
        <f>_xlfn.IFNA(VLOOKUP($AH132,Programma!$F$3:$G$1107,2,0),"")</f>
        <v>_</v>
      </c>
      <c r="AJ132" s="310" t="str">
        <f>_xlfn.IFNA(VLOOKUP($AH132,Programma!$F$3:$H$1107,3,0),"")</f>
        <v>_</v>
      </c>
      <c r="AK132" s="310" t="str">
        <f>_xlfn.IFNA(VLOOKUP($AH132,Programma!$F$3:$I$1107,4,0),"")</f>
        <v>4w</v>
      </c>
      <c r="AL132" s="310" t="str">
        <f>_xlfn.IFNA(VLOOKUP($AH132,Programma!$F$3:$J$1107,5,0),"")</f>
        <v>1w</v>
      </c>
      <c r="AM132" s="310" t="str">
        <f>_xlfn.IFNA(VLOOKUP($AH132,Programma!$F$3:$K$1107,6,0),"")</f>
        <v>_</v>
      </c>
      <c r="AN132" s="310" t="str">
        <f>_xlfn.IFNA(VLOOKUP($AH132,Programma!$F$3:$L$1107,7,0),"")</f>
        <v>_</v>
      </c>
      <c r="AO132" s="310" t="str">
        <f>_xlfn.IFNA(VLOOKUP($AH132,Programma!$F$3:$M$1107,8,0),"")</f>
        <v>_</v>
      </c>
      <c r="AP132" s="310" t="str">
        <f>_xlfn.IFNA(VLOOKUP($AH132,Programma!$F$3:$N$1107,9,0),"")</f>
        <v>_</v>
      </c>
      <c r="AQ132" s="310" t="str">
        <f>_xlfn.IFNA(VLOOKUP($AH132,Programma!$F$3:$O$1107,10,0),"")</f>
        <v>5w</v>
      </c>
      <c r="AR132" s="310" t="str">
        <f>_xlfn.IFNA(VLOOKUP($AH132,Programma!$F$3:$P$1107,11,0),"")</f>
        <v>5w</v>
      </c>
      <c r="AS132" s="310" t="str">
        <f>_xlfn.IFNA(VLOOKUP($AH132,Programma!$F$3:$Q$1107,12,0),"")</f>
        <v>1w</v>
      </c>
      <c r="AT132" s="310" t="str">
        <f>_xlfn.IFNA(VLOOKUP($AH132,Programma!$F$3:$R$1107,13,0),"")</f>
        <v>1w</v>
      </c>
      <c r="AU132" s="310" t="str">
        <f>_xlfn.IFNA(VLOOKUP($AH132,Programma!$F$3:$S$1107,14,0),"")</f>
        <v>1m</v>
      </c>
      <c r="AV132" s="310" t="str">
        <f>_xlfn.IFNA(VLOOKUP($AH132,Programma!$F$3:$T$1107,15,0),"")</f>
        <v>2j</v>
      </c>
      <c r="AW132" s="310" t="str">
        <f>_xlfn.IFNA(VLOOKUP($AH132,Programma!$F$3:$U$1107,16,0),"")</f>
        <v>1j</v>
      </c>
      <c r="AX132" s="310" t="str">
        <f>_xlfn.IFNA(VLOOKUP($AH132,Programma!$F$3:$V$1107,17,0),"")</f>
        <v>_</v>
      </c>
      <c r="AY132" s="310" t="str">
        <f>_xlfn.IFNA(VLOOKUP($AH132,Programma!$F$3:$W$1107,18,0),"")</f>
        <v>_</v>
      </c>
      <c r="AZ132" s="310" t="str">
        <f>_xlfn.IFNA(VLOOKUP($AH132,Programma!$F$3:$X$1107,19,0),"")</f>
        <v>_</v>
      </c>
      <c r="BA132" s="310" t="str">
        <f>_xlfn.IFNA(VLOOKUP($AH132,Programma!$F$3:$Y$1107,20,0),"")</f>
        <v>_</v>
      </c>
      <c r="BB132" s="273"/>
      <c r="BC132" s="272" t="str">
        <f>IF(Ruimtestaat[[#This Row],[Frequentie weekend]]="","",_xlfn.CONCAT(Ruimtestaat[[#This Row],[Ruimte code]],"-",Ruimtestaat[[#This Row],[Frequentie weekend]]," ",Ruimtestaat[[#This Row],[Vloer code]]))</f>
        <v/>
      </c>
      <c r="BD132" s="310" t="str">
        <f>_xlfn.IFNA(VLOOKUP($BC132,Programma!$F$3:$G$1107,2,0),"")</f>
        <v/>
      </c>
      <c r="BE132" s="310" t="str">
        <f>_xlfn.IFNA(VLOOKUP($BC132,Programma!$F$3:$H$1107,3,0),"")</f>
        <v/>
      </c>
      <c r="BF132" s="310" t="str">
        <f>_xlfn.IFNA(VLOOKUP($BC132,Programma!$F$3:$I$1107,4,0),"")</f>
        <v/>
      </c>
      <c r="BG132" s="310" t="str">
        <f>_xlfn.IFNA(VLOOKUP($BC132,Programma!$F$3:$J$1107,5,0),"")</f>
        <v/>
      </c>
      <c r="BH132" s="310" t="str">
        <f>_xlfn.IFNA(VLOOKUP($BC132,Programma!$F$3:$K$1107,6,0),"")</f>
        <v/>
      </c>
      <c r="BI132" s="310" t="str">
        <f>_xlfn.IFNA(VLOOKUP($BC132,Programma!$F$3:$L$1107,7,0),"")</f>
        <v/>
      </c>
      <c r="BJ132" s="310" t="str">
        <f>_xlfn.IFNA(VLOOKUP($BC132,Programma!$F$3:$M$1107,8,0),"")</f>
        <v/>
      </c>
      <c r="BK132" s="310" t="str">
        <f>_xlfn.IFNA(VLOOKUP($BC132,Programma!$F$3:$N$1107,9,0),"")</f>
        <v/>
      </c>
      <c r="BL132" s="310" t="str">
        <f>_xlfn.IFNA(VLOOKUP($BC132,Programma!$F$3:$O$1107,10,0),"")</f>
        <v/>
      </c>
      <c r="BM132" s="310" t="str">
        <f>_xlfn.IFNA(VLOOKUP($BC132,Programma!$F$3:$P$1107,11,0),"")</f>
        <v/>
      </c>
      <c r="BN132" s="310" t="str">
        <f>_xlfn.IFNA(VLOOKUP($BC132,Programma!$F$3:$Q$1107,12,0),"")</f>
        <v/>
      </c>
      <c r="BO132" s="310" t="str">
        <f>_xlfn.IFNA(VLOOKUP($BC132,Programma!$F$3:$R$1107,13,0),"")</f>
        <v/>
      </c>
      <c r="BP132" s="310" t="str">
        <f>_xlfn.IFNA(VLOOKUP($BC132,Programma!$F$3:$S$1107,14,0),"")</f>
        <v/>
      </c>
      <c r="BQ132" s="310" t="str">
        <f>_xlfn.IFNA(VLOOKUP($BC132,Programma!$F$3:$T$1107,15,0),"")</f>
        <v/>
      </c>
      <c r="BR132" s="310" t="str">
        <f>_xlfn.IFNA(VLOOKUP($BC132,Programma!$F$3:$U$1107,16,0),"")</f>
        <v/>
      </c>
      <c r="BS132" s="310" t="str">
        <f>_xlfn.IFNA(VLOOKUP($BC132,Programma!$F$3:$V$1107,17,0),"")</f>
        <v/>
      </c>
      <c r="BT132" s="310" t="str">
        <f>_xlfn.IFNA(VLOOKUP($BC132,Programma!$F$3:$W$1107,18,0),"")</f>
        <v/>
      </c>
      <c r="BU132" s="310" t="str">
        <f>_xlfn.IFNA(VLOOKUP($BC132,Programma!$F$3:$X$1107,19,0),"")</f>
        <v/>
      </c>
      <c r="BV132" s="310" t="str">
        <f>_xlfn.IFNA(VLOOKUP($BC132,Programma!$F$3:$Y$1107,20,0),"")</f>
        <v/>
      </c>
    </row>
    <row r="133" spans="1:74" ht="15" customHeight="1">
      <c r="A133" s="33">
        <v>1</v>
      </c>
      <c r="B133" s="173" t="str">
        <f>VLOOKUP(Ruimtestaat[[#This Row],[Code]],Locaties[[Code]:[Locatie]],2,FALSE)</f>
        <v>CCNV</v>
      </c>
      <c r="C133" s="173" t="str">
        <f>VLOOKUP(Ruimtestaat[[#This Row],[Code]],Locaties[[#All],[Code]:[Adres]],4,FALSE)</f>
        <v>Stationslaan 26</v>
      </c>
      <c r="D133" s="173" t="str">
        <f>VLOOKUP(Ruimtestaat[[#This Row],[Code]],Locaties[[#All],[Code]:[Postcode]],5,FALSE)</f>
        <v>3842 LA</v>
      </c>
      <c r="E133" s="173" t="str">
        <f>VLOOKUP(Ruimtestaat[[#This Row],[Code]],Locaties[#All],6,FALSE)</f>
        <v>Harderwijk</v>
      </c>
      <c r="F133" s="21" t="s">
        <v>1628</v>
      </c>
      <c r="G133" s="33" t="s">
        <v>1613</v>
      </c>
      <c r="H133" s="21" t="s">
        <v>1736</v>
      </c>
      <c r="I133" s="69" t="s">
        <v>1615</v>
      </c>
      <c r="J133" s="21">
        <v>16</v>
      </c>
      <c r="K133" s="69" t="str">
        <f>VLOOKUP(Ruimtestaat[[#This Row],[Ruimte code]],Ruimtegroepen[[#All],[Code]:[Ruimte omschrijving]],2,FALSE)</f>
        <v>Leslokalen</v>
      </c>
      <c r="L133" s="33" t="s">
        <v>102</v>
      </c>
      <c r="M133" s="312" t="s">
        <v>1806</v>
      </c>
      <c r="N133" s="148">
        <v>140</v>
      </c>
      <c r="O133" s="150"/>
      <c r="P133" s="134" t="str">
        <f>VLOOKUP(Ruimtestaat[[#This Row],[Ruimte code]],Ruimtegroepen[],4,FALSE)</f>
        <v>Le</v>
      </c>
      <c r="Q133" s="33">
        <v>40</v>
      </c>
      <c r="R133" s="33" t="s">
        <v>2</v>
      </c>
      <c r="S133" s="33">
        <f>IF(Q133&gt;0,IF(RIGHT(Ruimtestaat[[#This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3" s="33">
        <f>IF(S133&gt;0,VLOOKUP($J133,Ruimtegroepen[],3,FALSE)*VLOOKUP($L133,Vloersoorten[],3,FALSE)*VLOOKUP($R133,Frequenties[],3,FALSE)*VLOOKUP($A133,Locaties[],3,FALSE),0)</f>
        <v>0</v>
      </c>
      <c r="U133" s="33">
        <f>Ruimtestaat[[#This Row],[Uitvoeringen werkdagen]]*Ruimtestaat[[#This Row],[Oppervlak (netto)]]</f>
        <v>28000</v>
      </c>
      <c r="V133" s="170">
        <f>IF(T133&gt;0,Ruimtestaat[[#This Row],[Prest. (m2 /jaar) werkdagen]]/Ruimtestaat[[#This Row],[Norm (m2/uur) werkdagen]],0)</f>
        <v>0</v>
      </c>
      <c r="W133" s="171">
        <f>Ruimtestaat[[#This Row],[uren / jaar werkdagen]]*Tariefsopbouw!$E$35</f>
        <v>0</v>
      </c>
      <c r="X133" s="33"/>
      <c r="Y133" s="33">
        <f>IF(Ruimtestaat[[#This Row],[Frequentie weekend]]&gt;0,VALUE(LEFT(X133,1))*Q133,0)</f>
        <v>0</v>
      </c>
      <c r="Z133" s="104">
        <f>IF($Y133&gt;0,VLOOKUP($J133,Ruimtegroepen[],3,FALSE)*VLOOKUP($L133,Vloersoorten[],3,FALSE)*VLOOKUP($X133,Frequenties[],3,FALSE)*VLOOKUP(Ruimtestaat[[#This Row],[Code]],Locaties[],3,FALSE),0)</f>
        <v>0</v>
      </c>
      <c r="AA133" s="104">
        <f>Ruimtestaat[[#This Row],[Uitvoeringen weekend]]*Ruimtestaat[[#This Row],[Oppervlak (netto)]]</f>
        <v>0</v>
      </c>
      <c r="AB133" s="104">
        <f>IF(Z133&gt;0,Ruimtestaat[[#This Row],[Prest. (m2 /jaar) weekend]]/Ruimtestaat[[#This Row],[Norm (m2/uur) weekend]],0)</f>
        <v>0</v>
      </c>
      <c r="AC133" s="171">
        <f>Ruimtestaat[[#This Row],[uren / jaar weekend]]*Tariefsopbouw!$D$40</f>
        <v>0</v>
      </c>
      <c r="AD133" s="170">
        <f>Ruimtestaat[[#This Row],[Prest. (m2 /jaar) weekend]]+Ruimtestaat[[#This Row],[Prest. (m2 /jaar) werkdagen]]</f>
        <v>28000</v>
      </c>
      <c r="AE133" s="170">
        <f>Ruimtestaat[[#This Row],[uren / jaar weekend]]+Ruimtestaat[[#This Row],[uren / jaar werkdagen]]</f>
        <v>0</v>
      </c>
      <c r="AF133" s="76">
        <f>Ruimtestaat[[#This Row],[kosten / jaar weekend]]+Ruimtestaat[[#This Row],[kosten / jaar werkdagen]]</f>
        <v>0</v>
      </c>
      <c r="AG133" s="76"/>
      <c r="AH133" s="272" t="str">
        <f>IF(Ruimtestaat[[#This Row],[Frequentie werkdagen]]="","",_xlfn.CONCAT(Ruimtestaat[[#This Row],[Ruimte code]],"-",Ruimtestaat[[#This Row],[Frequentie werkdagen]]," ",Ruimtestaat[[#This Row],[Vloer code]]))</f>
        <v>16-5w S</v>
      </c>
      <c r="AI133" s="310" t="str">
        <f>_xlfn.IFNA(VLOOKUP($AH133,Programma!$F$3:$G$1107,2,0),"")</f>
        <v>_</v>
      </c>
      <c r="AJ133" s="310" t="str">
        <f>_xlfn.IFNA(VLOOKUP($AH133,Programma!$F$3:$H$1107,3,0),"")</f>
        <v>_</v>
      </c>
      <c r="AK133" s="310" t="str">
        <f>_xlfn.IFNA(VLOOKUP($AH133,Programma!$F$3:$I$1107,4,0),"")</f>
        <v>4w</v>
      </c>
      <c r="AL133" s="310" t="str">
        <f>_xlfn.IFNA(VLOOKUP($AH133,Programma!$F$3:$J$1107,5,0),"")</f>
        <v>1w</v>
      </c>
      <c r="AM133" s="310" t="str">
        <f>_xlfn.IFNA(VLOOKUP($AH133,Programma!$F$3:$K$1107,6,0),"")</f>
        <v>1m</v>
      </c>
      <c r="AN133" s="310" t="str">
        <f>_xlfn.IFNA(VLOOKUP($AH133,Programma!$F$3:$L$1107,7,0),"")</f>
        <v>_</v>
      </c>
      <c r="AO133" s="310" t="str">
        <f>_xlfn.IFNA(VLOOKUP($AH133,Programma!$F$3:$M$1107,8,0),"")</f>
        <v>_</v>
      </c>
      <c r="AP133" s="310" t="str">
        <f>_xlfn.IFNA(VLOOKUP($AH133,Programma!$F$3:$N$1107,9,0),"")</f>
        <v>_</v>
      </c>
      <c r="AQ133" s="310" t="str">
        <f>_xlfn.IFNA(VLOOKUP($AH133,Programma!$F$3:$O$1107,10,0),"")</f>
        <v>5w</v>
      </c>
      <c r="AR133" s="310" t="str">
        <f>_xlfn.IFNA(VLOOKUP($AH133,Programma!$F$3:$P$1107,11,0),"")</f>
        <v>5w</v>
      </c>
      <c r="AS133" s="310" t="str">
        <f>_xlfn.IFNA(VLOOKUP($AH133,Programma!$F$3:$Q$1107,12,0),"")</f>
        <v>1w</v>
      </c>
      <c r="AT133" s="310" t="str">
        <f>_xlfn.IFNA(VLOOKUP($AH133,Programma!$F$3:$R$1107,13,0),"")</f>
        <v>1w</v>
      </c>
      <c r="AU133" s="310" t="str">
        <f>_xlfn.IFNA(VLOOKUP($AH133,Programma!$F$3:$S$1107,14,0),"")</f>
        <v>1m</v>
      </c>
      <c r="AV133" s="310" t="str">
        <f>_xlfn.IFNA(VLOOKUP($AH133,Programma!$F$3:$T$1107,15,0),"")</f>
        <v>2j</v>
      </c>
      <c r="AW133" s="310" t="str">
        <f>_xlfn.IFNA(VLOOKUP($AH133,Programma!$F$3:$U$1107,16,0),"")</f>
        <v>1j</v>
      </c>
      <c r="AX133" s="310" t="str">
        <f>_xlfn.IFNA(VLOOKUP($AH133,Programma!$F$3:$V$1107,17,0),"")</f>
        <v>_</v>
      </c>
      <c r="AY133" s="310" t="str">
        <f>_xlfn.IFNA(VLOOKUP($AH133,Programma!$F$3:$W$1107,18,0),"")</f>
        <v>_</v>
      </c>
      <c r="AZ133" s="310" t="str">
        <f>_xlfn.IFNA(VLOOKUP($AH133,Programma!$F$3:$X$1107,19,0),"")</f>
        <v>_</v>
      </c>
      <c r="BA133" s="310" t="str">
        <f>_xlfn.IFNA(VLOOKUP($AH133,Programma!$F$3:$Y$1107,20,0),"")</f>
        <v>_</v>
      </c>
      <c r="BB133" s="273"/>
      <c r="BC133" s="272" t="str">
        <f>IF(Ruimtestaat[[#This Row],[Frequentie weekend]]="","",_xlfn.CONCAT(Ruimtestaat[[#This Row],[Ruimte code]],"-",Ruimtestaat[[#This Row],[Frequentie weekend]]," ",Ruimtestaat[[#This Row],[Vloer code]]))</f>
        <v/>
      </c>
      <c r="BD133" s="310" t="str">
        <f>_xlfn.IFNA(VLOOKUP($BC133,Programma!$F$3:$G$1107,2,0),"")</f>
        <v/>
      </c>
      <c r="BE133" s="310" t="str">
        <f>_xlfn.IFNA(VLOOKUP($BC133,Programma!$F$3:$H$1107,3,0),"")</f>
        <v/>
      </c>
      <c r="BF133" s="310" t="str">
        <f>_xlfn.IFNA(VLOOKUP($BC133,Programma!$F$3:$I$1107,4,0),"")</f>
        <v/>
      </c>
      <c r="BG133" s="310" t="str">
        <f>_xlfn.IFNA(VLOOKUP($BC133,Programma!$F$3:$J$1107,5,0),"")</f>
        <v/>
      </c>
      <c r="BH133" s="310" t="str">
        <f>_xlfn.IFNA(VLOOKUP($BC133,Programma!$F$3:$K$1107,6,0),"")</f>
        <v/>
      </c>
      <c r="BI133" s="310" t="str">
        <f>_xlfn.IFNA(VLOOKUP($BC133,Programma!$F$3:$L$1107,7,0),"")</f>
        <v/>
      </c>
      <c r="BJ133" s="310" t="str">
        <f>_xlfn.IFNA(VLOOKUP($BC133,Programma!$F$3:$M$1107,8,0),"")</f>
        <v/>
      </c>
      <c r="BK133" s="310" t="str">
        <f>_xlfn.IFNA(VLOOKUP($BC133,Programma!$F$3:$N$1107,9,0),"")</f>
        <v/>
      </c>
      <c r="BL133" s="310" t="str">
        <f>_xlfn.IFNA(VLOOKUP($BC133,Programma!$F$3:$O$1107,10,0),"")</f>
        <v/>
      </c>
      <c r="BM133" s="310" t="str">
        <f>_xlfn.IFNA(VLOOKUP($BC133,Programma!$F$3:$P$1107,11,0),"")</f>
        <v/>
      </c>
      <c r="BN133" s="310" t="str">
        <f>_xlfn.IFNA(VLOOKUP($BC133,Programma!$F$3:$Q$1107,12,0),"")</f>
        <v/>
      </c>
      <c r="BO133" s="310" t="str">
        <f>_xlfn.IFNA(VLOOKUP($BC133,Programma!$F$3:$R$1107,13,0),"")</f>
        <v/>
      </c>
      <c r="BP133" s="310" t="str">
        <f>_xlfn.IFNA(VLOOKUP($BC133,Programma!$F$3:$S$1107,14,0),"")</f>
        <v/>
      </c>
      <c r="BQ133" s="310" t="str">
        <f>_xlfn.IFNA(VLOOKUP($BC133,Programma!$F$3:$T$1107,15,0),"")</f>
        <v/>
      </c>
      <c r="BR133" s="310" t="str">
        <f>_xlfn.IFNA(VLOOKUP($BC133,Programma!$F$3:$U$1107,16,0),"")</f>
        <v/>
      </c>
      <c r="BS133" s="310" t="str">
        <f>_xlfn.IFNA(VLOOKUP($BC133,Programma!$F$3:$V$1107,17,0),"")</f>
        <v/>
      </c>
      <c r="BT133" s="310" t="str">
        <f>_xlfn.IFNA(VLOOKUP($BC133,Programma!$F$3:$W$1107,18,0),"")</f>
        <v/>
      </c>
      <c r="BU133" s="310" t="str">
        <f>_xlfn.IFNA(VLOOKUP($BC133,Programma!$F$3:$X$1107,19,0),"")</f>
        <v/>
      </c>
      <c r="BV133" s="310" t="str">
        <f>_xlfn.IFNA(VLOOKUP($BC133,Programma!$F$3:$Y$1107,20,0),"")</f>
        <v/>
      </c>
    </row>
    <row r="134" spans="1:74" ht="15" customHeight="1">
      <c r="A134" s="33">
        <v>1</v>
      </c>
      <c r="B134" s="173" t="str">
        <f>VLOOKUP(Ruimtestaat[[#This Row],[Code]],Locaties[[Code]:[Locatie]],2,FALSE)</f>
        <v>CCNV</v>
      </c>
      <c r="C134" s="173" t="str">
        <f>VLOOKUP(Ruimtestaat[[#This Row],[Code]],Locaties[[#All],[Code]:[Adres]],4,FALSE)</f>
        <v>Stationslaan 26</v>
      </c>
      <c r="D134" s="173" t="str">
        <f>VLOOKUP(Ruimtestaat[[#This Row],[Code]],Locaties[[#All],[Code]:[Postcode]],5,FALSE)</f>
        <v>3842 LA</v>
      </c>
      <c r="E134" s="173" t="str">
        <f>VLOOKUP(Ruimtestaat[[#This Row],[Code]],Locaties[#All],6,FALSE)</f>
        <v>Harderwijk</v>
      </c>
      <c r="F134" s="21" t="s">
        <v>1628</v>
      </c>
      <c r="G134" s="33" t="s">
        <v>1613</v>
      </c>
      <c r="H134" s="21" t="s">
        <v>1737</v>
      </c>
      <c r="I134" s="69" t="s">
        <v>1791</v>
      </c>
      <c r="J134" s="21">
        <v>4</v>
      </c>
      <c r="K134" s="69" t="str">
        <f>VLOOKUP(Ruimtestaat[[#This Row],[Ruimte code]],Ruimtegroepen[[#All],[Code]:[Ruimte omschrijving]],2,FALSE)</f>
        <v>Vergader/spreekkamers</v>
      </c>
      <c r="L134" s="33" t="s">
        <v>100</v>
      </c>
      <c r="M134" s="312" t="s">
        <v>1803</v>
      </c>
      <c r="N134" s="148">
        <v>15</v>
      </c>
      <c r="O134" s="150"/>
      <c r="P134" s="134" t="str">
        <f>VLOOKUP(Ruimtestaat[[#This Row],[Ruimte code]],Ruimtegroepen[],4,FALSE)</f>
        <v>Bu</v>
      </c>
      <c r="Q134" s="33">
        <v>40</v>
      </c>
      <c r="R134" s="33" t="s">
        <v>15</v>
      </c>
      <c r="S134" s="33">
        <f>IF(Q134&gt;0,IF(RIGHT(Ruimtestaat[[#This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34" s="33">
        <f>IF(S134&gt;0,VLOOKUP($J134,Ruimtegroepen[],3,FALSE)*VLOOKUP($L134,Vloersoorten[],3,FALSE)*VLOOKUP($R134,Frequenties[],3,FALSE)*VLOOKUP($A134,Locaties[],3,FALSE),0)</f>
        <v>0</v>
      </c>
      <c r="U134" s="33">
        <f>Ruimtestaat[[#This Row],[Uitvoeringen werkdagen]]*Ruimtestaat[[#This Row],[Oppervlak (netto)]]</f>
        <v>600</v>
      </c>
      <c r="V134" s="170">
        <f>IF(T134&gt;0,Ruimtestaat[[#This Row],[Prest. (m2 /jaar) werkdagen]]/Ruimtestaat[[#This Row],[Norm (m2/uur) werkdagen]],0)</f>
        <v>0</v>
      </c>
      <c r="W134" s="171">
        <f>Ruimtestaat[[#This Row],[uren / jaar werkdagen]]*Tariefsopbouw!$E$35</f>
        <v>0</v>
      </c>
      <c r="X134" s="33"/>
      <c r="Y134" s="33">
        <f>IF(Ruimtestaat[[#This Row],[Frequentie weekend]]&gt;0,VALUE(LEFT(X134,1))*Q134,0)</f>
        <v>0</v>
      </c>
      <c r="Z134" s="104">
        <f>IF($Y134&gt;0,VLOOKUP($J134,Ruimtegroepen[],3,FALSE)*VLOOKUP($L134,Vloersoorten[],3,FALSE)*VLOOKUP($X134,Frequenties[],3,FALSE)*VLOOKUP(Ruimtestaat[[#This Row],[Code]],Locaties[],3,FALSE),0)</f>
        <v>0</v>
      </c>
      <c r="AA134" s="104">
        <f>Ruimtestaat[[#This Row],[Uitvoeringen weekend]]*Ruimtestaat[[#This Row],[Oppervlak (netto)]]</f>
        <v>0</v>
      </c>
      <c r="AB134" s="104">
        <f>IF(Z134&gt;0,Ruimtestaat[[#This Row],[Prest. (m2 /jaar) weekend]]/Ruimtestaat[[#This Row],[Norm (m2/uur) weekend]],0)</f>
        <v>0</v>
      </c>
      <c r="AC134" s="171">
        <f>Ruimtestaat[[#This Row],[uren / jaar weekend]]*Tariefsopbouw!$D$40</f>
        <v>0</v>
      </c>
      <c r="AD134" s="170">
        <f>Ruimtestaat[[#This Row],[Prest. (m2 /jaar) weekend]]+Ruimtestaat[[#This Row],[Prest. (m2 /jaar) werkdagen]]</f>
        <v>600</v>
      </c>
      <c r="AE134" s="170">
        <f>Ruimtestaat[[#This Row],[uren / jaar weekend]]+Ruimtestaat[[#This Row],[uren / jaar werkdagen]]</f>
        <v>0</v>
      </c>
      <c r="AF134" s="76">
        <f>Ruimtestaat[[#This Row],[kosten / jaar weekend]]+Ruimtestaat[[#This Row],[kosten / jaar werkdagen]]</f>
        <v>0</v>
      </c>
      <c r="AG134" s="76"/>
      <c r="AH134" s="272" t="str">
        <f>IF(Ruimtestaat[[#This Row],[Frequentie werkdagen]]="","",_xlfn.CONCAT(Ruimtestaat[[#This Row],[Ruimte code]],"-",Ruimtestaat[[#This Row],[Frequentie werkdagen]]," ",Ruimtestaat[[#This Row],[Vloer code]]))</f>
        <v>4-1w T</v>
      </c>
      <c r="AI134" s="310" t="str">
        <f>_xlfn.IFNA(VLOOKUP($AH134,Programma!$F$3:$G$1107,2,0),"")</f>
        <v>_</v>
      </c>
      <c r="AJ134" s="310" t="str">
        <f>_xlfn.IFNA(VLOOKUP($AH134,Programma!$F$3:$H$1107,3,0),"")</f>
        <v>1w</v>
      </c>
      <c r="AK134" s="310" t="str">
        <f>_xlfn.IFNA(VLOOKUP($AH134,Programma!$F$3:$I$1107,4,0),"")</f>
        <v>_</v>
      </c>
      <c r="AL134" s="310" t="str">
        <f>_xlfn.IFNA(VLOOKUP($AH134,Programma!$F$3:$J$1107,5,0),"")</f>
        <v>_</v>
      </c>
      <c r="AM134" s="310" t="str">
        <f>_xlfn.IFNA(VLOOKUP($AH134,Programma!$F$3:$K$1107,6,0),"")</f>
        <v>_</v>
      </c>
      <c r="AN134" s="310" t="str">
        <f>_xlfn.IFNA(VLOOKUP($AH134,Programma!$F$3:$L$1107,7,0),"")</f>
        <v>_</v>
      </c>
      <c r="AO134" s="310" t="str">
        <f>_xlfn.IFNA(VLOOKUP($AH134,Programma!$F$3:$M$1107,8,0),"")</f>
        <v>_</v>
      </c>
      <c r="AP134" s="310" t="str">
        <f>_xlfn.IFNA(VLOOKUP($AH134,Programma!$F$3:$N$1107,9,0),"")</f>
        <v>_</v>
      </c>
      <c r="AQ134" s="310" t="str">
        <f>_xlfn.IFNA(VLOOKUP($AH134,Programma!$F$3:$O$1107,10,0),"")</f>
        <v>1w</v>
      </c>
      <c r="AR134" s="310" t="str">
        <f>_xlfn.IFNA(VLOOKUP($AH134,Programma!$F$3:$P$1107,11,0),"")</f>
        <v>1w</v>
      </c>
      <c r="AS134" s="310" t="str">
        <f>_xlfn.IFNA(VLOOKUP($AH134,Programma!$F$3:$Q$1107,12,0),"")</f>
        <v>1w</v>
      </c>
      <c r="AT134" s="310" t="str">
        <f>_xlfn.IFNA(VLOOKUP($AH134,Programma!$F$3:$R$1107,13,0),"")</f>
        <v>1w</v>
      </c>
      <c r="AU134" s="310" t="str">
        <f>_xlfn.IFNA(VLOOKUP($AH134,Programma!$F$3:$S$1107,14,0),"")</f>
        <v>1m</v>
      </c>
      <c r="AV134" s="310" t="str">
        <f>_xlfn.IFNA(VLOOKUP($AH134,Programma!$F$3:$T$1107,15,0),"")</f>
        <v>2j</v>
      </c>
      <c r="AW134" s="310" t="str">
        <f>_xlfn.IFNA(VLOOKUP($AH134,Programma!$F$3:$U$1107,16,0),"")</f>
        <v>1j</v>
      </c>
      <c r="AX134" s="310" t="str">
        <f>_xlfn.IFNA(VLOOKUP($AH134,Programma!$F$3:$V$1107,17,0),"")</f>
        <v>_</v>
      </c>
      <c r="AY134" s="310" t="str">
        <f>_xlfn.IFNA(VLOOKUP($AH134,Programma!$F$3:$W$1107,18,0),"")</f>
        <v>_</v>
      </c>
      <c r="AZ134" s="310" t="str">
        <f>_xlfn.IFNA(VLOOKUP($AH134,Programma!$F$3:$X$1107,19,0),"")</f>
        <v>_</v>
      </c>
      <c r="BA134" s="310" t="str">
        <f>_xlfn.IFNA(VLOOKUP($AH134,Programma!$F$3:$Y$1107,20,0),"")</f>
        <v>_</v>
      </c>
      <c r="BB134" s="273"/>
      <c r="BC134" s="272" t="str">
        <f>IF(Ruimtestaat[[#This Row],[Frequentie weekend]]="","",_xlfn.CONCAT(Ruimtestaat[[#This Row],[Ruimte code]],"-",Ruimtestaat[[#This Row],[Frequentie weekend]]," ",Ruimtestaat[[#This Row],[Vloer code]]))</f>
        <v/>
      </c>
      <c r="BD134" s="310" t="str">
        <f>_xlfn.IFNA(VLOOKUP($BC134,Programma!$F$3:$G$1107,2,0),"")</f>
        <v/>
      </c>
      <c r="BE134" s="310" t="str">
        <f>_xlfn.IFNA(VLOOKUP($BC134,Programma!$F$3:$H$1107,3,0),"")</f>
        <v/>
      </c>
      <c r="BF134" s="310" t="str">
        <f>_xlfn.IFNA(VLOOKUP($BC134,Programma!$F$3:$I$1107,4,0),"")</f>
        <v/>
      </c>
      <c r="BG134" s="310" t="str">
        <f>_xlfn.IFNA(VLOOKUP($BC134,Programma!$F$3:$J$1107,5,0),"")</f>
        <v/>
      </c>
      <c r="BH134" s="310" t="str">
        <f>_xlfn.IFNA(VLOOKUP($BC134,Programma!$F$3:$K$1107,6,0),"")</f>
        <v/>
      </c>
      <c r="BI134" s="310" t="str">
        <f>_xlfn.IFNA(VLOOKUP($BC134,Programma!$F$3:$L$1107,7,0),"")</f>
        <v/>
      </c>
      <c r="BJ134" s="310" t="str">
        <f>_xlfn.IFNA(VLOOKUP($BC134,Programma!$F$3:$M$1107,8,0),"")</f>
        <v/>
      </c>
      <c r="BK134" s="310" t="str">
        <f>_xlfn.IFNA(VLOOKUP($BC134,Programma!$F$3:$N$1107,9,0),"")</f>
        <v/>
      </c>
      <c r="BL134" s="310" t="str">
        <f>_xlfn.IFNA(VLOOKUP($BC134,Programma!$F$3:$O$1107,10,0),"")</f>
        <v/>
      </c>
      <c r="BM134" s="310" t="str">
        <f>_xlfn.IFNA(VLOOKUP($BC134,Programma!$F$3:$P$1107,11,0),"")</f>
        <v/>
      </c>
      <c r="BN134" s="310" t="str">
        <f>_xlfn.IFNA(VLOOKUP($BC134,Programma!$F$3:$Q$1107,12,0),"")</f>
        <v/>
      </c>
      <c r="BO134" s="310" t="str">
        <f>_xlfn.IFNA(VLOOKUP($BC134,Programma!$F$3:$R$1107,13,0),"")</f>
        <v/>
      </c>
      <c r="BP134" s="310" t="str">
        <f>_xlfn.IFNA(VLOOKUP($BC134,Programma!$F$3:$S$1107,14,0),"")</f>
        <v/>
      </c>
      <c r="BQ134" s="310" t="str">
        <f>_xlfn.IFNA(VLOOKUP($BC134,Programma!$F$3:$T$1107,15,0),"")</f>
        <v/>
      </c>
      <c r="BR134" s="310" t="str">
        <f>_xlfn.IFNA(VLOOKUP($BC134,Programma!$F$3:$U$1107,16,0),"")</f>
        <v/>
      </c>
      <c r="BS134" s="310" t="str">
        <f>_xlfn.IFNA(VLOOKUP($BC134,Programma!$F$3:$V$1107,17,0),"")</f>
        <v/>
      </c>
      <c r="BT134" s="310" t="str">
        <f>_xlfn.IFNA(VLOOKUP($BC134,Programma!$F$3:$W$1107,18,0),"")</f>
        <v/>
      </c>
      <c r="BU134" s="310" t="str">
        <f>_xlfn.IFNA(VLOOKUP($BC134,Programma!$F$3:$X$1107,19,0),"")</f>
        <v/>
      </c>
      <c r="BV134" s="310" t="str">
        <f>_xlfn.IFNA(VLOOKUP($BC134,Programma!$F$3:$Y$1107,20,0),"")</f>
        <v/>
      </c>
    </row>
    <row r="135" spans="1:74" ht="15" customHeight="1">
      <c r="A135" s="33">
        <v>1</v>
      </c>
      <c r="B135" s="173" t="str">
        <f>VLOOKUP(Ruimtestaat[[#This Row],[Code]],Locaties[[Code]:[Locatie]],2,FALSE)</f>
        <v>CCNV</v>
      </c>
      <c r="C135" s="173" t="str">
        <f>VLOOKUP(Ruimtestaat[[#This Row],[Code]],Locaties[[#All],[Code]:[Adres]],4,FALSE)</f>
        <v>Stationslaan 26</v>
      </c>
      <c r="D135" s="173" t="str">
        <f>VLOOKUP(Ruimtestaat[[#This Row],[Code]],Locaties[[#All],[Code]:[Postcode]],5,FALSE)</f>
        <v>3842 LA</v>
      </c>
      <c r="E135" s="173" t="str">
        <f>VLOOKUP(Ruimtestaat[[#This Row],[Code]],Locaties[#All],6,FALSE)</f>
        <v>Harderwijk</v>
      </c>
      <c r="F135" s="21" t="s">
        <v>1628</v>
      </c>
      <c r="G135" s="33" t="s">
        <v>1613</v>
      </c>
      <c r="H135" s="21" t="s">
        <v>1738</v>
      </c>
      <c r="I135" s="69" t="s">
        <v>1791</v>
      </c>
      <c r="J135" s="21">
        <v>4</v>
      </c>
      <c r="K135" s="69" t="str">
        <f>VLOOKUP(Ruimtestaat[[#This Row],[Ruimte code]],Ruimtegroepen[[#All],[Code]:[Ruimte omschrijving]],2,FALSE)</f>
        <v>Vergader/spreekkamers</v>
      </c>
      <c r="L135" s="33" t="s">
        <v>100</v>
      </c>
      <c r="M135" s="312" t="s">
        <v>1803</v>
      </c>
      <c r="N135" s="148">
        <v>25</v>
      </c>
      <c r="O135" s="33"/>
      <c r="P135" s="134" t="str">
        <f>VLOOKUP(Ruimtestaat[[#This Row],[Ruimte code]],Ruimtegroepen[],4,FALSE)</f>
        <v>Bu</v>
      </c>
      <c r="Q135" s="33">
        <v>40</v>
      </c>
      <c r="R135" s="33" t="s">
        <v>15</v>
      </c>
      <c r="S135" s="33">
        <f>IF(Q135&gt;0,IF(RIGHT(Ruimtestaat[[#This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35" s="33">
        <f>IF(S135&gt;0,VLOOKUP($J135,Ruimtegroepen[],3,FALSE)*VLOOKUP($L135,Vloersoorten[],3,FALSE)*VLOOKUP($R135,Frequenties[],3,FALSE)*VLOOKUP($A135,Locaties[],3,FALSE),0)</f>
        <v>0</v>
      </c>
      <c r="U135" s="33">
        <f>Ruimtestaat[[#This Row],[Uitvoeringen werkdagen]]*Ruimtestaat[[#This Row],[Oppervlak (netto)]]</f>
        <v>1000</v>
      </c>
      <c r="V135" s="170">
        <f>IF(T135&gt;0,Ruimtestaat[[#This Row],[Prest. (m2 /jaar) werkdagen]]/Ruimtestaat[[#This Row],[Norm (m2/uur) werkdagen]],0)</f>
        <v>0</v>
      </c>
      <c r="W135" s="171">
        <f>Ruimtestaat[[#This Row],[uren / jaar werkdagen]]*Tariefsopbouw!$E$35</f>
        <v>0</v>
      </c>
      <c r="X135" s="33"/>
      <c r="Y135" s="33">
        <f>IF(Ruimtestaat[[#This Row],[Frequentie weekend]]&gt;0,VALUE(LEFT(X135,1))*Q135,0)</f>
        <v>0</v>
      </c>
      <c r="Z135" s="104">
        <f>IF($Y135&gt;0,VLOOKUP($J135,Ruimtegroepen[],3,FALSE)*VLOOKUP($L135,Vloersoorten[],3,FALSE)*VLOOKUP($X135,Frequenties[],3,FALSE)*VLOOKUP(Ruimtestaat[[#This Row],[Code]],Locaties[],3,FALSE),0)</f>
        <v>0</v>
      </c>
      <c r="AA135" s="104">
        <f>Ruimtestaat[[#This Row],[Uitvoeringen weekend]]*Ruimtestaat[[#This Row],[Oppervlak (netto)]]</f>
        <v>0</v>
      </c>
      <c r="AB135" s="104">
        <f>IF(Z135&gt;0,Ruimtestaat[[#This Row],[Prest. (m2 /jaar) weekend]]/Ruimtestaat[[#This Row],[Norm (m2/uur) weekend]],0)</f>
        <v>0</v>
      </c>
      <c r="AC135" s="171">
        <f>Ruimtestaat[[#This Row],[uren / jaar weekend]]*Tariefsopbouw!$D$40</f>
        <v>0</v>
      </c>
      <c r="AD135" s="170">
        <f>Ruimtestaat[[#This Row],[Prest. (m2 /jaar) weekend]]+Ruimtestaat[[#This Row],[Prest. (m2 /jaar) werkdagen]]</f>
        <v>1000</v>
      </c>
      <c r="AE135" s="170">
        <f>Ruimtestaat[[#This Row],[uren / jaar weekend]]+Ruimtestaat[[#This Row],[uren / jaar werkdagen]]</f>
        <v>0</v>
      </c>
      <c r="AF135" s="76">
        <f>Ruimtestaat[[#This Row],[kosten / jaar weekend]]+Ruimtestaat[[#This Row],[kosten / jaar werkdagen]]</f>
        <v>0</v>
      </c>
      <c r="AG135" s="76"/>
      <c r="AH135" s="272" t="str">
        <f>IF(Ruimtestaat[[#This Row],[Frequentie werkdagen]]="","",_xlfn.CONCAT(Ruimtestaat[[#This Row],[Ruimte code]],"-",Ruimtestaat[[#This Row],[Frequentie werkdagen]]," ",Ruimtestaat[[#This Row],[Vloer code]]))</f>
        <v>4-1w T</v>
      </c>
      <c r="AI135" s="310" t="str">
        <f>_xlfn.IFNA(VLOOKUP($AH135,Programma!$F$3:$G$1107,2,0),"")</f>
        <v>_</v>
      </c>
      <c r="AJ135" s="310" t="str">
        <f>_xlfn.IFNA(VLOOKUP($AH135,Programma!$F$3:$H$1107,3,0),"")</f>
        <v>1w</v>
      </c>
      <c r="AK135" s="310" t="str">
        <f>_xlfn.IFNA(VLOOKUP($AH135,Programma!$F$3:$I$1107,4,0),"")</f>
        <v>_</v>
      </c>
      <c r="AL135" s="310" t="str">
        <f>_xlfn.IFNA(VLOOKUP($AH135,Programma!$F$3:$J$1107,5,0),"")</f>
        <v>_</v>
      </c>
      <c r="AM135" s="310" t="str">
        <f>_xlfn.IFNA(VLOOKUP($AH135,Programma!$F$3:$K$1107,6,0),"")</f>
        <v>_</v>
      </c>
      <c r="AN135" s="310" t="str">
        <f>_xlfn.IFNA(VLOOKUP($AH135,Programma!$F$3:$L$1107,7,0),"")</f>
        <v>_</v>
      </c>
      <c r="AO135" s="310" t="str">
        <f>_xlfn.IFNA(VLOOKUP($AH135,Programma!$F$3:$M$1107,8,0),"")</f>
        <v>_</v>
      </c>
      <c r="AP135" s="310" t="str">
        <f>_xlfn.IFNA(VLOOKUP($AH135,Programma!$F$3:$N$1107,9,0),"")</f>
        <v>_</v>
      </c>
      <c r="AQ135" s="310" t="str">
        <f>_xlfn.IFNA(VLOOKUP($AH135,Programma!$F$3:$O$1107,10,0),"")</f>
        <v>1w</v>
      </c>
      <c r="AR135" s="310" t="str">
        <f>_xlfn.IFNA(VLOOKUP($AH135,Programma!$F$3:$P$1107,11,0),"")</f>
        <v>1w</v>
      </c>
      <c r="AS135" s="310" t="str">
        <f>_xlfn.IFNA(VLOOKUP($AH135,Programma!$F$3:$Q$1107,12,0),"")</f>
        <v>1w</v>
      </c>
      <c r="AT135" s="310" t="str">
        <f>_xlfn.IFNA(VLOOKUP($AH135,Programma!$F$3:$R$1107,13,0),"")</f>
        <v>1w</v>
      </c>
      <c r="AU135" s="310" t="str">
        <f>_xlfn.IFNA(VLOOKUP($AH135,Programma!$F$3:$S$1107,14,0),"")</f>
        <v>1m</v>
      </c>
      <c r="AV135" s="310" t="str">
        <f>_xlfn.IFNA(VLOOKUP($AH135,Programma!$F$3:$T$1107,15,0),"")</f>
        <v>2j</v>
      </c>
      <c r="AW135" s="310" t="str">
        <f>_xlfn.IFNA(VLOOKUP($AH135,Programma!$F$3:$U$1107,16,0),"")</f>
        <v>1j</v>
      </c>
      <c r="AX135" s="310" t="str">
        <f>_xlfn.IFNA(VLOOKUP($AH135,Programma!$F$3:$V$1107,17,0),"")</f>
        <v>_</v>
      </c>
      <c r="AY135" s="310" t="str">
        <f>_xlfn.IFNA(VLOOKUP($AH135,Programma!$F$3:$W$1107,18,0),"")</f>
        <v>_</v>
      </c>
      <c r="AZ135" s="310" t="str">
        <f>_xlfn.IFNA(VLOOKUP($AH135,Programma!$F$3:$X$1107,19,0),"")</f>
        <v>_</v>
      </c>
      <c r="BA135" s="310" t="str">
        <f>_xlfn.IFNA(VLOOKUP($AH135,Programma!$F$3:$Y$1107,20,0),"")</f>
        <v>_</v>
      </c>
      <c r="BB135" s="273"/>
      <c r="BC135" s="272" t="str">
        <f>IF(Ruimtestaat[[#This Row],[Frequentie weekend]]="","",_xlfn.CONCAT(Ruimtestaat[[#This Row],[Ruimte code]],"-",Ruimtestaat[[#This Row],[Frequentie weekend]]," ",Ruimtestaat[[#This Row],[Vloer code]]))</f>
        <v/>
      </c>
      <c r="BD135" s="310" t="str">
        <f>_xlfn.IFNA(VLOOKUP($BC135,Programma!$F$3:$G$1107,2,0),"")</f>
        <v/>
      </c>
      <c r="BE135" s="310" t="str">
        <f>_xlfn.IFNA(VLOOKUP($BC135,Programma!$F$3:$H$1107,3,0),"")</f>
        <v/>
      </c>
      <c r="BF135" s="310" t="str">
        <f>_xlfn.IFNA(VLOOKUP($BC135,Programma!$F$3:$I$1107,4,0),"")</f>
        <v/>
      </c>
      <c r="BG135" s="310" t="str">
        <f>_xlfn.IFNA(VLOOKUP($BC135,Programma!$F$3:$J$1107,5,0),"")</f>
        <v/>
      </c>
      <c r="BH135" s="310" t="str">
        <f>_xlfn.IFNA(VLOOKUP($BC135,Programma!$F$3:$K$1107,6,0),"")</f>
        <v/>
      </c>
      <c r="BI135" s="310" t="str">
        <f>_xlfn.IFNA(VLOOKUP($BC135,Programma!$F$3:$L$1107,7,0),"")</f>
        <v/>
      </c>
      <c r="BJ135" s="310" t="str">
        <f>_xlfn.IFNA(VLOOKUP($BC135,Programma!$F$3:$M$1107,8,0),"")</f>
        <v/>
      </c>
      <c r="BK135" s="310" t="str">
        <f>_xlfn.IFNA(VLOOKUP($BC135,Programma!$F$3:$N$1107,9,0),"")</f>
        <v/>
      </c>
      <c r="BL135" s="310" t="str">
        <f>_xlfn.IFNA(VLOOKUP($BC135,Programma!$F$3:$O$1107,10,0),"")</f>
        <v/>
      </c>
      <c r="BM135" s="310" t="str">
        <f>_xlfn.IFNA(VLOOKUP($BC135,Programma!$F$3:$P$1107,11,0),"")</f>
        <v/>
      </c>
      <c r="BN135" s="310" t="str">
        <f>_xlfn.IFNA(VLOOKUP($BC135,Programma!$F$3:$Q$1107,12,0),"")</f>
        <v/>
      </c>
      <c r="BO135" s="310" t="str">
        <f>_xlfn.IFNA(VLOOKUP($BC135,Programma!$F$3:$R$1107,13,0),"")</f>
        <v/>
      </c>
      <c r="BP135" s="310" t="str">
        <f>_xlfn.IFNA(VLOOKUP($BC135,Programma!$F$3:$S$1107,14,0),"")</f>
        <v/>
      </c>
      <c r="BQ135" s="310" t="str">
        <f>_xlfn.IFNA(VLOOKUP($BC135,Programma!$F$3:$T$1107,15,0),"")</f>
        <v/>
      </c>
      <c r="BR135" s="310" t="str">
        <f>_xlfn.IFNA(VLOOKUP($BC135,Programma!$F$3:$U$1107,16,0),"")</f>
        <v/>
      </c>
      <c r="BS135" s="310" t="str">
        <f>_xlfn.IFNA(VLOOKUP($BC135,Programma!$F$3:$V$1107,17,0),"")</f>
        <v/>
      </c>
      <c r="BT135" s="310" t="str">
        <f>_xlfn.IFNA(VLOOKUP($BC135,Programma!$F$3:$W$1107,18,0),"")</f>
        <v/>
      </c>
      <c r="BU135" s="310" t="str">
        <f>_xlfn.IFNA(VLOOKUP($BC135,Programma!$F$3:$X$1107,19,0),"")</f>
        <v/>
      </c>
      <c r="BV135" s="310" t="str">
        <f>_xlfn.IFNA(VLOOKUP($BC135,Programma!$F$3:$Y$1107,20,0),"")</f>
        <v/>
      </c>
    </row>
    <row r="136" spans="1:74" ht="15" customHeight="1">
      <c r="A136" s="33">
        <v>1</v>
      </c>
      <c r="B136" s="173" t="str">
        <f>VLOOKUP(Ruimtestaat[[#This Row],[Code]],Locaties[[Code]:[Locatie]],2,FALSE)</f>
        <v>CCNV</v>
      </c>
      <c r="C136" s="173" t="str">
        <f>VLOOKUP(Ruimtestaat[[#This Row],[Code]],Locaties[[#All],[Code]:[Adres]],4,FALSE)</f>
        <v>Stationslaan 26</v>
      </c>
      <c r="D136" s="173" t="str">
        <f>VLOOKUP(Ruimtestaat[[#This Row],[Code]],Locaties[[#All],[Code]:[Postcode]],5,FALSE)</f>
        <v>3842 LA</v>
      </c>
      <c r="E136" s="173" t="str">
        <f>VLOOKUP(Ruimtestaat[[#This Row],[Code]],Locaties[#All],6,FALSE)</f>
        <v>Harderwijk</v>
      </c>
      <c r="F136" s="21" t="s">
        <v>1628</v>
      </c>
      <c r="G136" s="33" t="s">
        <v>1613</v>
      </c>
      <c r="H136" s="21" t="s">
        <v>1739</v>
      </c>
      <c r="I136" s="69" t="s">
        <v>1730</v>
      </c>
      <c r="J136" s="21">
        <v>5</v>
      </c>
      <c r="K136" s="69" t="str">
        <f>VLOOKUP(Ruimtestaat[[#This Row],[Ruimte code]],Ruimtegroepen[[#All],[Code]:[Ruimte omschrijving]],2,FALSE)</f>
        <v>Sanitair</v>
      </c>
      <c r="L136" s="33" t="s">
        <v>102</v>
      </c>
      <c r="M136" s="312" t="s">
        <v>1805</v>
      </c>
      <c r="N136" s="148">
        <v>6.5</v>
      </c>
      <c r="O136" s="150"/>
      <c r="P136" s="134" t="str">
        <f>VLOOKUP(Ruimtestaat[[#This Row],[Ruimte code]],Ruimtegroepen[],4,FALSE)</f>
        <v>Sa</v>
      </c>
      <c r="Q136" s="33">
        <v>40</v>
      </c>
      <c r="R136" s="33" t="s">
        <v>2</v>
      </c>
      <c r="S136" s="33">
        <f>IF(Q136&gt;0,IF(RIGHT(Ruimtestaat[[#This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6" s="33">
        <f>IF(S136&gt;0,VLOOKUP($J136,Ruimtegroepen[],3,FALSE)*VLOOKUP($L136,Vloersoorten[],3,FALSE)*VLOOKUP($R136,Frequenties[],3,FALSE)*VLOOKUP($A136,Locaties[],3,FALSE),0)</f>
        <v>0</v>
      </c>
      <c r="U136" s="33">
        <f>Ruimtestaat[[#This Row],[Uitvoeringen werkdagen]]*Ruimtestaat[[#This Row],[Oppervlak (netto)]]</f>
        <v>1300</v>
      </c>
      <c r="V136" s="170">
        <f>IF(T136&gt;0,Ruimtestaat[[#This Row],[Prest. (m2 /jaar) werkdagen]]/Ruimtestaat[[#This Row],[Norm (m2/uur) werkdagen]],0)</f>
        <v>0</v>
      </c>
      <c r="W136" s="171">
        <f>Ruimtestaat[[#This Row],[uren / jaar werkdagen]]*Tariefsopbouw!$E$35</f>
        <v>0</v>
      </c>
      <c r="X136" s="33"/>
      <c r="Y136" s="33">
        <f>IF(Ruimtestaat[[#This Row],[Frequentie weekend]]&gt;0,VALUE(LEFT(X136,1))*Q136,0)</f>
        <v>0</v>
      </c>
      <c r="Z136" s="104">
        <f>IF($Y136&gt;0,VLOOKUP($J136,Ruimtegroepen[],3,FALSE)*VLOOKUP($L136,Vloersoorten[],3,FALSE)*VLOOKUP($X136,Frequenties[],3,FALSE)*VLOOKUP(Ruimtestaat[[#This Row],[Code]],Locaties[],3,FALSE),0)</f>
        <v>0</v>
      </c>
      <c r="AA136" s="104">
        <f>Ruimtestaat[[#This Row],[Uitvoeringen weekend]]*Ruimtestaat[[#This Row],[Oppervlak (netto)]]</f>
        <v>0</v>
      </c>
      <c r="AB136" s="104">
        <f>IF(Z136&gt;0,Ruimtestaat[[#This Row],[Prest. (m2 /jaar) weekend]]/Ruimtestaat[[#This Row],[Norm (m2/uur) weekend]],0)</f>
        <v>0</v>
      </c>
      <c r="AC136" s="171">
        <f>Ruimtestaat[[#This Row],[uren / jaar weekend]]*Tariefsopbouw!$D$40</f>
        <v>0</v>
      </c>
      <c r="AD136" s="170">
        <f>Ruimtestaat[[#This Row],[Prest. (m2 /jaar) weekend]]+Ruimtestaat[[#This Row],[Prest. (m2 /jaar) werkdagen]]</f>
        <v>1300</v>
      </c>
      <c r="AE136" s="170">
        <f>Ruimtestaat[[#This Row],[uren / jaar weekend]]+Ruimtestaat[[#This Row],[uren / jaar werkdagen]]</f>
        <v>0</v>
      </c>
      <c r="AF136" s="76">
        <f>Ruimtestaat[[#This Row],[kosten / jaar weekend]]+Ruimtestaat[[#This Row],[kosten / jaar werkdagen]]</f>
        <v>0</v>
      </c>
      <c r="AG136" s="76"/>
      <c r="AH136" s="272" t="str">
        <f>IF(Ruimtestaat[[#This Row],[Frequentie werkdagen]]="","",_xlfn.CONCAT(Ruimtestaat[[#This Row],[Ruimte code]],"-",Ruimtestaat[[#This Row],[Frequentie werkdagen]]," ",Ruimtestaat[[#This Row],[Vloer code]]))</f>
        <v>5-5w S</v>
      </c>
      <c r="AI136" s="310" t="str">
        <f>_xlfn.IFNA(VLOOKUP($AH136,Programma!$F$3:$G$1107,2,0),"")</f>
        <v>_</v>
      </c>
      <c r="AJ136" s="310" t="str">
        <f>_xlfn.IFNA(VLOOKUP($AH136,Programma!$F$3:$H$1107,3,0),"")</f>
        <v>_</v>
      </c>
      <c r="AK136" s="310" t="str">
        <f>_xlfn.IFNA(VLOOKUP($AH136,Programma!$F$3:$I$1107,4,0),"")</f>
        <v>_</v>
      </c>
      <c r="AL136" s="310" t="str">
        <f>_xlfn.IFNA(VLOOKUP($AH136,Programma!$F$3:$J$1107,5,0),"")</f>
        <v>4w</v>
      </c>
      <c r="AM136" s="310" t="str">
        <f>_xlfn.IFNA(VLOOKUP($AH136,Programma!$F$3:$K$1107,6,0),"")</f>
        <v>1w</v>
      </c>
      <c r="AN136" s="310" t="str">
        <f>_xlfn.IFNA(VLOOKUP($AH136,Programma!$F$3:$L$1107,7,0),"")</f>
        <v>_</v>
      </c>
      <c r="AO136" s="310" t="str">
        <f>_xlfn.IFNA(VLOOKUP($AH136,Programma!$F$3:$M$1107,8,0),"")</f>
        <v>_</v>
      </c>
      <c r="AP136" s="310" t="str">
        <f>_xlfn.IFNA(VLOOKUP($AH136,Programma!$F$3:$N$1107,9,0),"")</f>
        <v>_</v>
      </c>
      <c r="AQ136" s="310" t="str">
        <f>_xlfn.IFNA(VLOOKUP($AH136,Programma!$F$3:$O$1107,10,0),"")</f>
        <v>_</v>
      </c>
      <c r="AR136" s="310" t="str">
        <f>_xlfn.IFNA(VLOOKUP($AH136,Programma!$F$3:$P$1107,11,0),"")</f>
        <v>_</v>
      </c>
      <c r="AS136" s="310" t="str">
        <f>_xlfn.IFNA(VLOOKUP($AH136,Programma!$F$3:$Q$1107,12,0),"")</f>
        <v>_</v>
      </c>
      <c r="AT136" s="310" t="str">
        <f>_xlfn.IFNA(VLOOKUP($AH136,Programma!$F$3:$R$1107,13,0),"")</f>
        <v>_</v>
      </c>
      <c r="AU136" s="310" t="str">
        <f>_xlfn.IFNA(VLOOKUP($AH136,Programma!$F$3:$S$1107,14,0),"")</f>
        <v>_</v>
      </c>
      <c r="AV136" s="310" t="str">
        <f>_xlfn.IFNA(VLOOKUP($AH136,Programma!$F$3:$T$1107,15,0),"")</f>
        <v>_</v>
      </c>
      <c r="AW136" s="310" t="str">
        <f>_xlfn.IFNA(VLOOKUP($AH136,Programma!$F$3:$U$1107,16,0),"")</f>
        <v>_</v>
      </c>
      <c r="AX136" s="310" t="str">
        <f>_xlfn.IFNA(VLOOKUP($AH136,Programma!$F$3:$V$1107,17,0),"")</f>
        <v>_</v>
      </c>
      <c r="AY136" s="310" t="str">
        <f>_xlfn.IFNA(VLOOKUP($AH136,Programma!$F$3:$W$1107,18,0),"")</f>
        <v>4w</v>
      </c>
      <c r="AZ136" s="310" t="str">
        <f>_xlfn.IFNA(VLOOKUP($AH136,Programma!$F$3:$X$1107,19,0),"")</f>
        <v>1w</v>
      </c>
      <c r="BA136" s="310" t="str">
        <f>_xlfn.IFNA(VLOOKUP($AH136,Programma!$F$3:$Y$1107,20,0),"")</f>
        <v>_</v>
      </c>
      <c r="BB136" s="273"/>
      <c r="BC136" s="272" t="str">
        <f>IF(Ruimtestaat[[#This Row],[Frequentie weekend]]="","",_xlfn.CONCAT(Ruimtestaat[[#This Row],[Ruimte code]],"-",Ruimtestaat[[#This Row],[Frequentie weekend]]," ",Ruimtestaat[[#This Row],[Vloer code]]))</f>
        <v/>
      </c>
      <c r="BD136" s="310" t="str">
        <f>_xlfn.IFNA(VLOOKUP($BC136,Programma!$F$3:$G$1107,2,0),"")</f>
        <v/>
      </c>
      <c r="BE136" s="310" t="str">
        <f>_xlfn.IFNA(VLOOKUP($BC136,Programma!$F$3:$H$1107,3,0),"")</f>
        <v/>
      </c>
      <c r="BF136" s="310" t="str">
        <f>_xlfn.IFNA(VLOOKUP($BC136,Programma!$F$3:$I$1107,4,0),"")</f>
        <v/>
      </c>
      <c r="BG136" s="310" t="str">
        <f>_xlfn.IFNA(VLOOKUP($BC136,Programma!$F$3:$J$1107,5,0),"")</f>
        <v/>
      </c>
      <c r="BH136" s="310" t="str">
        <f>_xlfn.IFNA(VLOOKUP($BC136,Programma!$F$3:$K$1107,6,0),"")</f>
        <v/>
      </c>
      <c r="BI136" s="310" t="str">
        <f>_xlfn.IFNA(VLOOKUP($BC136,Programma!$F$3:$L$1107,7,0),"")</f>
        <v/>
      </c>
      <c r="BJ136" s="310" t="str">
        <f>_xlfn.IFNA(VLOOKUP($BC136,Programma!$F$3:$M$1107,8,0),"")</f>
        <v/>
      </c>
      <c r="BK136" s="310" t="str">
        <f>_xlfn.IFNA(VLOOKUP($BC136,Programma!$F$3:$N$1107,9,0),"")</f>
        <v/>
      </c>
      <c r="BL136" s="310" t="str">
        <f>_xlfn.IFNA(VLOOKUP($BC136,Programma!$F$3:$O$1107,10,0),"")</f>
        <v/>
      </c>
      <c r="BM136" s="310" t="str">
        <f>_xlfn.IFNA(VLOOKUP($BC136,Programma!$F$3:$P$1107,11,0),"")</f>
        <v/>
      </c>
      <c r="BN136" s="310" t="str">
        <f>_xlfn.IFNA(VLOOKUP($BC136,Programma!$F$3:$Q$1107,12,0),"")</f>
        <v/>
      </c>
      <c r="BO136" s="310" t="str">
        <f>_xlfn.IFNA(VLOOKUP($BC136,Programma!$F$3:$R$1107,13,0),"")</f>
        <v/>
      </c>
      <c r="BP136" s="310" t="str">
        <f>_xlfn.IFNA(VLOOKUP($BC136,Programma!$F$3:$S$1107,14,0),"")</f>
        <v/>
      </c>
      <c r="BQ136" s="310" t="str">
        <f>_xlfn.IFNA(VLOOKUP($BC136,Programma!$F$3:$T$1107,15,0),"")</f>
        <v/>
      </c>
      <c r="BR136" s="310" t="str">
        <f>_xlfn.IFNA(VLOOKUP($BC136,Programma!$F$3:$U$1107,16,0),"")</f>
        <v/>
      </c>
      <c r="BS136" s="310" t="str">
        <f>_xlfn.IFNA(VLOOKUP($BC136,Programma!$F$3:$V$1107,17,0),"")</f>
        <v/>
      </c>
      <c r="BT136" s="310" t="str">
        <f>_xlfn.IFNA(VLOOKUP($BC136,Programma!$F$3:$W$1107,18,0),"")</f>
        <v/>
      </c>
      <c r="BU136" s="310" t="str">
        <f>_xlfn.IFNA(VLOOKUP($BC136,Programma!$F$3:$X$1107,19,0),"")</f>
        <v/>
      </c>
      <c r="BV136" s="310" t="str">
        <f>_xlfn.IFNA(VLOOKUP($BC136,Programma!$F$3:$Y$1107,20,0),"")</f>
        <v/>
      </c>
    </row>
    <row r="137" spans="1:74" ht="15" customHeight="1">
      <c r="A137" s="33">
        <v>1</v>
      </c>
      <c r="B137" s="173" t="str">
        <f>VLOOKUP(Ruimtestaat[[#This Row],[Code]],Locaties[[Code]:[Locatie]],2,FALSE)</f>
        <v>CCNV</v>
      </c>
      <c r="C137" s="173" t="str">
        <f>VLOOKUP(Ruimtestaat[[#This Row],[Code]],Locaties[[#All],[Code]:[Adres]],4,FALSE)</f>
        <v>Stationslaan 26</v>
      </c>
      <c r="D137" s="173" t="str">
        <f>VLOOKUP(Ruimtestaat[[#This Row],[Code]],Locaties[[#All],[Code]:[Postcode]],5,FALSE)</f>
        <v>3842 LA</v>
      </c>
      <c r="E137" s="173" t="str">
        <f>VLOOKUP(Ruimtestaat[[#This Row],[Code]],Locaties[#All],6,FALSE)</f>
        <v>Harderwijk</v>
      </c>
      <c r="F137" s="21" t="s">
        <v>1628</v>
      </c>
      <c r="G137" s="33" t="s">
        <v>1613</v>
      </c>
      <c r="H137" s="21" t="s">
        <v>1740</v>
      </c>
      <c r="I137" s="69" t="s">
        <v>1792</v>
      </c>
      <c r="J137" s="21">
        <v>5</v>
      </c>
      <c r="K137" s="69" t="str">
        <f>VLOOKUP(Ruimtestaat[[#This Row],[Ruimte code]],Ruimtegroepen[[#All],[Code]:[Ruimte omschrijving]],2,FALSE)</f>
        <v>Sanitair</v>
      </c>
      <c r="L137" s="33" t="s">
        <v>102</v>
      </c>
      <c r="M137" s="312" t="s">
        <v>1805</v>
      </c>
      <c r="N137" s="148">
        <v>6.5</v>
      </c>
      <c r="O137" s="150"/>
      <c r="P137" s="134" t="str">
        <f>VLOOKUP(Ruimtestaat[[#This Row],[Ruimte code]],Ruimtegroepen[],4,FALSE)</f>
        <v>Sa</v>
      </c>
      <c r="Q137" s="33">
        <v>40</v>
      </c>
      <c r="R137" s="33" t="s">
        <v>2</v>
      </c>
      <c r="S137" s="33">
        <f>IF(Q137&gt;0,IF(RIGHT(Ruimtestaat[[#This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7" s="33">
        <f>IF(S137&gt;0,VLOOKUP($J137,Ruimtegroepen[],3,FALSE)*VLOOKUP($L137,Vloersoorten[],3,FALSE)*VLOOKUP($R137,Frequenties[],3,FALSE)*VLOOKUP($A137,Locaties[],3,FALSE),0)</f>
        <v>0</v>
      </c>
      <c r="U137" s="33">
        <f>Ruimtestaat[[#This Row],[Uitvoeringen werkdagen]]*Ruimtestaat[[#This Row],[Oppervlak (netto)]]</f>
        <v>1300</v>
      </c>
      <c r="V137" s="170">
        <f>IF(T137&gt;0,Ruimtestaat[[#This Row],[Prest. (m2 /jaar) werkdagen]]/Ruimtestaat[[#This Row],[Norm (m2/uur) werkdagen]],0)</f>
        <v>0</v>
      </c>
      <c r="W137" s="171">
        <f>Ruimtestaat[[#This Row],[uren / jaar werkdagen]]*Tariefsopbouw!$E$35</f>
        <v>0</v>
      </c>
      <c r="X137" s="33"/>
      <c r="Y137" s="33">
        <f>IF(Ruimtestaat[[#This Row],[Frequentie weekend]]&gt;0,VALUE(LEFT(X137,1))*Q137,0)</f>
        <v>0</v>
      </c>
      <c r="Z137" s="104">
        <f>IF($Y137&gt;0,VLOOKUP($J137,Ruimtegroepen[],3,FALSE)*VLOOKUP($L137,Vloersoorten[],3,FALSE)*VLOOKUP($X137,Frequenties[],3,FALSE)*VLOOKUP(Ruimtestaat[[#This Row],[Code]],Locaties[],3,FALSE),0)</f>
        <v>0</v>
      </c>
      <c r="AA137" s="104">
        <f>Ruimtestaat[[#This Row],[Uitvoeringen weekend]]*Ruimtestaat[[#This Row],[Oppervlak (netto)]]</f>
        <v>0</v>
      </c>
      <c r="AB137" s="104">
        <f>IF(Z137&gt;0,Ruimtestaat[[#This Row],[Prest. (m2 /jaar) weekend]]/Ruimtestaat[[#This Row],[Norm (m2/uur) weekend]],0)</f>
        <v>0</v>
      </c>
      <c r="AC137" s="171">
        <f>Ruimtestaat[[#This Row],[uren / jaar weekend]]*Tariefsopbouw!$D$40</f>
        <v>0</v>
      </c>
      <c r="AD137" s="170">
        <f>Ruimtestaat[[#This Row],[Prest. (m2 /jaar) weekend]]+Ruimtestaat[[#This Row],[Prest. (m2 /jaar) werkdagen]]</f>
        <v>1300</v>
      </c>
      <c r="AE137" s="170">
        <f>Ruimtestaat[[#This Row],[uren / jaar weekend]]+Ruimtestaat[[#This Row],[uren / jaar werkdagen]]</f>
        <v>0</v>
      </c>
      <c r="AF137" s="76">
        <f>Ruimtestaat[[#This Row],[kosten / jaar weekend]]+Ruimtestaat[[#This Row],[kosten / jaar werkdagen]]</f>
        <v>0</v>
      </c>
      <c r="AG137" s="76"/>
      <c r="AH137" s="272" t="str">
        <f>IF(Ruimtestaat[[#This Row],[Frequentie werkdagen]]="","",_xlfn.CONCAT(Ruimtestaat[[#This Row],[Ruimte code]],"-",Ruimtestaat[[#This Row],[Frequentie werkdagen]]," ",Ruimtestaat[[#This Row],[Vloer code]]))</f>
        <v>5-5w S</v>
      </c>
      <c r="AI137" s="310" t="str">
        <f>_xlfn.IFNA(VLOOKUP($AH137,Programma!$F$3:$G$1107,2,0),"")</f>
        <v>_</v>
      </c>
      <c r="AJ137" s="310" t="str">
        <f>_xlfn.IFNA(VLOOKUP($AH137,Programma!$F$3:$H$1107,3,0),"")</f>
        <v>_</v>
      </c>
      <c r="AK137" s="310" t="str">
        <f>_xlfn.IFNA(VLOOKUP($AH137,Programma!$F$3:$I$1107,4,0),"")</f>
        <v>_</v>
      </c>
      <c r="AL137" s="310" t="str">
        <f>_xlfn.IFNA(VLOOKUP($AH137,Programma!$F$3:$J$1107,5,0),"")</f>
        <v>4w</v>
      </c>
      <c r="AM137" s="310" t="str">
        <f>_xlfn.IFNA(VLOOKUP($AH137,Programma!$F$3:$K$1107,6,0),"")</f>
        <v>1w</v>
      </c>
      <c r="AN137" s="310" t="str">
        <f>_xlfn.IFNA(VLOOKUP($AH137,Programma!$F$3:$L$1107,7,0),"")</f>
        <v>_</v>
      </c>
      <c r="AO137" s="310" t="str">
        <f>_xlfn.IFNA(VLOOKUP($AH137,Programma!$F$3:$M$1107,8,0),"")</f>
        <v>_</v>
      </c>
      <c r="AP137" s="310" t="str">
        <f>_xlfn.IFNA(VLOOKUP($AH137,Programma!$F$3:$N$1107,9,0),"")</f>
        <v>_</v>
      </c>
      <c r="AQ137" s="310" t="str">
        <f>_xlfn.IFNA(VLOOKUP($AH137,Programma!$F$3:$O$1107,10,0),"")</f>
        <v>_</v>
      </c>
      <c r="AR137" s="310" t="str">
        <f>_xlfn.IFNA(VLOOKUP($AH137,Programma!$F$3:$P$1107,11,0),"")</f>
        <v>_</v>
      </c>
      <c r="AS137" s="310" t="str">
        <f>_xlfn.IFNA(VLOOKUP($AH137,Programma!$F$3:$Q$1107,12,0),"")</f>
        <v>_</v>
      </c>
      <c r="AT137" s="310" t="str">
        <f>_xlfn.IFNA(VLOOKUP($AH137,Programma!$F$3:$R$1107,13,0),"")</f>
        <v>_</v>
      </c>
      <c r="AU137" s="310" t="str">
        <f>_xlfn.IFNA(VLOOKUP($AH137,Programma!$F$3:$S$1107,14,0),"")</f>
        <v>_</v>
      </c>
      <c r="AV137" s="310" t="str">
        <f>_xlfn.IFNA(VLOOKUP($AH137,Programma!$F$3:$T$1107,15,0),"")</f>
        <v>_</v>
      </c>
      <c r="AW137" s="310" t="str">
        <f>_xlfn.IFNA(VLOOKUP($AH137,Programma!$F$3:$U$1107,16,0),"")</f>
        <v>_</v>
      </c>
      <c r="AX137" s="310" t="str">
        <f>_xlfn.IFNA(VLOOKUP($AH137,Programma!$F$3:$V$1107,17,0),"")</f>
        <v>_</v>
      </c>
      <c r="AY137" s="310" t="str">
        <f>_xlfn.IFNA(VLOOKUP($AH137,Programma!$F$3:$W$1107,18,0),"")</f>
        <v>4w</v>
      </c>
      <c r="AZ137" s="310" t="str">
        <f>_xlfn.IFNA(VLOOKUP($AH137,Programma!$F$3:$X$1107,19,0),"")</f>
        <v>1w</v>
      </c>
      <c r="BA137" s="310" t="str">
        <f>_xlfn.IFNA(VLOOKUP($AH137,Programma!$F$3:$Y$1107,20,0),"")</f>
        <v>_</v>
      </c>
      <c r="BB137" s="273"/>
      <c r="BC137" s="272" t="str">
        <f>IF(Ruimtestaat[[#This Row],[Frequentie weekend]]="","",_xlfn.CONCAT(Ruimtestaat[[#This Row],[Ruimte code]],"-",Ruimtestaat[[#This Row],[Frequentie weekend]]," ",Ruimtestaat[[#This Row],[Vloer code]]))</f>
        <v/>
      </c>
      <c r="BD137" s="310" t="str">
        <f>_xlfn.IFNA(VLOOKUP($BC137,Programma!$F$3:$G$1107,2,0),"")</f>
        <v/>
      </c>
      <c r="BE137" s="310" t="str">
        <f>_xlfn.IFNA(VLOOKUP($BC137,Programma!$F$3:$H$1107,3,0),"")</f>
        <v/>
      </c>
      <c r="BF137" s="310" t="str">
        <f>_xlfn.IFNA(VLOOKUP($BC137,Programma!$F$3:$I$1107,4,0),"")</f>
        <v/>
      </c>
      <c r="BG137" s="310" t="str">
        <f>_xlfn.IFNA(VLOOKUP($BC137,Programma!$F$3:$J$1107,5,0),"")</f>
        <v/>
      </c>
      <c r="BH137" s="310" t="str">
        <f>_xlfn.IFNA(VLOOKUP($BC137,Programma!$F$3:$K$1107,6,0),"")</f>
        <v/>
      </c>
      <c r="BI137" s="310" t="str">
        <f>_xlfn.IFNA(VLOOKUP($BC137,Programma!$F$3:$L$1107,7,0),"")</f>
        <v/>
      </c>
      <c r="BJ137" s="310" t="str">
        <f>_xlfn.IFNA(VLOOKUP($BC137,Programma!$F$3:$M$1107,8,0),"")</f>
        <v/>
      </c>
      <c r="BK137" s="310" t="str">
        <f>_xlfn.IFNA(VLOOKUP($BC137,Programma!$F$3:$N$1107,9,0),"")</f>
        <v/>
      </c>
      <c r="BL137" s="310" t="str">
        <f>_xlfn.IFNA(VLOOKUP($BC137,Programma!$F$3:$O$1107,10,0),"")</f>
        <v/>
      </c>
      <c r="BM137" s="310" t="str">
        <f>_xlfn.IFNA(VLOOKUP($BC137,Programma!$F$3:$P$1107,11,0),"")</f>
        <v/>
      </c>
      <c r="BN137" s="310" t="str">
        <f>_xlfn.IFNA(VLOOKUP($BC137,Programma!$F$3:$Q$1107,12,0),"")</f>
        <v/>
      </c>
      <c r="BO137" s="310" t="str">
        <f>_xlfn.IFNA(VLOOKUP($BC137,Programma!$F$3:$R$1107,13,0),"")</f>
        <v/>
      </c>
      <c r="BP137" s="310" t="str">
        <f>_xlfn.IFNA(VLOOKUP($BC137,Programma!$F$3:$S$1107,14,0),"")</f>
        <v/>
      </c>
      <c r="BQ137" s="310" t="str">
        <f>_xlfn.IFNA(VLOOKUP($BC137,Programma!$F$3:$T$1107,15,0),"")</f>
        <v/>
      </c>
      <c r="BR137" s="310" t="str">
        <f>_xlfn.IFNA(VLOOKUP($BC137,Programma!$F$3:$U$1107,16,0),"")</f>
        <v/>
      </c>
      <c r="BS137" s="310" t="str">
        <f>_xlfn.IFNA(VLOOKUP($BC137,Programma!$F$3:$V$1107,17,0),"")</f>
        <v/>
      </c>
      <c r="BT137" s="310" t="str">
        <f>_xlfn.IFNA(VLOOKUP($BC137,Programma!$F$3:$W$1107,18,0),"")</f>
        <v/>
      </c>
      <c r="BU137" s="310" t="str">
        <f>_xlfn.IFNA(VLOOKUP($BC137,Programma!$F$3:$X$1107,19,0),"")</f>
        <v/>
      </c>
      <c r="BV137" s="310" t="str">
        <f>_xlfn.IFNA(VLOOKUP($BC137,Programma!$F$3:$Y$1107,20,0),"")</f>
        <v/>
      </c>
    </row>
    <row r="138" spans="1:74" ht="15" customHeight="1">
      <c r="A138" s="33">
        <v>1</v>
      </c>
      <c r="B138" s="173" t="str">
        <f>VLOOKUP(Ruimtestaat[[#This Row],[Code]],Locaties[[Code]:[Locatie]],2,FALSE)</f>
        <v>CCNV</v>
      </c>
      <c r="C138" s="173" t="str">
        <f>VLOOKUP(Ruimtestaat[[#This Row],[Code]],Locaties[[#All],[Code]:[Adres]],4,FALSE)</f>
        <v>Stationslaan 26</v>
      </c>
      <c r="D138" s="173" t="str">
        <f>VLOOKUP(Ruimtestaat[[#This Row],[Code]],Locaties[[#All],[Code]:[Postcode]],5,FALSE)</f>
        <v>3842 LA</v>
      </c>
      <c r="E138" s="173" t="str">
        <f>VLOOKUP(Ruimtestaat[[#This Row],[Code]],Locaties[#All],6,FALSE)</f>
        <v>Harderwijk</v>
      </c>
      <c r="F138" s="21" t="s">
        <v>1628</v>
      </c>
      <c r="G138" s="33" t="s">
        <v>1613</v>
      </c>
      <c r="I138" s="69" t="s">
        <v>1766</v>
      </c>
      <c r="J138" s="21">
        <v>6</v>
      </c>
      <c r="K138" s="69" t="str">
        <f>VLOOKUP(Ruimtestaat[[#This Row],[Ruimte code]],Ruimtegroepen[[#All],[Code]:[Ruimte omschrijving]],2,FALSE)</f>
        <v>Gangen/hallen</v>
      </c>
      <c r="L138" s="33" t="s">
        <v>101</v>
      </c>
      <c r="M138" s="312" t="s">
        <v>1804</v>
      </c>
      <c r="N138" s="148">
        <v>111</v>
      </c>
      <c r="O138" s="33"/>
      <c r="P138" s="134" t="str">
        <f>VLOOKUP(Ruimtestaat[[#This Row],[Ruimte code]],Ruimtegroepen[],4,FALSE)</f>
        <v>Ve</v>
      </c>
      <c r="Q138" s="33">
        <v>40</v>
      </c>
      <c r="R138" s="33" t="s">
        <v>2</v>
      </c>
      <c r="S138" s="33">
        <f>IF(Q138&gt;0,IF(RIGHT(Ruimtestaat[[#This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8" s="33">
        <f>IF(S138&gt;0,VLOOKUP($J138,Ruimtegroepen[],3,FALSE)*VLOOKUP($L138,Vloersoorten[],3,FALSE)*VLOOKUP($R138,Frequenties[],3,FALSE)*VLOOKUP($A138,Locaties[],3,FALSE),0)</f>
        <v>0</v>
      </c>
      <c r="U138" s="33">
        <f>Ruimtestaat[[#This Row],[Uitvoeringen werkdagen]]*Ruimtestaat[[#This Row],[Oppervlak (netto)]]</f>
        <v>22200</v>
      </c>
      <c r="V138" s="170">
        <f>IF(T138&gt;0,Ruimtestaat[[#This Row],[Prest. (m2 /jaar) werkdagen]]/Ruimtestaat[[#This Row],[Norm (m2/uur) werkdagen]],0)</f>
        <v>0</v>
      </c>
      <c r="W138" s="171">
        <f>Ruimtestaat[[#This Row],[uren / jaar werkdagen]]*Tariefsopbouw!$E$35</f>
        <v>0</v>
      </c>
      <c r="X138" s="33"/>
      <c r="Y138" s="33">
        <f>IF(Ruimtestaat[[#This Row],[Frequentie weekend]]&gt;0,VALUE(LEFT(X138,1))*Q138,0)</f>
        <v>0</v>
      </c>
      <c r="Z138" s="104">
        <f>IF($Y138&gt;0,VLOOKUP($J138,Ruimtegroepen[],3,FALSE)*VLOOKUP($L138,Vloersoorten[],3,FALSE)*VLOOKUP($X138,Frequenties[],3,FALSE)*VLOOKUP(Ruimtestaat[[#This Row],[Code]],Locaties[],3,FALSE),0)</f>
        <v>0</v>
      </c>
      <c r="AA138" s="104">
        <f>Ruimtestaat[[#This Row],[Uitvoeringen weekend]]*Ruimtestaat[[#This Row],[Oppervlak (netto)]]</f>
        <v>0</v>
      </c>
      <c r="AB138" s="104">
        <f>IF(Z138&gt;0,Ruimtestaat[[#This Row],[Prest. (m2 /jaar) weekend]]/Ruimtestaat[[#This Row],[Norm (m2/uur) weekend]],0)</f>
        <v>0</v>
      </c>
      <c r="AC138" s="171">
        <f>Ruimtestaat[[#This Row],[uren / jaar weekend]]*Tariefsopbouw!$D$40</f>
        <v>0</v>
      </c>
      <c r="AD138" s="170">
        <f>Ruimtestaat[[#This Row],[Prest. (m2 /jaar) weekend]]+Ruimtestaat[[#This Row],[Prest. (m2 /jaar) werkdagen]]</f>
        <v>22200</v>
      </c>
      <c r="AE138" s="170">
        <f>Ruimtestaat[[#This Row],[uren / jaar weekend]]+Ruimtestaat[[#This Row],[uren / jaar werkdagen]]</f>
        <v>0</v>
      </c>
      <c r="AF138" s="76">
        <f>Ruimtestaat[[#This Row],[kosten / jaar weekend]]+Ruimtestaat[[#This Row],[kosten / jaar werkdagen]]</f>
        <v>0</v>
      </c>
      <c r="AG138" s="76"/>
      <c r="AH138" s="272" t="str">
        <f>IF(Ruimtestaat[[#This Row],[Frequentie werkdagen]]="","",_xlfn.CONCAT(Ruimtestaat[[#This Row],[Ruimte code]],"-",Ruimtestaat[[#This Row],[Frequentie werkdagen]]," ",Ruimtestaat[[#This Row],[Vloer code]]))</f>
        <v>6-5w L</v>
      </c>
      <c r="AI138" s="310" t="str">
        <f>_xlfn.IFNA(VLOOKUP($AH138,Programma!$F$3:$G$1107,2,0),"")</f>
        <v>_</v>
      </c>
      <c r="AJ138" s="310" t="str">
        <f>_xlfn.IFNA(VLOOKUP($AH138,Programma!$F$3:$H$1107,3,0),"")</f>
        <v>_</v>
      </c>
      <c r="AK138" s="310" t="str">
        <f>_xlfn.IFNA(VLOOKUP($AH138,Programma!$F$3:$I$1107,4,0),"")</f>
        <v>_</v>
      </c>
      <c r="AL138" s="310" t="str">
        <f>_xlfn.IFNA(VLOOKUP($AH138,Programma!$F$3:$J$1107,5,0),"")</f>
        <v>5w</v>
      </c>
      <c r="AM138" s="310" t="str">
        <f>_xlfn.IFNA(VLOOKUP($AH138,Programma!$F$3:$K$1107,6,0),"")</f>
        <v>_</v>
      </c>
      <c r="AN138" s="310" t="str">
        <f>_xlfn.IFNA(VLOOKUP($AH138,Programma!$F$3:$L$1107,7,0),"")</f>
        <v>_</v>
      </c>
      <c r="AO138" s="310" t="str">
        <f>_xlfn.IFNA(VLOOKUP($AH138,Programma!$F$3:$M$1107,8,0),"")</f>
        <v>_</v>
      </c>
      <c r="AP138" s="310" t="str">
        <f>_xlfn.IFNA(VLOOKUP($AH138,Programma!$F$3:$N$1107,9,0),"")</f>
        <v>_</v>
      </c>
      <c r="AQ138" s="310" t="str">
        <f>_xlfn.IFNA(VLOOKUP($AH138,Programma!$F$3:$O$1107,10,0),"")</f>
        <v>5w</v>
      </c>
      <c r="AR138" s="310" t="str">
        <f>_xlfn.IFNA(VLOOKUP($AH138,Programma!$F$3:$P$1107,11,0),"")</f>
        <v>5w</v>
      </c>
      <c r="AS138" s="310" t="str">
        <f>_xlfn.IFNA(VLOOKUP($AH138,Programma!$F$3:$Q$1107,12,0),"")</f>
        <v>1w</v>
      </c>
      <c r="AT138" s="310" t="str">
        <f>_xlfn.IFNA(VLOOKUP($AH138,Programma!$F$3:$R$1107,13,0),"")</f>
        <v>1w</v>
      </c>
      <c r="AU138" s="310" t="str">
        <f>_xlfn.IFNA(VLOOKUP($AH138,Programma!$F$3:$S$1107,14,0),"")</f>
        <v>1m</v>
      </c>
      <c r="AV138" s="310" t="str">
        <f>_xlfn.IFNA(VLOOKUP($AH138,Programma!$F$3:$T$1107,15,0),"")</f>
        <v>2j</v>
      </c>
      <c r="AW138" s="310" t="str">
        <f>_xlfn.IFNA(VLOOKUP($AH138,Programma!$F$3:$U$1107,16,0),"")</f>
        <v>1j</v>
      </c>
      <c r="AX138" s="310" t="str">
        <f>_xlfn.IFNA(VLOOKUP($AH138,Programma!$F$3:$V$1107,17,0),"")</f>
        <v>_</v>
      </c>
      <c r="AY138" s="310" t="str">
        <f>_xlfn.IFNA(VLOOKUP($AH138,Programma!$F$3:$W$1107,18,0),"")</f>
        <v>_</v>
      </c>
      <c r="AZ138" s="310" t="str">
        <f>_xlfn.IFNA(VLOOKUP($AH138,Programma!$F$3:$X$1107,19,0),"")</f>
        <v>_</v>
      </c>
      <c r="BA138" s="310" t="str">
        <f>_xlfn.IFNA(VLOOKUP($AH138,Programma!$F$3:$Y$1107,20,0),"")</f>
        <v>_</v>
      </c>
      <c r="BB138" s="273"/>
      <c r="BC138" s="272" t="str">
        <f>IF(Ruimtestaat[[#This Row],[Frequentie weekend]]="","",_xlfn.CONCAT(Ruimtestaat[[#This Row],[Ruimte code]],"-",Ruimtestaat[[#This Row],[Frequentie weekend]]," ",Ruimtestaat[[#This Row],[Vloer code]]))</f>
        <v/>
      </c>
      <c r="BD138" s="310" t="str">
        <f>_xlfn.IFNA(VLOOKUP($BC138,Programma!$F$3:$G$1107,2,0),"")</f>
        <v/>
      </c>
      <c r="BE138" s="310" t="str">
        <f>_xlfn.IFNA(VLOOKUP($BC138,Programma!$F$3:$H$1107,3,0),"")</f>
        <v/>
      </c>
      <c r="BF138" s="310" t="str">
        <f>_xlfn.IFNA(VLOOKUP($BC138,Programma!$F$3:$I$1107,4,0),"")</f>
        <v/>
      </c>
      <c r="BG138" s="310" t="str">
        <f>_xlfn.IFNA(VLOOKUP($BC138,Programma!$F$3:$J$1107,5,0),"")</f>
        <v/>
      </c>
      <c r="BH138" s="310" t="str">
        <f>_xlfn.IFNA(VLOOKUP($BC138,Programma!$F$3:$K$1107,6,0),"")</f>
        <v/>
      </c>
      <c r="BI138" s="310" t="str">
        <f>_xlfn.IFNA(VLOOKUP($BC138,Programma!$F$3:$L$1107,7,0),"")</f>
        <v/>
      </c>
      <c r="BJ138" s="310" t="str">
        <f>_xlfn.IFNA(VLOOKUP($BC138,Programma!$F$3:$M$1107,8,0),"")</f>
        <v/>
      </c>
      <c r="BK138" s="310" t="str">
        <f>_xlfn.IFNA(VLOOKUP($BC138,Programma!$F$3:$N$1107,9,0),"")</f>
        <v/>
      </c>
      <c r="BL138" s="310" t="str">
        <f>_xlfn.IFNA(VLOOKUP($BC138,Programma!$F$3:$O$1107,10,0),"")</f>
        <v/>
      </c>
      <c r="BM138" s="310" t="str">
        <f>_xlfn.IFNA(VLOOKUP($BC138,Programma!$F$3:$P$1107,11,0),"")</f>
        <v/>
      </c>
      <c r="BN138" s="310" t="str">
        <f>_xlfn.IFNA(VLOOKUP($BC138,Programma!$F$3:$Q$1107,12,0),"")</f>
        <v/>
      </c>
      <c r="BO138" s="310" t="str">
        <f>_xlfn.IFNA(VLOOKUP($BC138,Programma!$F$3:$R$1107,13,0),"")</f>
        <v/>
      </c>
      <c r="BP138" s="310" t="str">
        <f>_xlfn.IFNA(VLOOKUP($BC138,Programma!$F$3:$S$1107,14,0),"")</f>
        <v/>
      </c>
      <c r="BQ138" s="310" t="str">
        <f>_xlfn.IFNA(VLOOKUP($BC138,Programma!$F$3:$T$1107,15,0),"")</f>
        <v/>
      </c>
      <c r="BR138" s="310" t="str">
        <f>_xlfn.IFNA(VLOOKUP($BC138,Programma!$F$3:$U$1107,16,0),"")</f>
        <v/>
      </c>
      <c r="BS138" s="310" t="str">
        <f>_xlfn.IFNA(VLOOKUP($BC138,Programma!$F$3:$V$1107,17,0),"")</f>
        <v/>
      </c>
      <c r="BT138" s="310" t="str">
        <f>_xlfn.IFNA(VLOOKUP($BC138,Programma!$F$3:$W$1107,18,0),"")</f>
        <v/>
      </c>
      <c r="BU138" s="310" t="str">
        <f>_xlfn.IFNA(VLOOKUP($BC138,Programma!$F$3:$X$1107,19,0),"")</f>
        <v/>
      </c>
      <c r="BV138" s="310" t="str">
        <f>_xlfn.IFNA(VLOOKUP($BC138,Programma!$F$3:$Y$1107,20,0),"")</f>
        <v/>
      </c>
    </row>
    <row r="139" spans="1:74" ht="15" customHeight="1">
      <c r="A139" s="33">
        <v>1</v>
      </c>
      <c r="B139" s="173" t="str">
        <f>VLOOKUP(Ruimtestaat[[#This Row],[Code]],Locaties[[Code]:[Locatie]],2,FALSE)</f>
        <v>CCNV</v>
      </c>
      <c r="C139" s="173" t="str">
        <f>VLOOKUP(Ruimtestaat[[#This Row],[Code]],Locaties[[#All],[Code]:[Adres]],4,FALSE)</f>
        <v>Stationslaan 26</v>
      </c>
      <c r="D139" s="173" t="str">
        <f>VLOOKUP(Ruimtestaat[[#This Row],[Code]],Locaties[[#All],[Code]:[Postcode]],5,FALSE)</f>
        <v>3842 LA</v>
      </c>
      <c r="E139" s="173" t="str">
        <f>VLOOKUP(Ruimtestaat[[#This Row],[Code]],Locaties[#All],6,FALSE)</f>
        <v>Harderwijk</v>
      </c>
      <c r="F139" s="21" t="s">
        <v>1628</v>
      </c>
      <c r="G139" s="33" t="s">
        <v>1613</v>
      </c>
      <c r="I139" s="69" t="s">
        <v>1793</v>
      </c>
      <c r="J139" s="21">
        <v>1</v>
      </c>
      <c r="K139" s="69" t="str">
        <f>VLOOKUP(Ruimtestaat[[#This Row],[Ruimte code]],Ruimtegroepen[[#All],[Code]:[Ruimte omschrijving]],2,FALSE)</f>
        <v>Magazijnen/bergingen</v>
      </c>
      <c r="L139" s="33" t="s">
        <v>101</v>
      </c>
      <c r="M139" s="312" t="s">
        <v>1804</v>
      </c>
      <c r="N139" s="148">
        <v>14</v>
      </c>
      <c r="O139" s="150"/>
      <c r="P139" s="134" t="str">
        <f>VLOOKUP(Ruimtestaat[[#This Row],[Ruimte code]],Ruimtegroepen[],4,FALSE)</f>
        <v>Ve</v>
      </c>
      <c r="Q139" s="33">
        <v>40</v>
      </c>
      <c r="R139" s="33" t="s">
        <v>16</v>
      </c>
      <c r="S139" s="33">
        <f>IF(Q139&gt;0,IF(RIGHT(Ruimtestaat[[#This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39" s="33">
        <f>IF(S139&gt;0,VLOOKUP($J139,Ruimtegroepen[],3,FALSE)*VLOOKUP($L139,Vloersoorten[],3,FALSE)*VLOOKUP($R139,Frequenties[],3,FALSE)*VLOOKUP($A139,Locaties[],3,FALSE),0)</f>
        <v>0</v>
      </c>
      <c r="U139" s="33">
        <f>Ruimtestaat[[#This Row],[Uitvoeringen werkdagen]]*Ruimtestaat[[#This Row],[Oppervlak (netto)]]</f>
        <v>168</v>
      </c>
      <c r="V139" s="170">
        <f>IF(T139&gt;0,Ruimtestaat[[#This Row],[Prest. (m2 /jaar) werkdagen]]/Ruimtestaat[[#This Row],[Norm (m2/uur) werkdagen]],0)</f>
        <v>0</v>
      </c>
      <c r="W139" s="171">
        <f>Ruimtestaat[[#This Row],[uren / jaar werkdagen]]*Tariefsopbouw!$E$35</f>
        <v>0</v>
      </c>
      <c r="X139" s="33"/>
      <c r="Y139" s="33">
        <f>IF(Ruimtestaat[[#This Row],[Frequentie weekend]]&gt;0,VALUE(LEFT(X139,1))*Q139,0)</f>
        <v>0</v>
      </c>
      <c r="Z139" s="104">
        <f>IF($Y139&gt;0,VLOOKUP($J139,Ruimtegroepen[],3,FALSE)*VLOOKUP($L139,Vloersoorten[],3,FALSE)*VLOOKUP($X139,Frequenties[],3,FALSE)*VLOOKUP(Ruimtestaat[[#This Row],[Code]],Locaties[],3,FALSE),0)</f>
        <v>0</v>
      </c>
      <c r="AA139" s="104">
        <f>Ruimtestaat[[#This Row],[Uitvoeringen weekend]]*Ruimtestaat[[#This Row],[Oppervlak (netto)]]</f>
        <v>0</v>
      </c>
      <c r="AB139" s="104">
        <f>IF(Z139&gt;0,Ruimtestaat[[#This Row],[Prest. (m2 /jaar) weekend]]/Ruimtestaat[[#This Row],[Norm (m2/uur) weekend]],0)</f>
        <v>0</v>
      </c>
      <c r="AC139" s="171">
        <f>Ruimtestaat[[#This Row],[uren / jaar weekend]]*Tariefsopbouw!$D$40</f>
        <v>0</v>
      </c>
      <c r="AD139" s="170">
        <f>Ruimtestaat[[#This Row],[Prest. (m2 /jaar) weekend]]+Ruimtestaat[[#This Row],[Prest. (m2 /jaar) werkdagen]]</f>
        <v>168</v>
      </c>
      <c r="AE139" s="170">
        <f>Ruimtestaat[[#This Row],[uren / jaar weekend]]+Ruimtestaat[[#This Row],[uren / jaar werkdagen]]</f>
        <v>0</v>
      </c>
      <c r="AF139" s="76">
        <f>Ruimtestaat[[#This Row],[kosten / jaar weekend]]+Ruimtestaat[[#This Row],[kosten / jaar werkdagen]]</f>
        <v>0</v>
      </c>
      <c r="AG139" s="76"/>
      <c r="AH139" s="272" t="str">
        <f>IF(Ruimtestaat[[#This Row],[Frequentie werkdagen]]="","",_xlfn.CONCAT(Ruimtestaat[[#This Row],[Ruimte code]],"-",Ruimtestaat[[#This Row],[Frequentie werkdagen]]," ",Ruimtestaat[[#This Row],[Vloer code]]))</f>
        <v>1-1m L</v>
      </c>
      <c r="AI139" s="314" t="str">
        <f>_xlfn.IFNA(VLOOKUP($AH139,Programma!$F$3:$G$1107,2,0),"")</f>
        <v>_</v>
      </c>
      <c r="AJ139" s="314" t="str">
        <f>_xlfn.IFNA(VLOOKUP($AH139,Programma!$F$3:$H$1107,3,0),"")</f>
        <v>_</v>
      </c>
      <c r="AK139" s="314" t="str">
        <f>_xlfn.IFNA(VLOOKUP($AH139,Programma!$F$3:$I$1107,4,0),"")</f>
        <v>1m</v>
      </c>
      <c r="AL139" s="314" t="str">
        <f>_xlfn.IFNA(VLOOKUP($AH139,Programma!$F$3:$J$1107,5,0),"")</f>
        <v>1m</v>
      </c>
      <c r="AM139" s="314" t="str">
        <f>_xlfn.IFNA(VLOOKUP($AH139,Programma!$F$3:$K$1107,6,0),"")</f>
        <v>_</v>
      </c>
      <c r="AN139" s="314" t="str">
        <f>_xlfn.IFNA(VLOOKUP($AH139,Programma!$F$3:$L$1107,7,0),"")</f>
        <v>_</v>
      </c>
      <c r="AO139" s="314" t="str">
        <f>_xlfn.IFNA(VLOOKUP($AH139,Programma!$F$3:$M$1107,8,0),"")</f>
        <v>_</v>
      </c>
      <c r="AP139" s="314" t="str">
        <f>_xlfn.IFNA(VLOOKUP($AH139,Programma!$F$3:$N$1107,9,0),"")</f>
        <v>_</v>
      </c>
      <c r="AQ139" s="314" t="str">
        <f>_xlfn.IFNA(VLOOKUP($AH139,Programma!$F$3:$O$1107,10,0),"")</f>
        <v>_</v>
      </c>
      <c r="AR139" s="314" t="str">
        <f>_xlfn.IFNA(VLOOKUP($AH139,Programma!$F$3:$P$1107,11,0),"")</f>
        <v>_</v>
      </c>
      <c r="AS139" s="314" t="str">
        <f>_xlfn.IFNA(VLOOKUP($AH139,Programma!$F$3:$Q$1107,12,0),"")</f>
        <v>_</v>
      </c>
      <c r="AT139" s="314" t="str">
        <f>_xlfn.IFNA(VLOOKUP($AH139,Programma!$F$3:$R$1107,13,0),"")</f>
        <v>_</v>
      </c>
      <c r="AU139" s="314" t="str">
        <f>_xlfn.IFNA(VLOOKUP($AH139,Programma!$F$3:$S$1107,14,0),"")</f>
        <v>1m</v>
      </c>
      <c r="AV139" s="314" t="str">
        <f>_xlfn.IFNA(VLOOKUP($AH139,Programma!$F$3:$T$1107,15,0),"")</f>
        <v>4j</v>
      </c>
      <c r="AW139" s="314" t="str">
        <f>_xlfn.IFNA(VLOOKUP($AH139,Programma!$F$3:$U$1107,16,0),"")</f>
        <v>4j</v>
      </c>
      <c r="AX139" s="314" t="str">
        <f>_xlfn.IFNA(VLOOKUP($AH139,Programma!$F$3:$V$1107,17,0),"")</f>
        <v>_</v>
      </c>
      <c r="AY139" s="314" t="str">
        <f>_xlfn.IFNA(VLOOKUP($AH139,Programma!$F$3:$W$1107,18,0),"")</f>
        <v>_</v>
      </c>
      <c r="AZ139" s="314" t="str">
        <f>_xlfn.IFNA(VLOOKUP($AH139,Programma!$F$3:$X$1107,19,0),"")</f>
        <v>_</v>
      </c>
      <c r="BA139" s="314" t="str">
        <f>_xlfn.IFNA(VLOOKUP($AH139,Programma!$F$3:$Y$1107,20,0),"")</f>
        <v>_</v>
      </c>
      <c r="BB139" s="273"/>
      <c r="BC139" s="272" t="str">
        <f>IF(Ruimtestaat[[#This Row],[Frequentie weekend]]="","",_xlfn.CONCAT(Ruimtestaat[[#This Row],[Ruimte code]],"-",Ruimtestaat[[#This Row],[Frequentie weekend]]," ",Ruimtestaat[[#This Row],[Vloer code]]))</f>
        <v/>
      </c>
      <c r="BD139" s="314" t="str">
        <f>_xlfn.IFNA(VLOOKUP($BC139,Programma!$F$3:$G$1107,2,0),"")</f>
        <v/>
      </c>
      <c r="BE139" s="314" t="str">
        <f>_xlfn.IFNA(VLOOKUP($BC139,Programma!$F$3:$H$1107,3,0),"")</f>
        <v/>
      </c>
      <c r="BF139" s="314" t="str">
        <f>_xlfn.IFNA(VLOOKUP($BC139,Programma!$F$3:$I$1107,4,0),"")</f>
        <v/>
      </c>
      <c r="BG139" s="314" t="str">
        <f>_xlfn.IFNA(VLOOKUP($BC139,Programma!$F$3:$J$1107,5,0),"")</f>
        <v/>
      </c>
      <c r="BH139" s="314" t="str">
        <f>_xlfn.IFNA(VLOOKUP($BC139,Programma!$F$3:$K$1107,6,0),"")</f>
        <v/>
      </c>
      <c r="BI139" s="314" t="str">
        <f>_xlfn.IFNA(VLOOKUP($BC139,Programma!$F$3:$L$1107,7,0),"")</f>
        <v/>
      </c>
      <c r="BJ139" s="314" t="str">
        <f>_xlfn.IFNA(VLOOKUP($BC139,Programma!$F$3:$M$1107,8,0),"")</f>
        <v/>
      </c>
      <c r="BK139" s="314" t="str">
        <f>_xlfn.IFNA(VLOOKUP($BC139,Programma!$F$3:$N$1107,9,0),"")</f>
        <v/>
      </c>
      <c r="BL139" s="314" t="str">
        <f>_xlfn.IFNA(VLOOKUP($BC139,Programma!$F$3:$O$1107,10,0),"")</f>
        <v/>
      </c>
      <c r="BM139" s="314" t="str">
        <f>_xlfn.IFNA(VLOOKUP($BC139,Programma!$F$3:$P$1107,11,0),"")</f>
        <v/>
      </c>
      <c r="BN139" s="314" t="str">
        <f>_xlfn.IFNA(VLOOKUP($BC139,Programma!$F$3:$Q$1107,12,0),"")</f>
        <v/>
      </c>
      <c r="BO139" s="314" t="str">
        <f>_xlfn.IFNA(VLOOKUP($BC139,Programma!$F$3:$R$1107,13,0),"")</f>
        <v/>
      </c>
      <c r="BP139" s="314" t="str">
        <f>_xlfn.IFNA(VLOOKUP($BC139,Programma!$F$3:$S$1107,14,0),"")</f>
        <v/>
      </c>
      <c r="BQ139" s="314" t="str">
        <f>_xlfn.IFNA(VLOOKUP($BC139,Programma!$F$3:$T$1107,15,0),"")</f>
        <v/>
      </c>
      <c r="BR139" s="314" t="str">
        <f>_xlfn.IFNA(VLOOKUP($BC139,Programma!$F$3:$U$1107,16,0),"")</f>
        <v/>
      </c>
      <c r="BS139" s="314" t="str">
        <f>_xlfn.IFNA(VLOOKUP($BC139,Programma!$F$3:$V$1107,17,0),"")</f>
        <v/>
      </c>
      <c r="BT139" s="314" t="str">
        <f>_xlfn.IFNA(VLOOKUP($BC139,Programma!$F$3:$W$1107,18,0),"")</f>
        <v/>
      </c>
      <c r="BU139" s="314" t="str">
        <f>_xlfn.IFNA(VLOOKUP($BC139,Programma!$F$3:$X$1107,19,0),"")</f>
        <v/>
      </c>
      <c r="BV139" s="314" t="str">
        <f>_xlfn.IFNA(VLOOKUP($BC139,Programma!$F$3:$Y$1107,20,0),"")</f>
        <v/>
      </c>
    </row>
    <row r="140" spans="1:74" ht="15" customHeight="1">
      <c r="A140" s="33">
        <v>1</v>
      </c>
      <c r="B140" s="173" t="str">
        <f>VLOOKUP(Ruimtestaat[[#This Row],[Code]],Locaties[[Code]:[Locatie]],2,FALSE)</f>
        <v>CCNV</v>
      </c>
      <c r="C140" s="173" t="str">
        <f>VLOOKUP(Ruimtestaat[[#This Row],[Code]],Locaties[[#All],[Code]:[Adres]],4,FALSE)</f>
        <v>Stationslaan 26</v>
      </c>
      <c r="D140" s="173" t="str">
        <f>VLOOKUP(Ruimtestaat[[#This Row],[Code]],Locaties[[#All],[Code]:[Postcode]],5,FALSE)</f>
        <v>3842 LA</v>
      </c>
      <c r="E140" s="173" t="str">
        <f>VLOOKUP(Ruimtestaat[[#This Row],[Code]],Locaties[#All],6,FALSE)</f>
        <v>Harderwijk</v>
      </c>
      <c r="F140" s="21" t="s">
        <v>1629</v>
      </c>
      <c r="G140" s="33" t="s">
        <v>1614</v>
      </c>
      <c r="H140" s="21" t="s">
        <v>1741</v>
      </c>
      <c r="I140" s="69" t="s">
        <v>1615</v>
      </c>
      <c r="J140" s="21">
        <v>16</v>
      </c>
      <c r="K140" s="69" t="str">
        <f>VLOOKUP(Ruimtestaat[[#This Row],[Ruimte code]],Ruimtegroepen[[#All],[Code]:[Ruimte omschrijving]],2,FALSE)</f>
        <v>Leslokalen</v>
      </c>
      <c r="L140" s="33" t="s">
        <v>101</v>
      </c>
      <c r="M140" s="312" t="s">
        <v>1804</v>
      </c>
      <c r="N140" s="148">
        <v>50</v>
      </c>
      <c r="O140" s="150"/>
      <c r="P140" s="134" t="str">
        <f>VLOOKUP(Ruimtestaat[[#This Row],[Ruimte code]],Ruimtegroepen[],4,FALSE)</f>
        <v>Le</v>
      </c>
      <c r="Q140" s="33">
        <v>40</v>
      </c>
      <c r="R140" s="33" t="s">
        <v>2</v>
      </c>
      <c r="S140" s="33">
        <f>IF(Q140&gt;0,IF(RIGHT(Ruimtestaat[[#This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0" s="33">
        <f>IF(S140&gt;0,VLOOKUP($J140,Ruimtegroepen[],3,FALSE)*VLOOKUP($L140,Vloersoorten[],3,FALSE)*VLOOKUP($R140,Frequenties[],3,FALSE)*VLOOKUP($A140,Locaties[],3,FALSE),0)</f>
        <v>0</v>
      </c>
      <c r="U140" s="33">
        <f>Ruimtestaat[[#This Row],[Uitvoeringen werkdagen]]*Ruimtestaat[[#This Row],[Oppervlak (netto)]]</f>
        <v>10000</v>
      </c>
      <c r="V140" s="170">
        <f>IF(T140&gt;0,Ruimtestaat[[#This Row],[Prest. (m2 /jaar) werkdagen]]/Ruimtestaat[[#This Row],[Norm (m2/uur) werkdagen]],0)</f>
        <v>0</v>
      </c>
      <c r="W140" s="171">
        <f>Ruimtestaat[[#This Row],[uren / jaar werkdagen]]*Tariefsopbouw!$E$35</f>
        <v>0</v>
      </c>
      <c r="X140" s="33"/>
      <c r="Y140" s="33">
        <f>IF(Ruimtestaat[[#This Row],[Frequentie weekend]]&gt;0,VALUE(LEFT(X140,1))*Q140,0)</f>
        <v>0</v>
      </c>
      <c r="Z140" s="104">
        <f>IF($Y140&gt;0,VLOOKUP($J140,Ruimtegroepen[],3,FALSE)*VLOOKUP($L140,Vloersoorten[],3,FALSE)*VLOOKUP($X140,Frequenties[],3,FALSE)*VLOOKUP(Ruimtestaat[[#This Row],[Code]],Locaties[],3,FALSE),0)</f>
        <v>0</v>
      </c>
      <c r="AA140" s="104">
        <f>Ruimtestaat[[#This Row],[Uitvoeringen weekend]]*Ruimtestaat[[#This Row],[Oppervlak (netto)]]</f>
        <v>0</v>
      </c>
      <c r="AB140" s="104">
        <f>IF(Z140&gt;0,Ruimtestaat[[#This Row],[Prest. (m2 /jaar) weekend]]/Ruimtestaat[[#This Row],[Norm (m2/uur) weekend]],0)</f>
        <v>0</v>
      </c>
      <c r="AC140" s="171">
        <f>Ruimtestaat[[#This Row],[uren / jaar weekend]]*Tariefsopbouw!$D$40</f>
        <v>0</v>
      </c>
      <c r="AD140" s="170">
        <f>Ruimtestaat[[#This Row],[Prest. (m2 /jaar) weekend]]+Ruimtestaat[[#This Row],[Prest. (m2 /jaar) werkdagen]]</f>
        <v>10000</v>
      </c>
      <c r="AE140" s="170">
        <f>Ruimtestaat[[#This Row],[uren / jaar weekend]]+Ruimtestaat[[#This Row],[uren / jaar werkdagen]]</f>
        <v>0</v>
      </c>
      <c r="AF140" s="76">
        <f>Ruimtestaat[[#This Row],[kosten / jaar weekend]]+Ruimtestaat[[#This Row],[kosten / jaar werkdagen]]</f>
        <v>0</v>
      </c>
      <c r="AG140" s="76"/>
      <c r="AH140" s="272" t="str">
        <f>IF(Ruimtestaat[[#This Row],[Frequentie werkdagen]]="","",_xlfn.CONCAT(Ruimtestaat[[#This Row],[Ruimte code]],"-",Ruimtestaat[[#This Row],[Frequentie werkdagen]]," ",Ruimtestaat[[#This Row],[Vloer code]]))</f>
        <v>16-5w L</v>
      </c>
      <c r="AI140" s="314" t="str">
        <f>_xlfn.IFNA(VLOOKUP($AH140,Programma!$F$3:$G$1107,2,0),"")</f>
        <v>_</v>
      </c>
      <c r="AJ140" s="314" t="str">
        <f>_xlfn.IFNA(VLOOKUP($AH140,Programma!$F$3:$H$1107,3,0),"")</f>
        <v>_</v>
      </c>
      <c r="AK140" s="314" t="str">
        <f>_xlfn.IFNA(VLOOKUP($AH140,Programma!$F$3:$I$1107,4,0),"")</f>
        <v>4w</v>
      </c>
      <c r="AL140" s="314" t="str">
        <f>_xlfn.IFNA(VLOOKUP($AH140,Programma!$F$3:$J$1107,5,0),"")</f>
        <v>1w</v>
      </c>
      <c r="AM140" s="314" t="str">
        <f>_xlfn.IFNA(VLOOKUP($AH140,Programma!$F$3:$K$1107,6,0),"")</f>
        <v>_</v>
      </c>
      <c r="AN140" s="314" t="str">
        <f>_xlfn.IFNA(VLOOKUP($AH140,Programma!$F$3:$L$1107,7,0),"")</f>
        <v>_</v>
      </c>
      <c r="AO140" s="314" t="str">
        <f>_xlfn.IFNA(VLOOKUP($AH140,Programma!$F$3:$M$1107,8,0),"")</f>
        <v>_</v>
      </c>
      <c r="AP140" s="314" t="str">
        <f>_xlfn.IFNA(VLOOKUP($AH140,Programma!$F$3:$N$1107,9,0),"")</f>
        <v>_</v>
      </c>
      <c r="AQ140" s="314" t="str">
        <f>_xlfn.IFNA(VLOOKUP($AH140,Programma!$F$3:$O$1107,10,0),"")</f>
        <v>5w</v>
      </c>
      <c r="AR140" s="314" t="str">
        <f>_xlfn.IFNA(VLOOKUP($AH140,Programma!$F$3:$P$1107,11,0),"")</f>
        <v>5w</v>
      </c>
      <c r="AS140" s="314" t="str">
        <f>_xlfn.IFNA(VLOOKUP($AH140,Programma!$F$3:$Q$1107,12,0),"")</f>
        <v>1w</v>
      </c>
      <c r="AT140" s="314" t="str">
        <f>_xlfn.IFNA(VLOOKUP($AH140,Programma!$F$3:$R$1107,13,0),"")</f>
        <v>1w</v>
      </c>
      <c r="AU140" s="314" t="str">
        <f>_xlfn.IFNA(VLOOKUP($AH140,Programma!$F$3:$S$1107,14,0),"")</f>
        <v>1m</v>
      </c>
      <c r="AV140" s="314" t="str">
        <f>_xlfn.IFNA(VLOOKUP($AH140,Programma!$F$3:$T$1107,15,0),"")</f>
        <v>2j</v>
      </c>
      <c r="AW140" s="314" t="str">
        <f>_xlfn.IFNA(VLOOKUP($AH140,Programma!$F$3:$U$1107,16,0),"")</f>
        <v>1j</v>
      </c>
      <c r="AX140" s="314" t="str">
        <f>_xlfn.IFNA(VLOOKUP($AH140,Programma!$F$3:$V$1107,17,0),"")</f>
        <v>_</v>
      </c>
      <c r="AY140" s="314" t="str">
        <f>_xlfn.IFNA(VLOOKUP($AH140,Programma!$F$3:$W$1107,18,0),"")</f>
        <v>_</v>
      </c>
      <c r="AZ140" s="314" t="str">
        <f>_xlfn.IFNA(VLOOKUP($AH140,Programma!$F$3:$X$1107,19,0),"")</f>
        <v>_</v>
      </c>
      <c r="BA140" s="314" t="str">
        <f>_xlfn.IFNA(VLOOKUP($AH140,Programma!$F$3:$Y$1107,20,0),"")</f>
        <v>_</v>
      </c>
      <c r="BB140" s="273"/>
      <c r="BC140" s="272" t="str">
        <f>IF(Ruimtestaat[[#This Row],[Frequentie weekend]]="","",_xlfn.CONCAT(Ruimtestaat[[#This Row],[Ruimte code]],"-",Ruimtestaat[[#This Row],[Frequentie weekend]]," ",Ruimtestaat[[#This Row],[Vloer code]]))</f>
        <v/>
      </c>
      <c r="BD140" s="314" t="str">
        <f>_xlfn.IFNA(VLOOKUP($BC140,Programma!$F$3:$G$1107,2,0),"")</f>
        <v/>
      </c>
      <c r="BE140" s="314" t="str">
        <f>_xlfn.IFNA(VLOOKUP($BC140,Programma!$F$3:$H$1107,3,0),"")</f>
        <v/>
      </c>
      <c r="BF140" s="314" t="str">
        <f>_xlfn.IFNA(VLOOKUP($BC140,Programma!$F$3:$I$1107,4,0),"")</f>
        <v/>
      </c>
      <c r="BG140" s="314" t="str">
        <f>_xlfn.IFNA(VLOOKUP($BC140,Programma!$F$3:$J$1107,5,0),"")</f>
        <v/>
      </c>
      <c r="BH140" s="314" t="str">
        <f>_xlfn.IFNA(VLOOKUP($BC140,Programma!$F$3:$K$1107,6,0),"")</f>
        <v/>
      </c>
      <c r="BI140" s="314" t="str">
        <f>_xlfn.IFNA(VLOOKUP($BC140,Programma!$F$3:$L$1107,7,0),"")</f>
        <v/>
      </c>
      <c r="BJ140" s="314" t="str">
        <f>_xlfn.IFNA(VLOOKUP($BC140,Programma!$F$3:$M$1107,8,0),"")</f>
        <v/>
      </c>
      <c r="BK140" s="314" t="str">
        <f>_xlfn.IFNA(VLOOKUP($BC140,Programma!$F$3:$N$1107,9,0),"")</f>
        <v/>
      </c>
      <c r="BL140" s="314" t="str">
        <f>_xlfn.IFNA(VLOOKUP($BC140,Programma!$F$3:$O$1107,10,0),"")</f>
        <v/>
      </c>
      <c r="BM140" s="314" t="str">
        <f>_xlfn.IFNA(VLOOKUP($BC140,Programma!$F$3:$P$1107,11,0),"")</f>
        <v/>
      </c>
      <c r="BN140" s="314" t="str">
        <f>_xlfn.IFNA(VLOOKUP($BC140,Programma!$F$3:$Q$1107,12,0),"")</f>
        <v/>
      </c>
      <c r="BO140" s="314" t="str">
        <f>_xlfn.IFNA(VLOOKUP($BC140,Programma!$F$3:$R$1107,13,0),"")</f>
        <v/>
      </c>
      <c r="BP140" s="314" t="str">
        <f>_xlfn.IFNA(VLOOKUP($BC140,Programma!$F$3:$S$1107,14,0),"")</f>
        <v/>
      </c>
      <c r="BQ140" s="314" t="str">
        <f>_xlfn.IFNA(VLOOKUP($BC140,Programma!$F$3:$T$1107,15,0),"")</f>
        <v/>
      </c>
      <c r="BR140" s="314" t="str">
        <f>_xlfn.IFNA(VLOOKUP($BC140,Programma!$F$3:$U$1107,16,0),"")</f>
        <v/>
      </c>
      <c r="BS140" s="314" t="str">
        <f>_xlfn.IFNA(VLOOKUP($BC140,Programma!$F$3:$V$1107,17,0),"")</f>
        <v/>
      </c>
      <c r="BT140" s="314" t="str">
        <f>_xlfn.IFNA(VLOOKUP($BC140,Programma!$F$3:$W$1107,18,0),"")</f>
        <v/>
      </c>
      <c r="BU140" s="314" t="str">
        <f>_xlfn.IFNA(VLOOKUP($BC140,Programma!$F$3:$X$1107,19,0),"")</f>
        <v/>
      </c>
      <c r="BV140" s="314" t="str">
        <f>_xlfn.IFNA(VLOOKUP($BC140,Programma!$F$3:$Y$1107,20,0),"")</f>
        <v/>
      </c>
    </row>
    <row r="141" spans="1:74" ht="15" customHeight="1">
      <c r="A141" s="33">
        <v>1</v>
      </c>
      <c r="B141" s="173" t="str">
        <f>VLOOKUP(Ruimtestaat[[#This Row],[Code]],Locaties[[Code]:[Locatie]],2,FALSE)</f>
        <v>CCNV</v>
      </c>
      <c r="C141" s="173" t="str">
        <f>VLOOKUP(Ruimtestaat[[#This Row],[Code]],Locaties[[#All],[Code]:[Adres]],4,FALSE)</f>
        <v>Stationslaan 26</v>
      </c>
      <c r="D141" s="173" t="str">
        <f>VLOOKUP(Ruimtestaat[[#This Row],[Code]],Locaties[[#All],[Code]:[Postcode]],5,FALSE)</f>
        <v>3842 LA</v>
      </c>
      <c r="E141" s="173" t="str">
        <f>VLOOKUP(Ruimtestaat[[#This Row],[Code]],Locaties[#All],6,FALSE)</f>
        <v>Harderwijk</v>
      </c>
      <c r="F141" s="21" t="s">
        <v>1629</v>
      </c>
      <c r="G141" s="33" t="s">
        <v>1614</v>
      </c>
      <c r="H141" s="21" t="s">
        <v>1742</v>
      </c>
      <c r="I141" s="69" t="s">
        <v>1615</v>
      </c>
      <c r="J141" s="21">
        <v>16</v>
      </c>
      <c r="K141" s="69" t="str">
        <f>VLOOKUP(Ruimtestaat[[#This Row],[Ruimte code]],Ruimtegroepen[[#All],[Code]:[Ruimte omschrijving]],2,FALSE)</f>
        <v>Leslokalen</v>
      </c>
      <c r="L141" s="33" t="s">
        <v>101</v>
      </c>
      <c r="M141" s="312" t="s">
        <v>1804</v>
      </c>
      <c r="N141" s="148">
        <v>48</v>
      </c>
      <c r="O141" s="33"/>
      <c r="P141" s="134" t="str">
        <f>VLOOKUP(Ruimtestaat[[#This Row],[Ruimte code]],Ruimtegroepen[],4,FALSE)</f>
        <v>Le</v>
      </c>
      <c r="Q141" s="33">
        <v>40</v>
      </c>
      <c r="R141" s="33" t="s">
        <v>2</v>
      </c>
      <c r="S141" s="33">
        <f>IF(Q141&gt;0,IF(RIGHT(Ruimtestaat[[#This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1" s="33">
        <f>IF(S141&gt;0,VLOOKUP($J141,Ruimtegroepen[],3,FALSE)*VLOOKUP($L141,Vloersoorten[],3,FALSE)*VLOOKUP($R141,Frequenties[],3,FALSE)*VLOOKUP($A141,Locaties[],3,FALSE),0)</f>
        <v>0</v>
      </c>
      <c r="U141" s="33">
        <f>Ruimtestaat[[#This Row],[Uitvoeringen werkdagen]]*Ruimtestaat[[#This Row],[Oppervlak (netto)]]</f>
        <v>9600</v>
      </c>
      <c r="V141" s="170">
        <f>IF(T141&gt;0,Ruimtestaat[[#This Row],[Prest. (m2 /jaar) werkdagen]]/Ruimtestaat[[#This Row],[Norm (m2/uur) werkdagen]],0)</f>
        <v>0</v>
      </c>
      <c r="W141" s="171">
        <f>Ruimtestaat[[#This Row],[uren / jaar werkdagen]]*Tariefsopbouw!$E$35</f>
        <v>0</v>
      </c>
      <c r="X141" s="33"/>
      <c r="Y141" s="33">
        <f>IF(Ruimtestaat[[#This Row],[Frequentie weekend]]&gt;0,VALUE(LEFT(X141,1))*Q141,0)</f>
        <v>0</v>
      </c>
      <c r="Z141" s="104">
        <f>IF($Y141&gt;0,VLOOKUP($J141,Ruimtegroepen[],3,FALSE)*VLOOKUP($L141,Vloersoorten[],3,FALSE)*VLOOKUP($X141,Frequenties[],3,FALSE)*VLOOKUP(Ruimtestaat[[#This Row],[Code]],Locaties[],3,FALSE),0)</f>
        <v>0</v>
      </c>
      <c r="AA141" s="104">
        <f>Ruimtestaat[[#This Row],[Uitvoeringen weekend]]*Ruimtestaat[[#This Row],[Oppervlak (netto)]]</f>
        <v>0</v>
      </c>
      <c r="AB141" s="104">
        <f>IF(Z141&gt;0,Ruimtestaat[[#This Row],[Prest. (m2 /jaar) weekend]]/Ruimtestaat[[#This Row],[Norm (m2/uur) weekend]],0)</f>
        <v>0</v>
      </c>
      <c r="AC141" s="171">
        <f>Ruimtestaat[[#This Row],[uren / jaar weekend]]*Tariefsopbouw!$D$40</f>
        <v>0</v>
      </c>
      <c r="AD141" s="170">
        <f>Ruimtestaat[[#This Row],[Prest. (m2 /jaar) weekend]]+Ruimtestaat[[#This Row],[Prest. (m2 /jaar) werkdagen]]</f>
        <v>9600</v>
      </c>
      <c r="AE141" s="170">
        <f>Ruimtestaat[[#This Row],[uren / jaar weekend]]+Ruimtestaat[[#This Row],[uren / jaar werkdagen]]</f>
        <v>0</v>
      </c>
      <c r="AF141" s="76">
        <f>Ruimtestaat[[#This Row],[kosten / jaar weekend]]+Ruimtestaat[[#This Row],[kosten / jaar werkdagen]]</f>
        <v>0</v>
      </c>
      <c r="AG141" s="76"/>
      <c r="AH141" s="272" t="str">
        <f>IF(Ruimtestaat[[#This Row],[Frequentie werkdagen]]="","",_xlfn.CONCAT(Ruimtestaat[[#This Row],[Ruimte code]],"-",Ruimtestaat[[#This Row],[Frequentie werkdagen]]," ",Ruimtestaat[[#This Row],[Vloer code]]))</f>
        <v>16-5w L</v>
      </c>
      <c r="AI141" s="314" t="str">
        <f>_xlfn.IFNA(VLOOKUP($AH141,Programma!$F$3:$G$1107,2,0),"")</f>
        <v>_</v>
      </c>
      <c r="AJ141" s="314" t="str">
        <f>_xlfn.IFNA(VLOOKUP($AH141,Programma!$F$3:$H$1107,3,0),"")</f>
        <v>_</v>
      </c>
      <c r="AK141" s="314" t="str">
        <f>_xlfn.IFNA(VLOOKUP($AH141,Programma!$F$3:$I$1107,4,0),"")</f>
        <v>4w</v>
      </c>
      <c r="AL141" s="314" t="str">
        <f>_xlfn.IFNA(VLOOKUP($AH141,Programma!$F$3:$J$1107,5,0),"")</f>
        <v>1w</v>
      </c>
      <c r="AM141" s="314" t="str">
        <f>_xlfn.IFNA(VLOOKUP($AH141,Programma!$F$3:$K$1107,6,0),"")</f>
        <v>_</v>
      </c>
      <c r="AN141" s="314" t="str">
        <f>_xlfn.IFNA(VLOOKUP($AH141,Programma!$F$3:$L$1107,7,0),"")</f>
        <v>_</v>
      </c>
      <c r="AO141" s="314" t="str">
        <f>_xlfn.IFNA(VLOOKUP($AH141,Programma!$F$3:$M$1107,8,0),"")</f>
        <v>_</v>
      </c>
      <c r="AP141" s="314" t="str">
        <f>_xlfn.IFNA(VLOOKUP($AH141,Programma!$F$3:$N$1107,9,0),"")</f>
        <v>_</v>
      </c>
      <c r="AQ141" s="314" t="str">
        <f>_xlfn.IFNA(VLOOKUP($AH141,Programma!$F$3:$O$1107,10,0),"")</f>
        <v>5w</v>
      </c>
      <c r="AR141" s="314" t="str">
        <f>_xlfn.IFNA(VLOOKUP($AH141,Programma!$F$3:$P$1107,11,0),"")</f>
        <v>5w</v>
      </c>
      <c r="AS141" s="314" t="str">
        <f>_xlfn.IFNA(VLOOKUP($AH141,Programma!$F$3:$Q$1107,12,0),"")</f>
        <v>1w</v>
      </c>
      <c r="AT141" s="314" t="str">
        <f>_xlfn.IFNA(VLOOKUP($AH141,Programma!$F$3:$R$1107,13,0),"")</f>
        <v>1w</v>
      </c>
      <c r="AU141" s="314" t="str">
        <f>_xlfn.IFNA(VLOOKUP($AH141,Programma!$F$3:$S$1107,14,0),"")</f>
        <v>1m</v>
      </c>
      <c r="AV141" s="314" t="str">
        <f>_xlfn.IFNA(VLOOKUP($AH141,Programma!$F$3:$T$1107,15,0),"")</f>
        <v>2j</v>
      </c>
      <c r="AW141" s="314" t="str">
        <f>_xlfn.IFNA(VLOOKUP($AH141,Programma!$F$3:$U$1107,16,0),"")</f>
        <v>1j</v>
      </c>
      <c r="AX141" s="314" t="str">
        <f>_xlfn.IFNA(VLOOKUP($AH141,Programma!$F$3:$V$1107,17,0),"")</f>
        <v>_</v>
      </c>
      <c r="AY141" s="314" t="str">
        <f>_xlfn.IFNA(VLOOKUP($AH141,Programma!$F$3:$W$1107,18,0),"")</f>
        <v>_</v>
      </c>
      <c r="AZ141" s="314" t="str">
        <f>_xlfn.IFNA(VLOOKUP($AH141,Programma!$F$3:$X$1107,19,0),"")</f>
        <v>_</v>
      </c>
      <c r="BA141" s="314" t="str">
        <f>_xlfn.IFNA(VLOOKUP($AH141,Programma!$F$3:$Y$1107,20,0),"")</f>
        <v>_</v>
      </c>
      <c r="BB141" s="273"/>
      <c r="BC141" s="272" t="str">
        <f>IF(Ruimtestaat[[#This Row],[Frequentie weekend]]="","",_xlfn.CONCAT(Ruimtestaat[[#This Row],[Ruimte code]],"-",Ruimtestaat[[#This Row],[Frequentie weekend]]," ",Ruimtestaat[[#This Row],[Vloer code]]))</f>
        <v/>
      </c>
      <c r="BD141" s="314" t="str">
        <f>_xlfn.IFNA(VLOOKUP($BC141,Programma!$F$3:$G$1107,2,0),"")</f>
        <v/>
      </c>
      <c r="BE141" s="314" t="str">
        <f>_xlfn.IFNA(VLOOKUP($BC141,Programma!$F$3:$H$1107,3,0),"")</f>
        <v/>
      </c>
      <c r="BF141" s="314" t="str">
        <f>_xlfn.IFNA(VLOOKUP($BC141,Programma!$F$3:$I$1107,4,0),"")</f>
        <v/>
      </c>
      <c r="BG141" s="314" t="str">
        <f>_xlfn.IFNA(VLOOKUP($BC141,Programma!$F$3:$J$1107,5,0),"")</f>
        <v/>
      </c>
      <c r="BH141" s="314" t="str">
        <f>_xlfn.IFNA(VLOOKUP($BC141,Programma!$F$3:$K$1107,6,0),"")</f>
        <v/>
      </c>
      <c r="BI141" s="314" t="str">
        <f>_xlfn.IFNA(VLOOKUP($BC141,Programma!$F$3:$L$1107,7,0),"")</f>
        <v/>
      </c>
      <c r="BJ141" s="314" t="str">
        <f>_xlfn.IFNA(VLOOKUP($BC141,Programma!$F$3:$M$1107,8,0),"")</f>
        <v/>
      </c>
      <c r="BK141" s="314" t="str">
        <f>_xlfn.IFNA(VLOOKUP($BC141,Programma!$F$3:$N$1107,9,0),"")</f>
        <v/>
      </c>
      <c r="BL141" s="314" t="str">
        <f>_xlfn.IFNA(VLOOKUP($BC141,Programma!$F$3:$O$1107,10,0),"")</f>
        <v/>
      </c>
      <c r="BM141" s="314" t="str">
        <f>_xlfn.IFNA(VLOOKUP($BC141,Programma!$F$3:$P$1107,11,0),"")</f>
        <v/>
      </c>
      <c r="BN141" s="314" t="str">
        <f>_xlfn.IFNA(VLOOKUP($BC141,Programma!$F$3:$Q$1107,12,0),"")</f>
        <v/>
      </c>
      <c r="BO141" s="314" t="str">
        <f>_xlfn.IFNA(VLOOKUP($BC141,Programma!$F$3:$R$1107,13,0),"")</f>
        <v/>
      </c>
      <c r="BP141" s="314" t="str">
        <f>_xlfn.IFNA(VLOOKUP($BC141,Programma!$F$3:$S$1107,14,0),"")</f>
        <v/>
      </c>
      <c r="BQ141" s="314" t="str">
        <f>_xlfn.IFNA(VLOOKUP($BC141,Programma!$F$3:$T$1107,15,0),"")</f>
        <v/>
      </c>
      <c r="BR141" s="314" t="str">
        <f>_xlfn.IFNA(VLOOKUP($BC141,Programma!$F$3:$U$1107,16,0),"")</f>
        <v/>
      </c>
      <c r="BS141" s="314" t="str">
        <f>_xlfn.IFNA(VLOOKUP($BC141,Programma!$F$3:$V$1107,17,0),"")</f>
        <v/>
      </c>
      <c r="BT141" s="314" t="str">
        <f>_xlfn.IFNA(VLOOKUP($BC141,Programma!$F$3:$W$1107,18,0),"")</f>
        <v/>
      </c>
      <c r="BU141" s="314" t="str">
        <f>_xlfn.IFNA(VLOOKUP($BC141,Programma!$F$3:$X$1107,19,0),"")</f>
        <v/>
      </c>
      <c r="BV141" s="314" t="str">
        <f>_xlfn.IFNA(VLOOKUP($BC141,Programma!$F$3:$Y$1107,20,0),"")</f>
        <v/>
      </c>
    </row>
    <row r="142" spans="1:74" ht="15" customHeight="1">
      <c r="A142" s="33">
        <v>1</v>
      </c>
      <c r="B142" s="173" t="str">
        <f>VLOOKUP(Ruimtestaat[[#This Row],[Code]],Locaties[[Code]:[Locatie]],2,FALSE)</f>
        <v>CCNV</v>
      </c>
      <c r="C142" s="173" t="str">
        <f>VLOOKUP(Ruimtestaat[[#This Row],[Code]],Locaties[[#All],[Code]:[Adres]],4,FALSE)</f>
        <v>Stationslaan 26</v>
      </c>
      <c r="D142" s="173" t="str">
        <f>VLOOKUP(Ruimtestaat[[#This Row],[Code]],Locaties[[#All],[Code]:[Postcode]],5,FALSE)</f>
        <v>3842 LA</v>
      </c>
      <c r="E142" s="173" t="str">
        <f>VLOOKUP(Ruimtestaat[[#This Row],[Code]],Locaties[#All],6,FALSE)</f>
        <v>Harderwijk</v>
      </c>
      <c r="F142" s="21" t="s">
        <v>1629</v>
      </c>
      <c r="G142" s="33" t="s">
        <v>1614</v>
      </c>
      <c r="H142" s="21" t="s">
        <v>1743</v>
      </c>
      <c r="I142" s="69" t="s">
        <v>1615</v>
      </c>
      <c r="J142" s="21">
        <v>16</v>
      </c>
      <c r="K142" s="69" t="str">
        <f>VLOOKUP(Ruimtestaat[[#This Row],[Ruimte code]],Ruimtegroepen[[#All],[Code]:[Ruimte omschrijving]],2,FALSE)</f>
        <v>Leslokalen</v>
      </c>
      <c r="L142" s="33" t="s">
        <v>101</v>
      </c>
      <c r="M142" s="312" t="s">
        <v>1804</v>
      </c>
      <c r="N142" s="148">
        <v>48</v>
      </c>
      <c r="O142" s="150"/>
      <c r="P142" s="134" t="str">
        <f>VLOOKUP(Ruimtestaat[[#This Row],[Ruimte code]],Ruimtegroepen[],4,FALSE)</f>
        <v>Le</v>
      </c>
      <c r="Q142" s="33">
        <v>40</v>
      </c>
      <c r="R142" s="33" t="s">
        <v>2</v>
      </c>
      <c r="S142" s="33">
        <f>IF(Q142&gt;0,IF(RIGHT(Ruimtestaat[[#This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2" s="33">
        <f>IF(S142&gt;0,VLOOKUP($J142,Ruimtegroepen[],3,FALSE)*VLOOKUP($L142,Vloersoorten[],3,FALSE)*VLOOKUP($R142,Frequenties[],3,FALSE)*VLOOKUP($A142,Locaties[],3,FALSE),0)</f>
        <v>0</v>
      </c>
      <c r="U142" s="33">
        <f>Ruimtestaat[[#This Row],[Uitvoeringen werkdagen]]*Ruimtestaat[[#This Row],[Oppervlak (netto)]]</f>
        <v>9600</v>
      </c>
      <c r="V142" s="170">
        <f>IF(T142&gt;0,Ruimtestaat[[#This Row],[Prest. (m2 /jaar) werkdagen]]/Ruimtestaat[[#This Row],[Norm (m2/uur) werkdagen]],0)</f>
        <v>0</v>
      </c>
      <c r="W142" s="171">
        <f>Ruimtestaat[[#This Row],[uren / jaar werkdagen]]*Tariefsopbouw!$E$35</f>
        <v>0</v>
      </c>
      <c r="X142" s="33"/>
      <c r="Y142" s="33">
        <f>IF(Ruimtestaat[[#This Row],[Frequentie weekend]]&gt;0,VALUE(LEFT(X142,1))*Q142,0)</f>
        <v>0</v>
      </c>
      <c r="Z142" s="104">
        <f>IF($Y142&gt;0,VLOOKUP($J142,Ruimtegroepen[],3,FALSE)*VLOOKUP($L142,Vloersoorten[],3,FALSE)*VLOOKUP($X142,Frequenties[],3,FALSE)*VLOOKUP(Ruimtestaat[[#This Row],[Code]],Locaties[],3,FALSE),0)</f>
        <v>0</v>
      </c>
      <c r="AA142" s="104">
        <f>Ruimtestaat[[#This Row],[Uitvoeringen weekend]]*Ruimtestaat[[#This Row],[Oppervlak (netto)]]</f>
        <v>0</v>
      </c>
      <c r="AB142" s="104">
        <f>IF(Z142&gt;0,Ruimtestaat[[#This Row],[Prest. (m2 /jaar) weekend]]/Ruimtestaat[[#This Row],[Norm (m2/uur) weekend]],0)</f>
        <v>0</v>
      </c>
      <c r="AC142" s="171">
        <f>Ruimtestaat[[#This Row],[uren / jaar weekend]]*Tariefsopbouw!$D$40</f>
        <v>0</v>
      </c>
      <c r="AD142" s="170">
        <f>Ruimtestaat[[#This Row],[Prest. (m2 /jaar) weekend]]+Ruimtestaat[[#This Row],[Prest. (m2 /jaar) werkdagen]]</f>
        <v>9600</v>
      </c>
      <c r="AE142" s="170">
        <f>Ruimtestaat[[#This Row],[uren / jaar weekend]]+Ruimtestaat[[#This Row],[uren / jaar werkdagen]]</f>
        <v>0</v>
      </c>
      <c r="AF142" s="76">
        <f>Ruimtestaat[[#This Row],[kosten / jaar weekend]]+Ruimtestaat[[#This Row],[kosten / jaar werkdagen]]</f>
        <v>0</v>
      </c>
      <c r="AG142" s="76"/>
      <c r="AH142" s="272" t="str">
        <f>IF(Ruimtestaat[[#This Row],[Frequentie werkdagen]]="","",_xlfn.CONCAT(Ruimtestaat[[#This Row],[Ruimte code]],"-",Ruimtestaat[[#This Row],[Frequentie werkdagen]]," ",Ruimtestaat[[#This Row],[Vloer code]]))</f>
        <v>16-5w L</v>
      </c>
      <c r="AI142" s="314" t="str">
        <f>_xlfn.IFNA(VLOOKUP($AH142,Programma!$F$3:$G$1107,2,0),"")</f>
        <v>_</v>
      </c>
      <c r="AJ142" s="314" t="str">
        <f>_xlfn.IFNA(VLOOKUP($AH142,Programma!$F$3:$H$1107,3,0),"")</f>
        <v>_</v>
      </c>
      <c r="AK142" s="314" t="str">
        <f>_xlfn.IFNA(VLOOKUP($AH142,Programma!$F$3:$I$1107,4,0),"")</f>
        <v>4w</v>
      </c>
      <c r="AL142" s="314" t="str">
        <f>_xlfn.IFNA(VLOOKUP($AH142,Programma!$F$3:$J$1107,5,0),"")</f>
        <v>1w</v>
      </c>
      <c r="AM142" s="314" t="str">
        <f>_xlfn.IFNA(VLOOKUP($AH142,Programma!$F$3:$K$1107,6,0),"")</f>
        <v>_</v>
      </c>
      <c r="AN142" s="314" t="str">
        <f>_xlfn.IFNA(VLOOKUP($AH142,Programma!$F$3:$L$1107,7,0),"")</f>
        <v>_</v>
      </c>
      <c r="AO142" s="314" t="str">
        <f>_xlfn.IFNA(VLOOKUP($AH142,Programma!$F$3:$M$1107,8,0),"")</f>
        <v>_</v>
      </c>
      <c r="AP142" s="314" t="str">
        <f>_xlfn.IFNA(VLOOKUP($AH142,Programma!$F$3:$N$1107,9,0),"")</f>
        <v>_</v>
      </c>
      <c r="AQ142" s="314" t="str">
        <f>_xlfn.IFNA(VLOOKUP($AH142,Programma!$F$3:$O$1107,10,0),"")</f>
        <v>5w</v>
      </c>
      <c r="AR142" s="314" t="str">
        <f>_xlfn.IFNA(VLOOKUP($AH142,Programma!$F$3:$P$1107,11,0),"")</f>
        <v>5w</v>
      </c>
      <c r="AS142" s="314" t="str">
        <f>_xlfn.IFNA(VLOOKUP($AH142,Programma!$F$3:$Q$1107,12,0),"")</f>
        <v>1w</v>
      </c>
      <c r="AT142" s="314" t="str">
        <f>_xlfn.IFNA(VLOOKUP($AH142,Programma!$F$3:$R$1107,13,0),"")</f>
        <v>1w</v>
      </c>
      <c r="AU142" s="314" t="str">
        <f>_xlfn.IFNA(VLOOKUP($AH142,Programma!$F$3:$S$1107,14,0),"")</f>
        <v>1m</v>
      </c>
      <c r="AV142" s="314" t="str">
        <f>_xlfn.IFNA(VLOOKUP($AH142,Programma!$F$3:$T$1107,15,0),"")</f>
        <v>2j</v>
      </c>
      <c r="AW142" s="314" t="str">
        <f>_xlfn.IFNA(VLOOKUP($AH142,Programma!$F$3:$U$1107,16,0),"")</f>
        <v>1j</v>
      </c>
      <c r="AX142" s="314" t="str">
        <f>_xlfn.IFNA(VLOOKUP($AH142,Programma!$F$3:$V$1107,17,0),"")</f>
        <v>_</v>
      </c>
      <c r="AY142" s="314" t="str">
        <f>_xlfn.IFNA(VLOOKUP($AH142,Programma!$F$3:$W$1107,18,0),"")</f>
        <v>_</v>
      </c>
      <c r="AZ142" s="314" t="str">
        <f>_xlfn.IFNA(VLOOKUP($AH142,Programma!$F$3:$X$1107,19,0),"")</f>
        <v>_</v>
      </c>
      <c r="BA142" s="314" t="str">
        <f>_xlfn.IFNA(VLOOKUP($AH142,Programma!$F$3:$Y$1107,20,0),"")</f>
        <v>_</v>
      </c>
      <c r="BB142" s="273"/>
      <c r="BC142" s="272" t="str">
        <f>IF(Ruimtestaat[[#This Row],[Frequentie weekend]]="","",_xlfn.CONCAT(Ruimtestaat[[#This Row],[Ruimte code]],"-",Ruimtestaat[[#This Row],[Frequentie weekend]]," ",Ruimtestaat[[#This Row],[Vloer code]]))</f>
        <v/>
      </c>
      <c r="BD142" s="314" t="str">
        <f>_xlfn.IFNA(VLOOKUP($BC142,Programma!$F$3:$G$1107,2,0),"")</f>
        <v/>
      </c>
      <c r="BE142" s="314" t="str">
        <f>_xlfn.IFNA(VLOOKUP($BC142,Programma!$F$3:$H$1107,3,0),"")</f>
        <v/>
      </c>
      <c r="BF142" s="314" t="str">
        <f>_xlfn.IFNA(VLOOKUP($BC142,Programma!$F$3:$I$1107,4,0),"")</f>
        <v/>
      </c>
      <c r="BG142" s="314" t="str">
        <f>_xlfn.IFNA(VLOOKUP($BC142,Programma!$F$3:$J$1107,5,0),"")</f>
        <v/>
      </c>
      <c r="BH142" s="314" t="str">
        <f>_xlfn.IFNA(VLOOKUP($BC142,Programma!$F$3:$K$1107,6,0),"")</f>
        <v/>
      </c>
      <c r="BI142" s="314" t="str">
        <f>_xlfn.IFNA(VLOOKUP($BC142,Programma!$F$3:$L$1107,7,0),"")</f>
        <v/>
      </c>
      <c r="BJ142" s="314" t="str">
        <f>_xlfn.IFNA(VLOOKUP($BC142,Programma!$F$3:$M$1107,8,0),"")</f>
        <v/>
      </c>
      <c r="BK142" s="314" t="str">
        <f>_xlfn.IFNA(VLOOKUP($BC142,Programma!$F$3:$N$1107,9,0),"")</f>
        <v/>
      </c>
      <c r="BL142" s="314" t="str">
        <f>_xlfn.IFNA(VLOOKUP($BC142,Programma!$F$3:$O$1107,10,0),"")</f>
        <v/>
      </c>
      <c r="BM142" s="314" t="str">
        <f>_xlfn.IFNA(VLOOKUP($BC142,Programma!$F$3:$P$1107,11,0),"")</f>
        <v/>
      </c>
      <c r="BN142" s="314" t="str">
        <f>_xlfn.IFNA(VLOOKUP($BC142,Programma!$F$3:$Q$1107,12,0),"")</f>
        <v/>
      </c>
      <c r="BO142" s="314" t="str">
        <f>_xlfn.IFNA(VLOOKUP($BC142,Programma!$F$3:$R$1107,13,0),"")</f>
        <v/>
      </c>
      <c r="BP142" s="314" t="str">
        <f>_xlfn.IFNA(VLOOKUP($BC142,Programma!$F$3:$S$1107,14,0),"")</f>
        <v/>
      </c>
      <c r="BQ142" s="314" t="str">
        <f>_xlfn.IFNA(VLOOKUP($BC142,Programma!$F$3:$T$1107,15,0),"")</f>
        <v/>
      </c>
      <c r="BR142" s="314" t="str">
        <f>_xlfn.IFNA(VLOOKUP($BC142,Programma!$F$3:$U$1107,16,0),"")</f>
        <v/>
      </c>
      <c r="BS142" s="314" t="str">
        <f>_xlfn.IFNA(VLOOKUP($BC142,Programma!$F$3:$V$1107,17,0),"")</f>
        <v/>
      </c>
      <c r="BT142" s="314" t="str">
        <f>_xlfn.IFNA(VLOOKUP($BC142,Programma!$F$3:$W$1107,18,0),"")</f>
        <v/>
      </c>
      <c r="BU142" s="314" t="str">
        <f>_xlfn.IFNA(VLOOKUP($BC142,Programma!$F$3:$X$1107,19,0),"")</f>
        <v/>
      </c>
      <c r="BV142" s="314" t="str">
        <f>_xlfn.IFNA(VLOOKUP($BC142,Programma!$F$3:$Y$1107,20,0),"")</f>
        <v/>
      </c>
    </row>
    <row r="143" spans="1:74" ht="15" customHeight="1">
      <c r="A143" s="33">
        <v>1</v>
      </c>
      <c r="B143" s="173" t="str">
        <f>VLOOKUP(Ruimtestaat[[#This Row],[Code]],Locaties[[Code]:[Locatie]],2,FALSE)</f>
        <v>CCNV</v>
      </c>
      <c r="C143" s="173" t="str">
        <f>VLOOKUP(Ruimtestaat[[#This Row],[Code]],Locaties[[#All],[Code]:[Adres]],4,FALSE)</f>
        <v>Stationslaan 26</v>
      </c>
      <c r="D143" s="173" t="str">
        <f>VLOOKUP(Ruimtestaat[[#This Row],[Code]],Locaties[[#All],[Code]:[Postcode]],5,FALSE)</f>
        <v>3842 LA</v>
      </c>
      <c r="E143" s="173" t="str">
        <f>VLOOKUP(Ruimtestaat[[#This Row],[Code]],Locaties[#All],6,FALSE)</f>
        <v>Harderwijk</v>
      </c>
      <c r="F143" s="21" t="s">
        <v>1629</v>
      </c>
      <c r="G143" s="33" t="s">
        <v>1614</v>
      </c>
      <c r="H143" s="21" t="s">
        <v>1744</v>
      </c>
      <c r="I143" s="69" t="s">
        <v>1615</v>
      </c>
      <c r="J143" s="21">
        <v>16</v>
      </c>
      <c r="K143" s="69" t="str">
        <f>VLOOKUP(Ruimtestaat[[#This Row],[Ruimte code]],Ruimtegroepen[[#All],[Code]:[Ruimte omschrijving]],2,FALSE)</f>
        <v>Leslokalen</v>
      </c>
      <c r="L143" s="33" t="s">
        <v>101</v>
      </c>
      <c r="M143" s="312" t="s">
        <v>1804</v>
      </c>
      <c r="N143" s="148">
        <v>48</v>
      </c>
      <c r="O143" s="150"/>
      <c r="P143" s="134" t="str">
        <f>VLOOKUP(Ruimtestaat[[#This Row],[Ruimte code]],Ruimtegroepen[],4,FALSE)</f>
        <v>Le</v>
      </c>
      <c r="Q143" s="33">
        <v>40</v>
      </c>
      <c r="R143" s="33" t="s">
        <v>2</v>
      </c>
      <c r="S143" s="33">
        <f>IF(Q143&gt;0,IF(RIGHT(Ruimtestaat[[#This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3" s="33">
        <f>IF(S143&gt;0,VLOOKUP($J143,Ruimtegroepen[],3,FALSE)*VLOOKUP($L143,Vloersoorten[],3,FALSE)*VLOOKUP($R143,Frequenties[],3,FALSE)*VLOOKUP($A143,Locaties[],3,FALSE),0)</f>
        <v>0</v>
      </c>
      <c r="U143" s="33">
        <f>Ruimtestaat[[#This Row],[Uitvoeringen werkdagen]]*Ruimtestaat[[#This Row],[Oppervlak (netto)]]</f>
        <v>9600</v>
      </c>
      <c r="V143" s="170">
        <f>IF(T143&gt;0,Ruimtestaat[[#This Row],[Prest. (m2 /jaar) werkdagen]]/Ruimtestaat[[#This Row],[Norm (m2/uur) werkdagen]],0)</f>
        <v>0</v>
      </c>
      <c r="W143" s="171">
        <f>Ruimtestaat[[#This Row],[uren / jaar werkdagen]]*Tariefsopbouw!$E$35</f>
        <v>0</v>
      </c>
      <c r="X143" s="33"/>
      <c r="Y143" s="33">
        <f>IF(Ruimtestaat[[#This Row],[Frequentie weekend]]&gt;0,VALUE(LEFT(X143,1))*Q143,0)</f>
        <v>0</v>
      </c>
      <c r="Z143" s="104">
        <f>IF($Y143&gt;0,VLOOKUP($J143,Ruimtegroepen[],3,FALSE)*VLOOKUP($L143,Vloersoorten[],3,FALSE)*VLOOKUP($X143,Frequenties[],3,FALSE)*VLOOKUP(Ruimtestaat[[#This Row],[Code]],Locaties[],3,FALSE),0)</f>
        <v>0</v>
      </c>
      <c r="AA143" s="104">
        <f>Ruimtestaat[[#This Row],[Uitvoeringen weekend]]*Ruimtestaat[[#This Row],[Oppervlak (netto)]]</f>
        <v>0</v>
      </c>
      <c r="AB143" s="104">
        <f>IF(Z143&gt;0,Ruimtestaat[[#This Row],[Prest. (m2 /jaar) weekend]]/Ruimtestaat[[#This Row],[Norm (m2/uur) weekend]],0)</f>
        <v>0</v>
      </c>
      <c r="AC143" s="171">
        <f>Ruimtestaat[[#This Row],[uren / jaar weekend]]*Tariefsopbouw!$D$40</f>
        <v>0</v>
      </c>
      <c r="AD143" s="170">
        <f>Ruimtestaat[[#This Row],[Prest. (m2 /jaar) weekend]]+Ruimtestaat[[#This Row],[Prest. (m2 /jaar) werkdagen]]</f>
        <v>9600</v>
      </c>
      <c r="AE143" s="170">
        <f>Ruimtestaat[[#This Row],[uren / jaar weekend]]+Ruimtestaat[[#This Row],[uren / jaar werkdagen]]</f>
        <v>0</v>
      </c>
      <c r="AF143" s="76">
        <f>Ruimtestaat[[#This Row],[kosten / jaar weekend]]+Ruimtestaat[[#This Row],[kosten / jaar werkdagen]]</f>
        <v>0</v>
      </c>
      <c r="AG143" s="76"/>
      <c r="AH143" s="272" t="str">
        <f>IF(Ruimtestaat[[#This Row],[Frequentie werkdagen]]="","",_xlfn.CONCAT(Ruimtestaat[[#This Row],[Ruimte code]],"-",Ruimtestaat[[#This Row],[Frequentie werkdagen]]," ",Ruimtestaat[[#This Row],[Vloer code]]))</f>
        <v>16-5w L</v>
      </c>
      <c r="AI143" s="314" t="str">
        <f>_xlfn.IFNA(VLOOKUP($AH143,Programma!$F$3:$G$1107,2,0),"")</f>
        <v>_</v>
      </c>
      <c r="AJ143" s="314" t="str">
        <f>_xlfn.IFNA(VLOOKUP($AH143,Programma!$F$3:$H$1107,3,0),"")</f>
        <v>_</v>
      </c>
      <c r="AK143" s="314" t="str">
        <f>_xlfn.IFNA(VLOOKUP($AH143,Programma!$F$3:$I$1107,4,0),"")</f>
        <v>4w</v>
      </c>
      <c r="AL143" s="314" t="str">
        <f>_xlfn.IFNA(VLOOKUP($AH143,Programma!$F$3:$J$1107,5,0),"")</f>
        <v>1w</v>
      </c>
      <c r="AM143" s="314" t="str">
        <f>_xlfn.IFNA(VLOOKUP($AH143,Programma!$F$3:$K$1107,6,0),"")</f>
        <v>_</v>
      </c>
      <c r="AN143" s="314" t="str">
        <f>_xlfn.IFNA(VLOOKUP($AH143,Programma!$F$3:$L$1107,7,0),"")</f>
        <v>_</v>
      </c>
      <c r="AO143" s="314" t="str">
        <f>_xlfn.IFNA(VLOOKUP($AH143,Programma!$F$3:$M$1107,8,0),"")</f>
        <v>_</v>
      </c>
      <c r="AP143" s="314" t="str">
        <f>_xlfn.IFNA(VLOOKUP($AH143,Programma!$F$3:$N$1107,9,0),"")</f>
        <v>_</v>
      </c>
      <c r="AQ143" s="314" t="str">
        <f>_xlfn.IFNA(VLOOKUP($AH143,Programma!$F$3:$O$1107,10,0),"")</f>
        <v>5w</v>
      </c>
      <c r="AR143" s="314" t="str">
        <f>_xlfn.IFNA(VLOOKUP($AH143,Programma!$F$3:$P$1107,11,0),"")</f>
        <v>5w</v>
      </c>
      <c r="AS143" s="314" t="str">
        <f>_xlfn.IFNA(VLOOKUP($AH143,Programma!$F$3:$Q$1107,12,0),"")</f>
        <v>1w</v>
      </c>
      <c r="AT143" s="314" t="str">
        <f>_xlfn.IFNA(VLOOKUP($AH143,Programma!$F$3:$R$1107,13,0),"")</f>
        <v>1w</v>
      </c>
      <c r="AU143" s="314" t="str">
        <f>_xlfn.IFNA(VLOOKUP($AH143,Programma!$F$3:$S$1107,14,0),"")</f>
        <v>1m</v>
      </c>
      <c r="AV143" s="314" t="str">
        <f>_xlfn.IFNA(VLOOKUP($AH143,Programma!$F$3:$T$1107,15,0),"")</f>
        <v>2j</v>
      </c>
      <c r="AW143" s="314" t="str">
        <f>_xlfn.IFNA(VLOOKUP($AH143,Programma!$F$3:$U$1107,16,0),"")</f>
        <v>1j</v>
      </c>
      <c r="AX143" s="314" t="str">
        <f>_xlfn.IFNA(VLOOKUP($AH143,Programma!$F$3:$V$1107,17,0),"")</f>
        <v>_</v>
      </c>
      <c r="AY143" s="314" t="str">
        <f>_xlfn.IFNA(VLOOKUP($AH143,Programma!$F$3:$W$1107,18,0),"")</f>
        <v>_</v>
      </c>
      <c r="AZ143" s="314" t="str">
        <f>_xlfn.IFNA(VLOOKUP($AH143,Programma!$F$3:$X$1107,19,0),"")</f>
        <v>_</v>
      </c>
      <c r="BA143" s="314" t="str">
        <f>_xlfn.IFNA(VLOOKUP($AH143,Programma!$F$3:$Y$1107,20,0),"")</f>
        <v>_</v>
      </c>
      <c r="BB143" s="273"/>
      <c r="BC143" s="272" t="str">
        <f>IF(Ruimtestaat[[#This Row],[Frequentie weekend]]="","",_xlfn.CONCAT(Ruimtestaat[[#This Row],[Ruimte code]],"-",Ruimtestaat[[#This Row],[Frequentie weekend]]," ",Ruimtestaat[[#This Row],[Vloer code]]))</f>
        <v/>
      </c>
      <c r="BD143" s="314" t="str">
        <f>_xlfn.IFNA(VLOOKUP($BC143,Programma!$F$3:$G$1107,2,0),"")</f>
        <v/>
      </c>
      <c r="BE143" s="314" t="str">
        <f>_xlfn.IFNA(VLOOKUP($BC143,Programma!$F$3:$H$1107,3,0),"")</f>
        <v/>
      </c>
      <c r="BF143" s="314" t="str">
        <f>_xlfn.IFNA(VLOOKUP($BC143,Programma!$F$3:$I$1107,4,0),"")</f>
        <v/>
      </c>
      <c r="BG143" s="314" t="str">
        <f>_xlfn.IFNA(VLOOKUP($BC143,Programma!$F$3:$J$1107,5,0),"")</f>
        <v/>
      </c>
      <c r="BH143" s="314" t="str">
        <f>_xlfn.IFNA(VLOOKUP($BC143,Programma!$F$3:$K$1107,6,0),"")</f>
        <v/>
      </c>
      <c r="BI143" s="314" t="str">
        <f>_xlfn.IFNA(VLOOKUP($BC143,Programma!$F$3:$L$1107,7,0),"")</f>
        <v/>
      </c>
      <c r="BJ143" s="314" t="str">
        <f>_xlfn.IFNA(VLOOKUP($BC143,Programma!$F$3:$M$1107,8,0),"")</f>
        <v/>
      </c>
      <c r="BK143" s="314" t="str">
        <f>_xlfn.IFNA(VLOOKUP($BC143,Programma!$F$3:$N$1107,9,0),"")</f>
        <v/>
      </c>
      <c r="BL143" s="314" t="str">
        <f>_xlfn.IFNA(VLOOKUP($BC143,Programma!$F$3:$O$1107,10,0),"")</f>
        <v/>
      </c>
      <c r="BM143" s="314" t="str">
        <f>_xlfn.IFNA(VLOOKUP($BC143,Programma!$F$3:$P$1107,11,0),"")</f>
        <v/>
      </c>
      <c r="BN143" s="314" t="str">
        <f>_xlfn.IFNA(VLOOKUP($BC143,Programma!$F$3:$Q$1107,12,0),"")</f>
        <v/>
      </c>
      <c r="BO143" s="314" t="str">
        <f>_xlfn.IFNA(VLOOKUP($BC143,Programma!$F$3:$R$1107,13,0),"")</f>
        <v/>
      </c>
      <c r="BP143" s="314" t="str">
        <f>_xlfn.IFNA(VLOOKUP($BC143,Programma!$F$3:$S$1107,14,0),"")</f>
        <v/>
      </c>
      <c r="BQ143" s="314" t="str">
        <f>_xlfn.IFNA(VLOOKUP($BC143,Programma!$F$3:$T$1107,15,0),"")</f>
        <v/>
      </c>
      <c r="BR143" s="314" t="str">
        <f>_xlfn.IFNA(VLOOKUP($BC143,Programma!$F$3:$U$1107,16,0),"")</f>
        <v/>
      </c>
      <c r="BS143" s="314" t="str">
        <f>_xlfn.IFNA(VLOOKUP($BC143,Programma!$F$3:$V$1107,17,0),"")</f>
        <v/>
      </c>
      <c r="BT143" s="314" t="str">
        <f>_xlfn.IFNA(VLOOKUP($BC143,Programma!$F$3:$W$1107,18,0),"")</f>
        <v/>
      </c>
      <c r="BU143" s="314" t="str">
        <f>_xlfn.IFNA(VLOOKUP($BC143,Programma!$F$3:$X$1107,19,0),"")</f>
        <v/>
      </c>
      <c r="BV143" s="314" t="str">
        <f>_xlfn.IFNA(VLOOKUP($BC143,Programma!$F$3:$Y$1107,20,0),"")</f>
        <v/>
      </c>
    </row>
    <row r="144" spans="1:74" ht="15" customHeight="1">
      <c r="A144" s="33">
        <v>1</v>
      </c>
      <c r="B144" s="173" t="str">
        <f>VLOOKUP(Ruimtestaat[[#This Row],[Code]],Locaties[[Code]:[Locatie]],2,FALSE)</f>
        <v>CCNV</v>
      </c>
      <c r="C144" s="173" t="str">
        <f>VLOOKUP(Ruimtestaat[[#This Row],[Code]],Locaties[[#All],[Code]:[Adres]],4,FALSE)</f>
        <v>Stationslaan 26</v>
      </c>
      <c r="D144" s="173" t="str">
        <f>VLOOKUP(Ruimtestaat[[#This Row],[Code]],Locaties[[#All],[Code]:[Postcode]],5,FALSE)</f>
        <v>3842 LA</v>
      </c>
      <c r="E144" s="173" t="str">
        <f>VLOOKUP(Ruimtestaat[[#This Row],[Code]],Locaties[#All],6,FALSE)</f>
        <v>Harderwijk</v>
      </c>
      <c r="F144" s="21" t="s">
        <v>1629</v>
      </c>
      <c r="G144" s="33" t="s">
        <v>1614</v>
      </c>
      <c r="H144" s="21" t="s">
        <v>1745</v>
      </c>
      <c r="I144" s="69" t="s">
        <v>1615</v>
      </c>
      <c r="J144" s="21">
        <v>16</v>
      </c>
      <c r="K144" s="69" t="str">
        <f>VLOOKUP(Ruimtestaat[[#This Row],[Ruimte code]],Ruimtegroepen[[#All],[Code]:[Ruimte omschrijving]],2,FALSE)</f>
        <v>Leslokalen</v>
      </c>
      <c r="L144" s="33" t="s">
        <v>101</v>
      </c>
      <c r="M144" s="312" t="s">
        <v>1804</v>
      </c>
      <c r="N144" s="148">
        <v>55</v>
      </c>
      <c r="O144" s="33"/>
      <c r="P144" s="134" t="str">
        <f>VLOOKUP(Ruimtestaat[[#This Row],[Ruimte code]],Ruimtegroepen[],4,FALSE)</f>
        <v>Le</v>
      </c>
      <c r="Q144" s="33">
        <v>40</v>
      </c>
      <c r="R144" s="33" t="s">
        <v>2</v>
      </c>
      <c r="S144" s="33">
        <f>IF(Q144&gt;0,IF(RIGHT(Ruimtestaat[[#This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4" s="33">
        <f>IF(S144&gt;0,VLOOKUP($J144,Ruimtegroepen[],3,FALSE)*VLOOKUP($L144,Vloersoorten[],3,FALSE)*VLOOKUP($R144,Frequenties[],3,FALSE)*VLOOKUP($A144,Locaties[],3,FALSE),0)</f>
        <v>0</v>
      </c>
      <c r="U144" s="33">
        <f>Ruimtestaat[[#This Row],[Uitvoeringen werkdagen]]*Ruimtestaat[[#This Row],[Oppervlak (netto)]]</f>
        <v>11000</v>
      </c>
      <c r="V144" s="170">
        <f>IF(T144&gt;0,Ruimtestaat[[#This Row],[Prest. (m2 /jaar) werkdagen]]/Ruimtestaat[[#This Row],[Norm (m2/uur) werkdagen]],0)</f>
        <v>0</v>
      </c>
      <c r="W144" s="171">
        <f>Ruimtestaat[[#This Row],[uren / jaar werkdagen]]*Tariefsopbouw!$E$35</f>
        <v>0</v>
      </c>
      <c r="X144" s="33"/>
      <c r="Y144" s="33">
        <f>IF(Ruimtestaat[[#This Row],[Frequentie weekend]]&gt;0,VALUE(LEFT(X144,1))*Q144,0)</f>
        <v>0</v>
      </c>
      <c r="Z144" s="104">
        <f>IF($Y144&gt;0,VLOOKUP($J144,Ruimtegroepen[],3,FALSE)*VLOOKUP($L144,Vloersoorten[],3,FALSE)*VLOOKUP($X144,Frequenties[],3,FALSE)*VLOOKUP(Ruimtestaat[[#This Row],[Code]],Locaties[],3,FALSE),0)</f>
        <v>0</v>
      </c>
      <c r="AA144" s="104">
        <f>Ruimtestaat[[#This Row],[Uitvoeringen weekend]]*Ruimtestaat[[#This Row],[Oppervlak (netto)]]</f>
        <v>0</v>
      </c>
      <c r="AB144" s="104">
        <f>IF(Z144&gt;0,Ruimtestaat[[#This Row],[Prest. (m2 /jaar) weekend]]/Ruimtestaat[[#This Row],[Norm (m2/uur) weekend]],0)</f>
        <v>0</v>
      </c>
      <c r="AC144" s="171">
        <f>Ruimtestaat[[#This Row],[uren / jaar weekend]]*Tariefsopbouw!$D$40</f>
        <v>0</v>
      </c>
      <c r="AD144" s="170">
        <f>Ruimtestaat[[#This Row],[Prest. (m2 /jaar) weekend]]+Ruimtestaat[[#This Row],[Prest. (m2 /jaar) werkdagen]]</f>
        <v>11000</v>
      </c>
      <c r="AE144" s="170">
        <f>Ruimtestaat[[#This Row],[uren / jaar weekend]]+Ruimtestaat[[#This Row],[uren / jaar werkdagen]]</f>
        <v>0</v>
      </c>
      <c r="AF144" s="76">
        <f>Ruimtestaat[[#This Row],[kosten / jaar weekend]]+Ruimtestaat[[#This Row],[kosten / jaar werkdagen]]</f>
        <v>0</v>
      </c>
      <c r="AG144" s="76"/>
      <c r="AH144" s="272" t="str">
        <f>IF(Ruimtestaat[[#This Row],[Frequentie werkdagen]]="","",_xlfn.CONCAT(Ruimtestaat[[#This Row],[Ruimte code]],"-",Ruimtestaat[[#This Row],[Frequentie werkdagen]]," ",Ruimtestaat[[#This Row],[Vloer code]]))</f>
        <v>16-5w L</v>
      </c>
      <c r="AI144" s="314" t="str">
        <f>_xlfn.IFNA(VLOOKUP($AH144,Programma!$F$3:$G$1107,2,0),"")</f>
        <v>_</v>
      </c>
      <c r="AJ144" s="314" t="str">
        <f>_xlfn.IFNA(VLOOKUP($AH144,Programma!$F$3:$H$1107,3,0),"")</f>
        <v>_</v>
      </c>
      <c r="AK144" s="314" t="str">
        <f>_xlfn.IFNA(VLOOKUP($AH144,Programma!$F$3:$I$1107,4,0),"")</f>
        <v>4w</v>
      </c>
      <c r="AL144" s="314" t="str">
        <f>_xlfn.IFNA(VLOOKUP($AH144,Programma!$F$3:$J$1107,5,0),"")</f>
        <v>1w</v>
      </c>
      <c r="AM144" s="314" t="str">
        <f>_xlfn.IFNA(VLOOKUP($AH144,Programma!$F$3:$K$1107,6,0),"")</f>
        <v>_</v>
      </c>
      <c r="AN144" s="314" t="str">
        <f>_xlfn.IFNA(VLOOKUP($AH144,Programma!$F$3:$L$1107,7,0),"")</f>
        <v>_</v>
      </c>
      <c r="AO144" s="314" t="str">
        <f>_xlfn.IFNA(VLOOKUP($AH144,Programma!$F$3:$M$1107,8,0),"")</f>
        <v>_</v>
      </c>
      <c r="AP144" s="314" t="str">
        <f>_xlfn.IFNA(VLOOKUP($AH144,Programma!$F$3:$N$1107,9,0),"")</f>
        <v>_</v>
      </c>
      <c r="AQ144" s="314" t="str">
        <f>_xlfn.IFNA(VLOOKUP($AH144,Programma!$F$3:$O$1107,10,0),"")</f>
        <v>5w</v>
      </c>
      <c r="AR144" s="314" t="str">
        <f>_xlfn.IFNA(VLOOKUP($AH144,Programma!$F$3:$P$1107,11,0),"")</f>
        <v>5w</v>
      </c>
      <c r="AS144" s="314" t="str">
        <f>_xlfn.IFNA(VLOOKUP($AH144,Programma!$F$3:$Q$1107,12,0),"")</f>
        <v>1w</v>
      </c>
      <c r="AT144" s="314" t="str">
        <f>_xlfn.IFNA(VLOOKUP($AH144,Programma!$F$3:$R$1107,13,0),"")</f>
        <v>1w</v>
      </c>
      <c r="AU144" s="314" t="str">
        <f>_xlfn.IFNA(VLOOKUP($AH144,Programma!$F$3:$S$1107,14,0),"")</f>
        <v>1m</v>
      </c>
      <c r="AV144" s="314" t="str">
        <f>_xlfn.IFNA(VLOOKUP($AH144,Programma!$F$3:$T$1107,15,0),"")</f>
        <v>2j</v>
      </c>
      <c r="AW144" s="314" t="str">
        <f>_xlfn.IFNA(VLOOKUP($AH144,Programma!$F$3:$U$1107,16,0),"")</f>
        <v>1j</v>
      </c>
      <c r="AX144" s="314" t="str">
        <f>_xlfn.IFNA(VLOOKUP($AH144,Programma!$F$3:$V$1107,17,0),"")</f>
        <v>_</v>
      </c>
      <c r="AY144" s="314" t="str">
        <f>_xlfn.IFNA(VLOOKUP($AH144,Programma!$F$3:$W$1107,18,0),"")</f>
        <v>_</v>
      </c>
      <c r="AZ144" s="314" t="str">
        <f>_xlfn.IFNA(VLOOKUP($AH144,Programma!$F$3:$X$1107,19,0),"")</f>
        <v>_</v>
      </c>
      <c r="BA144" s="314" t="str">
        <f>_xlfn.IFNA(VLOOKUP($AH144,Programma!$F$3:$Y$1107,20,0),"")</f>
        <v>_</v>
      </c>
      <c r="BB144" s="273"/>
      <c r="BC144" s="272" t="str">
        <f>IF(Ruimtestaat[[#This Row],[Frequentie weekend]]="","",_xlfn.CONCAT(Ruimtestaat[[#This Row],[Ruimte code]],"-",Ruimtestaat[[#This Row],[Frequentie weekend]]," ",Ruimtestaat[[#This Row],[Vloer code]]))</f>
        <v/>
      </c>
      <c r="BD144" s="314" t="str">
        <f>_xlfn.IFNA(VLOOKUP($BC144,Programma!$F$3:$G$1107,2,0),"")</f>
        <v/>
      </c>
      <c r="BE144" s="314" t="str">
        <f>_xlfn.IFNA(VLOOKUP($BC144,Programma!$F$3:$H$1107,3,0),"")</f>
        <v/>
      </c>
      <c r="BF144" s="314" t="str">
        <f>_xlfn.IFNA(VLOOKUP($BC144,Programma!$F$3:$I$1107,4,0),"")</f>
        <v/>
      </c>
      <c r="BG144" s="314" t="str">
        <f>_xlfn.IFNA(VLOOKUP($BC144,Programma!$F$3:$J$1107,5,0),"")</f>
        <v/>
      </c>
      <c r="BH144" s="314" t="str">
        <f>_xlfn.IFNA(VLOOKUP($BC144,Programma!$F$3:$K$1107,6,0),"")</f>
        <v/>
      </c>
      <c r="BI144" s="314" t="str">
        <f>_xlfn.IFNA(VLOOKUP($BC144,Programma!$F$3:$L$1107,7,0),"")</f>
        <v/>
      </c>
      <c r="BJ144" s="314" t="str">
        <f>_xlfn.IFNA(VLOOKUP($BC144,Programma!$F$3:$M$1107,8,0),"")</f>
        <v/>
      </c>
      <c r="BK144" s="314" t="str">
        <f>_xlfn.IFNA(VLOOKUP($BC144,Programma!$F$3:$N$1107,9,0),"")</f>
        <v/>
      </c>
      <c r="BL144" s="314" t="str">
        <f>_xlfn.IFNA(VLOOKUP($BC144,Programma!$F$3:$O$1107,10,0),"")</f>
        <v/>
      </c>
      <c r="BM144" s="314" t="str">
        <f>_xlfn.IFNA(VLOOKUP($BC144,Programma!$F$3:$P$1107,11,0),"")</f>
        <v/>
      </c>
      <c r="BN144" s="314" t="str">
        <f>_xlfn.IFNA(VLOOKUP($BC144,Programma!$F$3:$Q$1107,12,0),"")</f>
        <v/>
      </c>
      <c r="BO144" s="314" t="str">
        <f>_xlfn.IFNA(VLOOKUP($BC144,Programma!$F$3:$R$1107,13,0),"")</f>
        <v/>
      </c>
      <c r="BP144" s="314" t="str">
        <f>_xlfn.IFNA(VLOOKUP($BC144,Programma!$F$3:$S$1107,14,0),"")</f>
        <v/>
      </c>
      <c r="BQ144" s="314" t="str">
        <f>_xlfn.IFNA(VLOOKUP($BC144,Programma!$F$3:$T$1107,15,0),"")</f>
        <v/>
      </c>
      <c r="BR144" s="314" t="str">
        <f>_xlfn.IFNA(VLOOKUP($BC144,Programma!$F$3:$U$1107,16,0),"")</f>
        <v/>
      </c>
      <c r="BS144" s="314" t="str">
        <f>_xlfn.IFNA(VLOOKUP($BC144,Programma!$F$3:$V$1107,17,0),"")</f>
        <v/>
      </c>
      <c r="BT144" s="314" t="str">
        <f>_xlfn.IFNA(VLOOKUP($BC144,Programma!$F$3:$W$1107,18,0),"")</f>
        <v/>
      </c>
      <c r="BU144" s="314" t="str">
        <f>_xlfn.IFNA(VLOOKUP($BC144,Programma!$F$3:$X$1107,19,0),"")</f>
        <v/>
      </c>
      <c r="BV144" s="314" t="str">
        <f>_xlfn.IFNA(VLOOKUP($BC144,Programma!$F$3:$Y$1107,20,0),"")</f>
        <v/>
      </c>
    </row>
    <row r="145" spans="1:74" ht="15" customHeight="1">
      <c r="A145" s="33">
        <v>1</v>
      </c>
      <c r="B145" s="173" t="str">
        <f>VLOOKUP(Ruimtestaat[[#This Row],[Code]],Locaties[[Code]:[Locatie]],2,FALSE)</f>
        <v>CCNV</v>
      </c>
      <c r="C145" s="173" t="str">
        <f>VLOOKUP(Ruimtestaat[[#This Row],[Code]],Locaties[[#All],[Code]:[Adres]],4,FALSE)</f>
        <v>Stationslaan 26</v>
      </c>
      <c r="D145" s="173" t="str">
        <f>VLOOKUP(Ruimtestaat[[#This Row],[Code]],Locaties[[#All],[Code]:[Postcode]],5,FALSE)</f>
        <v>3842 LA</v>
      </c>
      <c r="E145" s="173" t="str">
        <f>VLOOKUP(Ruimtestaat[[#This Row],[Code]],Locaties[#All],6,FALSE)</f>
        <v>Harderwijk</v>
      </c>
      <c r="F145" s="21" t="s">
        <v>1629</v>
      </c>
      <c r="G145" s="33" t="s">
        <v>1614</v>
      </c>
      <c r="H145" s="21" t="s">
        <v>1746</v>
      </c>
      <c r="I145" s="69" t="s">
        <v>1615</v>
      </c>
      <c r="J145" s="21">
        <v>16</v>
      </c>
      <c r="K145" s="69" t="str">
        <f>VLOOKUP(Ruimtestaat[[#This Row],[Ruimte code]],Ruimtegroepen[[#All],[Code]:[Ruimte omschrijving]],2,FALSE)</f>
        <v>Leslokalen</v>
      </c>
      <c r="L145" s="33" t="s">
        <v>101</v>
      </c>
      <c r="M145" s="312" t="s">
        <v>1804</v>
      </c>
      <c r="N145" s="148">
        <v>55</v>
      </c>
      <c r="O145" s="150"/>
      <c r="P145" s="134" t="str">
        <f>VLOOKUP(Ruimtestaat[[#This Row],[Ruimte code]],Ruimtegroepen[],4,FALSE)</f>
        <v>Le</v>
      </c>
      <c r="Q145" s="33">
        <v>40</v>
      </c>
      <c r="R145" s="33" t="s">
        <v>2</v>
      </c>
      <c r="S145" s="33">
        <f>IF(Q145&gt;0,IF(RIGHT(Ruimtestaat[[#This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5" s="33">
        <f>IF(S145&gt;0,VLOOKUP($J145,Ruimtegroepen[],3,FALSE)*VLOOKUP($L145,Vloersoorten[],3,FALSE)*VLOOKUP($R145,Frequenties[],3,FALSE)*VLOOKUP($A145,Locaties[],3,FALSE),0)</f>
        <v>0</v>
      </c>
      <c r="U145" s="33">
        <f>Ruimtestaat[[#This Row],[Uitvoeringen werkdagen]]*Ruimtestaat[[#This Row],[Oppervlak (netto)]]</f>
        <v>11000</v>
      </c>
      <c r="V145" s="170">
        <f>IF(T145&gt;0,Ruimtestaat[[#This Row],[Prest. (m2 /jaar) werkdagen]]/Ruimtestaat[[#This Row],[Norm (m2/uur) werkdagen]],0)</f>
        <v>0</v>
      </c>
      <c r="W145" s="171">
        <f>Ruimtestaat[[#This Row],[uren / jaar werkdagen]]*Tariefsopbouw!$E$35</f>
        <v>0</v>
      </c>
      <c r="X145" s="33"/>
      <c r="Y145" s="33">
        <f>IF(Ruimtestaat[[#This Row],[Frequentie weekend]]&gt;0,VALUE(LEFT(X145,1))*Q145,0)</f>
        <v>0</v>
      </c>
      <c r="Z145" s="104">
        <f>IF($Y145&gt;0,VLOOKUP($J145,Ruimtegroepen[],3,FALSE)*VLOOKUP($L145,Vloersoorten[],3,FALSE)*VLOOKUP($X145,Frequenties[],3,FALSE)*VLOOKUP(Ruimtestaat[[#This Row],[Code]],Locaties[],3,FALSE),0)</f>
        <v>0</v>
      </c>
      <c r="AA145" s="104">
        <f>Ruimtestaat[[#This Row],[Uitvoeringen weekend]]*Ruimtestaat[[#This Row],[Oppervlak (netto)]]</f>
        <v>0</v>
      </c>
      <c r="AB145" s="104">
        <f>IF(Z145&gt;0,Ruimtestaat[[#This Row],[Prest. (m2 /jaar) weekend]]/Ruimtestaat[[#This Row],[Norm (m2/uur) weekend]],0)</f>
        <v>0</v>
      </c>
      <c r="AC145" s="171">
        <f>Ruimtestaat[[#This Row],[uren / jaar weekend]]*Tariefsopbouw!$D$40</f>
        <v>0</v>
      </c>
      <c r="AD145" s="170">
        <f>Ruimtestaat[[#This Row],[Prest. (m2 /jaar) weekend]]+Ruimtestaat[[#This Row],[Prest. (m2 /jaar) werkdagen]]</f>
        <v>11000</v>
      </c>
      <c r="AE145" s="170">
        <f>Ruimtestaat[[#This Row],[uren / jaar weekend]]+Ruimtestaat[[#This Row],[uren / jaar werkdagen]]</f>
        <v>0</v>
      </c>
      <c r="AF145" s="76">
        <f>Ruimtestaat[[#This Row],[kosten / jaar weekend]]+Ruimtestaat[[#This Row],[kosten / jaar werkdagen]]</f>
        <v>0</v>
      </c>
      <c r="AG145" s="76"/>
      <c r="AH145" s="272" t="str">
        <f>IF(Ruimtestaat[[#This Row],[Frequentie werkdagen]]="","",_xlfn.CONCAT(Ruimtestaat[[#This Row],[Ruimte code]],"-",Ruimtestaat[[#This Row],[Frequentie werkdagen]]," ",Ruimtestaat[[#This Row],[Vloer code]]))</f>
        <v>16-5w L</v>
      </c>
      <c r="AI145" s="314" t="str">
        <f>_xlfn.IFNA(VLOOKUP($AH145,Programma!$F$3:$G$1107,2,0),"")</f>
        <v>_</v>
      </c>
      <c r="AJ145" s="314" t="str">
        <f>_xlfn.IFNA(VLOOKUP($AH145,Programma!$F$3:$H$1107,3,0),"")</f>
        <v>_</v>
      </c>
      <c r="AK145" s="314" t="str">
        <f>_xlfn.IFNA(VLOOKUP($AH145,Programma!$F$3:$I$1107,4,0),"")</f>
        <v>4w</v>
      </c>
      <c r="AL145" s="314" t="str">
        <f>_xlfn.IFNA(VLOOKUP($AH145,Programma!$F$3:$J$1107,5,0),"")</f>
        <v>1w</v>
      </c>
      <c r="AM145" s="314" t="str">
        <f>_xlfn.IFNA(VLOOKUP($AH145,Programma!$F$3:$K$1107,6,0),"")</f>
        <v>_</v>
      </c>
      <c r="AN145" s="314" t="str">
        <f>_xlfn.IFNA(VLOOKUP($AH145,Programma!$F$3:$L$1107,7,0),"")</f>
        <v>_</v>
      </c>
      <c r="AO145" s="314" t="str">
        <f>_xlfn.IFNA(VLOOKUP($AH145,Programma!$F$3:$M$1107,8,0),"")</f>
        <v>_</v>
      </c>
      <c r="AP145" s="314" t="str">
        <f>_xlfn.IFNA(VLOOKUP($AH145,Programma!$F$3:$N$1107,9,0),"")</f>
        <v>_</v>
      </c>
      <c r="AQ145" s="314" t="str">
        <f>_xlfn.IFNA(VLOOKUP($AH145,Programma!$F$3:$O$1107,10,0),"")</f>
        <v>5w</v>
      </c>
      <c r="AR145" s="314" t="str">
        <f>_xlfn.IFNA(VLOOKUP($AH145,Programma!$F$3:$P$1107,11,0),"")</f>
        <v>5w</v>
      </c>
      <c r="AS145" s="314" t="str">
        <f>_xlfn.IFNA(VLOOKUP($AH145,Programma!$F$3:$Q$1107,12,0),"")</f>
        <v>1w</v>
      </c>
      <c r="AT145" s="314" t="str">
        <f>_xlfn.IFNA(VLOOKUP($AH145,Programma!$F$3:$R$1107,13,0),"")</f>
        <v>1w</v>
      </c>
      <c r="AU145" s="314" t="str">
        <f>_xlfn.IFNA(VLOOKUP($AH145,Programma!$F$3:$S$1107,14,0),"")</f>
        <v>1m</v>
      </c>
      <c r="AV145" s="314" t="str">
        <f>_xlfn.IFNA(VLOOKUP($AH145,Programma!$F$3:$T$1107,15,0),"")</f>
        <v>2j</v>
      </c>
      <c r="AW145" s="314" t="str">
        <f>_xlfn.IFNA(VLOOKUP($AH145,Programma!$F$3:$U$1107,16,0),"")</f>
        <v>1j</v>
      </c>
      <c r="AX145" s="314" t="str">
        <f>_xlfn.IFNA(VLOOKUP($AH145,Programma!$F$3:$V$1107,17,0),"")</f>
        <v>_</v>
      </c>
      <c r="AY145" s="314" t="str">
        <f>_xlfn.IFNA(VLOOKUP($AH145,Programma!$F$3:$W$1107,18,0),"")</f>
        <v>_</v>
      </c>
      <c r="AZ145" s="314" t="str">
        <f>_xlfn.IFNA(VLOOKUP($AH145,Programma!$F$3:$X$1107,19,0),"")</f>
        <v>_</v>
      </c>
      <c r="BA145" s="314" t="str">
        <f>_xlfn.IFNA(VLOOKUP($AH145,Programma!$F$3:$Y$1107,20,0),"")</f>
        <v>_</v>
      </c>
      <c r="BB145" s="273"/>
      <c r="BC145" s="272" t="str">
        <f>IF(Ruimtestaat[[#This Row],[Frequentie weekend]]="","",_xlfn.CONCAT(Ruimtestaat[[#This Row],[Ruimte code]],"-",Ruimtestaat[[#This Row],[Frequentie weekend]]," ",Ruimtestaat[[#This Row],[Vloer code]]))</f>
        <v/>
      </c>
      <c r="BD145" s="314" t="str">
        <f>_xlfn.IFNA(VLOOKUP($BC145,Programma!$F$3:$G$1107,2,0),"")</f>
        <v/>
      </c>
      <c r="BE145" s="314" t="str">
        <f>_xlfn.IFNA(VLOOKUP($BC145,Programma!$F$3:$H$1107,3,0),"")</f>
        <v/>
      </c>
      <c r="BF145" s="314" t="str">
        <f>_xlfn.IFNA(VLOOKUP($BC145,Programma!$F$3:$I$1107,4,0),"")</f>
        <v/>
      </c>
      <c r="BG145" s="314" t="str">
        <f>_xlfn.IFNA(VLOOKUP($BC145,Programma!$F$3:$J$1107,5,0),"")</f>
        <v/>
      </c>
      <c r="BH145" s="314" t="str">
        <f>_xlfn.IFNA(VLOOKUP($BC145,Programma!$F$3:$K$1107,6,0),"")</f>
        <v/>
      </c>
      <c r="BI145" s="314" t="str">
        <f>_xlfn.IFNA(VLOOKUP($BC145,Programma!$F$3:$L$1107,7,0),"")</f>
        <v/>
      </c>
      <c r="BJ145" s="314" t="str">
        <f>_xlfn.IFNA(VLOOKUP($BC145,Programma!$F$3:$M$1107,8,0),"")</f>
        <v/>
      </c>
      <c r="BK145" s="314" t="str">
        <f>_xlfn.IFNA(VLOOKUP($BC145,Programma!$F$3:$N$1107,9,0),"")</f>
        <v/>
      </c>
      <c r="BL145" s="314" t="str">
        <f>_xlfn.IFNA(VLOOKUP($BC145,Programma!$F$3:$O$1107,10,0),"")</f>
        <v/>
      </c>
      <c r="BM145" s="314" t="str">
        <f>_xlfn.IFNA(VLOOKUP($BC145,Programma!$F$3:$P$1107,11,0),"")</f>
        <v/>
      </c>
      <c r="BN145" s="314" t="str">
        <f>_xlfn.IFNA(VLOOKUP($BC145,Programma!$F$3:$Q$1107,12,0),"")</f>
        <v/>
      </c>
      <c r="BO145" s="314" t="str">
        <f>_xlfn.IFNA(VLOOKUP($BC145,Programma!$F$3:$R$1107,13,0),"")</f>
        <v/>
      </c>
      <c r="BP145" s="314" t="str">
        <f>_xlfn.IFNA(VLOOKUP($BC145,Programma!$F$3:$S$1107,14,0),"")</f>
        <v/>
      </c>
      <c r="BQ145" s="314" t="str">
        <f>_xlfn.IFNA(VLOOKUP($BC145,Programma!$F$3:$T$1107,15,0),"")</f>
        <v/>
      </c>
      <c r="BR145" s="314" t="str">
        <f>_xlfn.IFNA(VLOOKUP($BC145,Programma!$F$3:$U$1107,16,0),"")</f>
        <v/>
      </c>
      <c r="BS145" s="314" t="str">
        <f>_xlfn.IFNA(VLOOKUP($BC145,Programma!$F$3:$V$1107,17,0),"")</f>
        <v/>
      </c>
      <c r="BT145" s="314" t="str">
        <f>_xlfn.IFNA(VLOOKUP($BC145,Programma!$F$3:$W$1107,18,0),"")</f>
        <v/>
      </c>
      <c r="BU145" s="314" t="str">
        <f>_xlfn.IFNA(VLOOKUP($BC145,Programma!$F$3:$X$1107,19,0),"")</f>
        <v/>
      </c>
      <c r="BV145" s="314" t="str">
        <f>_xlfn.IFNA(VLOOKUP($BC145,Programma!$F$3:$Y$1107,20,0),"")</f>
        <v/>
      </c>
    </row>
    <row r="146" spans="1:74" ht="15" customHeight="1">
      <c r="A146" s="33">
        <v>1</v>
      </c>
      <c r="B146" s="173" t="str">
        <f>VLOOKUP(Ruimtestaat[[#This Row],[Code]],Locaties[[Code]:[Locatie]],2,FALSE)</f>
        <v>CCNV</v>
      </c>
      <c r="C146" s="173" t="str">
        <f>VLOOKUP(Ruimtestaat[[#This Row],[Code]],Locaties[[#All],[Code]:[Adres]],4,FALSE)</f>
        <v>Stationslaan 26</v>
      </c>
      <c r="D146" s="173" t="str">
        <f>VLOOKUP(Ruimtestaat[[#This Row],[Code]],Locaties[[#All],[Code]:[Postcode]],5,FALSE)</f>
        <v>3842 LA</v>
      </c>
      <c r="E146" s="173" t="str">
        <f>VLOOKUP(Ruimtestaat[[#This Row],[Code]],Locaties[#All],6,FALSE)</f>
        <v>Harderwijk</v>
      </c>
      <c r="F146" s="21" t="s">
        <v>1629</v>
      </c>
      <c r="G146" s="33" t="s">
        <v>1614</v>
      </c>
      <c r="H146" s="21" t="s">
        <v>1747</v>
      </c>
      <c r="I146" s="69" t="s">
        <v>1615</v>
      </c>
      <c r="J146" s="21">
        <v>16</v>
      </c>
      <c r="K146" s="69" t="str">
        <f>VLOOKUP(Ruimtestaat[[#This Row],[Ruimte code]],Ruimtegroepen[[#All],[Code]:[Ruimte omschrijving]],2,FALSE)</f>
        <v>Leslokalen</v>
      </c>
      <c r="L146" s="33" t="s">
        <v>101</v>
      </c>
      <c r="M146" s="312" t="s">
        <v>1804</v>
      </c>
      <c r="N146" s="148">
        <v>75</v>
      </c>
      <c r="O146" s="150"/>
      <c r="P146" s="134" t="str">
        <f>VLOOKUP(Ruimtestaat[[#This Row],[Ruimte code]],Ruimtegroepen[],4,FALSE)</f>
        <v>Le</v>
      </c>
      <c r="Q146" s="33">
        <v>40</v>
      </c>
      <c r="R146" s="33" t="s">
        <v>2</v>
      </c>
      <c r="S146" s="33">
        <f>IF(Q146&gt;0,IF(RIGHT(Ruimtestaat[[#This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6" s="33">
        <f>IF(S146&gt;0,VLOOKUP($J146,Ruimtegroepen[],3,FALSE)*VLOOKUP($L146,Vloersoorten[],3,FALSE)*VLOOKUP($R146,Frequenties[],3,FALSE)*VLOOKUP($A146,Locaties[],3,FALSE),0)</f>
        <v>0</v>
      </c>
      <c r="U146" s="33">
        <f>Ruimtestaat[[#This Row],[Uitvoeringen werkdagen]]*Ruimtestaat[[#This Row],[Oppervlak (netto)]]</f>
        <v>15000</v>
      </c>
      <c r="V146" s="170">
        <f>IF(T146&gt;0,Ruimtestaat[[#This Row],[Prest. (m2 /jaar) werkdagen]]/Ruimtestaat[[#This Row],[Norm (m2/uur) werkdagen]],0)</f>
        <v>0</v>
      </c>
      <c r="W146" s="171">
        <f>Ruimtestaat[[#This Row],[uren / jaar werkdagen]]*Tariefsopbouw!$E$35</f>
        <v>0</v>
      </c>
      <c r="X146" s="33"/>
      <c r="Y146" s="33">
        <f>IF(Ruimtestaat[[#This Row],[Frequentie weekend]]&gt;0,VALUE(LEFT(X146,1))*Q146,0)</f>
        <v>0</v>
      </c>
      <c r="Z146" s="104">
        <f>IF($Y146&gt;0,VLOOKUP($J146,Ruimtegroepen[],3,FALSE)*VLOOKUP($L146,Vloersoorten[],3,FALSE)*VLOOKUP($X146,Frequenties[],3,FALSE)*VLOOKUP(Ruimtestaat[[#This Row],[Code]],Locaties[],3,FALSE),0)</f>
        <v>0</v>
      </c>
      <c r="AA146" s="104">
        <f>Ruimtestaat[[#This Row],[Uitvoeringen weekend]]*Ruimtestaat[[#This Row],[Oppervlak (netto)]]</f>
        <v>0</v>
      </c>
      <c r="AB146" s="104">
        <f>IF(Z146&gt;0,Ruimtestaat[[#This Row],[Prest. (m2 /jaar) weekend]]/Ruimtestaat[[#This Row],[Norm (m2/uur) weekend]],0)</f>
        <v>0</v>
      </c>
      <c r="AC146" s="171">
        <f>Ruimtestaat[[#This Row],[uren / jaar weekend]]*Tariefsopbouw!$D$40</f>
        <v>0</v>
      </c>
      <c r="AD146" s="170">
        <f>Ruimtestaat[[#This Row],[Prest. (m2 /jaar) weekend]]+Ruimtestaat[[#This Row],[Prest. (m2 /jaar) werkdagen]]</f>
        <v>15000</v>
      </c>
      <c r="AE146" s="170">
        <f>Ruimtestaat[[#This Row],[uren / jaar weekend]]+Ruimtestaat[[#This Row],[uren / jaar werkdagen]]</f>
        <v>0</v>
      </c>
      <c r="AF146" s="76">
        <f>Ruimtestaat[[#This Row],[kosten / jaar weekend]]+Ruimtestaat[[#This Row],[kosten / jaar werkdagen]]</f>
        <v>0</v>
      </c>
      <c r="AG146" s="76"/>
      <c r="AH146" s="272" t="str">
        <f>IF(Ruimtestaat[[#This Row],[Frequentie werkdagen]]="","",_xlfn.CONCAT(Ruimtestaat[[#This Row],[Ruimte code]],"-",Ruimtestaat[[#This Row],[Frequentie werkdagen]]," ",Ruimtestaat[[#This Row],[Vloer code]]))</f>
        <v>16-5w L</v>
      </c>
      <c r="AI146" s="314" t="str">
        <f>_xlfn.IFNA(VLOOKUP($AH146,Programma!$F$3:$G$1107,2,0),"")</f>
        <v>_</v>
      </c>
      <c r="AJ146" s="314" t="str">
        <f>_xlfn.IFNA(VLOOKUP($AH146,Programma!$F$3:$H$1107,3,0),"")</f>
        <v>_</v>
      </c>
      <c r="AK146" s="314" t="str">
        <f>_xlfn.IFNA(VLOOKUP($AH146,Programma!$F$3:$I$1107,4,0),"")</f>
        <v>4w</v>
      </c>
      <c r="AL146" s="314" t="str">
        <f>_xlfn.IFNA(VLOOKUP($AH146,Programma!$F$3:$J$1107,5,0),"")</f>
        <v>1w</v>
      </c>
      <c r="AM146" s="314" t="str">
        <f>_xlfn.IFNA(VLOOKUP($AH146,Programma!$F$3:$K$1107,6,0),"")</f>
        <v>_</v>
      </c>
      <c r="AN146" s="314" t="str">
        <f>_xlfn.IFNA(VLOOKUP($AH146,Programma!$F$3:$L$1107,7,0),"")</f>
        <v>_</v>
      </c>
      <c r="AO146" s="314" t="str">
        <f>_xlfn.IFNA(VLOOKUP($AH146,Programma!$F$3:$M$1107,8,0),"")</f>
        <v>_</v>
      </c>
      <c r="AP146" s="314" t="str">
        <f>_xlfn.IFNA(VLOOKUP($AH146,Programma!$F$3:$N$1107,9,0),"")</f>
        <v>_</v>
      </c>
      <c r="AQ146" s="314" t="str">
        <f>_xlfn.IFNA(VLOOKUP($AH146,Programma!$F$3:$O$1107,10,0),"")</f>
        <v>5w</v>
      </c>
      <c r="AR146" s="314" t="str">
        <f>_xlfn.IFNA(VLOOKUP($AH146,Programma!$F$3:$P$1107,11,0),"")</f>
        <v>5w</v>
      </c>
      <c r="AS146" s="314" t="str">
        <f>_xlfn.IFNA(VLOOKUP($AH146,Programma!$F$3:$Q$1107,12,0),"")</f>
        <v>1w</v>
      </c>
      <c r="AT146" s="314" t="str">
        <f>_xlfn.IFNA(VLOOKUP($AH146,Programma!$F$3:$R$1107,13,0),"")</f>
        <v>1w</v>
      </c>
      <c r="AU146" s="314" t="str">
        <f>_xlfn.IFNA(VLOOKUP($AH146,Programma!$F$3:$S$1107,14,0),"")</f>
        <v>1m</v>
      </c>
      <c r="AV146" s="314" t="str">
        <f>_xlfn.IFNA(VLOOKUP($AH146,Programma!$F$3:$T$1107,15,0),"")</f>
        <v>2j</v>
      </c>
      <c r="AW146" s="314" t="str">
        <f>_xlfn.IFNA(VLOOKUP($AH146,Programma!$F$3:$U$1107,16,0),"")</f>
        <v>1j</v>
      </c>
      <c r="AX146" s="314" t="str">
        <f>_xlfn.IFNA(VLOOKUP($AH146,Programma!$F$3:$V$1107,17,0),"")</f>
        <v>_</v>
      </c>
      <c r="AY146" s="314" t="str">
        <f>_xlfn.IFNA(VLOOKUP($AH146,Programma!$F$3:$W$1107,18,0),"")</f>
        <v>_</v>
      </c>
      <c r="AZ146" s="314" t="str">
        <f>_xlfn.IFNA(VLOOKUP($AH146,Programma!$F$3:$X$1107,19,0),"")</f>
        <v>_</v>
      </c>
      <c r="BA146" s="314" t="str">
        <f>_xlfn.IFNA(VLOOKUP($AH146,Programma!$F$3:$Y$1107,20,0),"")</f>
        <v>_</v>
      </c>
      <c r="BB146" s="273"/>
      <c r="BC146" s="272" t="str">
        <f>IF(Ruimtestaat[[#This Row],[Frequentie weekend]]="","",_xlfn.CONCAT(Ruimtestaat[[#This Row],[Ruimte code]],"-",Ruimtestaat[[#This Row],[Frequentie weekend]]," ",Ruimtestaat[[#This Row],[Vloer code]]))</f>
        <v/>
      </c>
      <c r="BD146" s="314" t="str">
        <f>_xlfn.IFNA(VLOOKUP($BC146,Programma!$F$3:$G$1107,2,0),"")</f>
        <v/>
      </c>
      <c r="BE146" s="314" t="str">
        <f>_xlfn.IFNA(VLOOKUP($BC146,Programma!$F$3:$H$1107,3,0),"")</f>
        <v/>
      </c>
      <c r="BF146" s="314" t="str">
        <f>_xlfn.IFNA(VLOOKUP($BC146,Programma!$F$3:$I$1107,4,0),"")</f>
        <v/>
      </c>
      <c r="BG146" s="314" t="str">
        <f>_xlfn.IFNA(VLOOKUP($BC146,Programma!$F$3:$J$1107,5,0),"")</f>
        <v/>
      </c>
      <c r="BH146" s="314" t="str">
        <f>_xlfn.IFNA(VLOOKUP($BC146,Programma!$F$3:$K$1107,6,0),"")</f>
        <v/>
      </c>
      <c r="BI146" s="314" t="str">
        <f>_xlfn.IFNA(VLOOKUP($BC146,Programma!$F$3:$L$1107,7,0),"")</f>
        <v/>
      </c>
      <c r="BJ146" s="314" t="str">
        <f>_xlfn.IFNA(VLOOKUP($BC146,Programma!$F$3:$M$1107,8,0),"")</f>
        <v/>
      </c>
      <c r="BK146" s="314" t="str">
        <f>_xlfn.IFNA(VLOOKUP($BC146,Programma!$F$3:$N$1107,9,0),"")</f>
        <v/>
      </c>
      <c r="BL146" s="314" t="str">
        <f>_xlfn.IFNA(VLOOKUP($BC146,Programma!$F$3:$O$1107,10,0),"")</f>
        <v/>
      </c>
      <c r="BM146" s="314" t="str">
        <f>_xlfn.IFNA(VLOOKUP($BC146,Programma!$F$3:$P$1107,11,0),"")</f>
        <v/>
      </c>
      <c r="BN146" s="314" t="str">
        <f>_xlfn.IFNA(VLOOKUP($BC146,Programma!$F$3:$Q$1107,12,0),"")</f>
        <v/>
      </c>
      <c r="BO146" s="314" t="str">
        <f>_xlfn.IFNA(VLOOKUP($BC146,Programma!$F$3:$R$1107,13,0),"")</f>
        <v/>
      </c>
      <c r="BP146" s="314" t="str">
        <f>_xlfn.IFNA(VLOOKUP($BC146,Programma!$F$3:$S$1107,14,0),"")</f>
        <v/>
      </c>
      <c r="BQ146" s="314" t="str">
        <f>_xlfn.IFNA(VLOOKUP($BC146,Programma!$F$3:$T$1107,15,0),"")</f>
        <v/>
      </c>
      <c r="BR146" s="314" t="str">
        <f>_xlfn.IFNA(VLOOKUP($BC146,Programma!$F$3:$U$1107,16,0),"")</f>
        <v/>
      </c>
      <c r="BS146" s="314" t="str">
        <f>_xlfn.IFNA(VLOOKUP($BC146,Programma!$F$3:$V$1107,17,0),"")</f>
        <v/>
      </c>
      <c r="BT146" s="314" t="str">
        <f>_xlfn.IFNA(VLOOKUP($BC146,Programma!$F$3:$W$1107,18,0),"")</f>
        <v/>
      </c>
      <c r="BU146" s="314" t="str">
        <f>_xlfn.IFNA(VLOOKUP($BC146,Programma!$F$3:$X$1107,19,0),"")</f>
        <v/>
      </c>
      <c r="BV146" s="314" t="str">
        <f>_xlfn.IFNA(VLOOKUP($BC146,Programma!$F$3:$Y$1107,20,0),"")</f>
        <v/>
      </c>
    </row>
    <row r="147" spans="1:74" ht="15" customHeight="1">
      <c r="A147" s="33">
        <v>1</v>
      </c>
      <c r="B147" s="173" t="str">
        <f>VLOOKUP(Ruimtestaat[[#This Row],[Code]],Locaties[[Code]:[Locatie]],2,FALSE)</f>
        <v>CCNV</v>
      </c>
      <c r="C147" s="173" t="str">
        <f>VLOOKUP(Ruimtestaat[[#This Row],[Code]],Locaties[[#All],[Code]:[Adres]],4,FALSE)</f>
        <v>Stationslaan 26</v>
      </c>
      <c r="D147" s="173" t="str">
        <f>VLOOKUP(Ruimtestaat[[#This Row],[Code]],Locaties[[#All],[Code]:[Postcode]],5,FALSE)</f>
        <v>3842 LA</v>
      </c>
      <c r="E147" s="173" t="str">
        <f>VLOOKUP(Ruimtestaat[[#This Row],[Code]],Locaties[#All],6,FALSE)</f>
        <v>Harderwijk</v>
      </c>
      <c r="F147" s="21" t="s">
        <v>1629</v>
      </c>
      <c r="G147" s="33" t="s">
        <v>1614</v>
      </c>
      <c r="H147" s="21" t="s">
        <v>1748</v>
      </c>
      <c r="I147" s="69" t="s">
        <v>1615</v>
      </c>
      <c r="J147" s="21">
        <v>16</v>
      </c>
      <c r="K147" s="69" t="str">
        <f>VLOOKUP(Ruimtestaat[[#This Row],[Ruimte code]],Ruimtegroepen[[#All],[Code]:[Ruimte omschrijving]],2,FALSE)</f>
        <v>Leslokalen</v>
      </c>
      <c r="L147" s="33" t="s">
        <v>101</v>
      </c>
      <c r="M147" s="312" t="s">
        <v>1804</v>
      </c>
      <c r="N147" s="148">
        <v>40</v>
      </c>
      <c r="O147" s="33"/>
      <c r="P147" s="134" t="str">
        <f>VLOOKUP(Ruimtestaat[[#This Row],[Ruimte code]],Ruimtegroepen[],4,FALSE)</f>
        <v>Le</v>
      </c>
      <c r="Q147" s="33">
        <v>40</v>
      </c>
      <c r="R147" s="33" t="s">
        <v>2</v>
      </c>
      <c r="S147" s="33">
        <f>IF(Q147&gt;0,IF(RIGHT(Ruimtestaat[[#This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7" s="33">
        <f>IF(S147&gt;0,VLOOKUP($J147,Ruimtegroepen[],3,FALSE)*VLOOKUP($L147,Vloersoorten[],3,FALSE)*VLOOKUP($R147,Frequenties[],3,FALSE)*VLOOKUP($A147,Locaties[],3,FALSE),0)</f>
        <v>0</v>
      </c>
      <c r="U147" s="33">
        <f>Ruimtestaat[[#This Row],[Uitvoeringen werkdagen]]*Ruimtestaat[[#This Row],[Oppervlak (netto)]]</f>
        <v>8000</v>
      </c>
      <c r="V147" s="170">
        <f>IF(T147&gt;0,Ruimtestaat[[#This Row],[Prest. (m2 /jaar) werkdagen]]/Ruimtestaat[[#This Row],[Norm (m2/uur) werkdagen]],0)</f>
        <v>0</v>
      </c>
      <c r="W147" s="171">
        <f>Ruimtestaat[[#This Row],[uren / jaar werkdagen]]*Tariefsopbouw!$E$35</f>
        <v>0</v>
      </c>
      <c r="X147" s="33"/>
      <c r="Y147" s="33">
        <f>IF(Ruimtestaat[[#This Row],[Frequentie weekend]]&gt;0,VALUE(LEFT(X147,1))*Q147,0)</f>
        <v>0</v>
      </c>
      <c r="Z147" s="104">
        <f>IF($Y147&gt;0,VLOOKUP($J147,Ruimtegroepen[],3,FALSE)*VLOOKUP($L147,Vloersoorten[],3,FALSE)*VLOOKUP($X147,Frequenties[],3,FALSE)*VLOOKUP(Ruimtestaat[[#This Row],[Code]],Locaties[],3,FALSE),0)</f>
        <v>0</v>
      </c>
      <c r="AA147" s="104">
        <f>Ruimtestaat[[#This Row],[Uitvoeringen weekend]]*Ruimtestaat[[#This Row],[Oppervlak (netto)]]</f>
        <v>0</v>
      </c>
      <c r="AB147" s="104">
        <f>IF(Z147&gt;0,Ruimtestaat[[#This Row],[Prest. (m2 /jaar) weekend]]/Ruimtestaat[[#This Row],[Norm (m2/uur) weekend]],0)</f>
        <v>0</v>
      </c>
      <c r="AC147" s="171">
        <f>Ruimtestaat[[#This Row],[uren / jaar weekend]]*Tariefsopbouw!$D$40</f>
        <v>0</v>
      </c>
      <c r="AD147" s="170">
        <f>Ruimtestaat[[#This Row],[Prest. (m2 /jaar) weekend]]+Ruimtestaat[[#This Row],[Prest. (m2 /jaar) werkdagen]]</f>
        <v>8000</v>
      </c>
      <c r="AE147" s="170">
        <f>Ruimtestaat[[#This Row],[uren / jaar weekend]]+Ruimtestaat[[#This Row],[uren / jaar werkdagen]]</f>
        <v>0</v>
      </c>
      <c r="AF147" s="76">
        <f>Ruimtestaat[[#This Row],[kosten / jaar weekend]]+Ruimtestaat[[#This Row],[kosten / jaar werkdagen]]</f>
        <v>0</v>
      </c>
      <c r="AG147" s="76"/>
      <c r="AH147" s="272" t="str">
        <f>IF(Ruimtestaat[[#This Row],[Frequentie werkdagen]]="","",_xlfn.CONCAT(Ruimtestaat[[#This Row],[Ruimte code]],"-",Ruimtestaat[[#This Row],[Frequentie werkdagen]]," ",Ruimtestaat[[#This Row],[Vloer code]]))</f>
        <v>16-5w L</v>
      </c>
      <c r="AI147" s="314" t="str">
        <f>_xlfn.IFNA(VLOOKUP($AH147,Programma!$F$3:$G$1107,2,0),"")</f>
        <v>_</v>
      </c>
      <c r="AJ147" s="314" t="str">
        <f>_xlfn.IFNA(VLOOKUP($AH147,Programma!$F$3:$H$1107,3,0),"")</f>
        <v>_</v>
      </c>
      <c r="AK147" s="314" t="str">
        <f>_xlfn.IFNA(VLOOKUP($AH147,Programma!$F$3:$I$1107,4,0),"")</f>
        <v>4w</v>
      </c>
      <c r="AL147" s="314" t="str">
        <f>_xlfn.IFNA(VLOOKUP($AH147,Programma!$F$3:$J$1107,5,0),"")</f>
        <v>1w</v>
      </c>
      <c r="AM147" s="314" t="str">
        <f>_xlfn.IFNA(VLOOKUP($AH147,Programma!$F$3:$K$1107,6,0),"")</f>
        <v>_</v>
      </c>
      <c r="AN147" s="314" t="str">
        <f>_xlfn.IFNA(VLOOKUP($AH147,Programma!$F$3:$L$1107,7,0),"")</f>
        <v>_</v>
      </c>
      <c r="AO147" s="314" t="str">
        <f>_xlfn.IFNA(VLOOKUP($AH147,Programma!$F$3:$M$1107,8,0),"")</f>
        <v>_</v>
      </c>
      <c r="AP147" s="314" t="str">
        <f>_xlfn.IFNA(VLOOKUP($AH147,Programma!$F$3:$N$1107,9,0),"")</f>
        <v>_</v>
      </c>
      <c r="AQ147" s="314" t="str">
        <f>_xlfn.IFNA(VLOOKUP($AH147,Programma!$F$3:$O$1107,10,0),"")</f>
        <v>5w</v>
      </c>
      <c r="AR147" s="314" t="str">
        <f>_xlfn.IFNA(VLOOKUP($AH147,Programma!$F$3:$P$1107,11,0),"")</f>
        <v>5w</v>
      </c>
      <c r="AS147" s="314" t="str">
        <f>_xlfn.IFNA(VLOOKUP($AH147,Programma!$F$3:$Q$1107,12,0),"")</f>
        <v>1w</v>
      </c>
      <c r="AT147" s="314" t="str">
        <f>_xlfn.IFNA(VLOOKUP($AH147,Programma!$F$3:$R$1107,13,0),"")</f>
        <v>1w</v>
      </c>
      <c r="AU147" s="314" t="str">
        <f>_xlfn.IFNA(VLOOKUP($AH147,Programma!$F$3:$S$1107,14,0),"")</f>
        <v>1m</v>
      </c>
      <c r="AV147" s="314" t="str">
        <f>_xlfn.IFNA(VLOOKUP($AH147,Programma!$F$3:$T$1107,15,0),"")</f>
        <v>2j</v>
      </c>
      <c r="AW147" s="314" t="str">
        <f>_xlfn.IFNA(VLOOKUP($AH147,Programma!$F$3:$U$1107,16,0),"")</f>
        <v>1j</v>
      </c>
      <c r="AX147" s="314" t="str">
        <f>_xlfn.IFNA(VLOOKUP($AH147,Programma!$F$3:$V$1107,17,0),"")</f>
        <v>_</v>
      </c>
      <c r="AY147" s="314" t="str">
        <f>_xlfn.IFNA(VLOOKUP($AH147,Programma!$F$3:$W$1107,18,0),"")</f>
        <v>_</v>
      </c>
      <c r="AZ147" s="314" t="str">
        <f>_xlfn.IFNA(VLOOKUP($AH147,Programma!$F$3:$X$1107,19,0),"")</f>
        <v>_</v>
      </c>
      <c r="BA147" s="314" t="str">
        <f>_xlfn.IFNA(VLOOKUP($AH147,Programma!$F$3:$Y$1107,20,0),"")</f>
        <v>_</v>
      </c>
      <c r="BB147" s="273"/>
      <c r="BC147" s="272" t="str">
        <f>IF(Ruimtestaat[[#This Row],[Frequentie weekend]]="","",_xlfn.CONCAT(Ruimtestaat[[#This Row],[Ruimte code]],"-",Ruimtestaat[[#This Row],[Frequentie weekend]]," ",Ruimtestaat[[#This Row],[Vloer code]]))</f>
        <v/>
      </c>
      <c r="BD147" s="314" t="str">
        <f>_xlfn.IFNA(VLOOKUP($BC147,Programma!$F$3:$G$1107,2,0),"")</f>
        <v/>
      </c>
      <c r="BE147" s="314" t="str">
        <f>_xlfn.IFNA(VLOOKUP($BC147,Programma!$F$3:$H$1107,3,0),"")</f>
        <v/>
      </c>
      <c r="BF147" s="314" t="str">
        <f>_xlfn.IFNA(VLOOKUP($BC147,Programma!$F$3:$I$1107,4,0),"")</f>
        <v/>
      </c>
      <c r="BG147" s="314" t="str">
        <f>_xlfn.IFNA(VLOOKUP($BC147,Programma!$F$3:$J$1107,5,0),"")</f>
        <v/>
      </c>
      <c r="BH147" s="314" t="str">
        <f>_xlfn.IFNA(VLOOKUP($BC147,Programma!$F$3:$K$1107,6,0),"")</f>
        <v/>
      </c>
      <c r="BI147" s="314" t="str">
        <f>_xlfn.IFNA(VLOOKUP($BC147,Programma!$F$3:$L$1107,7,0),"")</f>
        <v/>
      </c>
      <c r="BJ147" s="314" t="str">
        <f>_xlfn.IFNA(VLOOKUP($BC147,Programma!$F$3:$M$1107,8,0),"")</f>
        <v/>
      </c>
      <c r="BK147" s="314" t="str">
        <f>_xlfn.IFNA(VLOOKUP($BC147,Programma!$F$3:$N$1107,9,0),"")</f>
        <v/>
      </c>
      <c r="BL147" s="314" t="str">
        <f>_xlfn.IFNA(VLOOKUP($BC147,Programma!$F$3:$O$1107,10,0),"")</f>
        <v/>
      </c>
      <c r="BM147" s="314" t="str">
        <f>_xlfn.IFNA(VLOOKUP($BC147,Programma!$F$3:$P$1107,11,0),"")</f>
        <v/>
      </c>
      <c r="BN147" s="314" t="str">
        <f>_xlfn.IFNA(VLOOKUP($BC147,Programma!$F$3:$Q$1107,12,0),"")</f>
        <v/>
      </c>
      <c r="BO147" s="314" t="str">
        <f>_xlfn.IFNA(VLOOKUP($BC147,Programma!$F$3:$R$1107,13,0),"")</f>
        <v/>
      </c>
      <c r="BP147" s="314" t="str">
        <f>_xlfn.IFNA(VLOOKUP($BC147,Programma!$F$3:$S$1107,14,0),"")</f>
        <v/>
      </c>
      <c r="BQ147" s="314" t="str">
        <f>_xlfn.IFNA(VLOOKUP($BC147,Programma!$F$3:$T$1107,15,0),"")</f>
        <v/>
      </c>
      <c r="BR147" s="314" t="str">
        <f>_xlfn.IFNA(VLOOKUP($BC147,Programma!$F$3:$U$1107,16,0),"")</f>
        <v/>
      </c>
      <c r="BS147" s="314" t="str">
        <f>_xlfn.IFNA(VLOOKUP($BC147,Programma!$F$3:$V$1107,17,0),"")</f>
        <v/>
      </c>
      <c r="BT147" s="314" t="str">
        <f>_xlfn.IFNA(VLOOKUP($BC147,Programma!$F$3:$W$1107,18,0),"")</f>
        <v/>
      </c>
      <c r="BU147" s="314" t="str">
        <f>_xlfn.IFNA(VLOOKUP($BC147,Programma!$F$3:$X$1107,19,0),"")</f>
        <v/>
      </c>
      <c r="BV147" s="314" t="str">
        <f>_xlfn.IFNA(VLOOKUP($BC147,Programma!$F$3:$Y$1107,20,0),"")</f>
        <v/>
      </c>
    </row>
    <row r="148" spans="1:74" ht="15" customHeight="1">
      <c r="A148" s="33">
        <v>1</v>
      </c>
      <c r="B148" s="173" t="str">
        <f>VLOOKUP(Ruimtestaat[[#This Row],[Code]],Locaties[[Code]:[Locatie]],2,FALSE)</f>
        <v>CCNV</v>
      </c>
      <c r="C148" s="173" t="str">
        <f>VLOOKUP(Ruimtestaat[[#This Row],[Code]],Locaties[[#All],[Code]:[Adres]],4,FALSE)</f>
        <v>Stationslaan 26</v>
      </c>
      <c r="D148" s="173" t="str">
        <f>VLOOKUP(Ruimtestaat[[#This Row],[Code]],Locaties[[#All],[Code]:[Postcode]],5,FALSE)</f>
        <v>3842 LA</v>
      </c>
      <c r="E148" s="173" t="str">
        <f>VLOOKUP(Ruimtestaat[[#This Row],[Code]],Locaties[#All],6,FALSE)</f>
        <v>Harderwijk</v>
      </c>
      <c r="F148" s="21" t="s">
        <v>1629</v>
      </c>
      <c r="G148" s="33" t="s">
        <v>1614</v>
      </c>
      <c r="H148" s="21" t="s">
        <v>1749</v>
      </c>
      <c r="I148" s="69" t="s">
        <v>1615</v>
      </c>
      <c r="J148" s="21">
        <v>16</v>
      </c>
      <c r="K148" s="69" t="str">
        <f>VLOOKUP(Ruimtestaat[[#This Row],[Ruimte code]],Ruimtegroepen[[#All],[Code]:[Ruimte omschrijving]],2,FALSE)</f>
        <v>Leslokalen</v>
      </c>
      <c r="L148" s="33" t="s">
        <v>101</v>
      </c>
      <c r="M148" s="312" t="s">
        <v>1804</v>
      </c>
      <c r="N148" s="148">
        <v>15</v>
      </c>
      <c r="O148" s="150"/>
      <c r="P148" s="134" t="str">
        <f>VLOOKUP(Ruimtestaat[[#This Row],[Ruimte code]],Ruimtegroepen[],4,FALSE)</f>
        <v>Le</v>
      </c>
      <c r="Q148" s="33">
        <v>40</v>
      </c>
      <c r="R148" s="33" t="s">
        <v>2</v>
      </c>
      <c r="S148" s="33">
        <f>IF(Q148&gt;0,IF(RIGHT(Ruimtestaat[[#This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8" s="33">
        <f>IF(S148&gt;0,VLOOKUP($J148,Ruimtegroepen[],3,FALSE)*VLOOKUP($L148,Vloersoorten[],3,FALSE)*VLOOKUP($R148,Frequenties[],3,FALSE)*VLOOKUP($A148,Locaties[],3,FALSE),0)</f>
        <v>0</v>
      </c>
      <c r="U148" s="33">
        <f>Ruimtestaat[[#This Row],[Uitvoeringen werkdagen]]*Ruimtestaat[[#This Row],[Oppervlak (netto)]]</f>
        <v>3000</v>
      </c>
      <c r="V148" s="170">
        <f>IF(T148&gt;0,Ruimtestaat[[#This Row],[Prest. (m2 /jaar) werkdagen]]/Ruimtestaat[[#This Row],[Norm (m2/uur) werkdagen]],0)</f>
        <v>0</v>
      </c>
      <c r="W148" s="171">
        <f>Ruimtestaat[[#This Row],[uren / jaar werkdagen]]*Tariefsopbouw!$E$35</f>
        <v>0</v>
      </c>
      <c r="X148" s="33"/>
      <c r="Y148" s="33">
        <f>IF(Ruimtestaat[[#This Row],[Frequentie weekend]]&gt;0,VALUE(LEFT(X148,1))*Q148,0)</f>
        <v>0</v>
      </c>
      <c r="Z148" s="104">
        <f>IF($Y148&gt;0,VLOOKUP($J148,Ruimtegroepen[],3,FALSE)*VLOOKUP($L148,Vloersoorten[],3,FALSE)*VLOOKUP($X148,Frequenties[],3,FALSE)*VLOOKUP(Ruimtestaat[[#This Row],[Code]],Locaties[],3,FALSE),0)</f>
        <v>0</v>
      </c>
      <c r="AA148" s="104">
        <f>Ruimtestaat[[#This Row],[Uitvoeringen weekend]]*Ruimtestaat[[#This Row],[Oppervlak (netto)]]</f>
        <v>0</v>
      </c>
      <c r="AB148" s="104">
        <f>IF(Z148&gt;0,Ruimtestaat[[#This Row],[Prest. (m2 /jaar) weekend]]/Ruimtestaat[[#This Row],[Norm (m2/uur) weekend]],0)</f>
        <v>0</v>
      </c>
      <c r="AC148" s="171">
        <f>Ruimtestaat[[#This Row],[uren / jaar weekend]]*Tariefsopbouw!$D$40</f>
        <v>0</v>
      </c>
      <c r="AD148" s="170">
        <f>Ruimtestaat[[#This Row],[Prest. (m2 /jaar) weekend]]+Ruimtestaat[[#This Row],[Prest. (m2 /jaar) werkdagen]]</f>
        <v>3000</v>
      </c>
      <c r="AE148" s="170">
        <f>Ruimtestaat[[#This Row],[uren / jaar weekend]]+Ruimtestaat[[#This Row],[uren / jaar werkdagen]]</f>
        <v>0</v>
      </c>
      <c r="AF148" s="76">
        <f>Ruimtestaat[[#This Row],[kosten / jaar weekend]]+Ruimtestaat[[#This Row],[kosten / jaar werkdagen]]</f>
        <v>0</v>
      </c>
      <c r="AG148" s="76"/>
      <c r="AH148" s="272" t="str">
        <f>IF(Ruimtestaat[[#This Row],[Frequentie werkdagen]]="","",_xlfn.CONCAT(Ruimtestaat[[#This Row],[Ruimte code]],"-",Ruimtestaat[[#This Row],[Frequentie werkdagen]]," ",Ruimtestaat[[#This Row],[Vloer code]]))</f>
        <v>16-5w L</v>
      </c>
      <c r="AI148" s="314" t="str">
        <f>_xlfn.IFNA(VLOOKUP($AH148,Programma!$F$3:$G$1107,2,0),"")</f>
        <v>_</v>
      </c>
      <c r="AJ148" s="314" t="str">
        <f>_xlfn.IFNA(VLOOKUP($AH148,Programma!$F$3:$H$1107,3,0),"")</f>
        <v>_</v>
      </c>
      <c r="AK148" s="314" t="str">
        <f>_xlfn.IFNA(VLOOKUP($AH148,Programma!$F$3:$I$1107,4,0),"")</f>
        <v>4w</v>
      </c>
      <c r="AL148" s="314" t="str">
        <f>_xlfn.IFNA(VLOOKUP($AH148,Programma!$F$3:$J$1107,5,0),"")</f>
        <v>1w</v>
      </c>
      <c r="AM148" s="314" t="str">
        <f>_xlfn.IFNA(VLOOKUP($AH148,Programma!$F$3:$K$1107,6,0),"")</f>
        <v>_</v>
      </c>
      <c r="AN148" s="314" t="str">
        <f>_xlfn.IFNA(VLOOKUP($AH148,Programma!$F$3:$L$1107,7,0),"")</f>
        <v>_</v>
      </c>
      <c r="AO148" s="314" t="str">
        <f>_xlfn.IFNA(VLOOKUP($AH148,Programma!$F$3:$M$1107,8,0),"")</f>
        <v>_</v>
      </c>
      <c r="AP148" s="314" t="str">
        <f>_xlfn.IFNA(VLOOKUP($AH148,Programma!$F$3:$N$1107,9,0),"")</f>
        <v>_</v>
      </c>
      <c r="AQ148" s="314" t="str">
        <f>_xlfn.IFNA(VLOOKUP($AH148,Programma!$F$3:$O$1107,10,0),"")</f>
        <v>5w</v>
      </c>
      <c r="AR148" s="314" t="str">
        <f>_xlfn.IFNA(VLOOKUP($AH148,Programma!$F$3:$P$1107,11,0),"")</f>
        <v>5w</v>
      </c>
      <c r="AS148" s="314" t="str">
        <f>_xlfn.IFNA(VLOOKUP($AH148,Programma!$F$3:$Q$1107,12,0),"")</f>
        <v>1w</v>
      </c>
      <c r="AT148" s="314" t="str">
        <f>_xlfn.IFNA(VLOOKUP($AH148,Programma!$F$3:$R$1107,13,0),"")</f>
        <v>1w</v>
      </c>
      <c r="AU148" s="314" t="str">
        <f>_xlfn.IFNA(VLOOKUP($AH148,Programma!$F$3:$S$1107,14,0),"")</f>
        <v>1m</v>
      </c>
      <c r="AV148" s="314" t="str">
        <f>_xlfn.IFNA(VLOOKUP($AH148,Programma!$F$3:$T$1107,15,0),"")</f>
        <v>2j</v>
      </c>
      <c r="AW148" s="314" t="str">
        <f>_xlfn.IFNA(VLOOKUP($AH148,Programma!$F$3:$U$1107,16,0),"")</f>
        <v>1j</v>
      </c>
      <c r="AX148" s="314" t="str">
        <f>_xlfn.IFNA(VLOOKUP($AH148,Programma!$F$3:$V$1107,17,0),"")</f>
        <v>_</v>
      </c>
      <c r="AY148" s="314" t="str">
        <f>_xlfn.IFNA(VLOOKUP($AH148,Programma!$F$3:$W$1107,18,0),"")</f>
        <v>_</v>
      </c>
      <c r="AZ148" s="314" t="str">
        <f>_xlfn.IFNA(VLOOKUP($AH148,Programma!$F$3:$X$1107,19,0),"")</f>
        <v>_</v>
      </c>
      <c r="BA148" s="314" t="str">
        <f>_xlfn.IFNA(VLOOKUP($AH148,Programma!$F$3:$Y$1107,20,0),"")</f>
        <v>_</v>
      </c>
      <c r="BB148" s="273"/>
      <c r="BC148" s="272" t="str">
        <f>IF(Ruimtestaat[[#This Row],[Frequentie weekend]]="","",_xlfn.CONCAT(Ruimtestaat[[#This Row],[Ruimte code]],"-",Ruimtestaat[[#This Row],[Frequentie weekend]]," ",Ruimtestaat[[#This Row],[Vloer code]]))</f>
        <v/>
      </c>
      <c r="BD148" s="314" t="str">
        <f>_xlfn.IFNA(VLOOKUP($BC148,Programma!$F$3:$G$1107,2,0),"")</f>
        <v/>
      </c>
      <c r="BE148" s="314" t="str">
        <f>_xlfn.IFNA(VLOOKUP($BC148,Programma!$F$3:$H$1107,3,0),"")</f>
        <v/>
      </c>
      <c r="BF148" s="314" t="str">
        <f>_xlfn.IFNA(VLOOKUP($BC148,Programma!$F$3:$I$1107,4,0),"")</f>
        <v/>
      </c>
      <c r="BG148" s="314" t="str">
        <f>_xlfn.IFNA(VLOOKUP($BC148,Programma!$F$3:$J$1107,5,0),"")</f>
        <v/>
      </c>
      <c r="BH148" s="314" t="str">
        <f>_xlfn.IFNA(VLOOKUP($BC148,Programma!$F$3:$K$1107,6,0),"")</f>
        <v/>
      </c>
      <c r="BI148" s="314" t="str">
        <f>_xlfn.IFNA(VLOOKUP($BC148,Programma!$F$3:$L$1107,7,0),"")</f>
        <v/>
      </c>
      <c r="BJ148" s="314" t="str">
        <f>_xlfn.IFNA(VLOOKUP($BC148,Programma!$F$3:$M$1107,8,0),"")</f>
        <v/>
      </c>
      <c r="BK148" s="314" t="str">
        <f>_xlfn.IFNA(VLOOKUP($BC148,Programma!$F$3:$N$1107,9,0),"")</f>
        <v/>
      </c>
      <c r="BL148" s="314" t="str">
        <f>_xlfn.IFNA(VLOOKUP($BC148,Programma!$F$3:$O$1107,10,0),"")</f>
        <v/>
      </c>
      <c r="BM148" s="314" t="str">
        <f>_xlfn.IFNA(VLOOKUP($BC148,Programma!$F$3:$P$1107,11,0),"")</f>
        <v/>
      </c>
      <c r="BN148" s="314" t="str">
        <f>_xlfn.IFNA(VLOOKUP($BC148,Programma!$F$3:$Q$1107,12,0),"")</f>
        <v/>
      </c>
      <c r="BO148" s="314" t="str">
        <f>_xlfn.IFNA(VLOOKUP($BC148,Programma!$F$3:$R$1107,13,0),"")</f>
        <v/>
      </c>
      <c r="BP148" s="314" t="str">
        <f>_xlfn.IFNA(VLOOKUP($BC148,Programma!$F$3:$S$1107,14,0),"")</f>
        <v/>
      </c>
      <c r="BQ148" s="314" t="str">
        <f>_xlfn.IFNA(VLOOKUP($BC148,Programma!$F$3:$T$1107,15,0),"")</f>
        <v/>
      </c>
      <c r="BR148" s="314" t="str">
        <f>_xlfn.IFNA(VLOOKUP($BC148,Programma!$F$3:$U$1107,16,0),"")</f>
        <v/>
      </c>
      <c r="BS148" s="314" t="str">
        <f>_xlfn.IFNA(VLOOKUP($BC148,Programma!$F$3:$V$1107,17,0),"")</f>
        <v/>
      </c>
      <c r="BT148" s="314" t="str">
        <f>_xlfn.IFNA(VLOOKUP($BC148,Programma!$F$3:$W$1107,18,0),"")</f>
        <v/>
      </c>
      <c r="BU148" s="314" t="str">
        <f>_xlfn.IFNA(VLOOKUP($BC148,Programma!$F$3:$X$1107,19,0),"")</f>
        <v/>
      </c>
      <c r="BV148" s="314" t="str">
        <f>_xlfn.IFNA(VLOOKUP($BC148,Programma!$F$3:$Y$1107,20,0),"")</f>
        <v/>
      </c>
    </row>
    <row r="149" spans="1:74" ht="15" customHeight="1">
      <c r="A149" s="33">
        <v>1</v>
      </c>
      <c r="B149" s="173" t="str">
        <f>VLOOKUP(Ruimtestaat[[#This Row],[Code]],Locaties[[Code]:[Locatie]],2,FALSE)</f>
        <v>CCNV</v>
      </c>
      <c r="C149" s="173" t="str">
        <f>VLOOKUP(Ruimtestaat[[#This Row],[Code]],Locaties[[#All],[Code]:[Adres]],4,FALSE)</f>
        <v>Stationslaan 26</v>
      </c>
      <c r="D149" s="173" t="str">
        <f>VLOOKUP(Ruimtestaat[[#This Row],[Code]],Locaties[[#All],[Code]:[Postcode]],5,FALSE)</f>
        <v>3842 LA</v>
      </c>
      <c r="E149" s="173" t="str">
        <f>VLOOKUP(Ruimtestaat[[#This Row],[Code]],Locaties[#All],6,FALSE)</f>
        <v>Harderwijk</v>
      </c>
      <c r="F149" s="21" t="s">
        <v>1629</v>
      </c>
      <c r="G149" s="33" t="s">
        <v>1614</v>
      </c>
      <c r="H149" s="21" t="s">
        <v>1750</v>
      </c>
      <c r="I149" s="69" t="s">
        <v>1783</v>
      </c>
      <c r="J149" s="21">
        <v>2</v>
      </c>
      <c r="K149" s="69" t="str">
        <f>VLOOKUP(Ruimtestaat[[#This Row],[Ruimte code]],Ruimtegroepen[[#All],[Code]:[Ruimte omschrijving]],2,FALSE)</f>
        <v>Kantoren</v>
      </c>
      <c r="L149" s="33" t="s">
        <v>101</v>
      </c>
      <c r="M149" s="312" t="s">
        <v>1804</v>
      </c>
      <c r="N149" s="148">
        <v>7</v>
      </c>
      <c r="O149" s="150"/>
      <c r="P149" s="134" t="str">
        <f>VLOOKUP(Ruimtestaat[[#This Row],[Ruimte code]],Ruimtegroepen[],4,FALSE)</f>
        <v>Bu</v>
      </c>
      <c r="Q149" s="33">
        <v>40</v>
      </c>
      <c r="R149" s="33" t="s">
        <v>15</v>
      </c>
      <c r="S149" s="33">
        <f>IF(Q149&gt;0,IF(RIGHT(Ruimtestaat[[#This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49" s="33">
        <f>IF(S149&gt;0,VLOOKUP($J149,Ruimtegroepen[],3,FALSE)*VLOOKUP($L149,Vloersoorten[],3,FALSE)*VLOOKUP($R149,Frequenties[],3,FALSE)*VLOOKUP($A149,Locaties[],3,FALSE),0)</f>
        <v>0</v>
      </c>
      <c r="U149" s="33">
        <f>Ruimtestaat[[#This Row],[Uitvoeringen werkdagen]]*Ruimtestaat[[#This Row],[Oppervlak (netto)]]</f>
        <v>280</v>
      </c>
      <c r="V149" s="170">
        <f>IF(T149&gt;0,Ruimtestaat[[#This Row],[Prest. (m2 /jaar) werkdagen]]/Ruimtestaat[[#This Row],[Norm (m2/uur) werkdagen]],0)</f>
        <v>0</v>
      </c>
      <c r="W149" s="171">
        <f>Ruimtestaat[[#This Row],[uren / jaar werkdagen]]*Tariefsopbouw!$E$35</f>
        <v>0</v>
      </c>
      <c r="X149" s="33"/>
      <c r="Y149" s="33">
        <f>IF(Ruimtestaat[[#This Row],[Frequentie weekend]]&gt;0,VALUE(LEFT(X149,1))*Q149,0)</f>
        <v>0</v>
      </c>
      <c r="Z149" s="104">
        <f>IF($Y149&gt;0,VLOOKUP($J149,Ruimtegroepen[],3,FALSE)*VLOOKUP($L149,Vloersoorten[],3,FALSE)*VLOOKUP($X149,Frequenties[],3,FALSE)*VLOOKUP(Ruimtestaat[[#This Row],[Code]],Locaties[],3,FALSE),0)</f>
        <v>0</v>
      </c>
      <c r="AA149" s="104">
        <f>Ruimtestaat[[#This Row],[Uitvoeringen weekend]]*Ruimtestaat[[#This Row],[Oppervlak (netto)]]</f>
        <v>0</v>
      </c>
      <c r="AB149" s="104">
        <f>IF(Z149&gt;0,Ruimtestaat[[#This Row],[Prest. (m2 /jaar) weekend]]/Ruimtestaat[[#This Row],[Norm (m2/uur) weekend]],0)</f>
        <v>0</v>
      </c>
      <c r="AC149" s="171">
        <f>Ruimtestaat[[#This Row],[uren / jaar weekend]]*Tariefsopbouw!$D$40</f>
        <v>0</v>
      </c>
      <c r="AD149" s="170">
        <f>Ruimtestaat[[#This Row],[Prest. (m2 /jaar) weekend]]+Ruimtestaat[[#This Row],[Prest. (m2 /jaar) werkdagen]]</f>
        <v>280</v>
      </c>
      <c r="AE149" s="170">
        <f>Ruimtestaat[[#This Row],[uren / jaar weekend]]+Ruimtestaat[[#This Row],[uren / jaar werkdagen]]</f>
        <v>0</v>
      </c>
      <c r="AF149" s="76">
        <f>Ruimtestaat[[#This Row],[kosten / jaar weekend]]+Ruimtestaat[[#This Row],[kosten / jaar werkdagen]]</f>
        <v>0</v>
      </c>
      <c r="AG149" s="76"/>
      <c r="AH149" s="272" t="str">
        <f>IF(Ruimtestaat[[#This Row],[Frequentie werkdagen]]="","",_xlfn.CONCAT(Ruimtestaat[[#This Row],[Ruimte code]],"-",Ruimtestaat[[#This Row],[Frequentie werkdagen]]," ",Ruimtestaat[[#This Row],[Vloer code]]))</f>
        <v>2-1w L</v>
      </c>
      <c r="AI149" s="314" t="str">
        <f>_xlfn.IFNA(VLOOKUP($AH149,Programma!$F$3:$G$1107,2,0),"")</f>
        <v>_</v>
      </c>
      <c r="AJ149" s="314" t="str">
        <f>_xlfn.IFNA(VLOOKUP($AH149,Programma!$F$3:$H$1107,3,0),"")</f>
        <v>_</v>
      </c>
      <c r="AK149" s="314" t="str">
        <f>_xlfn.IFNA(VLOOKUP($AH149,Programma!$F$3:$I$1107,4,0),"")</f>
        <v>_</v>
      </c>
      <c r="AL149" s="314" t="str">
        <f>_xlfn.IFNA(VLOOKUP($AH149,Programma!$F$3:$J$1107,5,0),"")</f>
        <v>1w</v>
      </c>
      <c r="AM149" s="314" t="str">
        <f>_xlfn.IFNA(VLOOKUP($AH149,Programma!$F$3:$K$1107,6,0),"")</f>
        <v>_</v>
      </c>
      <c r="AN149" s="314" t="str">
        <f>_xlfn.IFNA(VLOOKUP($AH149,Programma!$F$3:$L$1107,7,0),"")</f>
        <v>_</v>
      </c>
      <c r="AO149" s="314" t="str">
        <f>_xlfn.IFNA(VLOOKUP($AH149,Programma!$F$3:$M$1107,8,0),"")</f>
        <v>_</v>
      </c>
      <c r="AP149" s="314" t="str">
        <f>_xlfn.IFNA(VLOOKUP($AH149,Programma!$F$3:$N$1107,9,0),"")</f>
        <v>_</v>
      </c>
      <c r="AQ149" s="314" t="str">
        <f>_xlfn.IFNA(VLOOKUP($AH149,Programma!$F$3:$O$1107,10,0),"")</f>
        <v>1w</v>
      </c>
      <c r="AR149" s="314" t="str">
        <f>_xlfn.IFNA(VLOOKUP($AH149,Programma!$F$3:$P$1107,11,0),"")</f>
        <v>1w</v>
      </c>
      <c r="AS149" s="314" t="str">
        <f>_xlfn.IFNA(VLOOKUP($AH149,Programma!$F$3:$Q$1107,12,0),"")</f>
        <v>1w</v>
      </c>
      <c r="AT149" s="314" t="str">
        <f>_xlfn.IFNA(VLOOKUP($AH149,Programma!$F$3:$R$1107,13,0),"")</f>
        <v>1w</v>
      </c>
      <c r="AU149" s="314" t="str">
        <f>_xlfn.IFNA(VLOOKUP($AH149,Programma!$F$3:$S$1107,14,0),"")</f>
        <v>1m</v>
      </c>
      <c r="AV149" s="314" t="str">
        <f>_xlfn.IFNA(VLOOKUP($AH149,Programma!$F$3:$T$1107,15,0),"")</f>
        <v>2j</v>
      </c>
      <c r="AW149" s="314" t="str">
        <f>_xlfn.IFNA(VLOOKUP($AH149,Programma!$F$3:$U$1107,16,0),"")</f>
        <v>1j</v>
      </c>
      <c r="AX149" s="314" t="str">
        <f>_xlfn.IFNA(VLOOKUP($AH149,Programma!$F$3:$V$1107,17,0),"")</f>
        <v>_</v>
      </c>
      <c r="AY149" s="314" t="str">
        <f>_xlfn.IFNA(VLOOKUP($AH149,Programma!$F$3:$W$1107,18,0),"")</f>
        <v>_</v>
      </c>
      <c r="AZ149" s="314" t="str">
        <f>_xlfn.IFNA(VLOOKUP($AH149,Programma!$F$3:$X$1107,19,0),"")</f>
        <v>_</v>
      </c>
      <c r="BA149" s="314" t="str">
        <f>_xlfn.IFNA(VLOOKUP($AH149,Programma!$F$3:$Y$1107,20,0),"")</f>
        <v>_</v>
      </c>
      <c r="BB149" s="273"/>
      <c r="BC149" s="272" t="str">
        <f>IF(Ruimtestaat[[#This Row],[Frequentie weekend]]="","",_xlfn.CONCAT(Ruimtestaat[[#This Row],[Ruimte code]],"-",Ruimtestaat[[#This Row],[Frequentie weekend]]," ",Ruimtestaat[[#This Row],[Vloer code]]))</f>
        <v/>
      </c>
      <c r="BD149" s="314" t="str">
        <f>_xlfn.IFNA(VLOOKUP($BC149,Programma!$F$3:$G$1107,2,0),"")</f>
        <v/>
      </c>
      <c r="BE149" s="314" t="str">
        <f>_xlfn.IFNA(VLOOKUP($BC149,Programma!$F$3:$H$1107,3,0),"")</f>
        <v/>
      </c>
      <c r="BF149" s="314" t="str">
        <f>_xlfn.IFNA(VLOOKUP($BC149,Programma!$F$3:$I$1107,4,0),"")</f>
        <v/>
      </c>
      <c r="BG149" s="314" t="str">
        <f>_xlfn.IFNA(VLOOKUP($BC149,Programma!$F$3:$J$1107,5,0),"")</f>
        <v/>
      </c>
      <c r="BH149" s="314" t="str">
        <f>_xlfn.IFNA(VLOOKUP($BC149,Programma!$F$3:$K$1107,6,0),"")</f>
        <v/>
      </c>
      <c r="BI149" s="314" t="str">
        <f>_xlfn.IFNA(VLOOKUP($BC149,Programma!$F$3:$L$1107,7,0),"")</f>
        <v/>
      </c>
      <c r="BJ149" s="314" t="str">
        <f>_xlfn.IFNA(VLOOKUP($BC149,Programma!$F$3:$M$1107,8,0),"")</f>
        <v/>
      </c>
      <c r="BK149" s="314" t="str">
        <f>_xlfn.IFNA(VLOOKUP($BC149,Programma!$F$3:$N$1107,9,0),"")</f>
        <v/>
      </c>
      <c r="BL149" s="314" t="str">
        <f>_xlfn.IFNA(VLOOKUP($BC149,Programma!$F$3:$O$1107,10,0),"")</f>
        <v/>
      </c>
      <c r="BM149" s="314" t="str">
        <f>_xlfn.IFNA(VLOOKUP($BC149,Programma!$F$3:$P$1107,11,0),"")</f>
        <v/>
      </c>
      <c r="BN149" s="314" t="str">
        <f>_xlfn.IFNA(VLOOKUP($BC149,Programma!$F$3:$Q$1107,12,0),"")</f>
        <v/>
      </c>
      <c r="BO149" s="314" t="str">
        <f>_xlfn.IFNA(VLOOKUP($BC149,Programma!$F$3:$R$1107,13,0),"")</f>
        <v/>
      </c>
      <c r="BP149" s="314" t="str">
        <f>_xlfn.IFNA(VLOOKUP($BC149,Programma!$F$3:$S$1107,14,0),"")</f>
        <v/>
      </c>
      <c r="BQ149" s="314" t="str">
        <f>_xlfn.IFNA(VLOOKUP($BC149,Programma!$F$3:$T$1107,15,0),"")</f>
        <v/>
      </c>
      <c r="BR149" s="314" t="str">
        <f>_xlfn.IFNA(VLOOKUP($BC149,Programma!$F$3:$U$1107,16,0),"")</f>
        <v/>
      </c>
      <c r="BS149" s="314" t="str">
        <f>_xlfn.IFNA(VLOOKUP($BC149,Programma!$F$3:$V$1107,17,0),"")</f>
        <v/>
      </c>
      <c r="BT149" s="314" t="str">
        <f>_xlfn.IFNA(VLOOKUP($BC149,Programma!$F$3:$W$1107,18,0),"")</f>
        <v/>
      </c>
      <c r="BU149" s="314" t="str">
        <f>_xlfn.IFNA(VLOOKUP($BC149,Programma!$F$3:$X$1107,19,0),"")</f>
        <v/>
      </c>
      <c r="BV149" s="314" t="str">
        <f>_xlfn.IFNA(VLOOKUP($BC149,Programma!$F$3:$Y$1107,20,0),"")</f>
        <v/>
      </c>
    </row>
    <row r="150" spans="1:74" ht="15" customHeight="1">
      <c r="A150" s="33">
        <v>1</v>
      </c>
      <c r="B150" s="173" t="str">
        <f>VLOOKUP(Ruimtestaat[[#This Row],[Code]],Locaties[[Code]:[Locatie]],2,FALSE)</f>
        <v>CCNV</v>
      </c>
      <c r="C150" s="173" t="str">
        <f>VLOOKUP(Ruimtestaat[[#This Row],[Code]],Locaties[[#All],[Code]:[Adres]],4,FALSE)</f>
        <v>Stationslaan 26</v>
      </c>
      <c r="D150" s="173" t="str">
        <f>VLOOKUP(Ruimtestaat[[#This Row],[Code]],Locaties[[#All],[Code]:[Postcode]],5,FALSE)</f>
        <v>3842 LA</v>
      </c>
      <c r="E150" s="173" t="str">
        <f>VLOOKUP(Ruimtestaat[[#This Row],[Code]],Locaties[#All],6,FALSE)</f>
        <v>Harderwijk</v>
      </c>
      <c r="F150" s="21" t="s">
        <v>1629</v>
      </c>
      <c r="G150" s="33" t="s">
        <v>1614</v>
      </c>
      <c r="H150" s="21" t="s">
        <v>1751</v>
      </c>
      <c r="I150" s="69" t="s">
        <v>1615</v>
      </c>
      <c r="J150" s="21">
        <v>16</v>
      </c>
      <c r="K150" s="69" t="str">
        <f>VLOOKUP(Ruimtestaat[[#This Row],[Ruimte code]],Ruimtegroepen[[#All],[Code]:[Ruimte omschrijving]],2,FALSE)</f>
        <v>Leslokalen</v>
      </c>
      <c r="L150" s="33" t="s">
        <v>101</v>
      </c>
      <c r="M150" s="312" t="s">
        <v>1804</v>
      </c>
      <c r="N150" s="148">
        <v>12</v>
      </c>
      <c r="O150" s="33"/>
      <c r="P150" s="134" t="str">
        <f>VLOOKUP(Ruimtestaat[[#This Row],[Ruimte code]],Ruimtegroepen[],4,FALSE)</f>
        <v>Le</v>
      </c>
      <c r="Q150" s="33">
        <v>40</v>
      </c>
      <c r="R150" s="33" t="s">
        <v>2</v>
      </c>
      <c r="S150" s="33">
        <f>IF(Q150&gt;0,IF(RIGHT(Ruimtestaat[[#This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0" s="33">
        <f>IF(S150&gt;0,VLOOKUP($J150,Ruimtegroepen[],3,FALSE)*VLOOKUP($L150,Vloersoorten[],3,FALSE)*VLOOKUP($R150,Frequenties[],3,FALSE)*VLOOKUP($A150,Locaties[],3,FALSE),0)</f>
        <v>0</v>
      </c>
      <c r="U150" s="33">
        <f>Ruimtestaat[[#This Row],[Uitvoeringen werkdagen]]*Ruimtestaat[[#This Row],[Oppervlak (netto)]]</f>
        <v>2400</v>
      </c>
      <c r="V150" s="170">
        <f>IF(T150&gt;0,Ruimtestaat[[#This Row],[Prest. (m2 /jaar) werkdagen]]/Ruimtestaat[[#This Row],[Norm (m2/uur) werkdagen]],0)</f>
        <v>0</v>
      </c>
      <c r="W150" s="171">
        <f>Ruimtestaat[[#This Row],[uren / jaar werkdagen]]*Tariefsopbouw!$E$35</f>
        <v>0</v>
      </c>
      <c r="X150" s="33"/>
      <c r="Y150" s="33">
        <f>IF(Ruimtestaat[[#This Row],[Frequentie weekend]]&gt;0,VALUE(LEFT(X150,1))*Q150,0)</f>
        <v>0</v>
      </c>
      <c r="Z150" s="104">
        <f>IF($Y150&gt;0,VLOOKUP($J150,Ruimtegroepen[],3,FALSE)*VLOOKUP($L150,Vloersoorten[],3,FALSE)*VLOOKUP($X150,Frequenties[],3,FALSE)*VLOOKUP(Ruimtestaat[[#This Row],[Code]],Locaties[],3,FALSE),0)</f>
        <v>0</v>
      </c>
      <c r="AA150" s="104">
        <f>Ruimtestaat[[#This Row],[Uitvoeringen weekend]]*Ruimtestaat[[#This Row],[Oppervlak (netto)]]</f>
        <v>0</v>
      </c>
      <c r="AB150" s="104">
        <f>IF(Z150&gt;0,Ruimtestaat[[#This Row],[Prest. (m2 /jaar) weekend]]/Ruimtestaat[[#This Row],[Norm (m2/uur) weekend]],0)</f>
        <v>0</v>
      </c>
      <c r="AC150" s="171">
        <f>Ruimtestaat[[#This Row],[uren / jaar weekend]]*Tariefsopbouw!$D$40</f>
        <v>0</v>
      </c>
      <c r="AD150" s="170">
        <f>Ruimtestaat[[#This Row],[Prest. (m2 /jaar) weekend]]+Ruimtestaat[[#This Row],[Prest. (m2 /jaar) werkdagen]]</f>
        <v>2400</v>
      </c>
      <c r="AE150" s="170">
        <f>Ruimtestaat[[#This Row],[uren / jaar weekend]]+Ruimtestaat[[#This Row],[uren / jaar werkdagen]]</f>
        <v>0</v>
      </c>
      <c r="AF150" s="76">
        <f>Ruimtestaat[[#This Row],[kosten / jaar weekend]]+Ruimtestaat[[#This Row],[kosten / jaar werkdagen]]</f>
        <v>0</v>
      </c>
      <c r="AG150" s="76"/>
      <c r="AH150" s="272" t="str">
        <f>IF(Ruimtestaat[[#This Row],[Frequentie werkdagen]]="","",_xlfn.CONCAT(Ruimtestaat[[#This Row],[Ruimte code]],"-",Ruimtestaat[[#This Row],[Frequentie werkdagen]]," ",Ruimtestaat[[#This Row],[Vloer code]]))</f>
        <v>16-5w L</v>
      </c>
      <c r="AI150" s="314" t="str">
        <f>_xlfn.IFNA(VLOOKUP($AH150,Programma!$F$3:$G$1107,2,0),"")</f>
        <v>_</v>
      </c>
      <c r="AJ150" s="314" t="str">
        <f>_xlfn.IFNA(VLOOKUP($AH150,Programma!$F$3:$H$1107,3,0),"")</f>
        <v>_</v>
      </c>
      <c r="AK150" s="314" t="str">
        <f>_xlfn.IFNA(VLOOKUP($AH150,Programma!$F$3:$I$1107,4,0),"")</f>
        <v>4w</v>
      </c>
      <c r="AL150" s="314" t="str">
        <f>_xlfn.IFNA(VLOOKUP($AH150,Programma!$F$3:$J$1107,5,0),"")</f>
        <v>1w</v>
      </c>
      <c r="AM150" s="314" t="str">
        <f>_xlfn.IFNA(VLOOKUP($AH150,Programma!$F$3:$K$1107,6,0),"")</f>
        <v>_</v>
      </c>
      <c r="AN150" s="314" t="str">
        <f>_xlfn.IFNA(VLOOKUP($AH150,Programma!$F$3:$L$1107,7,0),"")</f>
        <v>_</v>
      </c>
      <c r="AO150" s="314" t="str">
        <f>_xlfn.IFNA(VLOOKUP($AH150,Programma!$F$3:$M$1107,8,0),"")</f>
        <v>_</v>
      </c>
      <c r="AP150" s="314" t="str">
        <f>_xlfn.IFNA(VLOOKUP($AH150,Programma!$F$3:$N$1107,9,0),"")</f>
        <v>_</v>
      </c>
      <c r="AQ150" s="314" t="str">
        <f>_xlfn.IFNA(VLOOKUP($AH150,Programma!$F$3:$O$1107,10,0),"")</f>
        <v>5w</v>
      </c>
      <c r="AR150" s="314" t="str">
        <f>_xlfn.IFNA(VLOOKUP($AH150,Programma!$F$3:$P$1107,11,0),"")</f>
        <v>5w</v>
      </c>
      <c r="AS150" s="314" t="str">
        <f>_xlfn.IFNA(VLOOKUP($AH150,Programma!$F$3:$Q$1107,12,0),"")</f>
        <v>1w</v>
      </c>
      <c r="AT150" s="314" t="str">
        <f>_xlfn.IFNA(VLOOKUP($AH150,Programma!$F$3:$R$1107,13,0),"")</f>
        <v>1w</v>
      </c>
      <c r="AU150" s="314" t="str">
        <f>_xlfn.IFNA(VLOOKUP($AH150,Programma!$F$3:$S$1107,14,0),"")</f>
        <v>1m</v>
      </c>
      <c r="AV150" s="314" t="str">
        <f>_xlfn.IFNA(VLOOKUP($AH150,Programma!$F$3:$T$1107,15,0),"")</f>
        <v>2j</v>
      </c>
      <c r="AW150" s="314" t="str">
        <f>_xlfn.IFNA(VLOOKUP($AH150,Programma!$F$3:$U$1107,16,0),"")</f>
        <v>1j</v>
      </c>
      <c r="AX150" s="314" t="str">
        <f>_xlfn.IFNA(VLOOKUP($AH150,Programma!$F$3:$V$1107,17,0),"")</f>
        <v>_</v>
      </c>
      <c r="AY150" s="314" t="str">
        <f>_xlfn.IFNA(VLOOKUP($AH150,Programma!$F$3:$W$1107,18,0),"")</f>
        <v>_</v>
      </c>
      <c r="AZ150" s="314" t="str">
        <f>_xlfn.IFNA(VLOOKUP($AH150,Programma!$F$3:$X$1107,19,0),"")</f>
        <v>_</v>
      </c>
      <c r="BA150" s="314" t="str">
        <f>_xlfn.IFNA(VLOOKUP($AH150,Programma!$F$3:$Y$1107,20,0),"")</f>
        <v>_</v>
      </c>
      <c r="BB150" s="273"/>
      <c r="BC150" s="272" t="str">
        <f>IF(Ruimtestaat[[#This Row],[Frequentie weekend]]="","",_xlfn.CONCAT(Ruimtestaat[[#This Row],[Ruimte code]],"-",Ruimtestaat[[#This Row],[Frequentie weekend]]," ",Ruimtestaat[[#This Row],[Vloer code]]))</f>
        <v/>
      </c>
      <c r="BD150" s="314" t="str">
        <f>_xlfn.IFNA(VLOOKUP($BC150,Programma!$F$3:$G$1107,2,0),"")</f>
        <v/>
      </c>
      <c r="BE150" s="314" t="str">
        <f>_xlfn.IFNA(VLOOKUP($BC150,Programma!$F$3:$H$1107,3,0),"")</f>
        <v/>
      </c>
      <c r="BF150" s="314" t="str">
        <f>_xlfn.IFNA(VLOOKUP($BC150,Programma!$F$3:$I$1107,4,0),"")</f>
        <v/>
      </c>
      <c r="BG150" s="314" t="str">
        <f>_xlfn.IFNA(VLOOKUP($BC150,Programma!$F$3:$J$1107,5,0),"")</f>
        <v/>
      </c>
      <c r="BH150" s="314" t="str">
        <f>_xlfn.IFNA(VLOOKUP($BC150,Programma!$F$3:$K$1107,6,0),"")</f>
        <v/>
      </c>
      <c r="BI150" s="314" t="str">
        <f>_xlfn.IFNA(VLOOKUP($BC150,Programma!$F$3:$L$1107,7,0),"")</f>
        <v/>
      </c>
      <c r="BJ150" s="314" t="str">
        <f>_xlfn.IFNA(VLOOKUP($BC150,Programma!$F$3:$M$1107,8,0),"")</f>
        <v/>
      </c>
      <c r="BK150" s="314" t="str">
        <f>_xlfn.IFNA(VLOOKUP($BC150,Programma!$F$3:$N$1107,9,0),"")</f>
        <v/>
      </c>
      <c r="BL150" s="314" t="str">
        <f>_xlfn.IFNA(VLOOKUP($BC150,Programma!$F$3:$O$1107,10,0),"")</f>
        <v/>
      </c>
      <c r="BM150" s="314" t="str">
        <f>_xlfn.IFNA(VLOOKUP($BC150,Programma!$F$3:$P$1107,11,0),"")</f>
        <v/>
      </c>
      <c r="BN150" s="314" t="str">
        <f>_xlfn.IFNA(VLOOKUP($BC150,Programma!$F$3:$Q$1107,12,0),"")</f>
        <v/>
      </c>
      <c r="BO150" s="314" t="str">
        <f>_xlfn.IFNA(VLOOKUP($BC150,Programma!$F$3:$R$1107,13,0),"")</f>
        <v/>
      </c>
      <c r="BP150" s="314" t="str">
        <f>_xlfn.IFNA(VLOOKUP($BC150,Programma!$F$3:$S$1107,14,0),"")</f>
        <v/>
      </c>
      <c r="BQ150" s="314" t="str">
        <f>_xlfn.IFNA(VLOOKUP($BC150,Programma!$F$3:$T$1107,15,0),"")</f>
        <v/>
      </c>
      <c r="BR150" s="314" t="str">
        <f>_xlfn.IFNA(VLOOKUP($BC150,Programma!$F$3:$U$1107,16,0),"")</f>
        <v/>
      </c>
      <c r="BS150" s="314" t="str">
        <f>_xlfn.IFNA(VLOOKUP($BC150,Programma!$F$3:$V$1107,17,0),"")</f>
        <v/>
      </c>
      <c r="BT150" s="314" t="str">
        <f>_xlfn.IFNA(VLOOKUP($BC150,Programma!$F$3:$W$1107,18,0),"")</f>
        <v/>
      </c>
      <c r="BU150" s="314" t="str">
        <f>_xlfn.IFNA(VLOOKUP($BC150,Programma!$F$3:$X$1107,19,0),"")</f>
        <v/>
      </c>
      <c r="BV150" s="314" t="str">
        <f>_xlfn.IFNA(VLOOKUP($BC150,Programma!$F$3:$Y$1107,20,0),"")</f>
        <v/>
      </c>
    </row>
    <row r="151" spans="1:74" ht="15" customHeight="1">
      <c r="A151" s="33">
        <v>1</v>
      </c>
      <c r="B151" s="173" t="str">
        <f>VLOOKUP(Ruimtestaat[[#This Row],[Code]],Locaties[[Code]:[Locatie]],2,FALSE)</f>
        <v>CCNV</v>
      </c>
      <c r="C151" s="173" t="str">
        <f>VLOOKUP(Ruimtestaat[[#This Row],[Code]],Locaties[[#All],[Code]:[Adres]],4,FALSE)</f>
        <v>Stationslaan 26</v>
      </c>
      <c r="D151" s="173" t="str">
        <f>VLOOKUP(Ruimtestaat[[#This Row],[Code]],Locaties[[#All],[Code]:[Postcode]],5,FALSE)</f>
        <v>3842 LA</v>
      </c>
      <c r="E151" s="173" t="str">
        <f>VLOOKUP(Ruimtestaat[[#This Row],[Code]],Locaties[#All],6,FALSE)</f>
        <v>Harderwijk</v>
      </c>
      <c r="F151" s="21" t="s">
        <v>1629</v>
      </c>
      <c r="G151" s="33" t="s">
        <v>1614</v>
      </c>
      <c r="H151" s="21" t="s">
        <v>1752</v>
      </c>
      <c r="I151" s="69" t="s">
        <v>1615</v>
      </c>
      <c r="J151" s="21">
        <v>16</v>
      </c>
      <c r="K151" s="69" t="str">
        <f>VLOOKUP(Ruimtestaat[[#This Row],[Ruimte code]],Ruimtegroepen[[#All],[Code]:[Ruimte omschrijving]],2,FALSE)</f>
        <v>Leslokalen</v>
      </c>
      <c r="L151" s="33" t="s">
        <v>100</v>
      </c>
      <c r="M151" s="312" t="s">
        <v>1803</v>
      </c>
      <c r="N151" s="148">
        <v>20</v>
      </c>
      <c r="O151" s="150"/>
      <c r="P151" s="134" t="str">
        <f>VLOOKUP(Ruimtestaat[[#This Row],[Ruimte code]],Ruimtegroepen[],4,FALSE)</f>
        <v>Le</v>
      </c>
      <c r="Q151" s="33">
        <v>40</v>
      </c>
      <c r="R151" s="33" t="s">
        <v>2</v>
      </c>
      <c r="S151" s="33">
        <f>IF(Q151&gt;0,IF(RIGHT(Ruimtestaat[[#This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1" s="33">
        <f>IF(S151&gt;0,VLOOKUP($J151,Ruimtegroepen[],3,FALSE)*VLOOKUP($L151,Vloersoorten[],3,FALSE)*VLOOKUP($R151,Frequenties[],3,FALSE)*VLOOKUP($A151,Locaties[],3,FALSE),0)</f>
        <v>0</v>
      </c>
      <c r="U151" s="33">
        <f>Ruimtestaat[[#This Row],[Uitvoeringen werkdagen]]*Ruimtestaat[[#This Row],[Oppervlak (netto)]]</f>
        <v>4000</v>
      </c>
      <c r="V151" s="170">
        <f>IF(T151&gt;0,Ruimtestaat[[#This Row],[Prest. (m2 /jaar) werkdagen]]/Ruimtestaat[[#This Row],[Norm (m2/uur) werkdagen]],0)</f>
        <v>0</v>
      </c>
      <c r="W151" s="171">
        <f>Ruimtestaat[[#This Row],[uren / jaar werkdagen]]*Tariefsopbouw!$E$35</f>
        <v>0</v>
      </c>
      <c r="X151" s="33"/>
      <c r="Y151" s="33">
        <f>IF(Ruimtestaat[[#This Row],[Frequentie weekend]]&gt;0,VALUE(LEFT(X151,1))*Q151,0)</f>
        <v>0</v>
      </c>
      <c r="Z151" s="104">
        <f>IF($Y151&gt;0,VLOOKUP($J151,Ruimtegroepen[],3,FALSE)*VLOOKUP($L151,Vloersoorten[],3,FALSE)*VLOOKUP($X151,Frequenties[],3,FALSE)*VLOOKUP(Ruimtestaat[[#This Row],[Code]],Locaties[],3,FALSE),0)</f>
        <v>0</v>
      </c>
      <c r="AA151" s="104">
        <f>Ruimtestaat[[#This Row],[Uitvoeringen weekend]]*Ruimtestaat[[#This Row],[Oppervlak (netto)]]</f>
        <v>0</v>
      </c>
      <c r="AB151" s="104">
        <f>IF(Z151&gt;0,Ruimtestaat[[#This Row],[Prest. (m2 /jaar) weekend]]/Ruimtestaat[[#This Row],[Norm (m2/uur) weekend]],0)</f>
        <v>0</v>
      </c>
      <c r="AC151" s="171">
        <f>Ruimtestaat[[#This Row],[uren / jaar weekend]]*Tariefsopbouw!$D$40</f>
        <v>0</v>
      </c>
      <c r="AD151" s="170">
        <f>Ruimtestaat[[#This Row],[Prest. (m2 /jaar) weekend]]+Ruimtestaat[[#This Row],[Prest. (m2 /jaar) werkdagen]]</f>
        <v>4000</v>
      </c>
      <c r="AE151" s="170">
        <f>Ruimtestaat[[#This Row],[uren / jaar weekend]]+Ruimtestaat[[#This Row],[uren / jaar werkdagen]]</f>
        <v>0</v>
      </c>
      <c r="AF151" s="76">
        <f>Ruimtestaat[[#This Row],[kosten / jaar weekend]]+Ruimtestaat[[#This Row],[kosten / jaar werkdagen]]</f>
        <v>0</v>
      </c>
      <c r="AG151" s="76"/>
      <c r="AH151" s="272" t="str">
        <f>IF(Ruimtestaat[[#This Row],[Frequentie werkdagen]]="","",_xlfn.CONCAT(Ruimtestaat[[#This Row],[Ruimte code]],"-",Ruimtestaat[[#This Row],[Frequentie werkdagen]]," ",Ruimtestaat[[#This Row],[Vloer code]]))</f>
        <v>16-5w T</v>
      </c>
      <c r="AI151" s="314" t="str">
        <f>_xlfn.IFNA(VLOOKUP($AH151,Programma!$F$3:$G$1107,2,0),"")</f>
        <v>3w</v>
      </c>
      <c r="AJ151" s="314" t="str">
        <f>_xlfn.IFNA(VLOOKUP($AH151,Programma!$F$3:$H$1107,3,0),"")</f>
        <v>2w</v>
      </c>
      <c r="AK151" s="314" t="str">
        <f>_xlfn.IFNA(VLOOKUP($AH151,Programma!$F$3:$I$1107,4,0),"")</f>
        <v>_</v>
      </c>
      <c r="AL151" s="314" t="str">
        <f>_xlfn.IFNA(VLOOKUP($AH151,Programma!$F$3:$J$1107,5,0),"")</f>
        <v>_</v>
      </c>
      <c r="AM151" s="314" t="str">
        <f>_xlfn.IFNA(VLOOKUP($AH151,Programma!$F$3:$K$1107,6,0),"")</f>
        <v>_</v>
      </c>
      <c r="AN151" s="314" t="str">
        <f>_xlfn.IFNA(VLOOKUP($AH151,Programma!$F$3:$L$1107,7,0),"")</f>
        <v>_</v>
      </c>
      <c r="AO151" s="314" t="str">
        <f>_xlfn.IFNA(VLOOKUP($AH151,Programma!$F$3:$M$1107,8,0),"")</f>
        <v>_</v>
      </c>
      <c r="AP151" s="314" t="str">
        <f>_xlfn.IFNA(VLOOKUP($AH151,Programma!$F$3:$N$1107,9,0),"")</f>
        <v>_</v>
      </c>
      <c r="AQ151" s="314" t="str">
        <f>_xlfn.IFNA(VLOOKUP($AH151,Programma!$F$3:$O$1107,10,0),"")</f>
        <v>5w</v>
      </c>
      <c r="AR151" s="314" t="str">
        <f>_xlfn.IFNA(VLOOKUP($AH151,Programma!$F$3:$P$1107,11,0),"")</f>
        <v>5w</v>
      </c>
      <c r="AS151" s="314" t="str">
        <f>_xlfn.IFNA(VLOOKUP($AH151,Programma!$F$3:$Q$1107,12,0),"")</f>
        <v>1w</v>
      </c>
      <c r="AT151" s="314" t="str">
        <f>_xlfn.IFNA(VLOOKUP($AH151,Programma!$F$3:$R$1107,13,0),"")</f>
        <v>1w</v>
      </c>
      <c r="AU151" s="314" t="str">
        <f>_xlfn.IFNA(VLOOKUP($AH151,Programma!$F$3:$S$1107,14,0),"")</f>
        <v>1m</v>
      </c>
      <c r="AV151" s="314" t="str">
        <f>_xlfn.IFNA(VLOOKUP($AH151,Programma!$F$3:$T$1107,15,0),"")</f>
        <v>2j</v>
      </c>
      <c r="AW151" s="314" t="str">
        <f>_xlfn.IFNA(VLOOKUP($AH151,Programma!$F$3:$U$1107,16,0),"")</f>
        <v>1j</v>
      </c>
      <c r="AX151" s="314" t="str">
        <f>_xlfn.IFNA(VLOOKUP($AH151,Programma!$F$3:$V$1107,17,0),"")</f>
        <v>_</v>
      </c>
      <c r="AY151" s="314" t="str">
        <f>_xlfn.IFNA(VLOOKUP($AH151,Programma!$F$3:$W$1107,18,0),"")</f>
        <v>_</v>
      </c>
      <c r="AZ151" s="314" t="str">
        <f>_xlfn.IFNA(VLOOKUP($AH151,Programma!$F$3:$X$1107,19,0),"")</f>
        <v>_</v>
      </c>
      <c r="BA151" s="314" t="str">
        <f>_xlfn.IFNA(VLOOKUP($AH151,Programma!$F$3:$Y$1107,20,0),"")</f>
        <v>_</v>
      </c>
      <c r="BB151" s="273"/>
      <c r="BC151" s="272" t="str">
        <f>IF(Ruimtestaat[[#This Row],[Frequentie weekend]]="","",_xlfn.CONCAT(Ruimtestaat[[#This Row],[Ruimte code]],"-",Ruimtestaat[[#This Row],[Frequentie weekend]]," ",Ruimtestaat[[#This Row],[Vloer code]]))</f>
        <v/>
      </c>
      <c r="BD151" s="314" t="str">
        <f>_xlfn.IFNA(VLOOKUP($BC151,Programma!$F$3:$G$1107,2,0),"")</f>
        <v/>
      </c>
      <c r="BE151" s="314" t="str">
        <f>_xlfn.IFNA(VLOOKUP($BC151,Programma!$F$3:$H$1107,3,0),"")</f>
        <v/>
      </c>
      <c r="BF151" s="314" t="str">
        <f>_xlfn.IFNA(VLOOKUP($BC151,Programma!$F$3:$I$1107,4,0),"")</f>
        <v/>
      </c>
      <c r="BG151" s="314" t="str">
        <f>_xlfn.IFNA(VLOOKUP($BC151,Programma!$F$3:$J$1107,5,0),"")</f>
        <v/>
      </c>
      <c r="BH151" s="314" t="str">
        <f>_xlfn.IFNA(VLOOKUP($BC151,Programma!$F$3:$K$1107,6,0),"")</f>
        <v/>
      </c>
      <c r="BI151" s="314" t="str">
        <f>_xlfn.IFNA(VLOOKUP($BC151,Programma!$F$3:$L$1107,7,0),"")</f>
        <v/>
      </c>
      <c r="BJ151" s="314" t="str">
        <f>_xlfn.IFNA(VLOOKUP($BC151,Programma!$F$3:$M$1107,8,0),"")</f>
        <v/>
      </c>
      <c r="BK151" s="314" t="str">
        <f>_xlfn.IFNA(VLOOKUP($BC151,Programma!$F$3:$N$1107,9,0),"")</f>
        <v/>
      </c>
      <c r="BL151" s="314" t="str">
        <f>_xlfn.IFNA(VLOOKUP($BC151,Programma!$F$3:$O$1107,10,0),"")</f>
        <v/>
      </c>
      <c r="BM151" s="314" t="str">
        <f>_xlfn.IFNA(VLOOKUP($BC151,Programma!$F$3:$P$1107,11,0),"")</f>
        <v/>
      </c>
      <c r="BN151" s="314" t="str">
        <f>_xlfn.IFNA(VLOOKUP($BC151,Programma!$F$3:$Q$1107,12,0),"")</f>
        <v/>
      </c>
      <c r="BO151" s="314" t="str">
        <f>_xlfn.IFNA(VLOOKUP($BC151,Programma!$F$3:$R$1107,13,0),"")</f>
        <v/>
      </c>
      <c r="BP151" s="314" t="str">
        <f>_xlfn.IFNA(VLOOKUP($BC151,Programma!$F$3:$S$1107,14,0),"")</f>
        <v/>
      </c>
      <c r="BQ151" s="314" t="str">
        <f>_xlfn.IFNA(VLOOKUP($BC151,Programma!$F$3:$T$1107,15,0),"")</f>
        <v/>
      </c>
      <c r="BR151" s="314" t="str">
        <f>_xlfn.IFNA(VLOOKUP($BC151,Programma!$F$3:$U$1107,16,0),"")</f>
        <v/>
      </c>
      <c r="BS151" s="314" t="str">
        <f>_xlfn.IFNA(VLOOKUP($BC151,Programma!$F$3:$V$1107,17,0),"")</f>
        <v/>
      </c>
      <c r="BT151" s="314" t="str">
        <f>_xlfn.IFNA(VLOOKUP($BC151,Programma!$F$3:$W$1107,18,0),"")</f>
        <v/>
      </c>
      <c r="BU151" s="314" t="str">
        <f>_xlfn.IFNA(VLOOKUP($BC151,Programma!$F$3:$X$1107,19,0),"")</f>
        <v/>
      </c>
      <c r="BV151" s="314" t="str">
        <f>_xlfn.IFNA(VLOOKUP($BC151,Programma!$F$3:$Y$1107,20,0),"")</f>
        <v/>
      </c>
    </row>
    <row r="152" spans="1:74" ht="15" customHeight="1">
      <c r="A152" s="33">
        <v>1</v>
      </c>
      <c r="B152" s="173" t="str">
        <f>VLOOKUP(Ruimtestaat[[#This Row],[Code]],Locaties[[Code]:[Locatie]],2,FALSE)</f>
        <v>CCNV</v>
      </c>
      <c r="C152" s="173" t="str">
        <f>VLOOKUP(Ruimtestaat[[#This Row],[Code]],Locaties[[#All],[Code]:[Adres]],4,FALSE)</f>
        <v>Stationslaan 26</v>
      </c>
      <c r="D152" s="173" t="str">
        <f>VLOOKUP(Ruimtestaat[[#This Row],[Code]],Locaties[[#All],[Code]:[Postcode]],5,FALSE)</f>
        <v>3842 LA</v>
      </c>
      <c r="E152" s="173" t="str">
        <f>VLOOKUP(Ruimtestaat[[#This Row],[Code]],Locaties[#All],6,FALSE)</f>
        <v>Harderwijk</v>
      </c>
      <c r="F152" s="21" t="s">
        <v>1629</v>
      </c>
      <c r="G152" s="33" t="s">
        <v>1614</v>
      </c>
      <c r="H152" s="21" t="s">
        <v>1753</v>
      </c>
      <c r="I152" s="69" t="s">
        <v>1615</v>
      </c>
      <c r="J152" s="21">
        <v>16</v>
      </c>
      <c r="K152" s="69" t="str">
        <f>VLOOKUP(Ruimtestaat[[#This Row],[Ruimte code]],Ruimtegroepen[[#All],[Code]:[Ruimte omschrijving]],2,FALSE)</f>
        <v>Leslokalen</v>
      </c>
      <c r="L152" s="33" t="s">
        <v>100</v>
      </c>
      <c r="M152" s="312" t="s">
        <v>1803</v>
      </c>
      <c r="N152" s="148">
        <v>20</v>
      </c>
      <c r="O152" s="150"/>
      <c r="P152" s="134" t="str">
        <f>VLOOKUP(Ruimtestaat[[#This Row],[Ruimte code]],Ruimtegroepen[],4,FALSE)</f>
        <v>Le</v>
      </c>
      <c r="Q152" s="33">
        <v>40</v>
      </c>
      <c r="R152" s="33" t="s">
        <v>2</v>
      </c>
      <c r="S152" s="33">
        <f>IF(Q152&gt;0,IF(RIGHT(Ruimtestaat[[#This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2" s="33">
        <f>IF(S152&gt;0,VLOOKUP($J152,Ruimtegroepen[],3,FALSE)*VLOOKUP($L152,Vloersoorten[],3,FALSE)*VLOOKUP($R152,Frequenties[],3,FALSE)*VLOOKUP($A152,Locaties[],3,FALSE),0)</f>
        <v>0</v>
      </c>
      <c r="U152" s="33">
        <f>Ruimtestaat[[#This Row],[Uitvoeringen werkdagen]]*Ruimtestaat[[#This Row],[Oppervlak (netto)]]</f>
        <v>4000</v>
      </c>
      <c r="V152" s="170">
        <f>IF(T152&gt;0,Ruimtestaat[[#This Row],[Prest. (m2 /jaar) werkdagen]]/Ruimtestaat[[#This Row],[Norm (m2/uur) werkdagen]],0)</f>
        <v>0</v>
      </c>
      <c r="W152" s="171">
        <f>Ruimtestaat[[#This Row],[uren / jaar werkdagen]]*Tariefsopbouw!$E$35</f>
        <v>0</v>
      </c>
      <c r="X152" s="33"/>
      <c r="Y152" s="33">
        <f>IF(Ruimtestaat[[#This Row],[Frequentie weekend]]&gt;0,VALUE(LEFT(X152,1))*Q152,0)</f>
        <v>0</v>
      </c>
      <c r="Z152" s="104">
        <f>IF($Y152&gt;0,VLOOKUP($J152,Ruimtegroepen[],3,FALSE)*VLOOKUP($L152,Vloersoorten[],3,FALSE)*VLOOKUP($X152,Frequenties[],3,FALSE)*VLOOKUP(Ruimtestaat[[#This Row],[Code]],Locaties[],3,FALSE),0)</f>
        <v>0</v>
      </c>
      <c r="AA152" s="104">
        <f>Ruimtestaat[[#This Row],[Uitvoeringen weekend]]*Ruimtestaat[[#This Row],[Oppervlak (netto)]]</f>
        <v>0</v>
      </c>
      <c r="AB152" s="104">
        <f>IF(Z152&gt;0,Ruimtestaat[[#This Row],[Prest. (m2 /jaar) weekend]]/Ruimtestaat[[#This Row],[Norm (m2/uur) weekend]],0)</f>
        <v>0</v>
      </c>
      <c r="AC152" s="171">
        <f>Ruimtestaat[[#This Row],[uren / jaar weekend]]*Tariefsopbouw!$D$40</f>
        <v>0</v>
      </c>
      <c r="AD152" s="170">
        <f>Ruimtestaat[[#This Row],[Prest. (m2 /jaar) weekend]]+Ruimtestaat[[#This Row],[Prest. (m2 /jaar) werkdagen]]</f>
        <v>4000</v>
      </c>
      <c r="AE152" s="170">
        <f>Ruimtestaat[[#This Row],[uren / jaar weekend]]+Ruimtestaat[[#This Row],[uren / jaar werkdagen]]</f>
        <v>0</v>
      </c>
      <c r="AF152" s="76">
        <f>Ruimtestaat[[#This Row],[kosten / jaar weekend]]+Ruimtestaat[[#This Row],[kosten / jaar werkdagen]]</f>
        <v>0</v>
      </c>
      <c r="AG152" s="76"/>
      <c r="AH152" s="272" t="str">
        <f>IF(Ruimtestaat[[#This Row],[Frequentie werkdagen]]="","",_xlfn.CONCAT(Ruimtestaat[[#This Row],[Ruimte code]],"-",Ruimtestaat[[#This Row],[Frequentie werkdagen]]," ",Ruimtestaat[[#This Row],[Vloer code]]))</f>
        <v>16-5w T</v>
      </c>
      <c r="AI152" s="314" t="str">
        <f>_xlfn.IFNA(VLOOKUP($AH152,Programma!$F$3:$G$1107,2,0),"")</f>
        <v>3w</v>
      </c>
      <c r="AJ152" s="314" t="str">
        <f>_xlfn.IFNA(VLOOKUP($AH152,Programma!$F$3:$H$1107,3,0),"")</f>
        <v>2w</v>
      </c>
      <c r="AK152" s="314" t="str">
        <f>_xlfn.IFNA(VLOOKUP($AH152,Programma!$F$3:$I$1107,4,0),"")</f>
        <v>_</v>
      </c>
      <c r="AL152" s="314" t="str">
        <f>_xlfn.IFNA(VLOOKUP($AH152,Programma!$F$3:$J$1107,5,0),"")</f>
        <v>_</v>
      </c>
      <c r="AM152" s="314" t="str">
        <f>_xlfn.IFNA(VLOOKUP($AH152,Programma!$F$3:$K$1107,6,0),"")</f>
        <v>_</v>
      </c>
      <c r="AN152" s="314" t="str">
        <f>_xlfn.IFNA(VLOOKUP($AH152,Programma!$F$3:$L$1107,7,0),"")</f>
        <v>_</v>
      </c>
      <c r="AO152" s="314" t="str">
        <f>_xlfn.IFNA(VLOOKUP($AH152,Programma!$F$3:$M$1107,8,0),"")</f>
        <v>_</v>
      </c>
      <c r="AP152" s="314" t="str">
        <f>_xlfn.IFNA(VLOOKUP($AH152,Programma!$F$3:$N$1107,9,0),"")</f>
        <v>_</v>
      </c>
      <c r="AQ152" s="314" t="str">
        <f>_xlfn.IFNA(VLOOKUP($AH152,Programma!$F$3:$O$1107,10,0),"")</f>
        <v>5w</v>
      </c>
      <c r="AR152" s="314" t="str">
        <f>_xlfn.IFNA(VLOOKUP($AH152,Programma!$F$3:$P$1107,11,0),"")</f>
        <v>5w</v>
      </c>
      <c r="AS152" s="314" t="str">
        <f>_xlfn.IFNA(VLOOKUP($AH152,Programma!$F$3:$Q$1107,12,0),"")</f>
        <v>1w</v>
      </c>
      <c r="AT152" s="314" t="str">
        <f>_xlfn.IFNA(VLOOKUP($AH152,Programma!$F$3:$R$1107,13,0),"")</f>
        <v>1w</v>
      </c>
      <c r="AU152" s="314" t="str">
        <f>_xlfn.IFNA(VLOOKUP($AH152,Programma!$F$3:$S$1107,14,0),"")</f>
        <v>1m</v>
      </c>
      <c r="AV152" s="314" t="str">
        <f>_xlfn.IFNA(VLOOKUP($AH152,Programma!$F$3:$T$1107,15,0),"")</f>
        <v>2j</v>
      </c>
      <c r="AW152" s="314" t="str">
        <f>_xlfn.IFNA(VLOOKUP($AH152,Programma!$F$3:$U$1107,16,0),"")</f>
        <v>1j</v>
      </c>
      <c r="AX152" s="314" t="str">
        <f>_xlfn.IFNA(VLOOKUP($AH152,Programma!$F$3:$V$1107,17,0),"")</f>
        <v>_</v>
      </c>
      <c r="AY152" s="314" t="str">
        <f>_xlfn.IFNA(VLOOKUP($AH152,Programma!$F$3:$W$1107,18,0),"")</f>
        <v>_</v>
      </c>
      <c r="AZ152" s="314" t="str">
        <f>_xlfn.IFNA(VLOOKUP($AH152,Programma!$F$3:$X$1107,19,0),"")</f>
        <v>_</v>
      </c>
      <c r="BA152" s="314" t="str">
        <f>_xlfn.IFNA(VLOOKUP($AH152,Programma!$F$3:$Y$1107,20,0),"")</f>
        <v>_</v>
      </c>
      <c r="BB152" s="273"/>
      <c r="BC152" s="272" t="str">
        <f>IF(Ruimtestaat[[#This Row],[Frequentie weekend]]="","",_xlfn.CONCAT(Ruimtestaat[[#This Row],[Ruimte code]],"-",Ruimtestaat[[#This Row],[Frequentie weekend]]," ",Ruimtestaat[[#This Row],[Vloer code]]))</f>
        <v/>
      </c>
      <c r="BD152" s="314" t="str">
        <f>_xlfn.IFNA(VLOOKUP($BC152,Programma!$F$3:$G$1107,2,0),"")</f>
        <v/>
      </c>
      <c r="BE152" s="314" t="str">
        <f>_xlfn.IFNA(VLOOKUP($BC152,Programma!$F$3:$H$1107,3,0),"")</f>
        <v/>
      </c>
      <c r="BF152" s="314" t="str">
        <f>_xlfn.IFNA(VLOOKUP($BC152,Programma!$F$3:$I$1107,4,0),"")</f>
        <v/>
      </c>
      <c r="BG152" s="314" t="str">
        <f>_xlfn.IFNA(VLOOKUP($BC152,Programma!$F$3:$J$1107,5,0),"")</f>
        <v/>
      </c>
      <c r="BH152" s="314" t="str">
        <f>_xlfn.IFNA(VLOOKUP($BC152,Programma!$F$3:$K$1107,6,0),"")</f>
        <v/>
      </c>
      <c r="BI152" s="314" t="str">
        <f>_xlfn.IFNA(VLOOKUP($BC152,Programma!$F$3:$L$1107,7,0),"")</f>
        <v/>
      </c>
      <c r="BJ152" s="314" t="str">
        <f>_xlfn.IFNA(VLOOKUP($BC152,Programma!$F$3:$M$1107,8,0),"")</f>
        <v/>
      </c>
      <c r="BK152" s="314" t="str">
        <f>_xlfn.IFNA(VLOOKUP($BC152,Programma!$F$3:$N$1107,9,0),"")</f>
        <v/>
      </c>
      <c r="BL152" s="314" t="str">
        <f>_xlfn.IFNA(VLOOKUP($BC152,Programma!$F$3:$O$1107,10,0),"")</f>
        <v/>
      </c>
      <c r="BM152" s="314" t="str">
        <f>_xlfn.IFNA(VLOOKUP($BC152,Programma!$F$3:$P$1107,11,0),"")</f>
        <v/>
      </c>
      <c r="BN152" s="314" t="str">
        <f>_xlfn.IFNA(VLOOKUP($BC152,Programma!$F$3:$Q$1107,12,0),"")</f>
        <v/>
      </c>
      <c r="BO152" s="314" t="str">
        <f>_xlfn.IFNA(VLOOKUP($BC152,Programma!$F$3:$R$1107,13,0),"")</f>
        <v/>
      </c>
      <c r="BP152" s="314" t="str">
        <f>_xlfn.IFNA(VLOOKUP($BC152,Programma!$F$3:$S$1107,14,0),"")</f>
        <v/>
      </c>
      <c r="BQ152" s="314" t="str">
        <f>_xlfn.IFNA(VLOOKUP($BC152,Programma!$F$3:$T$1107,15,0),"")</f>
        <v/>
      </c>
      <c r="BR152" s="314" t="str">
        <f>_xlfn.IFNA(VLOOKUP($BC152,Programma!$F$3:$U$1107,16,0),"")</f>
        <v/>
      </c>
      <c r="BS152" s="314" t="str">
        <f>_xlfn.IFNA(VLOOKUP($BC152,Programma!$F$3:$V$1107,17,0),"")</f>
        <v/>
      </c>
      <c r="BT152" s="314" t="str">
        <f>_xlfn.IFNA(VLOOKUP($BC152,Programma!$F$3:$W$1107,18,0),"")</f>
        <v/>
      </c>
      <c r="BU152" s="314" t="str">
        <f>_xlfn.IFNA(VLOOKUP($BC152,Programma!$F$3:$X$1107,19,0),"")</f>
        <v/>
      </c>
      <c r="BV152" s="314" t="str">
        <f>_xlfn.IFNA(VLOOKUP($BC152,Programma!$F$3:$Y$1107,20,0),"")</f>
        <v/>
      </c>
    </row>
    <row r="153" spans="1:74" ht="15" customHeight="1">
      <c r="A153" s="33">
        <v>1</v>
      </c>
      <c r="B153" s="173" t="str">
        <f>VLOOKUP(Ruimtestaat[[#This Row],[Code]],Locaties[[Code]:[Locatie]],2,FALSE)</f>
        <v>CCNV</v>
      </c>
      <c r="C153" s="173" t="str">
        <f>VLOOKUP(Ruimtestaat[[#This Row],[Code]],Locaties[[#All],[Code]:[Adres]],4,FALSE)</f>
        <v>Stationslaan 26</v>
      </c>
      <c r="D153" s="173" t="str">
        <f>VLOOKUP(Ruimtestaat[[#This Row],[Code]],Locaties[[#All],[Code]:[Postcode]],5,FALSE)</f>
        <v>3842 LA</v>
      </c>
      <c r="E153" s="173" t="str">
        <f>VLOOKUP(Ruimtestaat[[#This Row],[Code]],Locaties[#All],6,FALSE)</f>
        <v>Harderwijk</v>
      </c>
      <c r="F153" s="21" t="s">
        <v>1629</v>
      </c>
      <c r="G153" s="33" t="s">
        <v>1614</v>
      </c>
      <c r="I153" s="69" t="s">
        <v>1789</v>
      </c>
      <c r="J153" s="21">
        <v>1</v>
      </c>
      <c r="K153" s="69" t="str">
        <f>VLOOKUP(Ruimtestaat[[#This Row],[Ruimte code]],Ruimtegroepen[[#All],[Code]:[Ruimte omschrijving]],2,FALSE)</f>
        <v>Magazijnen/bergingen</v>
      </c>
      <c r="L153" s="33" t="s">
        <v>100</v>
      </c>
      <c r="M153" s="312" t="s">
        <v>1803</v>
      </c>
      <c r="N153" s="148">
        <v>7</v>
      </c>
      <c r="O153" s="33"/>
      <c r="P153" s="134" t="str">
        <f>VLOOKUP(Ruimtestaat[[#This Row],[Ruimte code]],Ruimtegroepen[],4,FALSE)</f>
        <v>Ve</v>
      </c>
      <c r="Q153" s="33">
        <v>40</v>
      </c>
      <c r="R153" s="33" t="s">
        <v>16</v>
      </c>
      <c r="S153" s="33">
        <f>IF(Q153&gt;0,IF(RIGHT(Ruimtestaat[[#This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53" s="33">
        <f>IF(S153&gt;0,VLOOKUP($J153,Ruimtegroepen[],3,FALSE)*VLOOKUP($L153,Vloersoorten[],3,FALSE)*VLOOKUP($R153,Frequenties[],3,FALSE)*VLOOKUP($A153,Locaties[],3,FALSE),0)</f>
        <v>0</v>
      </c>
      <c r="U153" s="33">
        <f>Ruimtestaat[[#This Row],[Uitvoeringen werkdagen]]*Ruimtestaat[[#This Row],[Oppervlak (netto)]]</f>
        <v>84</v>
      </c>
      <c r="V153" s="170">
        <f>IF(T153&gt;0,Ruimtestaat[[#This Row],[Prest. (m2 /jaar) werkdagen]]/Ruimtestaat[[#This Row],[Norm (m2/uur) werkdagen]],0)</f>
        <v>0</v>
      </c>
      <c r="W153" s="171">
        <f>Ruimtestaat[[#This Row],[uren / jaar werkdagen]]*Tariefsopbouw!$E$35</f>
        <v>0</v>
      </c>
      <c r="X153" s="33"/>
      <c r="Y153" s="33">
        <f>IF(Ruimtestaat[[#This Row],[Frequentie weekend]]&gt;0,VALUE(LEFT(X153,1))*Q153,0)</f>
        <v>0</v>
      </c>
      <c r="Z153" s="104">
        <f>IF($Y153&gt;0,VLOOKUP($J153,Ruimtegroepen[],3,FALSE)*VLOOKUP($L153,Vloersoorten[],3,FALSE)*VLOOKUP($X153,Frequenties[],3,FALSE)*VLOOKUP(Ruimtestaat[[#This Row],[Code]],Locaties[],3,FALSE),0)</f>
        <v>0</v>
      </c>
      <c r="AA153" s="104">
        <f>Ruimtestaat[[#This Row],[Uitvoeringen weekend]]*Ruimtestaat[[#This Row],[Oppervlak (netto)]]</f>
        <v>0</v>
      </c>
      <c r="AB153" s="104">
        <f>IF(Z153&gt;0,Ruimtestaat[[#This Row],[Prest. (m2 /jaar) weekend]]/Ruimtestaat[[#This Row],[Norm (m2/uur) weekend]],0)</f>
        <v>0</v>
      </c>
      <c r="AC153" s="171">
        <f>Ruimtestaat[[#This Row],[uren / jaar weekend]]*Tariefsopbouw!$D$40</f>
        <v>0</v>
      </c>
      <c r="AD153" s="170">
        <f>Ruimtestaat[[#This Row],[Prest. (m2 /jaar) weekend]]+Ruimtestaat[[#This Row],[Prest. (m2 /jaar) werkdagen]]</f>
        <v>84</v>
      </c>
      <c r="AE153" s="170">
        <f>Ruimtestaat[[#This Row],[uren / jaar weekend]]+Ruimtestaat[[#This Row],[uren / jaar werkdagen]]</f>
        <v>0</v>
      </c>
      <c r="AF153" s="76">
        <f>Ruimtestaat[[#This Row],[kosten / jaar weekend]]+Ruimtestaat[[#This Row],[kosten / jaar werkdagen]]</f>
        <v>0</v>
      </c>
      <c r="AG153" s="76"/>
      <c r="AH153" s="272" t="str">
        <f>IF(Ruimtestaat[[#This Row],[Frequentie werkdagen]]="","",_xlfn.CONCAT(Ruimtestaat[[#This Row],[Ruimte code]],"-",Ruimtestaat[[#This Row],[Frequentie werkdagen]]," ",Ruimtestaat[[#This Row],[Vloer code]]))</f>
        <v>1-1m T</v>
      </c>
      <c r="AI153" s="314" t="str">
        <f>_xlfn.IFNA(VLOOKUP($AH153,Programma!$F$3:$G$1107,2,0),"")</f>
        <v>_</v>
      </c>
      <c r="AJ153" s="314" t="str">
        <f>_xlfn.IFNA(VLOOKUP($AH153,Programma!$F$3:$H$1107,3,0),"")</f>
        <v>1m</v>
      </c>
      <c r="AK153" s="314" t="str">
        <f>_xlfn.IFNA(VLOOKUP($AH153,Programma!$F$3:$I$1107,4,0),"")</f>
        <v>_</v>
      </c>
      <c r="AL153" s="314" t="str">
        <f>_xlfn.IFNA(VLOOKUP($AH153,Programma!$F$3:$J$1107,5,0),"")</f>
        <v>_</v>
      </c>
      <c r="AM153" s="314" t="str">
        <f>_xlfn.IFNA(VLOOKUP($AH153,Programma!$F$3:$K$1107,6,0),"")</f>
        <v>_</v>
      </c>
      <c r="AN153" s="314" t="str">
        <f>_xlfn.IFNA(VLOOKUP($AH153,Programma!$F$3:$L$1107,7,0),"")</f>
        <v>_</v>
      </c>
      <c r="AO153" s="314" t="str">
        <f>_xlfn.IFNA(VLOOKUP($AH153,Programma!$F$3:$M$1107,8,0),"")</f>
        <v>_</v>
      </c>
      <c r="AP153" s="314" t="str">
        <f>_xlfn.IFNA(VLOOKUP($AH153,Programma!$F$3:$N$1107,9,0),"")</f>
        <v>_</v>
      </c>
      <c r="AQ153" s="314" t="str">
        <f>_xlfn.IFNA(VLOOKUP($AH153,Programma!$F$3:$O$1107,10,0),"")</f>
        <v>_</v>
      </c>
      <c r="AR153" s="314" t="str">
        <f>_xlfn.IFNA(VLOOKUP($AH153,Programma!$F$3:$P$1107,11,0),"")</f>
        <v>_</v>
      </c>
      <c r="AS153" s="314" t="str">
        <f>_xlfn.IFNA(VLOOKUP($AH153,Programma!$F$3:$Q$1107,12,0),"")</f>
        <v>_</v>
      </c>
      <c r="AT153" s="314" t="str">
        <f>_xlfn.IFNA(VLOOKUP($AH153,Programma!$F$3:$R$1107,13,0),"")</f>
        <v>_</v>
      </c>
      <c r="AU153" s="314" t="str">
        <f>_xlfn.IFNA(VLOOKUP($AH153,Programma!$F$3:$S$1107,14,0),"")</f>
        <v>1m</v>
      </c>
      <c r="AV153" s="314" t="str">
        <f>_xlfn.IFNA(VLOOKUP($AH153,Programma!$F$3:$T$1107,15,0),"")</f>
        <v>4j</v>
      </c>
      <c r="AW153" s="314" t="str">
        <f>_xlfn.IFNA(VLOOKUP($AH153,Programma!$F$3:$U$1107,16,0),"")</f>
        <v>4j</v>
      </c>
      <c r="AX153" s="314" t="str">
        <f>_xlfn.IFNA(VLOOKUP($AH153,Programma!$F$3:$V$1107,17,0),"")</f>
        <v>_</v>
      </c>
      <c r="AY153" s="314" t="str">
        <f>_xlfn.IFNA(VLOOKUP($AH153,Programma!$F$3:$W$1107,18,0),"")</f>
        <v>_</v>
      </c>
      <c r="AZ153" s="314" t="str">
        <f>_xlfn.IFNA(VLOOKUP($AH153,Programma!$F$3:$X$1107,19,0),"")</f>
        <v>_</v>
      </c>
      <c r="BA153" s="314" t="str">
        <f>_xlfn.IFNA(VLOOKUP($AH153,Programma!$F$3:$Y$1107,20,0),"")</f>
        <v>_</v>
      </c>
      <c r="BB153" s="273"/>
      <c r="BC153" s="272" t="str">
        <f>IF(Ruimtestaat[[#This Row],[Frequentie weekend]]="","",_xlfn.CONCAT(Ruimtestaat[[#This Row],[Ruimte code]],"-",Ruimtestaat[[#This Row],[Frequentie weekend]]," ",Ruimtestaat[[#This Row],[Vloer code]]))</f>
        <v/>
      </c>
      <c r="BD153" s="314" t="str">
        <f>_xlfn.IFNA(VLOOKUP($BC153,Programma!$F$3:$G$1107,2,0),"")</f>
        <v/>
      </c>
      <c r="BE153" s="314" t="str">
        <f>_xlfn.IFNA(VLOOKUP($BC153,Programma!$F$3:$H$1107,3,0),"")</f>
        <v/>
      </c>
      <c r="BF153" s="314" t="str">
        <f>_xlfn.IFNA(VLOOKUP($BC153,Programma!$F$3:$I$1107,4,0),"")</f>
        <v/>
      </c>
      <c r="BG153" s="314" t="str">
        <f>_xlfn.IFNA(VLOOKUP($BC153,Programma!$F$3:$J$1107,5,0),"")</f>
        <v/>
      </c>
      <c r="BH153" s="314" t="str">
        <f>_xlfn.IFNA(VLOOKUP($BC153,Programma!$F$3:$K$1107,6,0),"")</f>
        <v/>
      </c>
      <c r="BI153" s="314" t="str">
        <f>_xlfn.IFNA(VLOOKUP($BC153,Programma!$F$3:$L$1107,7,0),"")</f>
        <v/>
      </c>
      <c r="BJ153" s="314" t="str">
        <f>_xlfn.IFNA(VLOOKUP($BC153,Programma!$F$3:$M$1107,8,0),"")</f>
        <v/>
      </c>
      <c r="BK153" s="314" t="str">
        <f>_xlfn.IFNA(VLOOKUP($BC153,Programma!$F$3:$N$1107,9,0),"")</f>
        <v/>
      </c>
      <c r="BL153" s="314" t="str">
        <f>_xlfn.IFNA(VLOOKUP($BC153,Programma!$F$3:$O$1107,10,0),"")</f>
        <v/>
      </c>
      <c r="BM153" s="314" t="str">
        <f>_xlfn.IFNA(VLOOKUP($BC153,Programma!$F$3:$P$1107,11,0),"")</f>
        <v/>
      </c>
      <c r="BN153" s="314" t="str">
        <f>_xlfn.IFNA(VLOOKUP($BC153,Programma!$F$3:$Q$1107,12,0),"")</f>
        <v/>
      </c>
      <c r="BO153" s="314" t="str">
        <f>_xlfn.IFNA(VLOOKUP($BC153,Programma!$F$3:$R$1107,13,0),"")</f>
        <v/>
      </c>
      <c r="BP153" s="314" t="str">
        <f>_xlfn.IFNA(VLOOKUP($BC153,Programma!$F$3:$S$1107,14,0),"")</f>
        <v/>
      </c>
      <c r="BQ153" s="314" t="str">
        <f>_xlfn.IFNA(VLOOKUP($BC153,Programma!$F$3:$T$1107,15,0),"")</f>
        <v/>
      </c>
      <c r="BR153" s="314" t="str">
        <f>_xlfn.IFNA(VLOOKUP($BC153,Programma!$F$3:$U$1107,16,0),"")</f>
        <v/>
      </c>
      <c r="BS153" s="314" t="str">
        <f>_xlfn.IFNA(VLOOKUP($BC153,Programma!$F$3:$V$1107,17,0),"")</f>
        <v/>
      </c>
      <c r="BT153" s="314" t="str">
        <f>_xlfn.IFNA(VLOOKUP($BC153,Programma!$F$3:$W$1107,18,0),"")</f>
        <v/>
      </c>
      <c r="BU153" s="314" t="str">
        <f>_xlfn.IFNA(VLOOKUP($BC153,Programma!$F$3:$X$1107,19,0),"")</f>
        <v/>
      </c>
      <c r="BV153" s="314" t="str">
        <f>_xlfn.IFNA(VLOOKUP($BC153,Programma!$F$3:$Y$1107,20,0),"")</f>
        <v/>
      </c>
    </row>
    <row r="154" spans="1:74" ht="15" customHeight="1">
      <c r="A154" s="33">
        <v>1</v>
      </c>
      <c r="B154" s="173" t="str">
        <f>VLOOKUP(Ruimtestaat[[#This Row],[Code]],Locaties[[Code]:[Locatie]],2,FALSE)</f>
        <v>CCNV</v>
      </c>
      <c r="C154" s="173" t="str">
        <f>VLOOKUP(Ruimtestaat[[#This Row],[Code]],Locaties[[#All],[Code]:[Adres]],4,FALSE)</f>
        <v>Stationslaan 26</v>
      </c>
      <c r="D154" s="173" t="str">
        <f>VLOOKUP(Ruimtestaat[[#This Row],[Code]],Locaties[[#All],[Code]:[Postcode]],5,FALSE)</f>
        <v>3842 LA</v>
      </c>
      <c r="E154" s="173" t="str">
        <f>VLOOKUP(Ruimtestaat[[#This Row],[Code]],Locaties[#All],6,FALSE)</f>
        <v>Harderwijk</v>
      </c>
      <c r="F154" s="21" t="s">
        <v>1629</v>
      </c>
      <c r="G154" s="33" t="s">
        <v>1614</v>
      </c>
      <c r="I154" s="69" t="s">
        <v>1766</v>
      </c>
      <c r="J154" s="21">
        <v>6</v>
      </c>
      <c r="K154" s="69" t="str">
        <f>VLOOKUP(Ruimtestaat[[#This Row],[Ruimte code]],Ruimtegroepen[[#All],[Code]:[Ruimte omschrijving]],2,FALSE)</f>
        <v>Gangen/hallen</v>
      </c>
      <c r="L154" s="33" t="s">
        <v>101</v>
      </c>
      <c r="M154" s="312" t="s">
        <v>1804</v>
      </c>
      <c r="N154" s="148">
        <v>31</v>
      </c>
      <c r="O154" s="150"/>
      <c r="P154" s="134" t="str">
        <f>VLOOKUP(Ruimtestaat[[#This Row],[Ruimte code]],Ruimtegroepen[],4,FALSE)</f>
        <v>Ve</v>
      </c>
      <c r="Q154" s="33">
        <v>40</v>
      </c>
      <c r="R154" s="33" t="s">
        <v>2</v>
      </c>
      <c r="S154" s="33">
        <f>IF(Q154&gt;0,IF(RIGHT(Ruimtestaat[[#This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4" s="33">
        <f>IF(S154&gt;0,VLOOKUP($J154,Ruimtegroepen[],3,FALSE)*VLOOKUP($L154,Vloersoorten[],3,FALSE)*VLOOKUP($R154,Frequenties[],3,FALSE)*VLOOKUP($A154,Locaties[],3,FALSE),0)</f>
        <v>0</v>
      </c>
      <c r="U154" s="33">
        <f>Ruimtestaat[[#This Row],[Uitvoeringen werkdagen]]*Ruimtestaat[[#This Row],[Oppervlak (netto)]]</f>
        <v>6200</v>
      </c>
      <c r="V154" s="170">
        <f>IF(T154&gt;0,Ruimtestaat[[#This Row],[Prest. (m2 /jaar) werkdagen]]/Ruimtestaat[[#This Row],[Norm (m2/uur) werkdagen]],0)</f>
        <v>0</v>
      </c>
      <c r="W154" s="171">
        <f>Ruimtestaat[[#This Row],[uren / jaar werkdagen]]*Tariefsopbouw!$E$35</f>
        <v>0</v>
      </c>
      <c r="X154" s="33"/>
      <c r="Y154" s="33">
        <f>IF(Ruimtestaat[[#This Row],[Frequentie weekend]]&gt;0,VALUE(LEFT(X154,1))*Q154,0)</f>
        <v>0</v>
      </c>
      <c r="Z154" s="104">
        <f>IF($Y154&gt;0,VLOOKUP($J154,Ruimtegroepen[],3,FALSE)*VLOOKUP($L154,Vloersoorten[],3,FALSE)*VLOOKUP($X154,Frequenties[],3,FALSE)*VLOOKUP(Ruimtestaat[[#This Row],[Code]],Locaties[],3,FALSE),0)</f>
        <v>0</v>
      </c>
      <c r="AA154" s="104">
        <f>Ruimtestaat[[#This Row],[Uitvoeringen weekend]]*Ruimtestaat[[#This Row],[Oppervlak (netto)]]</f>
        <v>0</v>
      </c>
      <c r="AB154" s="104">
        <f>IF(Z154&gt;0,Ruimtestaat[[#This Row],[Prest. (m2 /jaar) weekend]]/Ruimtestaat[[#This Row],[Norm (m2/uur) weekend]],0)</f>
        <v>0</v>
      </c>
      <c r="AC154" s="171">
        <f>Ruimtestaat[[#This Row],[uren / jaar weekend]]*Tariefsopbouw!$D$40</f>
        <v>0</v>
      </c>
      <c r="AD154" s="170">
        <f>Ruimtestaat[[#This Row],[Prest. (m2 /jaar) weekend]]+Ruimtestaat[[#This Row],[Prest. (m2 /jaar) werkdagen]]</f>
        <v>6200</v>
      </c>
      <c r="AE154" s="170">
        <f>Ruimtestaat[[#This Row],[uren / jaar weekend]]+Ruimtestaat[[#This Row],[uren / jaar werkdagen]]</f>
        <v>0</v>
      </c>
      <c r="AF154" s="76">
        <f>Ruimtestaat[[#This Row],[kosten / jaar weekend]]+Ruimtestaat[[#This Row],[kosten / jaar werkdagen]]</f>
        <v>0</v>
      </c>
      <c r="AG154" s="76"/>
      <c r="AH154" s="272" t="str">
        <f>IF(Ruimtestaat[[#This Row],[Frequentie werkdagen]]="","",_xlfn.CONCAT(Ruimtestaat[[#This Row],[Ruimte code]],"-",Ruimtestaat[[#This Row],[Frequentie werkdagen]]," ",Ruimtestaat[[#This Row],[Vloer code]]))</f>
        <v>6-5w L</v>
      </c>
      <c r="AI154" s="314" t="str">
        <f>_xlfn.IFNA(VLOOKUP($AH154,Programma!$F$3:$G$1107,2,0),"")</f>
        <v>_</v>
      </c>
      <c r="AJ154" s="314" t="str">
        <f>_xlfn.IFNA(VLOOKUP($AH154,Programma!$F$3:$H$1107,3,0),"")</f>
        <v>_</v>
      </c>
      <c r="AK154" s="314" t="str">
        <f>_xlfn.IFNA(VLOOKUP($AH154,Programma!$F$3:$I$1107,4,0),"")</f>
        <v>_</v>
      </c>
      <c r="AL154" s="314" t="str">
        <f>_xlfn.IFNA(VLOOKUP($AH154,Programma!$F$3:$J$1107,5,0),"")</f>
        <v>5w</v>
      </c>
      <c r="AM154" s="314" t="str">
        <f>_xlfn.IFNA(VLOOKUP($AH154,Programma!$F$3:$K$1107,6,0),"")</f>
        <v>_</v>
      </c>
      <c r="AN154" s="314" t="str">
        <f>_xlfn.IFNA(VLOOKUP($AH154,Programma!$F$3:$L$1107,7,0),"")</f>
        <v>_</v>
      </c>
      <c r="AO154" s="314" t="str">
        <f>_xlfn.IFNA(VLOOKUP($AH154,Programma!$F$3:$M$1107,8,0),"")</f>
        <v>_</v>
      </c>
      <c r="AP154" s="314" t="str">
        <f>_xlfn.IFNA(VLOOKUP($AH154,Programma!$F$3:$N$1107,9,0),"")</f>
        <v>_</v>
      </c>
      <c r="AQ154" s="314" t="str">
        <f>_xlfn.IFNA(VLOOKUP($AH154,Programma!$F$3:$O$1107,10,0),"")</f>
        <v>5w</v>
      </c>
      <c r="AR154" s="314" t="str">
        <f>_xlfn.IFNA(VLOOKUP($AH154,Programma!$F$3:$P$1107,11,0),"")</f>
        <v>5w</v>
      </c>
      <c r="AS154" s="314" t="str">
        <f>_xlfn.IFNA(VLOOKUP($AH154,Programma!$F$3:$Q$1107,12,0),"")</f>
        <v>1w</v>
      </c>
      <c r="AT154" s="314" t="str">
        <f>_xlfn.IFNA(VLOOKUP($AH154,Programma!$F$3:$R$1107,13,0),"")</f>
        <v>1w</v>
      </c>
      <c r="AU154" s="314" t="str">
        <f>_xlfn.IFNA(VLOOKUP($AH154,Programma!$F$3:$S$1107,14,0),"")</f>
        <v>1m</v>
      </c>
      <c r="AV154" s="314" t="str">
        <f>_xlfn.IFNA(VLOOKUP($AH154,Programma!$F$3:$T$1107,15,0),"")</f>
        <v>2j</v>
      </c>
      <c r="AW154" s="314" t="str">
        <f>_xlfn.IFNA(VLOOKUP($AH154,Programma!$F$3:$U$1107,16,0),"")</f>
        <v>1j</v>
      </c>
      <c r="AX154" s="314" t="str">
        <f>_xlfn.IFNA(VLOOKUP($AH154,Programma!$F$3:$V$1107,17,0),"")</f>
        <v>_</v>
      </c>
      <c r="AY154" s="314" t="str">
        <f>_xlfn.IFNA(VLOOKUP($AH154,Programma!$F$3:$W$1107,18,0),"")</f>
        <v>_</v>
      </c>
      <c r="AZ154" s="314" t="str">
        <f>_xlfn.IFNA(VLOOKUP($AH154,Programma!$F$3:$X$1107,19,0),"")</f>
        <v>_</v>
      </c>
      <c r="BA154" s="314" t="str">
        <f>_xlfn.IFNA(VLOOKUP($AH154,Programma!$F$3:$Y$1107,20,0),"")</f>
        <v>_</v>
      </c>
      <c r="BB154" s="273"/>
      <c r="BC154" s="272" t="str">
        <f>IF(Ruimtestaat[[#This Row],[Frequentie weekend]]="","",_xlfn.CONCAT(Ruimtestaat[[#This Row],[Ruimte code]],"-",Ruimtestaat[[#This Row],[Frequentie weekend]]," ",Ruimtestaat[[#This Row],[Vloer code]]))</f>
        <v/>
      </c>
      <c r="BD154" s="314" t="str">
        <f>_xlfn.IFNA(VLOOKUP($BC154,Programma!$F$3:$G$1107,2,0),"")</f>
        <v/>
      </c>
      <c r="BE154" s="314" t="str">
        <f>_xlfn.IFNA(VLOOKUP($BC154,Programma!$F$3:$H$1107,3,0),"")</f>
        <v/>
      </c>
      <c r="BF154" s="314" t="str">
        <f>_xlfn.IFNA(VLOOKUP($BC154,Programma!$F$3:$I$1107,4,0),"")</f>
        <v/>
      </c>
      <c r="BG154" s="314" t="str">
        <f>_xlfn.IFNA(VLOOKUP($BC154,Programma!$F$3:$J$1107,5,0),"")</f>
        <v/>
      </c>
      <c r="BH154" s="314" t="str">
        <f>_xlfn.IFNA(VLOOKUP($BC154,Programma!$F$3:$K$1107,6,0),"")</f>
        <v/>
      </c>
      <c r="BI154" s="314" t="str">
        <f>_xlfn.IFNA(VLOOKUP($BC154,Programma!$F$3:$L$1107,7,0),"")</f>
        <v/>
      </c>
      <c r="BJ154" s="314" t="str">
        <f>_xlfn.IFNA(VLOOKUP($BC154,Programma!$F$3:$M$1107,8,0),"")</f>
        <v/>
      </c>
      <c r="BK154" s="314" t="str">
        <f>_xlfn.IFNA(VLOOKUP($BC154,Programma!$F$3:$N$1107,9,0),"")</f>
        <v/>
      </c>
      <c r="BL154" s="314" t="str">
        <f>_xlfn.IFNA(VLOOKUP($BC154,Programma!$F$3:$O$1107,10,0),"")</f>
        <v/>
      </c>
      <c r="BM154" s="314" t="str">
        <f>_xlfn.IFNA(VLOOKUP($BC154,Programma!$F$3:$P$1107,11,0),"")</f>
        <v/>
      </c>
      <c r="BN154" s="314" t="str">
        <f>_xlfn.IFNA(VLOOKUP($BC154,Programma!$F$3:$Q$1107,12,0),"")</f>
        <v/>
      </c>
      <c r="BO154" s="314" t="str">
        <f>_xlfn.IFNA(VLOOKUP($BC154,Programma!$F$3:$R$1107,13,0),"")</f>
        <v/>
      </c>
      <c r="BP154" s="314" t="str">
        <f>_xlfn.IFNA(VLOOKUP($BC154,Programma!$F$3:$S$1107,14,0),"")</f>
        <v/>
      </c>
      <c r="BQ154" s="314" t="str">
        <f>_xlfn.IFNA(VLOOKUP($BC154,Programma!$F$3:$T$1107,15,0),"")</f>
        <v/>
      </c>
      <c r="BR154" s="314" t="str">
        <f>_xlfn.IFNA(VLOOKUP($BC154,Programma!$F$3:$U$1107,16,0),"")</f>
        <v/>
      </c>
      <c r="BS154" s="314" t="str">
        <f>_xlfn.IFNA(VLOOKUP($BC154,Programma!$F$3:$V$1107,17,0),"")</f>
        <v/>
      </c>
      <c r="BT154" s="314" t="str">
        <f>_xlfn.IFNA(VLOOKUP($BC154,Programma!$F$3:$W$1107,18,0),"")</f>
        <v/>
      </c>
      <c r="BU154" s="314" t="str">
        <f>_xlfn.IFNA(VLOOKUP($BC154,Programma!$F$3:$X$1107,19,0),"")</f>
        <v/>
      </c>
      <c r="BV154" s="314" t="str">
        <f>_xlfn.IFNA(VLOOKUP($BC154,Programma!$F$3:$Y$1107,20,0),"")</f>
        <v/>
      </c>
    </row>
    <row r="155" spans="1:74" ht="15" customHeight="1">
      <c r="A155" s="33">
        <v>1</v>
      </c>
      <c r="B155" s="173" t="str">
        <f>VLOOKUP(Ruimtestaat[[#This Row],[Code]],Locaties[[Code]:[Locatie]],2,FALSE)</f>
        <v>CCNV</v>
      </c>
      <c r="C155" s="173" t="str">
        <f>VLOOKUP(Ruimtestaat[[#This Row],[Code]],Locaties[[#All],[Code]:[Adres]],4,FALSE)</f>
        <v>Stationslaan 26</v>
      </c>
      <c r="D155" s="173" t="str">
        <f>VLOOKUP(Ruimtestaat[[#This Row],[Code]],Locaties[[#All],[Code]:[Postcode]],5,FALSE)</f>
        <v>3842 LA</v>
      </c>
      <c r="E155" s="173" t="str">
        <f>VLOOKUP(Ruimtestaat[[#This Row],[Code]],Locaties[#All],6,FALSE)</f>
        <v>Harderwijk</v>
      </c>
      <c r="F155" s="21" t="s">
        <v>1629</v>
      </c>
      <c r="G155" s="33" t="s">
        <v>1614</v>
      </c>
      <c r="I155" s="69" t="s">
        <v>1766</v>
      </c>
      <c r="J155" s="21">
        <v>6</v>
      </c>
      <c r="K155" s="69" t="str">
        <f>VLOOKUP(Ruimtestaat[[#This Row],[Ruimte code]],Ruimtegroepen[[#All],[Code]:[Ruimte omschrijving]],2,FALSE)</f>
        <v>Gangen/hallen</v>
      </c>
      <c r="L155" s="33" t="s">
        <v>101</v>
      </c>
      <c r="M155" s="312" t="s">
        <v>1804</v>
      </c>
      <c r="N155" s="148">
        <v>77</v>
      </c>
      <c r="O155" s="150"/>
      <c r="P155" s="134" t="str">
        <f>VLOOKUP(Ruimtestaat[[#This Row],[Ruimte code]],Ruimtegroepen[],4,FALSE)</f>
        <v>Ve</v>
      </c>
      <c r="Q155" s="33">
        <v>40</v>
      </c>
      <c r="R155" s="33" t="s">
        <v>2</v>
      </c>
      <c r="S155" s="33">
        <f>IF(Q155&gt;0,IF(RIGHT(Ruimtestaat[[#This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5" s="33">
        <f>IF(S155&gt;0,VLOOKUP($J155,Ruimtegroepen[],3,FALSE)*VLOOKUP($L155,Vloersoorten[],3,FALSE)*VLOOKUP($R155,Frequenties[],3,FALSE)*VLOOKUP($A155,Locaties[],3,FALSE),0)</f>
        <v>0</v>
      </c>
      <c r="U155" s="33">
        <f>Ruimtestaat[[#This Row],[Uitvoeringen werkdagen]]*Ruimtestaat[[#This Row],[Oppervlak (netto)]]</f>
        <v>15400</v>
      </c>
      <c r="V155" s="170">
        <f>IF(T155&gt;0,Ruimtestaat[[#This Row],[Prest. (m2 /jaar) werkdagen]]/Ruimtestaat[[#This Row],[Norm (m2/uur) werkdagen]],0)</f>
        <v>0</v>
      </c>
      <c r="W155" s="171">
        <f>Ruimtestaat[[#This Row],[uren / jaar werkdagen]]*Tariefsopbouw!$E$35</f>
        <v>0</v>
      </c>
      <c r="X155" s="33"/>
      <c r="Y155" s="33">
        <f>IF(Ruimtestaat[[#This Row],[Frequentie weekend]]&gt;0,VALUE(LEFT(X155,1))*Q155,0)</f>
        <v>0</v>
      </c>
      <c r="Z155" s="104">
        <f>IF($Y155&gt;0,VLOOKUP($J155,Ruimtegroepen[],3,FALSE)*VLOOKUP($L155,Vloersoorten[],3,FALSE)*VLOOKUP($X155,Frequenties[],3,FALSE)*VLOOKUP(Ruimtestaat[[#This Row],[Code]],Locaties[],3,FALSE),0)</f>
        <v>0</v>
      </c>
      <c r="AA155" s="104">
        <f>Ruimtestaat[[#This Row],[Uitvoeringen weekend]]*Ruimtestaat[[#This Row],[Oppervlak (netto)]]</f>
        <v>0</v>
      </c>
      <c r="AB155" s="104">
        <f>IF(Z155&gt;0,Ruimtestaat[[#This Row],[Prest. (m2 /jaar) weekend]]/Ruimtestaat[[#This Row],[Norm (m2/uur) weekend]],0)</f>
        <v>0</v>
      </c>
      <c r="AC155" s="171">
        <f>Ruimtestaat[[#This Row],[uren / jaar weekend]]*Tariefsopbouw!$D$40</f>
        <v>0</v>
      </c>
      <c r="AD155" s="170">
        <f>Ruimtestaat[[#This Row],[Prest. (m2 /jaar) weekend]]+Ruimtestaat[[#This Row],[Prest. (m2 /jaar) werkdagen]]</f>
        <v>15400</v>
      </c>
      <c r="AE155" s="170">
        <f>Ruimtestaat[[#This Row],[uren / jaar weekend]]+Ruimtestaat[[#This Row],[uren / jaar werkdagen]]</f>
        <v>0</v>
      </c>
      <c r="AF155" s="76">
        <f>Ruimtestaat[[#This Row],[kosten / jaar weekend]]+Ruimtestaat[[#This Row],[kosten / jaar werkdagen]]</f>
        <v>0</v>
      </c>
      <c r="AG155" s="76"/>
      <c r="AH155" s="272" t="str">
        <f>IF(Ruimtestaat[[#This Row],[Frequentie werkdagen]]="","",_xlfn.CONCAT(Ruimtestaat[[#This Row],[Ruimte code]],"-",Ruimtestaat[[#This Row],[Frequentie werkdagen]]," ",Ruimtestaat[[#This Row],[Vloer code]]))</f>
        <v>6-5w L</v>
      </c>
      <c r="AI155" s="314" t="str">
        <f>_xlfn.IFNA(VLOOKUP($AH155,Programma!$F$3:$G$1107,2,0),"")</f>
        <v>_</v>
      </c>
      <c r="AJ155" s="314" t="str">
        <f>_xlfn.IFNA(VLOOKUP($AH155,Programma!$F$3:$H$1107,3,0),"")</f>
        <v>_</v>
      </c>
      <c r="AK155" s="314" t="str">
        <f>_xlfn.IFNA(VLOOKUP($AH155,Programma!$F$3:$I$1107,4,0),"")</f>
        <v>_</v>
      </c>
      <c r="AL155" s="314" t="str">
        <f>_xlfn.IFNA(VLOOKUP($AH155,Programma!$F$3:$J$1107,5,0),"")</f>
        <v>5w</v>
      </c>
      <c r="AM155" s="314" t="str">
        <f>_xlfn.IFNA(VLOOKUP($AH155,Programma!$F$3:$K$1107,6,0),"")</f>
        <v>_</v>
      </c>
      <c r="AN155" s="314" t="str">
        <f>_xlfn.IFNA(VLOOKUP($AH155,Programma!$F$3:$L$1107,7,0),"")</f>
        <v>_</v>
      </c>
      <c r="AO155" s="314" t="str">
        <f>_xlfn.IFNA(VLOOKUP($AH155,Programma!$F$3:$M$1107,8,0),"")</f>
        <v>_</v>
      </c>
      <c r="AP155" s="314" t="str">
        <f>_xlfn.IFNA(VLOOKUP($AH155,Programma!$F$3:$N$1107,9,0),"")</f>
        <v>_</v>
      </c>
      <c r="AQ155" s="314" t="str">
        <f>_xlfn.IFNA(VLOOKUP($AH155,Programma!$F$3:$O$1107,10,0),"")</f>
        <v>5w</v>
      </c>
      <c r="AR155" s="314" t="str">
        <f>_xlfn.IFNA(VLOOKUP($AH155,Programma!$F$3:$P$1107,11,0),"")</f>
        <v>5w</v>
      </c>
      <c r="AS155" s="314" t="str">
        <f>_xlfn.IFNA(VLOOKUP($AH155,Programma!$F$3:$Q$1107,12,0),"")</f>
        <v>1w</v>
      </c>
      <c r="AT155" s="314" t="str">
        <f>_xlfn.IFNA(VLOOKUP($AH155,Programma!$F$3:$R$1107,13,0),"")</f>
        <v>1w</v>
      </c>
      <c r="AU155" s="314" t="str">
        <f>_xlfn.IFNA(VLOOKUP($AH155,Programma!$F$3:$S$1107,14,0),"")</f>
        <v>1m</v>
      </c>
      <c r="AV155" s="314" t="str">
        <f>_xlfn.IFNA(VLOOKUP($AH155,Programma!$F$3:$T$1107,15,0),"")</f>
        <v>2j</v>
      </c>
      <c r="AW155" s="314" t="str">
        <f>_xlfn.IFNA(VLOOKUP($AH155,Programma!$F$3:$U$1107,16,0),"")</f>
        <v>1j</v>
      </c>
      <c r="AX155" s="314" t="str">
        <f>_xlfn.IFNA(VLOOKUP($AH155,Programma!$F$3:$V$1107,17,0),"")</f>
        <v>_</v>
      </c>
      <c r="AY155" s="314" t="str">
        <f>_xlfn.IFNA(VLOOKUP($AH155,Programma!$F$3:$W$1107,18,0),"")</f>
        <v>_</v>
      </c>
      <c r="AZ155" s="314" t="str">
        <f>_xlfn.IFNA(VLOOKUP($AH155,Programma!$F$3:$X$1107,19,0),"")</f>
        <v>_</v>
      </c>
      <c r="BA155" s="314" t="str">
        <f>_xlfn.IFNA(VLOOKUP($AH155,Programma!$F$3:$Y$1107,20,0),"")</f>
        <v>_</v>
      </c>
      <c r="BB155" s="273"/>
      <c r="BC155" s="272" t="str">
        <f>IF(Ruimtestaat[[#This Row],[Frequentie weekend]]="","",_xlfn.CONCAT(Ruimtestaat[[#This Row],[Ruimte code]],"-",Ruimtestaat[[#This Row],[Frequentie weekend]]," ",Ruimtestaat[[#This Row],[Vloer code]]))</f>
        <v/>
      </c>
      <c r="BD155" s="314" t="str">
        <f>_xlfn.IFNA(VLOOKUP($BC155,Programma!$F$3:$G$1107,2,0),"")</f>
        <v/>
      </c>
      <c r="BE155" s="314" t="str">
        <f>_xlfn.IFNA(VLOOKUP($BC155,Programma!$F$3:$H$1107,3,0),"")</f>
        <v/>
      </c>
      <c r="BF155" s="314" t="str">
        <f>_xlfn.IFNA(VLOOKUP($BC155,Programma!$F$3:$I$1107,4,0),"")</f>
        <v/>
      </c>
      <c r="BG155" s="314" t="str">
        <f>_xlfn.IFNA(VLOOKUP($BC155,Programma!$F$3:$J$1107,5,0),"")</f>
        <v/>
      </c>
      <c r="BH155" s="314" t="str">
        <f>_xlfn.IFNA(VLOOKUP($BC155,Programma!$F$3:$K$1107,6,0),"")</f>
        <v/>
      </c>
      <c r="BI155" s="314" t="str">
        <f>_xlfn.IFNA(VLOOKUP($BC155,Programma!$F$3:$L$1107,7,0),"")</f>
        <v/>
      </c>
      <c r="BJ155" s="314" t="str">
        <f>_xlfn.IFNA(VLOOKUP($BC155,Programma!$F$3:$M$1107,8,0),"")</f>
        <v/>
      </c>
      <c r="BK155" s="314" t="str">
        <f>_xlfn.IFNA(VLOOKUP($BC155,Programma!$F$3:$N$1107,9,0),"")</f>
        <v/>
      </c>
      <c r="BL155" s="314" t="str">
        <f>_xlfn.IFNA(VLOOKUP($BC155,Programma!$F$3:$O$1107,10,0),"")</f>
        <v/>
      </c>
      <c r="BM155" s="314" t="str">
        <f>_xlfn.IFNA(VLOOKUP($BC155,Programma!$F$3:$P$1107,11,0),"")</f>
        <v/>
      </c>
      <c r="BN155" s="314" t="str">
        <f>_xlfn.IFNA(VLOOKUP($BC155,Programma!$F$3:$Q$1107,12,0),"")</f>
        <v/>
      </c>
      <c r="BO155" s="314" t="str">
        <f>_xlfn.IFNA(VLOOKUP($BC155,Programma!$F$3:$R$1107,13,0),"")</f>
        <v/>
      </c>
      <c r="BP155" s="314" t="str">
        <f>_xlfn.IFNA(VLOOKUP($BC155,Programma!$F$3:$S$1107,14,0),"")</f>
        <v/>
      </c>
      <c r="BQ155" s="314" t="str">
        <f>_xlfn.IFNA(VLOOKUP($BC155,Programma!$F$3:$T$1107,15,0),"")</f>
        <v/>
      </c>
      <c r="BR155" s="314" t="str">
        <f>_xlfn.IFNA(VLOOKUP($BC155,Programma!$F$3:$U$1107,16,0),"")</f>
        <v/>
      </c>
      <c r="BS155" s="314" t="str">
        <f>_xlfn.IFNA(VLOOKUP($BC155,Programma!$F$3:$V$1107,17,0),"")</f>
        <v/>
      </c>
      <c r="BT155" s="314" t="str">
        <f>_xlfn.IFNA(VLOOKUP($BC155,Programma!$F$3:$W$1107,18,0),"")</f>
        <v/>
      </c>
      <c r="BU155" s="314" t="str">
        <f>_xlfn.IFNA(VLOOKUP($BC155,Programma!$F$3:$X$1107,19,0),"")</f>
        <v/>
      </c>
      <c r="BV155" s="314" t="str">
        <f>_xlfn.IFNA(VLOOKUP($BC155,Programma!$F$3:$Y$1107,20,0),"")</f>
        <v/>
      </c>
    </row>
    <row r="156" spans="1:74" ht="15" customHeight="1">
      <c r="A156" s="33">
        <v>1</v>
      </c>
      <c r="B156" s="173" t="str">
        <f>VLOOKUP(Ruimtestaat[[#This Row],[Code]],Locaties[[Code]:[Locatie]],2,FALSE)</f>
        <v>CCNV</v>
      </c>
      <c r="C156" s="173" t="str">
        <f>VLOOKUP(Ruimtestaat[[#This Row],[Code]],Locaties[[#All],[Code]:[Adres]],4,FALSE)</f>
        <v>Stationslaan 26</v>
      </c>
      <c r="D156" s="173" t="str">
        <f>VLOOKUP(Ruimtestaat[[#This Row],[Code]],Locaties[[#All],[Code]:[Postcode]],5,FALSE)</f>
        <v>3842 LA</v>
      </c>
      <c r="E156" s="173" t="str">
        <f>VLOOKUP(Ruimtestaat[[#This Row],[Code]],Locaties[#All],6,FALSE)</f>
        <v>Harderwijk</v>
      </c>
      <c r="F156" s="21" t="s">
        <v>1629</v>
      </c>
      <c r="G156" s="33" t="s">
        <v>1614</v>
      </c>
      <c r="I156" s="69" t="s">
        <v>1766</v>
      </c>
      <c r="J156" s="21">
        <v>6</v>
      </c>
      <c r="K156" s="69" t="str">
        <f>VLOOKUP(Ruimtestaat[[#This Row],[Ruimte code]],Ruimtegroepen[[#All],[Code]:[Ruimte omschrijving]],2,FALSE)</f>
        <v>Gangen/hallen</v>
      </c>
      <c r="L156" s="33" t="s">
        <v>101</v>
      </c>
      <c r="M156" s="312" t="s">
        <v>1804</v>
      </c>
      <c r="N156" s="148">
        <v>17</v>
      </c>
      <c r="O156" s="33"/>
      <c r="P156" s="134" t="str">
        <f>VLOOKUP(Ruimtestaat[[#This Row],[Ruimte code]],Ruimtegroepen[],4,FALSE)</f>
        <v>Ve</v>
      </c>
      <c r="Q156" s="33">
        <v>40</v>
      </c>
      <c r="R156" s="33" t="s">
        <v>2</v>
      </c>
      <c r="S156" s="33">
        <f>IF(Q156&gt;0,IF(RIGHT(Ruimtestaat[[#This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6" s="33">
        <f>IF(S156&gt;0,VLOOKUP($J156,Ruimtegroepen[],3,FALSE)*VLOOKUP($L156,Vloersoorten[],3,FALSE)*VLOOKUP($R156,Frequenties[],3,FALSE)*VLOOKUP($A156,Locaties[],3,FALSE),0)</f>
        <v>0</v>
      </c>
      <c r="U156" s="33">
        <f>Ruimtestaat[[#This Row],[Uitvoeringen werkdagen]]*Ruimtestaat[[#This Row],[Oppervlak (netto)]]</f>
        <v>3400</v>
      </c>
      <c r="V156" s="170">
        <f>IF(T156&gt;0,Ruimtestaat[[#This Row],[Prest. (m2 /jaar) werkdagen]]/Ruimtestaat[[#This Row],[Norm (m2/uur) werkdagen]],0)</f>
        <v>0</v>
      </c>
      <c r="W156" s="171">
        <f>Ruimtestaat[[#This Row],[uren / jaar werkdagen]]*Tariefsopbouw!$E$35</f>
        <v>0</v>
      </c>
      <c r="X156" s="33"/>
      <c r="Y156" s="33">
        <f>IF(Ruimtestaat[[#This Row],[Frequentie weekend]]&gt;0,VALUE(LEFT(X156,1))*Q156,0)</f>
        <v>0</v>
      </c>
      <c r="Z156" s="104">
        <f>IF($Y156&gt;0,VLOOKUP($J156,Ruimtegroepen[],3,FALSE)*VLOOKUP($L156,Vloersoorten[],3,FALSE)*VLOOKUP($X156,Frequenties[],3,FALSE)*VLOOKUP(Ruimtestaat[[#This Row],[Code]],Locaties[],3,FALSE),0)</f>
        <v>0</v>
      </c>
      <c r="AA156" s="104">
        <f>Ruimtestaat[[#This Row],[Uitvoeringen weekend]]*Ruimtestaat[[#This Row],[Oppervlak (netto)]]</f>
        <v>0</v>
      </c>
      <c r="AB156" s="104">
        <f>IF(Z156&gt;0,Ruimtestaat[[#This Row],[Prest. (m2 /jaar) weekend]]/Ruimtestaat[[#This Row],[Norm (m2/uur) weekend]],0)</f>
        <v>0</v>
      </c>
      <c r="AC156" s="171">
        <f>Ruimtestaat[[#This Row],[uren / jaar weekend]]*Tariefsopbouw!$D$40</f>
        <v>0</v>
      </c>
      <c r="AD156" s="170">
        <f>Ruimtestaat[[#This Row],[Prest. (m2 /jaar) weekend]]+Ruimtestaat[[#This Row],[Prest. (m2 /jaar) werkdagen]]</f>
        <v>3400</v>
      </c>
      <c r="AE156" s="170">
        <f>Ruimtestaat[[#This Row],[uren / jaar weekend]]+Ruimtestaat[[#This Row],[uren / jaar werkdagen]]</f>
        <v>0</v>
      </c>
      <c r="AF156" s="76">
        <f>Ruimtestaat[[#This Row],[kosten / jaar weekend]]+Ruimtestaat[[#This Row],[kosten / jaar werkdagen]]</f>
        <v>0</v>
      </c>
      <c r="AG156" s="76"/>
      <c r="AH156" s="272" t="str">
        <f>IF(Ruimtestaat[[#This Row],[Frequentie werkdagen]]="","",_xlfn.CONCAT(Ruimtestaat[[#This Row],[Ruimte code]],"-",Ruimtestaat[[#This Row],[Frequentie werkdagen]]," ",Ruimtestaat[[#This Row],[Vloer code]]))</f>
        <v>6-5w L</v>
      </c>
      <c r="AI156" s="314" t="str">
        <f>_xlfn.IFNA(VLOOKUP($AH156,Programma!$F$3:$G$1107,2,0),"")</f>
        <v>_</v>
      </c>
      <c r="AJ156" s="314" t="str">
        <f>_xlfn.IFNA(VLOOKUP($AH156,Programma!$F$3:$H$1107,3,0),"")</f>
        <v>_</v>
      </c>
      <c r="AK156" s="314" t="str">
        <f>_xlfn.IFNA(VLOOKUP($AH156,Programma!$F$3:$I$1107,4,0),"")</f>
        <v>_</v>
      </c>
      <c r="AL156" s="314" t="str">
        <f>_xlfn.IFNA(VLOOKUP($AH156,Programma!$F$3:$J$1107,5,0),"")</f>
        <v>5w</v>
      </c>
      <c r="AM156" s="314" t="str">
        <f>_xlfn.IFNA(VLOOKUP($AH156,Programma!$F$3:$K$1107,6,0),"")</f>
        <v>_</v>
      </c>
      <c r="AN156" s="314" t="str">
        <f>_xlfn.IFNA(VLOOKUP($AH156,Programma!$F$3:$L$1107,7,0),"")</f>
        <v>_</v>
      </c>
      <c r="AO156" s="314" t="str">
        <f>_xlfn.IFNA(VLOOKUP($AH156,Programma!$F$3:$M$1107,8,0),"")</f>
        <v>_</v>
      </c>
      <c r="AP156" s="314" t="str">
        <f>_xlfn.IFNA(VLOOKUP($AH156,Programma!$F$3:$N$1107,9,0),"")</f>
        <v>_</v>
      </c>
      <c r="AQ156" s="314" t="str">
        <f>_xlfn.IFNA(VLOOKUP($AH156,Programma!$F$3:$O$1107,10,0),"")</f>
        <v>5w</v>
      </c>
      <c r="AR156" s="314" t="str">
        <f>_xlfn.IFNA(VLOOKUP($AH156,Programma!$F$3:$P$1107,11,0),"")</f>
        <v>5w</v>
      </c>
      <c r="AS156" s="314" t="str">
        <f>_xlfn.IFNA(VLOOKUP($AH156,Programma!$F$3:$Q$1107,12,0),"")</f>
        <v>1w</v>
      </c>
      <c r="AT156" s="314" t="str">
        <f>_xlfn.IFNA(VLOOKUP($AH156,Programma!$F$3:$R$1107,13,0),"")</f>
        <v>1w</v>
      </c>
      <c r="AU156" s="314" t="str">
        <f>_xlfn.IFNA(VLOOKUP($AH156,Programma!$F$3:$S$1107,14,0),"")</f>
        <v>1m</v>
      </c>
      <c r="AV156" s="314" t="str">
        <f>_xlfn.IFNA(VLOOKUP($AH156,Programma!$F$3:$T$1107,15,0),"")</f>
        <v>2j</v>
      </c>
      <c r="AW156" s="314" t="str">
        <f>_xlfn.IFNA(VLOOKUP($AH156,Programma!$F$3:$U$1107,16,0),"")</f>
        <v>1j</v>
      </c>
      <c r="AX156" s="314" t="str">
        <f>_xlfn.IFNA(VLOOKUP($AH156,Programma!$F$3:$V$1107,17,0),"")</f>
        <v>_</v>
      </c>
      <c r="AY156" s="314" t="str">
        <f>_xlfn.IFNA(VLOOKUP($AH156,Programma!$F$3:$W$1107,18,0),"")</f>
        <v>_</v>
      </c>
      <c r="AZ156" s="314" t="str">
        <f>_xlfn.IFNA(VLOOKUP($AH156,Programma!$F$3:$X$1107,19,0),"")</f>
        <v>_</v>
      </c>
      <c r="BA156" s="314" t="str">
        <f>_xlfn.IFNA(VLOOKUP($AH156,Programma!$F$3:$Y$1107,20,0),"")</f>
        <v>_</v>
      </c>
      <c r="BB156" s="273"/>
      <c r="BC156" s="272" t="str">
        <f>IF(Ruimtestaat[[#This Row],[Frequentie weekend]]="","",_xlfn.CONCAT(Ruimtestaat[[#This Row],[Ruimte code]],"-",Ruimtestaat[[#This Row],[Frequentie weekend]]," ",Ruimtestaat[[#This Row],[Vloer code]]))</f>
        <v/>
      </c>
      <c r="BD156" s="314" t="str">
        <f>_xlfn.IFNA(VLOOKUP($BC156,Programma!$F$3:$G$1107,2,0),"")</f>
        <v/>
      </c>
      <c r="BE156" s="314" t="str">
        <f>_xlfn.IFNA(VLOOKUP($BC156,Programma!$F$3:$H$1107,3,0),"")</f>
        <v/>
      </c>
      <c r="BF156" s="314" t="str">
        <f>_xlfn.IFNA(VLOOKUP($BC156,Programma!$F$3:$I$1107,4,0),"")</f>
        <v/>
      </c>
      <c r="BG156" s="314" t="str">
        <f>_xlfn.IFNA(VLOOKUP($BC156,Programma!$F$3:$J$1107,5,0),"")</f>
        <v/>
      </c>
      <c r="BH156" s="314" t="str">
        <f>_xlfn.IFNA(VLOOKUP($BC156,Programma!$F$3:$K$1107,6,0),"")</f>
        <v/>
      </c>
      <c r="BI156" s="314" t="str">
        <f>_xlfn.IFNA(VLOOKUP($BC156,Programma!$F$3:$L$1107,7,0),"")</f>
        <v/>
      </c>
      <c r="BJ156" s="314" t="str">
        <f>_xlfn.IFNA(VLOOKUP($BC156,Programma!$F$3:$M$1107,8,0),"")</f>
        <v/>
      </c>
      <c r="BK156" s="314" t="str">
        <f>_xlfn.IFNA(VLOOKUP($BC156,Programma!$F$3:$N$1107,9,0),"")</f>
        <v/>
      </c>
      <c r="BL156" s="314" t="str">
        <f>_xlfn.IFNA(VLOOKUP($BC156,Programma!$F$3:$O$1107,10,0),"")</f>
        <v/>
      </c>
      <c r="BM156" s="314" t="str">
        <f>_xlfn.IFNA(VLOOKUP($BC156,Programma!$F$3:$P$1107,11,0),"")</f>
        <v/>
      </c>
      <c r="BN156" s="314" t="str">
        <f>_xlfn.IFNA(VLOOKUP($BC156,Programma!$F$3:$Q$1107,12,0),"")</f>
        <v/>
      </c>
      <c r="BO156" s="314" t="str">
        <f>_xlfn.IFNA(VLOOKUP($BC156,Programma!$F$3:$R$1107,13,0),"")</f>
        <v/>
      </c>
      <c r="BP156" s="314" t="str">
        <f>_xlfn.IFNA(VLOOKUP($BC156,Programma!$F$3:$S$1107,14,0),"")</f>
        <v/>
      </c>
      <c r="BQ156" s="314" t="str">
        <f>_xlfn.IFNA(VLOOKUP($BC156,Programma!$F$3:$T$1107,15,0),"")</f>
        <v/>
      </c>
      <c r="BR156" s="314" t="str">
        <f>_xlfn.IFNA(VLOOKUP($BC156,Programma!$F$3:$U$1107,16,0),"")</f>
        <v/>
      </c>
      <c r="BS156" s="314" t="str">
        <f>_xlfn.IFNA(VLOOKUP($BC156,Programma!$F$3:$V$1107,17,0),"")</f>
        <v/>
      </c>
      <c r="BT156" s="314" t="str">
        <f>_xlfn.IFNA(VLOOKUP($BC156,Programma!$F$3:$W$1107,18,0),"")</f>
        <v/>
      </c>
      <c r="BU156" s="314" t="str">
        <f>_xlfn.IFNA(VLOOKUP($BC156,Programma!$F$3:$X$1107,19,0),"")</f>
        <v/>
      </c>
      <c r="BV156" s="314" t="str">
        <f>_xlfn.IFNA(VLOOKUP($BC156,Programma!$F$3:$Y$1107,20,0),"")</f>
        <v/>
      </c>
    </row>
    <row r="157" spans="1:74" ht="15" customHeight="1">
      <c r="A157" s="33">
        <v>1</v>
      </c>
      <c r="B157" s="173" t="str">
        <f>VLOOKUP(Ruimtestaat[[#This Row],[Code]],Locaties[[Code]:[Locatie]],2,FALSE)</f>
        <v>CCNV</v>
      </c>
      <c r="C157" s="173" t="str">
        <f>VLOOKUP(Ruimtestaat[[#This Row],[Code]],Locaties[[#All],[Code]:[Adres]],4,FALSE)</f>
        <v>Stationslaan 26</v>
      </c>
      <c r="D157" s="173" t="str">
        <f>VLOOKUP(Ruimtestaat[[#This Row],[Code]],Locaties[[#All],[Code]:[Postcode]],5,FALSE)</f>
        <v>3842 LA</v>
      </c>
      <c r="E157" s="173" t="str">
        <f>VLOOKUP(Ruimtestaat[[#This Row],[Code]],Locaties[#All],6,FALSE)</f>
        <v>Harderwijk</v>
      </c>
      <c r="F157" s="21" t="s">
        <v>1629</v>
      </c>
      <c r="G157" s="33" t="s">
        <v>1614</v>
      </c>
      <c r="H157" s="21" t="s">
        <v>1754</v>
      </c>
      <c r="I157" s="69" t="s">
        <v>1730</v>
      </c>
      <c r="J157" s="21">
        <v>5</v>
      </c>
      <c r="K157" s="69" t="str">
        <f>VLOOKUP(Ruimtestaat[[#This Row],[Ruimte code]],Ruimtegroepen[[#All],[Code]:[Ruimte omschrijving]],2,FALSE)</f>
        <v>Sanitair</v>
      </c>
      <c r="L157" s="33" t="s">
        <v>102</v>
      </c>
      <c r="M157" s="312" t="s">
        <v>1805</v>
      </c>
      <c r="N157" s="148">
        <v>6.5</v>
      </c>
      <c r="O157" s="150"/>
      <c r="P157" s="134" t="str">
        <f>VLOOKUP(Ruimtestaat[[#This Row],[Ruimte code]],Ruimtegroepen[],4,FALSE)</f>
        <v>Sa</v>
      </c>
      <c r="Q157" s="33">
        <v>40</v>
      </c>
      <c r="R157" s="33" t="s">
        <v>2</v>
      </c>
      <c r="S157" s="33">
        <f>IF(Q157&gt;0,IF(RIGHT(Ruimtestaat[[#This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7" s="33">
        <f>IF(S157&gt;0,VLOOKUP($J157,Ruimtegroepen[],3,FALSE)*VLOOKUP($L157,Vloersoorten[],3,FALSE)*VLOOKUP($R157,Frequenties[],3,FALSE)*VLOOKUP($A157,Locaties[],3,FALSE),0)</f>
        <v>0</v>
      </c>
      <c r="U157" s="33">
        <f>Ruimtestaat[[#This Row],[Uitvoeringen werkdagen]]*Ruimtestaat[[#This Row],[Oppervlak (netto)]]</f>
        <v>1300</v>
      </c>
      <c r="V157" s="170">
        <f>IF(T157&gt;0,Ruimtestaat[[#This Row],[Prest. (m2 /jaar) werkdagen]]/Ruimtestaat[[#This Row],[Norm (m2/uur) werkdagen]],0)</f>
        <v>0</v>
      </c>
      <c r="W157" s="171">
        <f>Ruimtestaat[[#This Row],[uren / jaar werkdagen]]*Tariefsopbouw!$E$35</f>
        <v>0</v>
      </c>
      <c r="X157" s="33"/>
      <c r="Y157" s="33">
        <f>IF(Ruimtestaat[[#This Row],[Frequentie weekend]]&gt;0,VALUE(LEFT(X157,1))*Q157,0)</f>
        <v>0</v>
      </c>
      <c r="Z157" s="104">
        <f>IF($Y157&gt;0,VLOOKUP($J157,Ruimtegroepen[],3,FALSE)*VLOOKUP($L157,Vloersoorten[],3,FALSE)*VLOOKUP($X157,Frequenties[],3,FALSE)*VLOOKUP(Ruimtestaat[[#This Row],[Code]],Locaties[],3,FALSE),0)</f>
        <v>0</v>
      </c>
      <c r="AA157" s="104">
        <f>Ruimtestaat[[#This Row],[Uitvoeringen weekend]]*Ruimtestaat[[#This Row],[Oppervlak (netto)]]</f>
        <v>0</v>
      </c>
      <c r="AB157" s="104">
        <f>IF(Z157&gt;0,Ruimtestaat[[#This Row],[Prest. (m2 /jaar) weekend]]/Ruimtestaat[[#This Row],[Norm (m2/uur) weekend]],0)</f>
        <v>0</v>
      </c>
      <c r="AC157" s="171">
        <f>Ruimtestaat[[#This Row],[uren / jaar weekend]]*Tariefsopbouw!$D$40</f>
        <v>0</v>
      </c>
      <c r="AD157" s="170">
        <f>Ruimtestaat[[#This Row],[Prest. (m2 /jaar) weekend]]+Ruimtestaat[[#This Row],[Prest. (m2 /jaar) werkdagen]]</f>
        <v>1300</v>
      </c>
      <c r="AE157" s="170">
        <f>Ruimtestaat[[#This Row],[uren / jaar weekend]]+Ruimtestaat[[#This Row],[uren / jaar werkdagen]]</f>
        <v>0</v>
      </c>
      <c r="AF157" s="76">
        <f>Ruimtestaat[[#This Row],[kosten / jaar weekend]]+Ruimtestaat[[#This Row],[kosten / jaar werkdagen]]</f>
        <v>0</v>
      </c>
      <c r="AG157" s="76"/>
      <c r="AH157" s="272" t="str">
        <f>IF(Ruimtestaat[[#This Row],[Frequentie werkdagen]]="","",_xlfn.CONCAT(Ruimtestaat[[#This Row],[Ruimte code]],"-",Ruimtestaat[[#This Row],[Frequentie werkdagen]]," ",Ruimtestaat[[#This Row],[Vloer code]]))</f>
        <v>5-5w S</v>
      </c>
      <c r="AI157" s="314" t="str">
        <f>_xlfn.IFNA(VLOOKUP($AH157,Programma!$F$3:$G$1107,2,0),"")</f>
        <v>_</v>
      </c>
      <c r="AJ157" s="314" t="str">
        <f>_xlfn.IFNA(VLOOKUP($AH157,Programma!$F$3:$H$1107,3,0),"")</f>
        <v>_</v>
      </c>
      <c r="AK157" s="314" t="str">
        <f>_xlfn.IFNA(VLOOKUP($AH157,Programma!$F$3:$I$1107,4,0),"")</f>
        <v>_</v>
      </c>
      <c r="AL157" s="314" t="str">
        <f>_xlfn.IFNA(VLOOKUP($AH157,Programma!$F$3:$J$1107,5,0),"")</f>
        <v>4w</v>
      </c>
      <c r="AM157" s="314" t="str">
        <f>_xlfn.IFNA(VLOOKUP($AH157,Programma!$F$3:$K$1107,6,0),"")</f>
        <v>1w</v>
      </c>
      <c r="AN157" s="314" t="str">
        <f>_xlfn.IFNA(VLOOKUP($AH157,Programma!$F$3:$L$1107,7,0),"")</f>
        <v>_</v>
      </c>
      <c r="AO157" s="314" t="str">
        <f>_xlfn.IFNA(VLOOKUP($AH157,Programma!$F$3:$M$1107,8,0),"")</f>
        <v>_</v>
      </c>
      <c r="AP157" s="314" t="str">
        <f>_xlfn.IFNA(VLOOKUP($AH157,Programma!$F$3:$N$1107,9,0),"")</f>
        <v>_</v>
      </c>
      <c r="AQ157" s="314" t="str">
        <f>_xlfn.IFNA(VLOOKUP($AH157,Programma!$F$3:$O$1107,10,0),"")</f>
        <v>_</v>
      </c>
      <c r="AR157" s="314" t="str">
        <f>_xlfn.IFNA(VLOOKUP($AH157,Programma!$F$3:$P$1107,11,0),"")</f>
        <v>_</v>
      </c>
      <c r="AS157" s="314" t="str">
        <f>_xlfn.IFNA(VLOOKUP($AH157,Programma!$F$3:$Q$1107,12,0),"")</f>
        <v>_</v>
      </c>
      <c r="AT157" s="314" t="str">
        <f>_xlfn.IFNA(VLOOKUP($AH157,Programma!$F$3:$R$1107,13,0),"")</f>
        <v>_</v>
      </c>
      <c r="AU157" s="314" t="str">
        <f>_xlfn.IFNA(VLOOKUP($AH157,Programma!$F$3:$S$1107,14,0),"")</f>
        <v>_</v>
      </c>
      <c r="AV157" s="314" t="str">
        <f>_xlfn.IFNA(VLOOKUP($AH157,Programma!$F$3:$T$1107,15,0),"")</f>
        <v>_</v>
      </c>
      <c r="AW157" s="314" t="str">
        <f>_xlfn.IFNA(VLOOKUP($AH157,Programma!$F$3:$U$1107,16,0),"")</f>
        <v>_</v>
      </c>
      <c r="AX157" s="314" t="str">
        <f>_xlfn.IFNA(VLOOKUP($AH157,Programma!$F$3:$V$1107,17,0),"")</f>
        <v>_</v>
      </c>
      <c r="AY157" s="314" t="str">
        <f>_xlfn.IFNA(VLOOKUP($AH157,Programma!$F$3:$W$1107,18,0),"")</f>
        <v>4w</v>
      </c>
      <c r="AZ157" s="314" t="str">
        <f>_xlfn.IFNA(VLOOKUP($AH157,Programma!$F$3:$X$1107,19,0),"")</f>
        <v>1w</v>
      </c>
      <c r="BA157" s="314" t="str">
        <f>_xlfn.IFNA(VLOOKUP($AH157,Programma!$F$3:$Y$1107,20,0),"")</f>
        <v>_</v>
      </c>
      <c r="BB157" s="273"/>
      <c r="BC157" s="272" t="str">
        <f>IF(Ruimtestaat[[#This Row],[Frequentie weekend]]="","",_xlfn.CONCAT(Ruimtestaat[[#This Row],[Ruimte code]],"-",Ruimtestaat[[#This Row],[Frequentie weekend]]," ",Ruimtestaat[[#This Row],[Vloer code]]))</f>
        <v/>
      </c>
      <c r="BD157" s="314" t="str">
        <f>_xlfn.IFNA(VLOOKUP($BC157,Programma!$F$3:$G$1107,2,0),"")</f>
        <v/>
      </c>
      <c r="BE157" s="314" t="str">
        <f>_xlfn.IFNA(VLOOKUP($BC157,Programma!$F$3:$H$1107,3,0),"")</f>
        <v/>
      </c>
      <c r="BF157" s="314" t="str">
        <f>_xlfn.IFNA(VLOOKUP($BC157,Programma!$F$3:$I$1107,4,0),"")</f>
        <v/>
      </c>
      <c r="BG157" s="314" t="str">
        <f>_xlfn.IFNA(VLOOKUP($BC157,Programma!$F$3:$J$1107,5,0),"")</f>
        <v/>
      </c>
      <c r="BH157" s="314" t="str">
        <f>_xlfn.IFNA(VLOOKUP($BC157,Programma!$F$3:$K$1107,6,0),"")</f>
        <v/>
      </c>
      <c r="BI157" s="314" t="str">
        <f>_xlfn.IFNA(VLOOKUP($BC157,Programma!$F$3:$L$1107,7,0),"")</f>
        <v/>
      </c>
      <c r="BJ157" s="314" t="str">
        <f>_xlfn.IFNA(VLOOKUP($BC157,Programma!$F$3:$M$1107,8,0),"")</f>
        <v/>
      </c>
      <c r="BK157" s="314" t="str">
        <f>_xlfn.IFNA(VLOOKUP($BC157,Programma!$F$3:$N$1107,9,0),"")</f>
        <v/>
      </c>
      <c r="BL157" s="314" t="str">
        <f>_xlfn.IFNA(VLOOKUP($BC157,Programma!$F$3:$O$1107,10,0),"")</f>
        <v/>
      </c>
      <c r="BM157" s="314" t="str">
        <f>_xlfn.IFNA(VLOOKUP($BC157,Programma!$F$3:$P$1107,11,0),"")</f>
        <v/>
      </c>
      <c r="BN157" s="314" t="str">
        <f>_xlfn.IFNA(VLOOKUP($BC157,Programma!$F$3:$Q$1107,12,0),"")</f>
        <v/>
      </c>
      <c r="BO157" s="314" t="str">
        <f>_xlfn.IFNA(VLOOKUP($BC157,Programma!$F$3:$R$1107,13,0),"")</f>
        <v/>
      </c>
      <c r="BP157" s="314" t="str">
        <f>_xlfn.IFNA(VLOOKUP($BC157,Programma!$F$3:$S$1107,14,0),"")</f>
        <v/>
      </c>
      <c r="BQ157" s="314" t="str">
        <f>_xlfn.IFNA(VLOOKUP($BC157,Programma!$F$3:$T$1107,15,0),"")</f>
        <v/>
      </c>
      <c r="BR157" s="314" t="str">
        <f>_xlfn.IFNA(VLOOKUP($BC157,Programma!$F$3:$U$1107,16,0),"")</f>
        <v/>
      </c>
      <c r="BS157" s="314" t="str">
        <f>_xlfn.IFNA(VLOOKUP($BC157,Programma!$F$3:$V$1107,17,0),"")</f>
        <v/>
      </c>
      <c r="BT157" s="314" t="str">
        <f>_xlfn.IFNA(VLOOKUP($BC157,Programma!$F$3:$W$1107,18,0),"")</f>
        <v/>
      </c>
      <c r="BU157" s="314" t="str">
        <f>_xlfn.IFNA(VLOOKUP($BC157,Programma!$F$3:$X$1107,19,0),"")</f>
        <v/>
      </c>
      <c r="BV157" s="314" t="str">
        <f>_xlfn.IFNA(VLOOKUP($BC157,Programma!$F$3:$Y$1107,20,0),"")</f>
        <v/>
      </c>
    </row>
    <row r="158" spans="1:74" ht="15" customHeight="1">
      <c r="A158" s="33">
        <v>1</v>
      </c>
      <c r="B158" s="173" t="str">
        <f>VLOOKUP(Ruimtestaat[[#This Row],[Code]],Locaties[[Code]:[Locatie]],2,FALSE)</f>
        <v>CCNV</v>
      </c>
      <c r="C158" s="173" t="str">
        <f>VLOOKUP(Ruimtestaat[[#This Row],[Code]],Locaties[[#All],[Code]:[Adres]],4,FALSE)</f>
        <v>Stationslaan 26</v>
      </c>
      <c r="D158" s="173" t="str">
        <f>VLOOKUP(Ruimtestaat[[#This Row],[Code]],Locaties[[#All],[Code]:[Postcode]],5,FALSE)</f>
        <v>3842 LA</v>
      </c>
      <c r="E158" s="173" t="str">
        <f>VLOOKUP(Ruimtestaat[[#This Row],[Code]],Locaties[#All],6,FALSE)</f>
        <v>Harderwijk</v>
      </c>
      <c r="F158" s="21" t="s">
        <v>1629</v>
      </c>
      <c r="G158" s="33" t="s">
        <v>1614</v>
      </c>
      <c r="H158" s="21" t="s">
        <v>1755</v>
      </c>
      <c r="I158" s="69" t="s">
        <v>1730</v>
      </c>
      <c r="J158" s="21">
        <v>5</v>
      </c>
      <c r="K158" s="69" t="str">
        <f>VLOOKUP(Ruimtestaat[[#This Row],[Ruimte code]],Ruimtegroepen[[#All],[Code]:[Ruimte omschrijving]],2,FALSE)</f>
        <v>Sanitair</v>
      </c>
      <c r="L158" s="33" t="s">
        <v>102</v>
      </c>
      <c r="M158" s="312" t="s">
        <v>1805</v>
      </c>
      <c r="N158" s="148">
        <v>6.5</v>
      </c>
      <c r="O158" s="150"/>
      <c r="P158" s="134" t="str">
        <f>VLOOKUP(Ruimtestaat[[#This Row],[Ruimte code]],Ruimtegroepen[],4,FALSE)</f>
        <v>Sa</v>
      </c>
      <c r="Q158" s="33">
        <v>40</v>
      </c>
      <c r="R158" s="33" t="s">
        <v>2</v>
      </c>
      <c r="S158" s="33">
        <f>IF(Q158&gt;0,IF(RIGHT(Ruimtestaat[[#This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8" s="33">
        <f>IF(S158&gt;0,VLOOKUP($J158,Ruimtegroepen[],3,FALSE)*VLOOKUP($L158,Vloersoorten[],3,FALSE)*VLOOKUP($R158,Frequenties[],3,FALSE)*VLOOKUP($A158,Locaties[],3,FALSE),0)</f>
        <v>0</v>
      </c>
      <c r="U158" s="33">
        <f>Ruimtestaat[[#This Row],[Uitvoeringen werkdagen]]*Ruimtestaat[[#This Row],[Oppervlak (netto)]]</f>
        <v>1300</v>
      </c>
      <c r="V158" s="170">
        <f>IF(T158&gt;0,Ruimtestaat[[#This Row],[Prest. (m2 /jaar) werkdagen]]/Ruimtestaat[[#This Row],[Norm (m2/uur) werkdagen]],0)</f>
        <v>0</v>
      </c>
      <c r="W158" s="171">
        <f>Ruimtestaat[[#This Row],[uren / jaar werkdagen]]*Tariefsopbouw!$E$35</f>
        <v>0</v>
      </c>
      <c r="X158" s="33"/>
      <c r="Y158" s="33">
        <f>IF(Ruimtestaat[[#This Row],[Frequentie weekend]]&gt;0,VALUE(LEFT(X158,1))*Q158,0)</f>
        <v>0</v>
      </c>
      <c r="Z158" s="104">
        <f>IF($Y158&gt;0,VLOOKUP($J158,Ruimtegroepen[],3,FALSE)*VLOOKUP($L158,Vloersoorten[],3,FALSE)*VLOOKUP($X158,Frequenties[],3,FALSE)*VLOOKUP(Ruimtestaat[[#This Row],[Code]],Locaties[],3,FALSE),0)</f>
        <v>0</v>
      </c>
      <c r="AA158" s="104">
        <f>Ruimtestaat[[#This Row],[Uitvoeringen weekend]]*Ruimtestaat[[#This Row],[Oppervlak (netto)]]</f>
        <v>0</v>
      </c>
      <c r="AB158" s="104">
        <f>IF(Z158&gt;0,Ruimtestaat[[#This Row],[Prest. (m2 /jaar) weekend]]/Ruimtestaat[[#This Row],[Norm (m2/uur) weekend]],0)</f>
        <v>0</v>
      </c>
      <c r="AC158" s="171">
        <f>Ruimtestaat[[#This Row],[uren / jaar weekend]]*Tariefsopbouw!$D$40</f>
        <v>0</v>
      </c>
      <c r="AD158" s="170">
        <f>Ruimtestaat[[#This Row],[Prest. (m2 /jaar) weekend]]+Ruimtestaat[[#This Row],[Prest. (m2 /jaar) werkdagen]]</f>
        <v>1300</v>
      </c>
      <c r="AE158" s="170">
        <f>Ruimtestaat[[#This Row],[uren / jaar weekend]]+Ruimtestaat[[#This Row],[uren / jaar werkdagen]]</f>
        <v>0</v>
      </c>
      <c r="AF158" s="76">
        <f>Ruimtestaat[[#This Row],[kosten / jaar weekend]]+Ruimtestaat[[#This Row],[kosten / jaar werkdagen]]</f>
        <v>0</v>
      </c>
      <c r="AG158" s="76"/>
      <c r="AH158" s="272" t="str">
        <f>IF(Ruimtestaat[[#This Row],[Frequentie werkdagen]]="","",_xlfn.CONCAT(Ruimtestaat[[#This Row],[Ruimte code]],"-",Ruimtestaat[[#This Row],[Frequentie werkdagen]]," ",Ruimtestaat[[#This Row],[Vloer code]]))</f>
        <v>5-5w S</v>
      </c>
      <c r="AI158" s="314" t="str">
        <f>_xlfn.IFNA(VLOOKUP($AH158,Programma!$F$3:$G$1107,2,0),"")</f>
        <v>_</v>
      </c>
      <c r="AJ158" s="314" t="str">
        <f>_xlfn.IFNA(VLOOKUP($AH158,Programma!$F$3:$H$1107,3,0),"")</f>
        <v>_</v>
      </c>
      <c r="AK158" s="314" t="str">
        <f>_xlfn.IFNA(VLOOKUP($AH158,Programma!$F$3:$I$1107,4,0),"")</f>
        <v>_</v>
      </c>
      <c r="AL158" s="314" t="str">
        <f>_xlfn.IFNA(VLOOKUP($AH158,Programma!$F$3:$J$1107,5,0),"")</f>
        <v>4w</v>
      </c>
      <c r="AM158" s="314" t="str">
        <f>_xlfn.IFNA(VLOOKUP($AH158,Programma!$F$3:$K$1107,6,0),"")</f>
        <v>1w</v>
      </c>
      <c r="AN158" s="314" t="str">
        <f>_xlfn.IFNA(VLOOKUP($AH158,Programma!$F$3:$L$1107,7,0),"")</f>
        <v>_</v>
      </c>
      <c r="AO158" s="314" t="str">
        <f>_xlfn.IFNA(VLOOKUP($AH158,Programma!$F$3:$M$1107,8,0),"")</f>
        <v>_</v>
      </c>
      <c r="AP158" s="314" t="str">
        <f>_xlfn.IFNA(VLOOKUP($AH158,Programma!$F$3:$N$1107,9,0),"")</f>
        <v>_</v>
      </c>
      <c r="AQ158" s="314" t="str">
        <f>_xlfn.IFNA(VLOOKUP($AH158,Programma!$F$3:$O$1107,10,0),"")</f>
        <v>_</v>
      </c>
      <c r="AR158" s="314" t="str">
        <f>_xlfn.IFNA(VLOOKUP($AH158,Programma!$F$3:$P$1107,11,0),"")</f>
        <v>_</v>
      </c>
      <c r="AS158" s="314" t="str">
        <f>_xlfn.IFNA(VLOOKUP($AH158,Programma!$F$3:$Q$1107,12,0),"")</f>
        <v>_</v>
      </c>
      <c r="AT158" s="314" t="str">
        <f>_xlfn.IFNA(VLOOKUP($AH158,Programma!$F$3:$R$1107,13,0),"")</f>
        <v>_</v>
      </c>
      <c r="AU158" s="314" t="str">
        <f>_xlfn.IFNA(VLOOKUP($AH158,Programma!$F$3:$S$1107,14,0),"")</f>
        <v>_</v>
      </c>
      <c r="AV158" s="314" t="str">
        <f>_xlfn.IFNA(VLOOKUP($AH158,Programma!$F$3:$T$1107,15,0),"")</f>
        <v>_</v>
      </c>
      <c r="AW158" s="314" t="str">
        <f>_xlfn.IFNA(VLOOKUP($AH158,Programma!$F$3:$U$1107,16,0),"")</f>
        <v>_</v>
      </c>
      <c r="AX158" s="314" t="str">
        <f>_xlfn.IFNA(VLOOKUP($AH158,Programma!$F$3:$V$1107,17,0),"")</f>
        <v>_</v>
      </c>
      <c r="AY158" s="314" t="str">
        <f>_xlfn.IFNA(VLOOKUP($AH158,Programma!$F$3:$W$1107,18,0),"")</f>
        <v>4w</v>
      </c>
      <c r="AZ158" s="314" t="str">
        <f>_xlfn.IFNA(VLOOKUP($AH158,Programma!$F$3:$X$1107,19,0),"")</f>
        <v>1w</v>
      </c>
      <c r="BA158" s="314" t="str">
        <f>_xlfn.IFNA(VLOOKUP($AH158,Programma!$F$3:$Y$1107,20,0),"")</f>
        <v>_</v>
      </c>
      <c r="BB158" s="273"/>
      <c r="BC158" s="272" t="str">
        <f>IF(Ruimtestaat[[#This Row],[Frequentie weekend]]="","",_xlfn.CONCAT(Ruimtestaat[[#This Row],[Ruimte code]],"-",Ruimtestaat[[#This Row],[Frequentie weekend]]," ",Ruimtestaat[[#This Row],[Vloer code]]))</f>
        <v/>
      </c>
      <c r="BD158" s="314" t="str">
        <f>_xlfn.IFNA(VLOOKUP($BC158,Programma!$F$3:$G$1107,2,0),"")</f>
        <v/>
      </c>
      <c r="BE158" s="314" t="str">
        <f>_xlfn.IFNA(VLOOKUP($BC158,Programma!$F$3:$H$1107,3,0),"")</f>
        <v/>
      </c>
      <c r="BF158" s="314" t="str">
        <f>_xlfn.IFNA(VLOOKUP($BC158,Programma!$F$3:$I$1107,4,0),"")</f>
        <v/>
      </c>
      <c r="BG158" s="314" t="str">
        <f>_xlfn.IFNA(VLOOKUP($BC158,Programma!$F$3:$J$1107,5,0),"")</f>
        <v/>
      </c>
      <c r="BH158" s="314" t="str">
        <f>_xlfn.IFNA(VLOOKUP($BC158,Programma!$F$3:$K$1107,6,0),"")</f>
        <v/>
      </c>
      <c r="BI158" s="314" t="str">
        <f>_xlfn.IFNA(VLOOKUP($BC158,Programma!$F$3:$L$1107,7,0),"")</f>
        <v/>
      </c>
      <c r="BJ158" s="314" t="str">
        <f>_xlfn.IFNA(VLOOKUP($BC158,Programma!$F$3:$M$1107,8,0),"")</f>
        <v/>
      </c>
      <c r="BK158" s="314" t="str">
        <f>_xlfn.IFNA(VLOOKUP($BC158,Programma!$F$3:$N$1107,9,0),"")</f>
        <v/>
      </c>
      <c r="BL158" s="314" t="str">
        <f>_xlfn.IFNA(VLOOKUP($BC158,Programma!$F$3:$O$1107,10,0),"")</f>
        <v/>
      </c>
      <c r="BM158" s="314" t="str">
        <f>_xlfn.IFNA(VLOOKUP($BC158,Programma!$F$3:$P$1107,11,0),"")</f>
        <v/>
      </c>
      <c r="BN158" s="314" t="str">
        <f>_xlfn.IFNA(VLOOKUP($BC158,Programma!$F$3:$Q$1107,12,0),"")</f>
        <v/>
      </c>
      <c r="BO158" s="314" t="str">
        <f>_xlfn.IFNA(VLOOKUP($BC158,Programma!$F$3:$R$1107,13,0),"")</f>
        <v/>
      </c>
      <c r="BP158" s="314" t="str">
        <f>_xlfn.IFNA(VLOOKUP($BC158,Programma!$F$3:$S$1107,14,0),"")</f>
        <v/>
      </c>
      <c r="BQ158" s="314" t="str">
        <f>_xlfn.IFNA(VLOOKUP($BC158,Programma!$F$3:$T$1107,15,0),"")</f>
        <v/>
      </c>
      <c r="BR158" s="314" t="str">
        <f>_xlfn.IFNA(VLOOKUP($BC158,Programma!$F$3:$U$1107,16,0),"")</f>
        <v/>
      </c>
      <c r="BS158" s="314" t="str">
        <f>_xlfn.IFNA(VLOOKUP($BC158,Programma!$F$3:$V$1107,17,0),"")</f>
        <v/>
      </c>
      <c r="BT158" s="314" t="str">
        <f>_xlfn.IFNA(VLOOKUP($BC158,Programma!$F$3:$W$1107,18,0),"")</f>
        <v/>
      </c>
      <c r="BU158" s="314" t="str">
        <f>_xlfn.IFNA(VLOOKUP($BC158,Programma!$F$3:$X$1107,19,0),"")</f>
        <v/>
      </c>
      <c r="BV158" s="314" t="str">
        <f>_xlfn.IFNA(VLOOKUP($BC158,Programma!$F$3:$Y$1107,20,0),"")</f>
        <v/>
      </c>
    </row>
    <row r="159" spans="1:74" ht="15" customHeight="1">
      <c r="A159" s="33">
        <v>1</v>
      </c>
      <c r="B159" s="173" t="str">
        <f>VLOOKUP(Ruimtestaat[[#This Row],[Code]],Locaties[[Code]:[Locatie]],2,FALSE)</f>
        <v>CCNV</v>
      </c>
      <c r="C159" s="173" t="str">
        <f>VLOOKUP(Ruimtestaat[[#This Row],[Code]],Locaties[[#All],[Code]:[Adres]],4,FALSE)</f>
        <v>Stationslaan 26</v>
      </c>
      <c r="D159" s="173" t="str">
        <f>VLOOKUP(Ruimtestaat[[#This Row],[Code]],Locaties[[#All],[Code]:[Postcode]],5,FALSE)</f>
        <v>3842 LA</v>
      </c>
      <c r="E159" s="173" t="str">
        <f>VLOOKUP(Ruimtestaat[[#This Row],[Code]],Locaties[#All],6,FALSE)</f>
        <v>Harderwijk</v>
      </c>
      <c r="F159" s="21" t="s">
        <v>1629</v>
      </c>
      <c r="G159" s="33" t="s">
        <v>1614</v>
      </c>
      <c r="I159" s="69" t="s">
        <v>1766</v>
      </c>
      <c r="J159" s="21">
        <v>6</v>
      </c>
      <c r="K159" s="69" t="str">
        <f>VLOOKUP(Ruimtestaat[[#This Row],[Ruimte code]],Ruimtegroepen[[#All],[Code]:[Ruimte omschrijving]],2,FALSE)</f>
        <v>Gangen/hallen</v>
      </c>
      <c r="L159" s="33" t="s">
        <v>100</v>
      </c>
      <c r="M159" s="312" t="s">
        <v>1803</v>
      </c>
      <c r="N159" s="148">
        <v>5</v>
      </c>
      <c r="O159" s="33"/>
      <c r="P159" s="134" t="str">
        <f>VLOOKUP(Ruimtestaat[[#This Row],[Ruimte code]],Ruimtegroepen[],4,FALSE)</f>
        <v>Ve</v>
      </c>
      <c r="Q159" s="33">
        <v>40</v>
      </c>
      <c r="R159" s="33" t="s">
        <v>2</v>
      </c>
      <c r="S159" s="33">
        <f>IF(Q159&gt;0,IF(RIGHT(Ruimtestaat[[#This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9" s="33">
        <f>IF(S159&gt;0,VLOOKUP($J159,Ruimtegroepen[],3,FALSE)*VLOOKUP($L159,Vloersoorten[],3,FALSE)*VLOOKUP($R159,Frequenties[],3,FALSE)*VLOOKUP($A159,Locaties[],3,FALSE),0)</f>
        <v>0</v>
      </c>
      <c r="U159" s="33">
        <f>Ruimtestaat[[#This Row],[Uitvoeringen werkdagen]]*Ruimtestaat[[#This Row],[Oppervlak (netto)]]</f>
        <v>1000</v>
      </c>
      <c r="V159" s="170">
        <f>IF(T159&gt;0,Ruimtestaat[[#This Row],[Prest. (m2 /jaar) werkdagen]]/Ruimtestaat[[#This Row],[Norm (m2/uur) werkdagen]],0)</f>
        <v>0</v>
      </c>
      <c r="W159" s="171">
        <f>Ruimtestaat[[#This Row],[uren / jaar werkdagen]]*Tariefsopbouw!$E$35</f>
        <v>0</v>
      </c>
      <c r="X159" s="33"/>
      <c r="Y159" s="33">
        <f>IF(Ruimtestaat[[#This Row],[Frequentie weekend]]&gt;0,VALUE(LEFT(X159,1))*Q159,0)</f>
        <v>0</v>
      </c>
      <c r="Z159" s="104">
        <f>IF($Y159&gt;0,VLOOKUP($J159,Ruimtegroepen[],3,FALSE)*VLOOKUP($L159,Vloersoorten[],3,FALSE)*VLOOKUP($X159,Frequenties[],3,FALSE)*VLOOKUP(Ruimtestaat[[#This Row],[Code]],Locaties[],3,FALSE),0)</f>
        <v>0</v>
      </c>
      <c r="AA159" s="104">
        <f>Ruimtestaat[[#This Row],[Uitvoeringen weekend]]*Ruimtestaat[[#This Row],[Oppervlak (netto)]]</f>
        <v>0</v>
      </c>
      <c r="AB159" s="104">
        <f>IF(Z159&gt;0,Ruimtestaat[[#This Row],[Prest. (m2 /jaar) weekend]]/Ruimtestaat[[#This Row],[Norm (m2/uur) weekend]],0)</f>
        <v>0</v>
      </c>
      <c r="AC159" s="171">
        <f>Ruimtestaat[[#This Row],[uren / jaar weekend]]*Tariefsopbouw!$D$40</f>
        <v>0</v>
      </c>
      <c r="AD159" s="170">
        <f>Ruimtestaat[[#This Row],[Prest. (m2 /jaar) weekend]]+Ruimtestaat[[#This Row],[Prest. (m2 /jaar) werkdagen]]</f>
        <v>1000</v>
      </c>
      <c r="AE159" s="170">
        <f>Ruimtestaat[[#This Row],[uren / jaar weekend]]+Ruimtestaat[[#This Row],[uren / jaar werkdagen]]</f>
        <v>0</v>
      </c>
      <c r="AF159" s="76">
        <f>Ruimtestaat[[#This Row],[kosten / jaar weekend]]+Ruimtestaat[[#This Row],[kosten / jaar werkdagen]]</f>
        <v>0</v>
      </c>
      <c r="AG159" s="76"/>
      <c r="AH159" s="272" t="str">
        <f>IF(Ruimtestaat[[#This Row],[Frequentie werkdagen]]="","",_xlfn.CONCAT(Ruimtestaat[[#This Row],[Ruimte code]],"-",Ruimtestaat[[#This Row],[Frequentie werkdagen]]," ",Ruimtestaat[[#This Row],[Vloer code]]))</f>
        <v>6-5w T</v>
      </c>
      <c r="AI159" s="314" t="str">
        <f>_xlfn.IFNA(VLOOKUP($AH159,Programma!$F$3:$G$1107,2,0),"")</f>
        <v>_</v>
      </c>
      <c r="AJ159" s="314" t="str">
        <f>_xlfn.IFNA(VLOOKUP($AH159,Programma!$F$3:$H$1107,3,0),"")</f>
        <v>5w</v>
      </c>
      <c r="AK159" s="314" t="str">
        <f>_xlfn.IFNA(VLOOKUP($AH159,Programma!$F$3:$I$1107,4,0),"")</f>
        <v>_</v>
      </c>
      <c r="AL159" s="314" t="str">
        <f>_xlfn.IFNA(VLOOKUP($AH159,Programma!$F$3:$J$1107,5,0),"")</f>
        <v>_</v>
      </c>
      <c r="AM159" s="314" t="str">
        <f>_xlfn.IFNA(VLOOKUP($AH159,Programma!$F$3:$K$1107,6,0),"")</f>
        <v>_</v>
      </c>
      <c r="AN159" s="314" t="str">
        <f>_xlfn.IFNA(VLOOKUP($AH159,Programma!$F$3:$L$1107,7,0),"")</f>
        <v>_</v>
      </c>
      <c r="AO159" s="314" t="str">
        <f>_xlfn.IFNA(VLOOKUP($AH159,Programma!$F$3:$M$1107,8,0),"")</f>
        <v>_</v>
      </c>
      <c r="AP159" s="314" t="str">
        <f>_xlfn.IFNA(VLOOKUP($AH159,Programma!$F$3:$N$1107,9,0),"")</f>
        <v>_</v>
      </c>
      <c r="AQ159" s="314" t="str">
        <f>_xlfn.IFNA(VLOOKUP($AH159,Programma!$F$3:$O$1107,10,0),"")</f>
        <v>5w</v>
      </c>
      <c r="AR159" s="314" t="str">
        <f>_xlfn.IFNA(VLOOKUP($AH159,Programma!$F$3:$P$1107,11,0),"")</f>
        <v>5w</v>
      </c>
      <c r="AS159" s="314" t="str">
        <f>_xlfn.IFNA(VLOOKUP($AH159,Programma!$F$3:$Q$1107,12,0),"")</f>
        <v>1w</v>
      </c>
      <c r="AT159" s="314" t="str">
        <f>_xlfn.IFNA(VLOOKUP($AH159,Programma!$F$3:$R$1107,13,0),"")</f>
        <v>1w</v>
      </c>
      <c r="AU159" s="314" t="str">
        <f>_xlfn.IFNA(VLOOKUP($AH159,Programma!$F$3:$S$1107,14,0),"")</f>
        <v>1m</v>
      </c>
      <c r="AV159" s="314" t="str">
        <f>_xlfn.IFNA(VLOOKUP($AH159,Programma!$F$3:$T$1107,15,0),"")</f>
        <v>2j</v>
      </c>
      <c r="AW159" s="314" t="str">
        <f>_xlfn.IFNA(VLOOKUP($AH159,Programma!$F$3:$U$1107,16,0),"")</f>
        <v>1j</v>
      </c>
      <c r="AX159" s="314" t="str">
        <f>_xlfn.IFNA(VLOOKUP($AH159,Programma!$F$3:$V$1107,17,0),"")</f>
        <v>_</v>
      </c>
      <c r="AY159" s="314" t="str">
        <f>_xlfn.IFNA(VLOOKUP($AH159,Programma!$F$3:$W$1107,18,0),"")</f>
        <v>_</v>
      </c>
      <c r="AZ159" s="314" t="str">
        <f>_xlfn.IFNA(VLOOKUP($AH159,Programma!$F$3:$X$1107,19,0),"")</f>
        <v>_</v>
      </c>
      <c r="BA159" s="314" t="str">
        <f>_xlfn.IFNA(VLOOKUP($AH159,Programma!$F$3:$Y$1107,20,0),"")</f>
        <v>_</v>
      </c>
      <c r="BB159" s="273"/>
      <c r="BC159" s="272" t="str">
        <f>IF(Ruimtestaat[[#This Row],[Frequentie weekend]]="","",_xlfn.CONCAT(Ruimtestaat[[#This Row],[Ruimte code]],"-",Ruimtestaat[[#This Row],[Frequentie weekend]]," ",Ruimtestaat[[#This Row],[Vloer code]]))</f>
        <v/>
      </c>
      <c r="BD159" s="314" t="str">
        <f>_xlfn.IFNA(VLOOKUP($BC159,Programma!$F$3:$G$1107,2,0),"")</f>
        <v/>
      </c>
      <c r="BE159" s="314" t="str">
        <f>_xlfn.IFNA(VLOOKUP($BC159,Programma!$F$3:$H$1107,3,0),"")</f>
        <v/>
      </c>
      <c r="BF159" s="314" t="str">
        <f>_xlfn.IFNA(VLOOKUP($BC159,Programma!$F$3:$I$1107,4,0),"")</f>
        <v/>
      </c>
      <c r="BG159" s="314" t="str">
        <f>_xlfn.IFNA(VLOOKUP($BC159,Programma!$F$3:$J$1107,5,0),"")</f>
        <v/>
      </c>
      <c r="BH159" s="314" t="str">
        <f>_xlfn.IFNA(VLOOKUP($BC159,Programma!$F$3:$K$1107,6,0),"")</f>
        <v/>
      </c>
      <c r="BI159" s="314" t="str">
        <f>_xlfn.IFNA(VLOOKUP($BC159,Programma!$F$3:$L$1107,7,0),"")</f>
        <v/>
      </c>
      <c r="BJ159" s="314" t="str">
        <f>_xlfn.IFNA(VLOOKUP($BC159,Programma!$F$3:$M$1107,8,0),"")</f>
        <v/>
      </c>
      <c r="BK159" s="314" t="str">
        <f>_xlfn.IFNA(VLOOKUP($BC159,Programma!$F$3:$N$1107,9,0),"")</f>
        <v/>
      </c>
      <c r="BL159" s="314" t="str">
        <f>_xlfn.IFNA(VLOOKUP($BC159,Programma!$F$3:$O$1107,10,0),"")</f>
        <v/>
      </c>
      <c r="BM159" s="314" t="str">
        <f>_xlfn.IFNA(VLOOKUP($BC159,Programma!$F$3:$P$1107,11,0),"")</f>
        <v/>
      </c>
      <c r="BN159" s="314" t="str">
        <f>_xlfn.IFNA(VLOOKUP($BC159,Programma!$F$3:$Q$1107,12,0),"")</f>
        <v/>
      </c>
      <c r="BO159" s="314" t="str">
        <f>_xlfn.IFNA(VLOOKUP($BC159,Programma!$F$3:$R$1107,13,0),"")</f>
        <v/>
      </c>
      <c r="BP159" s="314" t="str">
        <f>_xlfn.IFNA(VLOOKUP($BC159,Programma!$F$3:$S$1107,14,0),"")</f>
        <v/>
      </c>
      <c r="BQ159" s="314" t="str">
        <f>_xlfn.IFNA(VLOOKUP($BC159,Programma!$F$3:$T$1107,15,0),"")</f>
        <v/>
      </c>
      <c r="BR159" s="314" t="str">
        <f>_xlfn.IFNA(VLOOKUP($BC159,Programma!$F$3:$U$1107,16,0),"")</f>
        <v/>
      </c>
      <c r="BS159" s="314" t="str">
        <f>_xlfn.IFNA(VLOOKUP($BC159,Programma!$F$3:$V$1107,17,0),"")</f>
        <v/>
      </c>
      <c r="BT159" s="314" t="str">
        <f>_xlfn.IFNA(VLOOKUP($BC159,Programma!$F$3:$W$1107,18,0),"")</f>
        <v/>
      </c>
      <c r="BU159" s="314" t="str">
        <f>_xlfn.IFNA(VLOOKUP($BC159,Programma!$F$3:$X$1107,19,0),"")</f>
        <v/>
      </c>
      <c r="BV159" s="314" t="str">
        <f>_xlfn.IFNA(VLOOKUP($BC159,Programma!$F$3:$Y$1107,20,0),"")</f>
        <v/>
      </c>
    </row>
    <row r="160" spans="1:74" ht="15" customHeight="1">
      <c r="A160" s="33">
        <v>1</v>
      </c>
      <c r="B160" s="173" t="str">
        <f>VLOOKUP(Ruimtestaat[[#This Row],[Code]],Locaties[[Code]:[Locatie]],2,FALSE)</f>
        <v>CCNV</v>
      </c>
      <c r="C160" s="173" t="str">
        <f>VLOOKUP(Ruimtestaat[[#This Row],[Code]],Locaties[[#All],[Code]:[Adres]],4,FALSE)</f>
        <v>Stationslaan 26</v>
      </c>
      <c r="D160" s="173" t="str">
        <f>VLOOKUP(Ruimtestaat[[#This Row],[Code]],Locaties[[#All],[Code]:[Postcode]],5,FALSE)</f>
        <v>3842 LA</v>
      </c>
      <c r="E160" s="173" t="str">
        <f>VLOOKUP(Ruimtestaat[[#This Row],[Code]],Locaties[#All],6,FALSE)</f>
        <v>Harderwijk</v>
      </c>
      <c r="F160" s="21" t="s">
        <v>1630</v>
      </c>
      <c r="G160" s="33"/>
      <c r="H160" s="21" t="s">
        <v>1756</v>
      </c>
      <c r="I160" s="69" t="s">
        <v>1756</v>
      </c>
      <c r="J160" s="21">
        <v>18</v>
      </c>
      <c r="K160" s="69" t="str">
        <f>VLOOKUP(Ruimtestaat[[#This Row],[Ruimte code]],Ruimtegroepen[[#All],[Code]:[Ruimte omschrijving]],2,FALSE)</f>
        <v>Gymzaal</v>
      </c>
      <c r="L160" s="33" t="s">
        <v>1817</v>
      </c>
      <c r="M160" s="312" t="s">
        <v>1807</v>
      </c>
      <c r="N160" s="148">
        <v>254</v>
      </c>
      <c r="O160" s="150"/>
      <c r="P160" s="134" t="str">
        <f>VLOOKUP(Ruimtestaat[[#This Row],[Ruimte code]],Ruimtegroepen[],4,FALSE)</f>
        <v>Sp</v>
      </c>
      <c r="Q160" s="33">
        <v>30</v>
      </c>
      <c r="R160" s="33" t="s">
        <v>2</v>
      </c>
      <c r="S160" s="33">
        <f>IF(Q160&gt;0,IF(RIGHT(Ruimtestaat[[#This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150</v>
      </c>
      <c r="T160" s="33">
        <f>IF(S160&gt;0,VLOOKUP($J160,Ruimtegroepen[],3,FALSE)*VLOOKUP($L160,Vloersoorten[],3,FALSE)*VLOOKUP($R160,Frequenties[],3,FALSE)*VLOOKUP($A160,Locaties[],3,FALSE),0)</f>
        <v>0</v>
      </c>
      <c r="U160" s="33">
        <f>Ruimtestaat[[#This Row],[Uitvoeringen werkdagen]]*Ruimtestaat[[#This Row],[Oppervlak (netto)]]</f>
        <v>38100</v>
      </c>
      <c r="V160" s="170">
        <f>IF(T160&gt;0,Ruimtestaat[[#This Row],[Prest. (m2 /jaar) werkdagen]]/Ruimtestaat[[#This Row],[Norm (m2/uur) werkdagen]],0)</f>
        <v>0</v>
      </c>
      <c r="W160" s="171">
        <f>Ruimtestaat[[#This Row],[uren / jaar werkdagen]]*Tariefsopbouw!$E$35</f>
        <v>0</v>
      </c>
      <c r="X160" s="33"/>
      <c r="Y160" s="33">
        <f>IF(Ruimtestaat[[#This Row],[Frequentie weekend]]&gt;0,VALUE(LEFT(X160,1))*Q160,0)</f>
        <v>0</v>
      </c>
      <c r="Z160" s="104">
        <f>IF($Y160&gt;0,VLOOKUP($J160,Ruimtegroepen[],3,FALSE)*VLOOKUP($L160,Vloersoorten[],3,FALSE)*VLOOKUP($X160,Frequenties[],3,FALSE)*VLOOKUP(Ruimtestaat[[#This Row],[Code]],Locaties[],3,FALSE),0)</f>
        <v>0</v>
      </c>
      <c r="AA160" s="104">
        <f>Ruimtestaat[[#This Row],[Uitvoeringen weekend]]*Ruimtestaat[[#This Row],[Oppervlak (netto)]]</f>
        <v>0</v>
      </c>
      <c r="AB160" s="104">
        <f>IF(Z160&gt;0,Ruimtestaat[[#This Row],[Prest. (m2 /jaar) weekend]]/Ruimtestaat[[#This Row],[Norm (m2/uur) weekend]],0)</f>
        <v>0</v>
      </c>
      <c r="AC160" s="171">
        <f>Ruimtestaat[[#This Row],[uren / jaar weekend]]*Tariefsopbouw!$D$40</f>
        <v>0</v>
      </c>
      <c r="AD160" s="170">
        <f>Ruimtestaat[[#This Row],[Prest. (m2 /jaar) weekend]]+Ruimtestaat[[#This Row],[Prest. (m2 /jaar) werkdagen]]</f>
        <v>38100</v>
      </c>
      <c r="AE160" s="170">
        <f>Ruimtestaat[[#This Row],[uren / jaar weekend]]+Ruimtestaat[[#This Row],[uren / jaar werkdagen]]</f>
        <v>0</v>
      </c>
      <c r="AF160" s="76">
        <f>Ruimtestaat[[#This Row],[kosten / jaar weekend]]+Ruimtestaat[[#This Row],[kosten / jaar werkdagen]]</f>
        <v>0</v>
      </c>
      <c r="AG160" s="76"/>
      <c r="AH160" s="272" t="str">
        <f>IF(Ruimtestaat[[#This Row],[Frequentie werkdagen]]="","",_xlfn.CONCAT(Ruimtestaat[[#This Row],[Ruimte code]],"-",Ruimtestaat[[#This Row],[Frequentie werkdagen]]," ",Ruimtestaat[[#This Row],[Vloer code]]))</f>
        <v>18-5w p</v>
      </c>
      <c r="AI160" s="314" t="str">
        <f>_xlfn.IFNA(VLOOKUP($AH160,Programma!$F$3:$G$1107,2,0),"")</f>
        <v>_</v>
      </c>
      <c r="AJ160" s="314" t="str">
        <f>_xlfn.IFNA(VLOOKUP($AH160,Programma!$F$3:$H$1107,3,0),"")</f>
        <v>_</v>
      </c>
      <c r="AK160" s="314" t="str">
        <f>_xlfn.IFNA(VLOOKUP($AH160,Programma!$F$3:$I$1107,4,0),"")</f>
        <v>4w</v>
      </c>
      <c r="AL160" s="314" t="str">
        <f>_xlfn.IFNA(VLOOKUP($AH160,Programma!$F$3:$J$1107,5,0),"")</f>
        <v>1w</v>
      </c>
      <c r="AM160" s="314" t="str">
        <f>_xlfn.IFNA(VLOOKUP($AH160,Programma!$F$3:$K$1107,6,0),"")</f>
        <v>4j</v>
      </c>
      <c r="AN160" s="314" t="str">
        <f>_xlfn.IFNA(VLOOKUP($AH160,Programma!$F$3:$L$1107,7,0),"")</f>
        <v>_</v>
      </c>
      <c r="AO160" s="314" t="str">
        <f>_xlfn.IFNA(VLOOKUP($AH160,Programma!$F$3:$M$1107,8,0),"")</f>
        <v>_</v>
      </c>
      <c r="AP160" s="314" t="str">
        <f>_xlfn.IFNA(VLOOKUP($AH160,Programma!$F$3:$N$1107,9,0),"")</f>
        <v>_</v>
      </c>
      <c r="AQ160" s="314" t="str">
        <f>_xlfn.IFNA(VLOOKUP($AH160,Programma!$F$3:$O$1107,10,0),"")</f>
        <v>5w</v>
      </c>
      <c r="AR160" s="314" t="str">
        <f>_xlfn.IFNA(VLOOKUP($AH160,Programma!$F$3:$P$1107,11,0),"")</f>
        <v>5w</v>
      </c>
      <c r="AS160" s="314" t="str">
        <f>_xlfn.IFNA(VLOOKUP($AH160,Programma!$F$3:$Q$1107,12,0),"")</f>
        <v>5w</v>
      </c>
      <c r="AT160" s="314" t="str">
        <f>_xlfn.IFNA(VLOOKUP($AH160,Programma!$F$3:$R$1107,13,0),"")</f>
        <v>5w</v>
      </c>
      <c r="AU160" s="314" t="str">
        <f>_xlfn.IFNA(VLOOKUP($AH160,Programma!$F$3:$S$1107,14,0),"")</f>
        <v>5w</v>
      </c>
      <c r="AV160" s="314" t="str">
        <f>_xlfn.IFNA(VLOOKUP($AH160,Programma!$F$3:$T$1107,15,0),"")</f>
        <v>5w</v>
      </c>
      <c r="AW160" s="314" t="str">
        <f>_xlfn.IFNA(VLOOKUP($AH160,Programma!$F$3:$U$1107,16,0),"")</f>
        <v>5w</v>
      </c>
      <c r="AX160" s="314" t="str">
        <f>_xlfn.IFNA(VLOOKUP($AH160,Programma!$F$3:$V$1107,17,0),"")</f>
        <v>_</v>
      </c>
      <c r="AY160" s="314" t="str">
        <f>_xlfn.IFNA(VLOOKUP($AH160,Programma!$F$3:$W$1107,18,0),"")</f>
        <v>_</v>
      </c>
      <c r="AZ160" s="314" t="str">
        <f>_xlfn.IFNA(VLOOKUP($AH160,Programma!$F$3:$X$1107,19,0),"")</f>
        <v>_</v>
      </c>
      <c r="BA160" s="314" t="str">
        <f>_xlfn.IFNA(VLOOKUP($AH160,Programma!$F$3:$Y$1107,20,0),"")</f>
        <v>_</v>
      </c>
      <c r="BB160" s="273"/>
      <c r="BC160" s="272" t="str">
        <f>IF(Ruimtestaat[[#This Row],[Frequentie weekend]]="","",_xlfn.CONCAT(Ruimtestaat[[#This Row],[Ruimte code]],"-",Ruimtestaat[[#This Row],[Frequentie weekend]]," ",Ruimtestaat[[#This Row],[Vloer code]]))</f>
        <v/>
      </c>
      <c r="BD160" s="314" t="str">
        <f>_xlfn.IFNA(VLOOKUP($BC160,Programma!$F$3:$G$1107,2,0),"")</f>
        <v/>
      </c>
      <c r="BE160" s="314" t="str">
        <f>_xlfn.IFNA(VLOOKUP($BC160,Programma!$F$3:$H$1107,3,0),"")</f>
        <v/>
      </c>
      <c r="BF160" s="314" t="str">
        <f>_xlfn.IFNA(VLOOKUP($BC160,Programma!$F$3:$I$1107,4,0),"")</f>
        <v/>
      </c>
      <c r="BG160" s="314" t="str">
        <f>_xlfn.IFNA(VLOOKUP($BC160,Programma!$F$3:$J$1107,5,0),"")</f>
        <v/>
      </c>
      <c r="BH160" s="314" t="str">
        <f>_xlfn.IFNA(VLOOKUP($BC160,Programma!$F$3:$K$1107,6,0),"")</f>
        <v/>
      </c>
      <c r="BI160" s="314" t="str">
        <f>_xlfn.IFNA(VLOOKUP($BC160,Programma!$F$3:$L$1107,7,0),"")</f>
        <v/>
      </c>
      <c r="BJ160" s="314" t="str">
        <f>_xlfn.IFNA(VLOOKUP($BC160,Programma!$F$3:$M$1107,8,0),"")</f>
        <v/>
      </c>
      <c r="BK160" s="314" t="str">
        <f>_xlfn.IFNA(VLOOKUP($BC160,Programma!$F$3:$N$1107,9,0),"")</f>
        <v/>
      </c>
      <c r="BL160" s="314" t="str">
        <f>_xlfn.IFNA(VLOOKUP($BC160,Programma!$F$3:$O$1107,10,0),"")</f>
        <v/>
      </c>
      <c r="BM160" s="314" t="str">
        <f>_xlfn.IFNA(VLOOKUP($BC160,Programma!$F$3:$P$1107,11,0),"")</f>
        <v/>
      </c>
      <c r="BN160" s="314" t="str">
        <f>_xlfn.IFNA(VLOOKUP($BC160,Programma!$F$3:$Q$1107,12,0),"")</f>
        <v/>
      </c>
      <c r="BO160" s="314" t="str">
        <f>_xlfn.IFNA(VLOOKUP($BC160,Programma!$F$3:$R$1107,13,0),"")</f>
        <v/>
      </c>
      <c r="BP160" s="314" t="str">
        <f>_xlfn.IFNA(VLOOKUP($BC160,Programma!$F$3:$S$1107,14,0),"")</f>
        <v/>
      </c>
      <c r="BQ160" s="314" t="str">
        <f>_xlfn.IFNA(VLOOKUP($BC160,Programma!$F$3:$T$1107,15,0),"")</f>
        <v/>
      </c>
      <c r="BR160" s="314" t="str">
        <f>_xlfn.IFNA(VLOOKUP($BC160,Programma!$F$3:$U$1107,16,0),"")</f>
        <v/>
      </c>
      <c r="BS160" s="314" t="str">
        <f>_xlfn.IFNA(VLOOKUP($BC160,Programma!$F$3:$V$1107,17,0),"")</f>
        <v/>
      </c>
      <c r="BT160" s="314" t="str">
        <f>_xlfn.IFNA(VLOOKUP($BC160,Programma!$F$3:$W$1107,18,0),"")</f>
        <v/>
      </c>
      <c r="BU160" s="314" t="str">
        <f>_xlfn.IFNA(VLOOKUP($BC160,Programma!$F$3:$X$1107,19,0),"")</f>
        <v/>
      </c>
      <c r="BV160" s="314" t="str">
        <f>_xlfn.IFNA(VLOOKUP($BC160,Programma!$F$3:$Y$1107,20,0),"")</f>
        <v/>
      </c>
    </row>
    <row r="161" spans="1:74" ht="15" customHeight="1">
      <c r="A161" s="33">
        <v>1</v>
      </c>
      <c r="B161" s="173" t="str">
        <f>VLOOKUP(Ruimtestaat[[#This Row],[Code]],Locaties[[Code]:[Locatie]],2,FALSE)</f>
        <v>CCNV</v>
      </c>
      <c r="C161" s="173" t="str">
        <f>VLOOKUP(Ruimtestaat[[#This Row],[Code]],Locaties[[#All],[Code]:[Adres]],4,FALSE)</f>
        <v>Stationslaan 26</v>
      </c>
      <c r="D161" s="173" t="str">
        <f>VLOOKUP(Ruimtestaat[[#This Row],[Code]],Locaties[[#All],[Code]:[Postcode]],5,FALSE)</f>
        <v>3842 LA</v>
      </c>
      <c r="E161" s="173" t="str">
        <f>VLOOKUP(Ruimtestaat[[#This Row],[Code]],Locaties[#All],6,FALSE)</f>
        <v>Harderwijk</v>
      </c>
      <c r="F161" s="21" t="s">
        <v>1630</v>
      </c>
      <c r="G161" s="33"/>
      <c r="H161" s="21" t="s">
        <v>1757</v>
      </c>
      <c r="I161" s="69" t="s">
        <v>1757</v>
      </c>
      <c r="J161" s="21">
        <v>18</v>
      </c>
      <c r="K161" s="69" t="str">
        <f>VLOOKUP(Ruimtestaat[[#This Row],[Ruimte code]],Ruimtegroepen[[#All],[Code]:[Ruimte omschrijving]],2,FALSE)</f>
        <v>Gymzaal</v>
      </c>
      <c r="L161" s="33" t="s">
        <v>1817</v>
      </c>
      <c r="M161" s="312" t="s">
        <v>1807</v>
      </c>
      <c r="N161" s="148">
        <v>254</v>
      </c>
      <c r="O161" s="33"/>
      <c r="P161" s="134" t="str">
        <f>VLOOKUP(Ruimtestaat[[#This Row],[Ruimte code]],Ruimtegroepen[],4,FALSE)</f>
        <v>Sp</v>
      </c>
      <c r="Q161" s="33">
        <v>30</v>
      </c>
      <c r="R161" s="33" t="s">
        <v>2</v>
      </c>
      <c r="S161" s="33">
        <f>IF(Q161&gt;0,IF(RIGHT(Ruimtestaat[[#This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150</v>
      </c>
      <c r="T161" s="33">
        <f>IF(S161&gt;0,VLOOKUP($J161,Ruimtegroepen[],3,FALSE)*VLOOKUP($L161,Vloersoorten[],3,FALSE)*VLOOKUP($R161,Frequenties[],3,FALSE)*VLOOKUP($A161,Locaties[],3,FALSE),0)</f>
        <v>0</v>
      </c>
      <c r="U161" s="33">
        <f>Ruimtestaat[[#This Row],[Uitvoeringen werkdagen]]*Ruimtestaat[[#This Row],[Oppervlak (netto)]]</f>
        <v>38100</v>
      </c>
      <c r="V161" s="170">
        <f>IF(T161&gt;0,Ruimtestaat[[#This Row],[Prest. (m2 /jaar) werkdagen]]/Ruimtestaat[[#This Row],[Norm (m2/uur) werkdagen]],0)</f>
        <v>0</v>
      </c>
      <c r="W161" s="171">
        <f>Ruimtestaat[[#This Row],[uren / jaar werkdagen]]*Tariefsopbouw!$E$35</f>
        <v>0</v>
      </c>
      <c r="X161" s="33"/>
      <c r="Y161" s="33">
        <f>IF(Ruimtestaat[[#This Row],[Frequentie weekend]]&gt;0,VALUE(LEFT(X161,1))*Q161,0)</f>
        <v>0</v>
      </c>
      <c r="Z161" s="104">
        <f>IF($Y161&gt;0,VLOOKUP($J161,Ruimtegroepen[],3,FALSE)*VLOOKUP($L161,Vloersoorten[],3,FALSE)*VLOOKUP($X161,Frequenties[],3,FALSE)*VLOOKUP(Ruimtestaat[[#This Row],[Code]],Locaties[],3,FALSE),0)</f>
        <v>0</v>
      </c>
      <c r="AA161" s="104">
        <f>Ruimtestaat[[#This Row],[Uitvoeringen weekend]]*Ruimtestaat[[#This Row],[Oppervlak (netto)]]</f>
        <v>0</v>
      </c>
      <c r="AB161" s="104">
        <f>IF(Z161&gt;0,Ruimtestaat[[#This Row],[Prest. (m2 /jaar) weekend]]/Ruimtestaat[[#This Row],[Norm (m2/uur) weekend]],0)</f>
        <v>0</v>
      </c>
      <c r="AC161" s="171">
        <f>Ruimtestaat[[#This Row],[uren / jaar weekend]]*Tariefsopbouw!$D$40</f>
        <v>0</v>
      </c>
      <c r="AD161" s="170">
        <f>Ruimtestaat[[#This Row],[Prest. (m2 /jaar) weekend]]+Ruimtestaat[[#This Row],[Prest. (m2 /jaar) werkdagen]]</f>
        <v>38100</v>
      </c>
      <c r="AE161" s="170">
        <f>Ruimtestaat[[#This Row],[uren / jaar weekend]]+Ruimtestaat[[#This Row],[uren / jaar werkdagen]]</f>
        <v>0</v>
      </c>
      <c r="AF161" s="76">
        <f>Ruimtestaat[[#This Row],[kosten / jaar weekend]]+Ruimtestaat[[#This Row],[kosten / jaar werkdagen]]</f>
        <v>0</v>
      </c>
      <c r="AG161" s="76"/>
      <c r="AH161" s="272" t="str">
        <f>IF(Ruimtestaat[[#This Row],[Frequentie werkdagen]]="","",_xlfn.CONCAT(Ruimtestaat[[#This Row],[Ruimte code]],"-",Ruimtestaat[[#This Row],[Frequentie werkdagen]]," ",Ruimtestaat[[#This Row],[Vloer code]]))</f>
        <v>18-5w p</v>
      </c>
      <c r="AI161" s="314" t="str">
        <f>_xlfn.IFNA(VLOOKUP($AH161,Programma!$F$3:$G$1107,2,0),"")</f>
        <v>_</v>
      </c>
      <c r="AJ161" s="314" t="str">
        <f>_xlfn.IFNA(VLOOKUP($AH161,Programma!$F$3:$H$1107,3,0),"")</f>
        <v>_</v>
      </c>
      <c r="AK161" s="314" t="str">
        <f>_xlfn.IFNA(VLOOKUP($AH161,Programma!$F$3:$I$1107,4,0),"")</f>
        <v>4w</v>
      </c>
      <c r="AL161" s="314" t="str">
        <f>_xlfn.IFNA(VLOOKUP($AH161,Programma!$F$3:$J$1107,5,0),"")</f>
        <v>1w</v>
      </c>
      <c r="AM161" s="314" t="str">
        <f>_xlfn.IFNA(VLOOKUP($AH161,Programma!$F$3:$K$1107,6,0),"")</f>
        <v>4j</v>
      </c>
      <c r="AN161" s="314" t="str">
        <f>_xlfn.IFNA(VLOOKUP($AH161,Programma!$F$3:$L$1107,7,0),"")</f>
        <v>_</v>
      </c>
      <c r="AO161" s="314" t="str">
        <f>_xlfn.IFNA(VLOOKUP($AH161,Programma!$F$3:$M$1107,8,0),"")</f>
        <v>_</v>
      </c>
      <c r="AP161" s="314" t="str">
        <f>_xlfn.IFNA(VLOOKUP($AH161,Programma!$F$3:$N$1107,9,0),"")</f>
        <v>_</v>
      </c>
      <c r="AQ161" s="314" t="str">
        <f>_xlfn.IFNA(VLOOKUP($AH161,Programma!$F$3:$O$1107,10,0),"")</f>
        <v>5w</v>
      </c>
      <c r="AR161" s="314" t="str">
        <f>_xlfn.IFNA(VLOOKUP($AH161,Programma!$F$3:$P$1107,11,0),"")</f>
        <v>5w</v>
      </c>
      <c r="AS161" s="314" t="str">
        <f>_xlfn.IFNA(VLOOKUP($AH161,Programma!$F$3:$Q$1107,12,0),"")</f>
        <v>5w</v>
      </c>
      <c r="AT161" s="314" t="str">
        <f>_xlfn.IFNA(VLOOKUP($AH161,Programma!$F$3:$R$1107,13,0),"")</f>
        <v>5w</v>
      </c>
      <c r="AU161" s="314" t="str">
        <f>_xlfn.IFNA(VLOOKUP($AH161,Programma!$F$3:$S$1107,14,0),"")</f>
        <v>5w</v>
      </c>
      <c r="AV161" s="314" t="str">
        <f>_xlfn.IFNA(VLOOKUP($AH161,Programma!$F$3:$T$1107,15,0),"")</f>
        <v>5w</v>
      </c>
      <c r="AW161" s="314" t="str">
        <f>_xlfn.IFNA(VLOOKUP($AH161,Programma!$F$3:$U$1107,16,0),"")</f>
        <v>5w</v>
      </c>
      <c r="AX161" s="314" t="str">
        <f>_xlfn.IFNA(VLOOKUP($AH161,Programma!$F$3:$V$1107,17,0),"")</f>
        <v>_</v>
      </c>
      <c r="AY161" s="314" t="str">
        <f>_xlfn.IFNA(VLOOKUP($AH161,Programma!$F$3:$W$1107,18,0),"")</f>
        <v>_</v>
      </c>
      <c r="AZ161" s="314" t="str">
        <f>_xlfn.IFNA(VLOOKUP($AH161,Programma!$F$3:$X$1107,19,0),"")</f>
        <v>_</v>
      </c>
      <c r="BA161" s="314" t="str">
        <f>_xlfn.IFNA(VLOOKUP($AH161,Programma!$F$3:$Y$1107,20,0),"")</f>
        <v>_</v>
      </c>
      <c r="BB161" s="273"/>
      <c r="BC161" s="272" t="str">
        <f>IF(Ruimtestaat[[#This Row],[Frequentie weekend]]="","",_xlfn.CONCAT(Ruimtestaat[[#This Row],[Ruimte code]],"-",Ruimtestaat[[#This Row],[Frequentie weekend]]," ",Ruimtestaat[[#This Row],[Vloer code]]))</f>
        <v/>
      </c>
      <c r="BD161" s="314" t="str">
        <f>_xlfn.IFNA(VLOOKUP($BC161,Programma!$F$3:$G$1107,2,0),"")</f>
        <v/>
      </c>
      <c r="BE161" s="314" t="str">
        <f>_xlfn.IFNA(VLOOKUP($BC161,Programma!$F$3:$H$1107,3,0),"")</f>
        <v/>
      </c>
      <c r="BF161" s="314" t="str">
        <f>_xlfn.IFNA(VLOOKUP($BC161,Programma!$F$3:$I$1107,4,0),"")</f>
        <v/>
      </c>
      <c r="BG161" s="314" t="str">
        <f>_xlfn.IFNA(VLOOKUP($BC161,Programma!$F$3:$J$1107,5,0),"")</f>
        <v/>
      </c>
      <c r="BH161" s="314" t="str">
        <f>_xlfn.IFNA(VLOOKUP($BC161,Programma!$F$3:$K$1107,6,0),"")</f>
        <v/>
      </c>
      <c r="BI161" s="314" t="str">
        <f>_xlfn.IFNA(VLOOKUP($BC161,Programma!$F$3:$L$1107,7,0),"")</f>
        <v/>
      </c>
      <c r="BJ161" s="314" t="str">
        <f>_xlfn.IFNA(VLOOKUP($BC161,Programma!$F$3:$M$1107,8,0),"")</f>
        <v/>
      </c>
      <c r="BK161" s="314" t="str">
        <f>_xlfn.IFNA(VLOOKUP($BC161,Programma!$F$3:$N$1107,9,0),"")</f>
        <v/>
      </c>
      <c r="BL161" s="314" t="str">
        <f>_xlfn.IFNA(VLOOKUP($BC161,Programma!$F$3:$O$1107,10,0),"")</f>
        <v/>
      </c>
      <c r="BM161" s="314" t="str">
        <f>_xlfn.IFNA(VLOOKUP($BC161,Programma!$F$3:$P$1107,11,0),"")</f>
        <v/>
      </c>
      <c r="BN161" s="314" t="str">
        <f>_xlfn.IFNA(VLOOKUP($BC161,Programma!$F$3:$Q$1107,12,0),"")</f>
        <v/>
      </c>
      <c r="BO161" s="314" t="str">
        <f>_xlfn.IFNA(VLOOKUP($BC161,Programma!$F$3:$R$1107,13,0),"")</f>
        <v/>
      </c>
      <c r="BP161" s="314" t="str">
        <f>_xlfn.IFNA(VLOOKUP($BC161,Programma!$F$3:$S$1107,14,0),"")</f>
        <v/>
      </c>
      <c r="BQ161" s="314" t="str">
        <f>_xlfn.IFNA(VLOOKUP($BC161,Programma!$F$3:$T$1107,15,0),"")</f>
        <v/>
      </c>
      <c r="BR161" s="314" t="str">
        <f>_xlfn.IFNA(VLOOKUP($BC161,Programma!$F$3:$U$1107,16,0),"")</f>
        <v/>
      </c>
      <c r="BS161" s="314" t="str">
        <f>_xlfn.IFNA(VLOOKUP($BC161,Programma!$F$3:$V$1107,17,0),"")</f>
        <v/>
      </c>
      <c r="BT161" s="314" t="str">
        <f>_xlfn.IFNA(VLOOKUP($BC161,Programma!$F$3:$W$1107,18,0),"")</f>
        <v/>
      </c>
      <c r="BU161" s="314" t="str">
        <f>_xlfn.IFNA(VLOOKUP($BC161,Programma!$F$3:$X$1107,19,0),"")</f>
        <v/>
      </c>
      <c r="BV161" s="314" t="str">
        <f>_xlfn.IFNA(VLOOKUP($BC161,Programma!$F$3:$Y$1107,20,0),"")</f>
        <v/>
      </c>
    </row>
    <row r="162" spans="1:74" ht="15" customHeight="1">
      <c r="A162" s="33">
        <v>1</v>
      </c>
      <c r="B162" s="173" t="str">
        <f>VLOOKUP(Ruimtestaat[[#This Row],[Code]],Locaties[[Code]:[Locatie]],2,FALSE)</f>
        <v>CCNV</v>
      </c>
      <c r="C162" s="173" t="str">
        <f>VLOOKUP(Ruimtestaat[[#This Row],[Code]],Locaties[[#All],[Code]:[Adres]],4,FALSE)</f>
        <v>Stationslaan 26</v>
      </c>
      <c r="D162" s="173" t="str">
        <f>VLOOKUP(Ruimtestaat[[#This Row],[Code]],Locaties[[#All],[Code]:[Postcode]],5,FALSE)</f>
        <v>3842 LA</v>
      </c>
      <c r="E162" s="173" t="str">
        <f>VLOOKUP(Ruimtestaat[[#This Row],[Code]],Locaties[#All],6,FALSE)</f>
        <v>Harderwijk</v>
      </c>
      <c r="F162" s="21" t="s">
        <v>1630</v>
      </c>
      <c r="G162" s="33"/>
      <c r="H162" s="21" t="s">
        <v>1758</v>
      </c>
      <c r="I162" s="69" t="s">
        <v>1794</v>
      </c>
      <c r="J162" s="21">
        <v>6</v>
      </c>
      <c r="K162" s="69" t="str">
        <f>VLOOKUP(Ruimtestaat[[#This Row],[Ruimte code]],Ruimtegroepen[[#All],[Code]:[Ruimte omschrijving]],2,FALSE)</f>
        <v>Gangen/hallen</v>
      </c>
      <c r="L162" s="33" t="s">
        <v>101</v>
      </c>
      <c r="M162" s="312" t="s">
        <v>1804</v>
      </c>
      <c r="N162" s="148">
        <v>35</v>
      </c>
      <c r="O162" s="150"/>
      <c r="P162" s="134" t="str">
        <f>VLOOKUP(Ruimtestaat[[#This Row],[Ruimte code]],Ruimtegroepen[],4,FALSE)</f>
        <v>Ve</v>
      </c>
      <c r="Q162" s="33">
        <v>40</v>
      </c>
      <c r="R162" s="33" t="s">
        <v>2</v>
      </c>
      <c r="S162" s="33">
        <f>IF(Q162&gt;0,IF(RIGHT(Ruimtestaat[[#This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2" s="33">
        <f>IF(S162&gt;0,VLOOKUP($J162,Ruimtegroepen[],3,FALSE)*VLOOKUP($L162,Vloersoorten[],3,FALSE)*VLOOKUP($R162,Frequenties[],3,FALSE)*VLOOKUP($A162,Locaties[],3,FALSE),0)</f>
        <v>0</v>
      </c>
      <c r="U162" s="33">
        <f>Ruimtestaat[[#This Row],[Uitvoeringen werkdagen]]*Ruimtestaat[[#This Row],[Oppervlak (netto)]]</f>
        <v>7000</v>
      </c>
      <c r="V162" s="170">
        <f>IF(T162&gt;0,Ruimtestaat[[#This Row],[Prest. (m2 /jaar) werkdagen]]/Ruimtestaat[[#This Row],[Norm (m2/uur) werkdagen]],0)</f>
        <v>0</v>
      </c>
      <c r="W162" s="171">
        <f>Ruimtestaat[[#This Row],[uren / jaar werkdagen]]*Tariefsopbouw!$E$35</f>
        <v>0</v>
      </c>
      <c r="X162" s="33"/>
      <c r="Y162" s="33">
        <f>IF(Ruimtestaat[[#This Row],[Frequentie weekend]]&gt;0,VALUE(LEFT(X162,1))*Q162,0)</f>
        <v>0</v>
      </c>
      <c r="Z162" s="104">
        <f>IF($Y162&gt;0,VLOOKUP($J162,Ruimtegroepen[],3,FALSE)*VLOOKUP($L162,Vloersoorten[],3,FALSE)*VLOOKUP($X162,Frequenties[],3,FALSE)*VLOOKUP(Ruimtestaat[[#This Row],[Code]],Locaties[],3,FALSE),0)</f>
        <v>0</v>
      </c>
      <c r="AA162" s="104">
        <f>Ruimtestaat[[#This Row],[Uitvoeringen weekend]]*Ruimtestaat[[#This Row],[Oppervlak (netto)]]</f>
        <v>0</v>
      </c>
      <c r="AB162" s="104">
        <f>IF(Z162&gt;0,Ruimtestaat[[#This Row],[Prest. (m2 /jaar) weekend]]/Ruimtestaat[[#This Row],[Norm (m2/uur) weekend]],0)</f>
        <v>0</v>
      </c>
      <c r="AC162" s="171">
        <f>Ruimtestaat[[#This Row],[uren / jaar weekend]]*Tariefsopbouw!$D$40</f>
        <v>0</v>
      </c>
      <c r="AD162" s="170">
        <f>Ruimtestaat[[#This Row],[Prest. (m2 /jaar) weekend]]+Ruimtestaat[[#This Row],[Prest. (m2 /jaar) werkdagen]]</f>
        <v>7000</v>
      </c>
      <c r="AE162" s="170">
        <f>Ruimtestaat[[#This Row],[uren / jaar weekend]]+Ruimtestaat[[#This Row],[uren / jaar werkdagen]]</f>
        <v>0</v>
      </c>
      <c r="AF162" s="76">
        <f>Ruimtestaat[[#This Row],[kosten / jaar weekend]]+Ruimtestaat[[#This Row],[kosten / jaar werkdagen]]</f>
        <v>0</v>
      </c>
      <c r="AG162" s="76"/>
      <c r="AH162" s="272" t="str">
        <f>IF(Ruimtestaat[[#This Row],[Frequentie werkdagen]]="","",_xlfn.CONCAT(Ruimtestaat[[#This Row],[Ruimte code]],"-",Ruimtestaat[[#This Row],[Frequentie werkdagen]]," ",Ruimtestaat[[#This Row],[Vloer code]]))</f>
        <v>6-5w L</v>
      </c>
      <c r="AI162" s="314" t="str">
        <f>_xlfn.IFNA(VLOOKUP($AH162,Programma!$F$3:$G$1107,2,0),"")</f>
        <v>_</v>
      </c>
      <c r="AJ162" s="314" t="str">
        <f>_xlfn.IFNA(VLOOKUP($AH162,Programma!$F$3:$H$1107,3,0),"")</f>
        <v>_</v>
      </c>
      <c r="AK162" s="314" t="str">
        <f>_xlfn.IFNA(VLOOKUP($AH162,Programma!$F$3:$I$1107,4,0),"")</f>
        <v>_</v>
      </c>
      <c r="AL162" s="314" t="str">
        <f>_xlfn.IFNA(VLOOKUP($AH162,Programma!$F$3:$J$1107,5,0),"")</f>
        <v>5w</v>
      </c>
      <c r="AM162" s="314" t="str">
        <f>_xlfn.IFNA(VLOOKUP($AH162,Programma!$F$3:$K$1107,6,0),"")</f>
        <v>_</v>
      </c>
      <c r="AN162" s="314" t="str">
        <f>_xlfn.IFNA(VLOOKUP($AH162,Programma!$F$3:$L$1107,7,0),"")</f>
        <v>_</v>
      </c>
      <c r="AO162" s="314" t="str">
        <f>_xlfn.IFNA(VLOOKUP($AH162,Programma!$F$3:$M$1107,8,0),"")</f>
        <v>_</v>
      </c>
      <c r="AP162" s="314" t="str">
        <f>_xlfn.IFNA(VLOOKUP($AH162,Programma!$F$3:$N$1107,9,0),"")</f>
        <v>_</v>
      </c>
      <c r="AQ162" s="314" t="str">
        <f>_xlfn.IFNA(VLOOKUP($AH162,Programma!$F$3:$O$1107,10,0),"")</f>
        <v>5w</v>
      </c>
      <c r="AR162" s="314" t="str">
        <f>_xlfn.IFNA(VLOOKUP($AH162,Programma!$F$3:$P$1107,11,0),"")</f>
        <v>5w</v>
      </c>
      <c r="AS162" s="314" t="str">
        <f>_xlfn.IFNA(VLOOKUP($AH162,Programma!$F$3:$Q$1107,12,0),"")</f>
        <v>1w</v>
      </c>
      <c r="AT162" s="314" t="str">
        <f>_xlfn.IFNA(VLOOKUP($AH162,Programma!$F$3:$R$1107,13,0),"")</f>
        <v>1w</v>
      </c>
      <c r="AU162" s="314" t="str">
        <f>_xlfn.IFNA(VLOOKUP($AH162,Programma!$F$3:$S$1107,14,0),"")</f>
        <v>1m</v>
      </c>
      <c r="AV162" s="314" t="str">
        <f>_xlfn.IFNA(VLOOKUP($AH162,Programma!$F$3:$T$1107,15,0),"")</f>
        <v>2j</v>
      </c>
      <c r="AW162" s="314" t="str">
        <f>_xlfn.IFNA(VLOOKUP($AH162,Programma!$F$3:$U$1107,16,0),"")</f>
        <v>1j</v>
      </c>
      <c r="AX162" s="314" t="str">
        <f>_xlfn.IFNA(VLOOKUP($AH162,Programma!$F$3:$V$1107,17,0),"")</f>
        <v>_</v>
      </c>
      <c r="AY162" s="314" t="str">
        <f>_xlfn.IFNA(VLOOKUP($AH162,Programma!$F$3:$W$1107,18,0),"")</f>
        <v>_</v>
      </c>
      <c r="AZ162" s="314" t="str">
        <f>_xlfn.IFNA(VLOOKUP($AH162,Programma!$F$3:$X$1107,19,0),"")</f>
        <v>_</v>
      </c>
      <c r="BA162" s="314" t="str">
        <f>_xlfn.IFNA(VLOOKUP($AH162,Programma!$F$3:$Y$1107,20,0),"")</f>
        <v>_</v>
      </c>
      <c r="BB162" s="273"/>
      <c r="BC162" s="272" t="str">
        <f>IF(Ruimtestaat[[#This Row],[Frequentie weekend]]="","",_xlfn.CONCAT(Ruimtestaat[[#This Row],[Ruimte code]],"-",Ruimtestaat[[#This Row],[Frequentie weekend]]," ",Ruimtestaat[[#This Row],[Vloer code]]))</f>
        <v/>
      </c>
      <c r="BD162" s="314" t="str">
        <f>_xlfn.IFNA(VLOOKUP($BC162,Programma!$F$3:$G$1107,2,0),"")</f>
        <v/>
      </c>
      <c r="BE162" s="314" t="str">
        <f>_xlfn.IFNA(VLOOKUP($BC162,Programma!$F$3:$H$1107,3,0),"")</f>
        <v/>
      </c>
      <c r="BF162" s="314" t="str">
        <f>_xlfn.IFNA(VLOOKUP($BC162,Programma!$F$3:$I$1107,4,0),"")</f>
        <v/>
      </c>
      <c r="BG162" s="314" t="str">
        <f>_xlfn.IFNA(VLOOKUP($BC162,Programma!$F$3:$J$1107,5,0),"")</f>
        <v/>
      </c>
      <c r="BH162" s="314" t="str">
        <f>_xlfn.IFNA(VLOOKUP($BC162,Programma!$F$3:$K$1107,6,0),"")</f>
        <v/>
      </c>
      <c r="BI162" s="314" t="str">
        <f>_xlfn.IFNA(VLOOKUP($BC162,Programma!$F$3:$L$1107,7,0),"")</f>
        <v/>
      </c>
      <c r="BJ162" s="314" t="str">
        <f>_xlfn.IFNA(VLOOKUP($BC162,Programma!$F$3:$M$1107,8,0),"")</f>
        <v/>
      </c>
      <c r="BK162" s="314" t="str">
        <f>_xlfn.IFNA(VLOOKUP($BC162,Programma!$F$3:$N$1107,9,0),"")</f>
        <v/>
      </c>
      <c r="BL162" s="314" t="str">
        <f>_xlfn.IFNA(VLOOKUP($BC162,Programma!$F$3:$O$1107,10,0),"")</f>
        <v/>
      </c>
      <c r="BM162" s="314" t="str">
        <f>_xlfn.IFNA(VLOOKUP($BC162,Programma!$F$3:$P$1107,11,0),"")</f>
        <v/>
      </c>
      <c r="BN162" s="314" t="str">
        <f>_xlfn.IFNA(VLOOKUP($BC162,Programma!$F$3:$Q$1107,12,0),"")</f>
        <v/>
      </c>
      <c r="BO162" s="314" t="str">
        <f>_xlfn.IFNA(VLOOKUP($BC162,Programma!$F$3:$R$1107,13,0),"")</f>
        <v/>
      </c>
      <c r="BP162" s="314" t="str">
        <f>_xlfn.IFNA(VLOOKUP($BC162,Programma!$F$3:$S$1107,14,0),"")</f>
        <v/>
      </c>
      <c r="BQ162" s="314" t="str">
        <f>_xlfn.IFNA(VLOOKUP($BC162,Programma!$F$3:$T$1107,15,0),"")</f>
        <v/>
      </c>
      <c r="BR162" s="314" t="str">
        <f>_xlfn.IFNA(VLOOKUP($BC162,Programma!$F$3:$U$1107,16,0),"")</f>
        <v/>
      </c>
      <c r="BS162" s="314" t="str">
        <f>_xlfn.IFNA(VLOOKUP($BC162,Programma!$F$3:$V$1107,17,0),"")</f>
        <v/>
      </c>
      <c r="BT162" s="314" t="str">
        <f>_xlfn.IFNA(VLOOKUP($BC162,Programma!$F$3:$W$1107,18,0),"")</f>
        <v/>
      </c>
      <c r="BU162" s="314" t="str">
        <f>_xlfn.IFNA(VLOOKUP($BC162,Programma!$F$3:$X$1107,19,0),"")</f>
        <v/>
      </c>
      <c r="BV162" s="314" t="str">
        <f>_xlfn.IFNA(VLOOKUP($BC162,Programma!$F$3:$Y$1107,20,0),"")</f>
        <v/>
      </c>
    </row>
    <row r="163" spans="1:74" ht="15" customHeight="1">
      <c r="A163" s="33">
        <v>1</v>
      </c>
      <c r="B163" s="173" t="str">
        <f>VLOOKUP(Ruimtestaat[[#This Row],[Code]],Locaties[[Code]:[Locatie]],2,FALSE)</f>
        <v>CCNV</v>
      </c>
      <c r="C163" s="173" t="str">
        <f>VLOOKUP(Ruimtestaat[[#This Row],[Code]],Locaties[[#All],[Code]:[Adres]],4,FALSE)</f>
        <v>Stationslaan 26</v>
      </c>
      <c r="D163" s="173" t="str">
        <f>VLOOKUP(Ruimtestaat[[#This Row],[Code]],Locaties[[#All],[Code]:[Postcode]],5,FALSE)</f>
        <v>3842 LA</v>
      </c>
      <c r="E163" s="173" t="str">
        <f>VLOOKUP(Ruimtestaat[[#This Row],[Code]],Locaties[#All],6,FALSE)</f>
        <v>Harderwijk</v>
      </c>
      <c r="F163" s="21" t="s">
        <v>1630</v>
      </c>
      <c r="G163" s="33"/>
      <c r="H163" s="21" t="s">
        <v>1759</v>
      </c>
      <c r="I163" s="69" t="s">
        <v>1795</v>
      </c>
      <c r="J163" s="21">
        <v>7</v>
      </c>
      <c r="K163" s="69" t="str">
        <f>VLOOKUP(Ruimtestaat[[#This Row],[Ruimte code]],Ruimtegroepen[[#All],[Code]:[Ruimte omschrijving]],2,FALSE)</f>
        <v>Entree</v>
      </c>
      <c r="L163" s="33" t="s">
        <v>100</v>
      </c>
      <c r="M163" s="312" t="s">
        <v>1808</v>
      </c>
      <c r="N163" s="148">
        <v>10</v>
      </c>
      <c r="O163" s="150"/>
      <c r="P163" s="134" t="str">
        <f>VLOOKUP(Ruimtestaat[[#This Row],[Ruimte code]],Ruimtegroepen[],4,FALSE)</f>
        <v>Ve</v>
      </c>
      <c r="Q163" s="33">
        <v>40</v>
      </c>
      <c r="R163" s="33" t="s">
        <v>2</v>
      </c>
      <c r="S163" s="33">
        <f>IF(Q163&gt;0,IF(RIGHT(Ruimtestaat[[#This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3" s="33">
        <f>IF(S163&gt;0,VLOOKUP($J163,Ruimtegroepen[],3,FALSE)*VLOOKUP($L163,Vloersoorten[],3,FALSE)*VLOOKUP($R163,Frequenties[],3,FALSE)*VLOOKUP($A163,Locaties[],3,FALSE),0)</f>
        <v>0</v>
      </c>
      <c r="U163" s="33">
        <f>Ruimtestaat[[#This Row],[Uitvoeringen werkdagen]]*Ruimtestaat[[#This Row],[Oppervlak (netto)]]</f>
        <v>2000</v>
      </c>
      <c r="V163" s="170">
        <f>IF(T163&gt;0,Ruimtestaat[[#This Row],[Prest. (m2 /jaar) werkdagen]]/Ruimtestaat[[#This Row],[Norm (m2/uur) werkdagen]],0)</f>
        <v>0</v>
      </c>
      <c r="W163" s="171">
        <f>Ruimtestaat[[#This Row],[uren / jaar werkdagen]]*Tariefsopbouw!$E$35</f>
        <v>0</v>
      </c>
      <c r="X163" s="33"/>
      <c r="Y163" s="33">
        <f>IF(Ruimtestaat[[#This Row],[Frequentie weekend]]&gt;0,VALUE(LEFT(X163,1))*Q163,0)</f>
        <v>0</v>
      </c>
      <c r="Z163" s="104">
        <f>IF($Y163&gt;0,VLOOKUP($J163,Ruimtegroepen[],3,FALSE)*VLOOKUP($L163,Vloersoorten[],3,FALSE)*VLOOKUP($X163,Frequenties[],3,FALSE)*VLOOKUP(Ruimtestaat[[#This Row],[Code]],Locaties[],3,FALSE),0)</f>
        <v>0</v>
      </c>
      <c r="AA163" s="104">
        <f>Ruimtestaat[[#This Row],[Uitvoeringen weekend]]*Ruimtestaat[[#This Row],[Oppervlak (netto)]]</f>
        <v>0</v>
      </c>
      <c r="AB163" s="104">
        <f>IF(Z163&gt;0,Ruimtestaat[[#This Row],[Prest. (m2 /jaar) weekend]]/Ruimtestaat[[#This Row],[Norm (m2/uur) weekend]],0)</f>
        <v>0</v>
      </c>
      <c r="AC163" s="171">
        <f>Ruimtestaat[[#This Row],[uren / jaar weekend]]*Tariefsopbouw!$D$40</f>
        <v>0</v>
      </c>
      <c r="AD163" s="170">
        <f>Ruimtestaat[[#This Row],[Prest. (m2 /jaar) weekend]]+Ruimtestaat[[#This Row],[Prest. (m2 /jaar) werkdagen]]</f>
        <v>2000</v>
      </c>
      <c r="AE163" s="170">
        <f>Ruimtestaat[[#This Row],[uren / jaar weekend]]+Ruimtestaat[[#This Row],[uren / jaar werkdagen]]</f>
        <v>0</v>
      </c>
      <c r="AF163" s="76">
        <f>Ruimtestaat[[#This Row],[kosten / jaar weekend]]+Ruimtestaat[[#This Row],[kosten / jaar werkdagen]]</f>
        <v>0</v>
      </c>
      <c r="AG163" s="76"/>
      <c r="AH163" s="272" t="str">
        <f>IF(Ruimtestaat[[#This Row],[Frequentie werkdagen]]="","",_xlfn.CONCAT(Ruimtestaat[[#This Row],[Ruimte code]],"-",Ruimtestaat[[#This Row],[Frequentie werkdagen]]," ",Ruimtestaat[[#This Row],[Vloer code]]))</f>
        <v>7-5w T</v>
      </c>
      <c r="AI163" s="314" t="str">
        <f>_xlfn.IFNA(VLOOKUP($AH163,Programma!$F$3:$G$1107,2,0),"")</f>
        <v>_</v>
      </c>
      <c r="AJ163" s="314" t="str">
        <f>_xlfn.IFNA(VLOOKUP($AH163,Programma!$F$3:$H$1107,3,0),"")</f>
        <v>5w</v>
      </c>
      <c r="AK163" s="314" t="str">
        <f>_xlfn.IFNA(VLOOKUP($AH163,Programma!$F$3:$I$1107,4,0),"")</f>
        <v>_</v>
      </c>
      <c r="AL163" s="314" t="str">
        <f>_xlfn.IFNA(VLOOKUP($AH163,Programma!$F$3:$J$1107,5,0),"")</f>
        <v>_</v>
      </c>
      <c r="AM163" s="314" t="str">
        <f>_xlfn.IFNA(VLOOKUP($AH163,Programma!$F$3:$K$1107,6,0),"")</f>
        <v>_</v>
      </c>
      <c r="AN163" s="314" t="str">
        <f>_xlfn.IFNA(VLOOKUP($AH163,Programma!$F$3:$L$1107,7,0),"")</f>
        <v>_</v>
      </c>
      <c r="AO163" s="314" t="str">
        <f>_xlfn.IFNA(VLOOKUP($AH163,Programma!$F$3:$M$1107,8,0),"")</f>
        <v>_</v>
      </c>
      <c r="AP163" s="314" t="str">
        <f>_xlfn.IFNA(VLOOKUP($AH163,Programma!$F$3:$N$1107,9,0),"")</f>
        <v>_</v>
      </c>
      <c r="AQ163" s="314" t="str">
        <f>_xlfn.IFNA(VLOOKUP($AH163,Programma!$F$3:$O$1107,10,0),"")</f>
        <v>5w</v>
      </c>
      <c r="AR163" s="314" t="str">
        <f>_xlfn.IFNA(VLOOKUP($AH163,Programma!$F$3:$P$1107,11,0),"")</f>
        <v>5w</v>
      </c>
      <c r="AS163" s="314" t="str">
        <f>_xlfn.IFNA(VLOOKUP($AH163,Programma!$F$3:$Q$1107,12,0),"")</f>
        <v>1w</v>
      </c>
      <c r="AT163" s="314" t="str">
        <f>_xlfn.IFNA(VLOOKUP($AH163,Programma!$F$3:$R$1107,13,0),"")</f>
        <v>1w</v>
      </c>
      <c r="AU163" s="314" t="str">
        <f>_xlfn.IFNA(VLOOKUP($AH163,Programma!$F$3:$S$1107,14,0),"")</f>
        <v>1m</v>
      </c>
      <c r="AV163" s="314" t="str">
        <f>_xlfn.IFNA(VLOOKUP($AH163,Programma!$F$3:$T$1107,15,0),"")</f>
        <v>2j</v>
      </c>
      <c r="AW163" s="314" t="str">
        <f>_xlfn.IFNA(VLOOKUP($AH163,Programma!$F$3:$U$1107,16,0),"")</f>
        <v>1j</v>
      </c>
      <c r="AX163" s="314" t="str">
        <f>_xlfn.IFNA(VLOOKUP($AH163,Programma!$F$3:$V$1107,17,0),"")</f>
        <v>_</v>
      </c>
      <c r="AY163" s="314" t="str">
        <f>_xlfn.IFNA(VLOOKUP($AH163,Programma!$F$3:$W$1107,18,0),"")</f>
        <v>_</v>
      </c>
      <c r="AZ163" s="314" t="str">
        <f>_xlfn.IFNA(VLOOKUP($AH163,Programma!$F$3:$X$1107,19,0),"")</f>
        <v>_</v>
      </c>
      <c r="BA163" s="314" t="str">
        <f>_xlfn.IFNA(VLOOKUP($AH163,Programma!$F$3:$Y$1107,20,0),"")</f>
        <v>_</v>
      </c>
      <c r="BB163" s="273"/>
      <c r="BC163" s="272" t="str">
        <f>IF(Ruimtestaat[[#This Row],[Frequentie weekend]]="","",_xlfn.CONCAT(Ruimtestaat[[#This Row],[Ruimte code]],"-",Ruimtestaat[[#This Row],[Frequentie weekend]]," ",Ruimtestaat[[#This Row],[Vloer code]]))</f>
        <v/>
      </c>
      <c r="BD163" s="314" t="str">
        <f>_xlfn.IFNA(VLOOKUP($BC163,Programma!$F$3:$G$1107,2,0),"")</f>
        <v/>
      </c>
      <c r="BE163" s="314" t="str">
        <f>_xlfn.IFNA(VLOOKUP($BC163,Programma!$F$3:$H$1107,3,0),"")</f>
        <v/>
      </c>
      <c r="BF163" s="314" t="str">
        <f>_xlfn.IFNA(VLOOKUP($BC163,Programma!$F$3:$I$1107,4,0),"")</f>
        <v/>
      </c>
      <c r="BG163" s="314" t="str">
        <f>_xlfn.IFNA(VLOOKUP($BC163,Programma!$F$3:$J$1107,5,0),"")</f>
        <v/>
      </c>
      <c r="BH163" s="314" t="str">
        <f>_xlfn.IFNA(VLOOKUP($BC163,Programma!$F$3:$K$1107,6,0),"")</f>
        <v/>
      </c>
      <c r="BI163" s="314" t="str">
        <f>_xlfn.IFNA(VLOOKUP($BC163,Programma!$F$3:$L$1107,7,0),"")</f>
        <v/>
      </c>
      <c r="BJ163" s="314" t="str">
        <f>_xlfn.IFNA(VLOOKUP($BC163,Programma!$F$3:$M$1107,8,0),"")</f>
        <v/>
      </c>
      <c r="BK163" s="314" t="str">
        <f>_xlfn.IFNA(VLOOKUP($BC163,Programma!$F$3:$N$1107,9,0),"")</f>
        <v/>
      </c>
      <c r="BL163" s="314" t="str">
        <f>_xlfn.IFNA(VLOOKUP($BC163,Programma!$F$3:$O$1107,10,0),"")</f>
        <v/>
      </c>
      <c r="BM163" s="314" t="str">
        <f>_xlfn.IFNA(VLOOKUP($BC163,Programma!$F$3:$P$1107,11,0),"")</f>
        <v/>
      </c>
      <c r="BN163" s="314" t="str">
        <f>_xlfn.IFNA(VLOOKUP($BC163,Programma!$F$3:$Q$1107,12,0),"")</f>
        <v/>
      </c>
      <c r="BO163" s="314" t="str">
        <f>_xlfn.IFNA(VLOOKUP($BC163,Programma!$F$3:$R$1107,13,0),"")</f>
        <v/>
      </c>
      <c r="BP163" s="314" t="str">
        <f>_xlfn.IFNA(VLOOKUP($BC163,Programma!$F$3:$S$1107,14,0),"")</f>
        <v/>
      </c>
      <c r="BQ163" s="314" t="str">
        <f>_xlfn.IFNA(VLOOKUP($BC163,Programma!$F$3:$T$1107,15,0),"")</f>
        <v/>
      </c>
      <c r="BR163" s="314" t="str">
        <f>_xlfn.IFNA(VLOOKUP($BC163,Programma!$F$3:$U$1107,16,0),"")</f>
        <v/>
      </c>
      <c r="BS163" s="314" t="str">
        <f>_xlfn.IFNA(VLOOKUP($BC163,Programma!$F$3:$V$1107,17,0),"")</f>
        <v/>
      </c>
      <c r="BT163" s="314" t="str">
        <f>_xlfn.IFNA(VLOOKUP($BC163,Programma!$F$3:$W$1107,18,0),"")</f>
        <v/>
      </c>
      <c r="BU163" s="314" t="str">
        <f>_xlfn.IFNA(VLOOKUP($BC163,Programma!$F$3:$X$1107,19,0),"")</f>
        <v/>
      </c>
      <c r="BV163" s="314" t="str">
        <f>_xlfn.IFNA(VLOOKUP($BC163,Programma!$F$3:$Y$1107,20,0),"")</f>
        <v/>
      </c>
    </row>
    <row r="164" spans="1:74" ht="15" customHeight="1">
      <c r="A164" s="33">
        <v>1</v>
      </c>
      <c r="B164" s="173" t="str">
        <f>VLOOKUP(Ruimtestaat[[#This Row],[Code]],Locaties[[Code]:[Locatie]],2,FALSE)</f>
        <v>CCNV</v>
      </c>
      <c r="C164" s="173" t="str">
        <f>VLOOKUP(Ruimtestaat[[#This Row],[Code]],Locaties[[#All],[Code]:[Adres]],4,FALSE)</f>
        <v>Stationslaan 26</v>
      </c>
      <c r="D164" s="173" t="str">
        <f>VLOOKUP(Ruimtestaat[[#This Row],[Code]],Locaties[[#All],[Code]:[Postcode]],5,FALSE)</f>
        <v>3842 LA</v>
      </c>
      <c r="E164" s="173" t="str">
        <f>VLOOKUP(Ruimtestaat[[#This Row],[Code]],Locaties[#All],6,FALSE)</f>
        <v>Harderwijk</v>
      </c>
      <c r="F164" s="21" t="s">
        <v>1630</v>
      </c>
      <c r="G164" s="33"/>
      <c r="I164" s="69" t="s">
        <v>1766</v>
      </c>
      <c r="J164" s="21">
        <v>6</v>
      </c>
      <c r="K164" s="69" t="str">
        <f>VLOOKUP(Ruimtestaat[[#This Row],[Ruimte code]],Ruimtegroepen[[#All],[Code]:[Ruimte omschrijving]],2,FALSE)</f>
        <v>Gangen/hallen</v>
      </c>
      <c r="L164" s="33" t="s">
        <v>102</v>
      </c>
      <c r="M164" s="312" t="s">
        <v>1805</v>
      </c>
      <c r="N164" s="148">
        <v>24</v>
      </c>
      <c r="O164" s="33"/>
      <c r="P164" s="134" t="str">
        <f>VLOOKUP(Ruimtestaat[[#This Row],[Ruimte code]],Ruimtegroepen[],4,FALSE)</f>
        <v>Ve</v>
      </c>
      <c r="Q164" s="33">
        <v>40</v>
      </c>
      <c r="R164" s="33" t="s">
        <v>2</v>
      </c>
      <c r="S164" s="33">
        <f>IF(Q164&gt;0,IF(RIGHT(Ruimtestaat[[#This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4" s="33">
        <f>IF(S164&gt;0,VLOOKUP($J164,Ruimtegroepen[],3,FALSE)*VLOOKUP($L164,Vloersoorten[],3,FALSE)*VLOOKUP($R164,Frequenties[],3,FALSE)*VLOOKUP($A164,Locaties[],3,FALSE),0)</f>
        <v>0</v>
      </c>
      <c r="U164" s="33">
        <f>Ruimtestaat[[#This Row],[Uitvoeringen werkdagen]]*Ruimtestaat[[#This Row],[Oppervlak (netto)]]</f>
        <v>4800</v>
      </c>
      <c r="V164" s="170">
        <f>IF(T164&gt;0,Ruimtestaat[[#This Row],[Prest. (m2 /jaar) werkdagen]]/Ruimtestaat[[#This Row],[Norm (m2/uur) werkdagen]],0)</f>
        <v>0</v>
      </c>
      <c r="W164" s="171">
        <f>Ruimtestaat[[#This Row],[uren / jaar werkdagen]]*Tariefsopbouw!$E$35</f>
        <v>0</v>
      </c>
      <c r="X164" s="33"/>
      <c r="Y164" s="33">
        <f>IF(Ruimtestaat[[#This Row],[Frequentie weekend]]&gt;0,VALUE(LEFT(X164,1))*Q164,0)</f>
        <v>0</v>
      </c>
      <c r="Z164" s="104">
        <f>IF($Y164&gt;0,VLOOKUP($J164,Ruimtegroepen[],3,FALSE)*VLOOKUP($L164,Vloersoorten[],3,FALSE)*VLOOKUP($X164,Frequenties[],3,FALSE)*VLOOKUP(Ruimtestaat[[#This Row],[Code]],Locaties[],3,FALSE),0)</f>
        <v>0</v>
      </c>
      <c r="AA164" s="104">
        <f>Ruimtestaat[[#This Row],[Uitvoeringen weekend]]*Ruimtestaat[[#This Row],[Oppervlak (netto)]]</f>
        <v>0</v>
      </c>
      <c r="AB164" s="104">
        <f>IF(Z164&gt;0,Ruimtestaat[[#This Row],[Prest. (m2 /jaar) weekend]]/Ruimtestaat[[#This Row],[Norm (m2/uur) weekend]],0)</f>
        <v>0</v>
      </c>
      <c r="AC164" s="171">
        <f>Ruimtestaat[[#This Row],[uren / jaar weekend]]*Tariefsopbouw!$D$40</f>
        <v>0</v>
      </c>
      <c r="AD164" s="170">
        <f>Ruimtestaat[[#This Row],[Prest. (m2 /jaar) weekend]]+Ruimtestaat[[#This Row],[Prest. (m2 /jaar) werkdagen]]</f>
        <v>4800</v>
      </c>
      <c r="AE164" s="170">
        <f>Ruimtestaat[[#This Row],[uren / jaar weekend]]+Ruimtestaat[[#This Row],[uren / jaar werkdagen]]</f>
        <v>0</v>
      </c>
      <c r="AF164" s="76">
        <f>Ruimtestaat[[#This Row],[kosten / jaar weekend]]+Ruimtestaat[[#This Row],[kosten / jaar werkdagen]]</f>
        <v>0</v>
      </c>
      <c r="AG164" s="76"/>
      <c r="AH164" s="272" t="str">
        <f>IF(Ruimtestaat[[#This Row],[Frequentie werkdagen]]="","",_xlfn.CONCAT(Ruimtestaat[[#This Row],[Ruimte code]],"-",Ruimtestaat[[#This Row],[Frequentie werkdagen]]," ",Ruimtestaat[[#This Row],[Vloer code]]))</f>
        <v>6-5w S</v>
      </c>
      <c r="AI164" s="314" t="str">
        <f>_xlfn.IFNA(VLOOKUP($AH164,Programma!$F$3:$G$1107,2,0),"")</f>
        <v>_</v>
      </c>
      <c r="AJ164" s="314" t="str">
        <f>_xlfn.IFNA(VLOOKUP($AH164,Programma!$F$3:$H$1107,3,0),"")</f>
        <v>_</v>
      </c>
      <c r="AK164" s="314" t="str">
        <f>_xlfn.IFNA(VLOOKUP($AH164,Programma!$F$3:$I$1107,4,0),"")</f>
        <v>5w</v>
      </c>
      <c r="AL164" s="314" t="str">
        <f>_xlfn.IFNA(VLOOKUP($AH164,Programma!$F$3:$J$1107,5,0),"")</f>
        <v>_</v>
      </c>
      <c r="AM164" s="314" t="str">
        <f>_xlfn.IFNA(VLOOKUP($AH164,Programma!$F$3:$K$1107,6,0),"")</f>
        <v>5w</v>
      </c>
      <c r="AN164" s="314" t="str">
        <f>_xlfn.IFNA(VLOOKUP($AH164,Programma!$F$3:$L$1107,7,0),"")</f>
        <v>_</v>
      </c>
      <c r="AO164" s="314" t="str">
        <f>_xlfn.IFNA(VLOOKUP($AH164,Programma!$F$3:$M$1107,8,0),"")</f>
        <v>_</v>
      </c>
      <c r="AP164" s="314" t="str">
        <f>_xlfn.IFNA(VLOOKUP($AH164,Programma!$F$3:$N$1107,9,0),"")</f>
        <v>_</v>
      </c>
      <c r="AQ164" s="314" t="str">
        <f>_xlfn.IFNA(VLOOKUP($AH164,Programma!$F$3:$O$1107,10,0),"")</f>
        <v>5w</v>
      </c>
      <c r="AR164" s="314" t="str">
        <f>_xlfn.IFNA(VLOOKUP($AH164,Programma!$F$3:$P$1107,11,0),"")</f>
        <v>5w</v>
      </c>
      <c r="AS164" s="314" t="str">
        <f>_xlfn.IFNA(VLOOKUP($AH164,Programma!$F$3:$Q$1107,12,0),"")</f>
        <v>1w</v>
      </c>
      <c r="AT164" s="314" t="str">
        <f>_xlfn.IFNA(VLOOKUP($AH164,Programma!$F$3:$R$1107,13,0),"")</f>
        <v>1w</v>
      </c>
      <c r="AU164" s="314" t="str">
        <f>_xlfn.IFNA(VLOOKUP($AH164,Programma!$F$3:$S$1107,14,0),"")</f>
        <v>1m</v>
      </c>
      <c r="AV164" s="314" t="str">
        <f>_xlfn.IFNA(VLOOKUP($AH164,Programma!$F$3:$T$1107,15,0),"")</f>
        <v>2j</v>
      </c>
      <c r="AW164" s="314" t="str">
        <f>_xlfn.IFNA(VLOOKUP($AH164,Programma!$F$3:$U$1107,16,0),"")</f>
        <v>1j</v>
      </c>
      <c r="AX164" s="314" t="str">
        <f>_xlfn.IFNA(VLOOKUP($AH164,Programma!$F$3:$V$1107,17,0),"")</f>
        <v>_</v>
      </c>
      <c r="AY164" s="314" t="str">
        <f>_xlfn.IFNA(VLOOKUP($AH164,Programma!$F$3:$W$1107,18,0),"")</f>
        <v>_</v>
      </c>
      <c r="AZ164" s="314" t="str">
        <f>_xlfn.IFNA(VLOOKUP($AH164,Programma!$F$3:$X$1107,19,0),"")</f>
        <v>_</v>
      </c>
      <c r="BA164" s="314" t="str">
        <f>_xlfn.IFNA(VLOOKUP($AH164,Programma!$F$3:$Y$1107,20,0),"")</f>
        <v>_</v>
      </c>
      <c r="BB164" s="273"/>
      <c r="BC164" s="272" t="str">
        <f>IF(Ruimtestaat[[#This Row],[Frequentie weekend]]="","",_xlfn.CONCAT(Ruimtestaat[[#This Row],[Ruimte code]],"-",Ruimtestaat[[#This Row],[Frequentie weekend]]," ",Ruimtestaat[[#This Row],[Vloer code]]))</f>
        <v/>
      </c>
      <c r="BD164" s="314" t="str">
        <f>_xlfn.IFNA(VLOOKUP($BC164,Programma!$F$3:$G$1107,2,0),"")</f>
        <v/>
      </c>
      <c r="BE164" s="314" t="str">
        <f>_xlfn.IFNA(VLOOKUP($BC164,Programma!$F$3:$H$1107,3,0),"")</f>
        <v/>
      </c>
      <c r="BF164" s="314" t="str">
        <f>_xlfn.IFNA(VLOOKUP($BC164,Programma!$F$3:$I$1107,4,0),"")</f>
        <v/>
      </c>
      <c r="BG164" s="314" t="str">
        <f>_xlfn.IFNA(VLOOKUP($BC164,Programma!$F$3:$J$1107,5,0),"")</f>
        <v/>
      </c>
      <c r="BH164" s="314" t="str">
        <f>_xlfn.IFNA(VLOOKUP($BC164,Programma!$F$3:$K$1107,6,0),"")</f>
        <v/>
      </c>
      <c r="BI164" s="314" t="str">
        <f>_xlfn.IFNA(VLOOKUP($BC164,Programma!$F$3:$L$1107,7,0),"")</f>
        <v/>
      </c>
      <c r="BJ164" s="314" t="str">
        <f>_xlfn.IFNA(VLOOKUP($BC164,Programma!$F$3:$M$1107,8,0),"")</f>
        <v/>
      </c>
      <c r="BK164" s="314" t="str">
        <f>_xlfn.IFNA(VLOOKUP($BC164,Programma!$F$3:$N$1107,9,0),"")</f>
        <v/>
      </c>
      <c r="BL164" s="314" t="str">
        <f>_xlfn.IFNA(VLOOKUP($BC164,Programma!$F$3:$O$1107,10,0),"")</f>
        <v/>
      </c>
      <c r="BM164" s="314" t="str">
        <f>_xlfn.IFNA(VLOOKUP($BC164,Programma!$F$3:$P$1107,11,0),"")</f>
        <v/>
      </c>
      <c r="BN164" s="314" t="str">
        <f>_xlfn.IFNA(VLOOKUP($BC164,Programma!$F$3:$Q$1107,12,0),"")</f>
        <v/>
      </c>
      <c r="BO164" s="314" t="str">
        <f>_xlfn.IFNA(VLOOKUP($BC164,Programma!$F$3:$R$1107,13,0),"")</f>
        <v/>
      </c>
      <c r="BP164" s="314" t="str">
        <f>_xlfn.IFNA(VLOOKUP($BC164,Programma!$F$3:$S$1107,14,0),"")</f>
        <v/>
      </c>
      <c r="BQ164" s="314" t="str">
        <f>_xlfn.IFNA(VLOOKUP($BC164,Programma!$F$3:$T$1107,15,0),"")</f>
        <v/>
      </c>
      <c r="BR164" s="314" t="str">
        <f>_xlfn.IFNA(VLOOKUP($BC164,Programma!$F$3:$U$1107,16,0),"")</f>
        <v/>
      </c>
      <c r="BS164" s="314" t="str">
        <f>_xlfn.IFNA(VLOOKUP($BC164,Programma!$F$3:$V$1107,17,0),"")</f>
        <v/>
      </c>
      <c r="BT164" s="314" t="str">
        <f>_xlfn.IFNA(VLOOKUP($BC164,Programma!$F$3:$W$1107,18,0),"")</f>
        <v/>
      </c>
      <c r="BU164" s="314" t="str">
        <f>_xlfn.IFNA(VLOOKUP($BC164,Programma!$F$3:$X$1107,19,0),"")</f>
        <v/>
      </c>
      <c r="BV164" s="314" t="str">
        <f>_xlfn.IFNA(VLOOKUP($BC164,Programma!$F$3:$Y$1107,20,0),"")</f>
        <v/>
      </c>
    </row>
    <row r="165" spans="1:74" ht="15" customHeight="1">
      <c r="A165" s="33">
        <v>1</v>
      </c>
      <c r="B165" s="173" t="str">
        <f>VLOOKUP(Ruimtestaat[[#This Row],[Code]],Locaties[[Code]:[Locatie]],2,FALSE)</f>
        <v>CCNV</v>
      </c>
      <c r="C165" s="173" t="str">
        <f>VLOOKUP(Ruimtestaat[[#This Row],[Code]],Locaties[[#All],[Code]:[Adres]],4,FALSE)</f>
        <v>Stationslaan 26</v>
      </c>
      <c r="D165" s="173" t="str">
        <f>VLOOKUP(Ruimtestaat[[#This Row],[Code]],Locaties[[#All],[Code]:[Postcode]],5,FALSE)</f>
        <v>3842 LA</v>
      </c>
      <c r="E165" s="173" t="str">
        <f>VLOOKUP(Ruimtestaat[[#This Row],[Code]],Locaties[#All],6,FALSE)</f>
        <v>Harderwijk</v>
      </c>
      <c r="F165" s="21" t="s">
        <v>1630</v>
      </c>
      <c r="G165" s="33"/>
      <c r="H165" s="21" t="s">
        <v>1760</v>
      </c>
      <c r="I165" s="69" t="s">
        <v>1760</v>
      </c>
      <c r="J165" s="21">
        <v>17</v>
      </c>
      <c r="K165" s="69" t="str">
        <f>VLOOKUP(Ruimtestaat[[#This Row],[Ruimte code]],Ruimtegroepen[[#All],[Code]:[Ruimte omschrijving]],2,FALSE)</f>
        <v>Toestelberging</v>
      </c>
      <c r="L165" s="33" t="s">
        <v>1817</v>
      </c>
      <c r="M165" s="312" t="s">
        <v>1807</v>
      </c>
      <c r="N165" s="148">
        <v>45</v>
      </c>
      <c r="O165" s="150"/>
      <c r="P165" s="134" t="str">
        <f>VLOOKUP(Ruimtestaat[[#This Row],[Ruimte code]],Ruimtegroepen[],4,FALSE)</f>
        <v>Ve</v>
      </c>
      <c r="Q165" s="33">
        <v>30</v>
      </c>
      <c r="R165" s="33" t="s">
        <v>1811</v>
      </c>
      <c r="S165" s="33">
        <f>IF(Q165&gt;0,IF(RIGHT(Ruimtestaat[[#This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v>
      </c>
      <c r="T165" s="33">
        <f>IF(S165&gt;0,VLOOKUP($J165,Ruimtegroepen[],3,FALSE)*VLOOKUP($L165,Vloersoorten[],3,FALSE)*VLOOKUP($R165,Frequenties[],3,FALSE)*VLOOKUP($A165,Locaties[],3,FALSE),0)</f>
        <v>0</v>
      </c>
      <c r="U165" s="33">
        <f>Ruimtestaat[[#This Row],[Uitvoeringen werkdagen]]*Ruimtestaat[[#This Row],[Oppervlak (netto)]]</f>
        <v>225</v>
      </c>
      <c r="V165" s="170">
        <f>IF(T165&gt;0,Ruimtestaat[[#This Row],[Prest. (m2 /jaar) werkdagen]]/Ruimtestaat[[#This Row],[Norm (m2/uur) werkdagen]],0)</f>
        <v>0</v>
      </c>
      <c r="W165" s="171">
        <f>Ruimtestaat[[#This Row],[uren / jaar werkdagen]]*Tariefsopbouw!$E$35</f>
        <v>0</v>
      </c>
      <c r="X165" s="33"/>
      <c r="Y165" s="33">
        <f>IF(Ruimtestaat[[#This Row],[Frequentie weekend]]&gt;0,VALUE(LEFT(X165,1))*Q165,0)</f>
        <v>0</v>
      </c>
      <c r="Z165" s="104">
        <f>IF($Y165&gt;0,VLOOKUP($J165,Ruimtegroepen[],3,FALSE)*VLOOKUP($L165,Vloersoorten[],3,FALSE)*VLOOKUP($X165,Frequenties[],3,FALSE)*VLOOKUP(Ruimtestaat[[#This Row],[Code]],Locaties[],3,FALSE),0)</f>
        <v>0</v>
      </c>
      <c r="AA165" s="104">
        <f>Ruimtestaat[[#This Row],[Uitvoeringen weekend]]*Ruimtestaat[[#This Row],[Oppervlak (netto)]]</f>
        <v>0</v>
      </c>
      <c r="AB165" s="104">
        <f>IF(Z165&gt;0,Ruimtestaat[[#This Row],[Prest. (m2 /jaar) weekend]]/Ruimtestaat[[#This Row],[Norm (m2/uur) weekend]],0)</f>
        <v>0</v>
      </c>
      <c r="AC165" s="171">
        <f>Ruimtestaat[[#This Row],[uren / jaar weekend]]*Tariefsopbouw!$D$40</f>
        <v>0</v>
      </c>
      <c r="AD165" s="170">
        <f>Ruimtestaat[[#This Row],[Prest. (m2 /jaar) weekend]]+Ruimtestaat[[#This Row],[Prest. (m2 /jaar) werkdagen]]</f>
        <v>225</v>
      </c>
      <c r="AE165" s="170">
        <f>Ruimtestaat[[#This Row],[uren / jaar weekend]]+Ruimtestaat[[#This Row],[uren / jaar werkdagen]]</f>
        <v>0</v>
      </c>
      <c r="AF165" s="76">
        <f>Ruimtestaat[[#This Row],[kosten / jaar weekend]]+Ruimtestaat[[#This Row],[kosten / jaar werkdagen]]</f>
        <v>0</v>
      </c>
      <c r="AG165" s="76"/>
      <c r="AH165" s="272" t="str">
        <f>IF(Ruimtestaat[[#This Row],[Frequentie werkdagen]]="","",_xlfn.CONCAT(Ruimtestaat[[#This Row],[Ruimte code]],"-",Ruimtestaat[[#This Row],[Frequentie werkdagen]]," ",Ruimtestaat[[#This Row],[Vloer code]]))</f>
        <v>17-5j p</v>
      </c>
      <c r="AI165" s="314" t="str">
        <f>_xlfn.IFNA(VLOOKUP($AH165,Programma!$F$3:$G$1107,2,0),"")</f>
        <v/>
      </c>
      <c r="AJ165" s="314" t="str">
        <f>_xlfn.IFNA(VLOOKUP($AH165,Programma!$F$3:$H$1107,3,0),"")</f>
        <v/>
      </c>
      <c r="AK165" s="314" t="str">
        <f>_xlfn.IFNA(VLOOKUP($AH165,Programma!$F$3:$I$1107,4,0),"")</f>
        <v/>
      </c>
      <c r="AL165" s="314" t="str">
        <f>_xlfn.IFNA(VLOOKUP($AH165,Programma!$F$3:$J$1107,5,0),"")</f>
        <v/>
      </c>
      <c r="AM165" s="314" t="str">
        <f>_xlfn.IFNA(VLOOKUP($AH165,Programma!$F$3:$K$1107,6,0),"")</f>
        <v/>
      </c>
      <c r="AN165" s="314" t="str">
        <f>_xlfn.IFNA(VLOOKUP($AH165,Programma!$F$3:$L$1107,7,0),"")</f>
        <v/>
      </c>
      <c r="AO165" s="314" t="str">
        <f>_xlfn.IFNA(VLOOKUP($AH165,Programma!$F$3:$M$1107,8,0),"")</f>
        <v/>
      </c>
      <c r="AP165" s="314" t="str">
        <f>_xlfn.IFNA(VLOOKUP($AH165,Programma!$F$3:$N$1107,9,0),"")</f>
        <v/>
      </c>
      <c r="AQ165" s="314" t="str">
        <f>_xlfn.IFNA(VLOOKUP($AH165,Programma!$F$3:$O$1107,10,0),"")</f>
        <v/>
      </c>
      <c r="AR165" s="314" t="str">
        <f>_xlfn.IFNA(VLOOKUP($AH165,Programma!$F$3:$P$1107,11,0),"")</f>
        <v/>
      </c>
      <c r="AS165" s="314" t="str">
        <f>_xlfn.IFNA(VLOOKUP($AH165,Programma!$F$3:$Q$1107,12,0),"")</f>
        <v/>
      </c>
      <c r="AT165" s="314" t="str">
        <f>_xlfn.IFNA(VLOOKUP($AH165,Programma!$F$3:$R$1107,13,0),"")</f>
        <v/>
      </c>
      <c r="AU165" s="314" t="str">
        <f>_xlfn.IFNA(VLOOKUP($AH165,Programma!$F$3:$S$1107,14,0),"")</f>
        <v/>
      </c>
      <c r="AV165" s="314" t="str">
        <f>_xlfn.IFNA(VLOOKUP($AH165,Programma!$F$3:$T$1107,15,0),"")</f>
        <v/>
      </c>
      <c r="AW165" s="314" t="str">
        <f>_xlfn.IFNA(VLOOKUP($AH165,Programma!$F$3:$U$1107,16,0),"")</f>
        <v/>
      </c>
      <c r="AX165" s="314" t="str">
        <f>_xlfn.IFNA(VLOOKUP($AH165,Programma!$F$3:$V$1107,17,0),"")</f>
        <v/>
      </c>
      <c r="AY165" s="314" t="str">
        <f>_xlfn.IFNA(VLOOKUP($AH165,Programma!$F$3:$W$1107,18,0),"")</f>
        <v/>
      </c>
      <c r="AZ165" s="314" t="str">
        <f>_xlfn.IFNA(VLOOKUP($AH165,Programma!$F$3:$X$1107,19,0),"")</f>
        <v/>
      </c>
      <c r="BA165" s="314" t="str">
        <f>_xlfn.IFNA(VLOOKUP($AH165,Programma!$F$3:$Y$1107,20,0),"")</f>
        <v/>
      </c>
      <c r="BB165" s="273"/>
      <c r="BC165" s="272" t="str">
        <f>IF(Ruimtestaat[[#This Row],[Frequentie weekend]]="","",_xlfn.CONCAT(Ruimtestaat[[#This Row],[Ruimte code]],"-",Ruimtestaat[[#This Row],[Frequentie weekend]]," ",Ruimtestaat[[#This Row],[Vloer code]]))</f>
        <v/>
      </c>
      <c r="BD165" s="314" t="str">
        <f>_xlfn.IFNA(VLOOKUP($BC165,Programma!$F$3:$G$1107,2,0),"")</f>
        <v/>
      </c>
      <c r="BE165" s="314" t="str">
        <f>_xlfn.IFNA(VLOOKUP($BC165,Programma!$F$3:$H$1107,3,0),"")</f>
        <v/>
      </c>
      <c r="BF165" s="314" t="str">
        <f>_xlfn.IFNA(VLOOKUP($BC165,Programma!$F$3:$I$1107,4,0),"")</f>
        <v/>
      </c>
      <c r="BG165" s="314" t="str">
        <f>_xlfn.IFNA(VLOOKUP($BC165,Programma!$F$3:$J$1107,5,0),"")</f>
        <v/>
      </c>
      <c r="BH165" s="314" t="str">
        <f>_xlfn.IFNA(VLOOKUP($BC165,Programma!$F$3:$K$1107,6,0),"")</f>
        <v/>
      </c>
      <c r="BI165" s="314" t="str">
        <f>_xlfn.IFNA(VLOOKUP($BC165,Programma!$F$3:$L$1107,7,0),"")</f>
        <v/>
      </c>
      <c r="BJ165" s="314" t="str">
        <f>_xlfn.IFNA(VLOOKUP($BC165,Programma!$F$3:$M$1107,8,0),"")</f>
        <v/>
      </c>
      <c r="BK165" s="314" t="str">
        <f>_xlfn.IFNA(VLOOKUP($BC165,Programma!$F$3:$N$1107,9,0),"")</f>
        <v/>
      </c>
      <c r="BL165" s="314" t="str">
        <f>_xlfn.IFNA(VLOOKUP($BC165,Programma!$F$3:$O$1107,10,0),"")</f>
        <v/>
      </c>
      <c r="BM165" s="314" t="str">
        <f>_xlfn.IFNA(VLOOKUP($BC165,Programma!$F$3:$P$1107,11,0),"")</f>
        <v/>
      </c>
      <c r="BN165" s="314" t="str">
        <f>_xlfn.IFNA(VLOOKUP($BC165,Programma!$F$3:$Q$1107,12,0),"")</f>
        <v/>
      </c>
      <c r="BO165" s="314" t="str">
        <f>_xlfn.IFNA(VLOOKUP($BC165,Programma!$F$3:$R$1107,13,0),"")</f>
        <v/>
      </c>
      <c r="BP165" s="314" t="str">
        <f>_xlfn.IFNA(VLOOKUP($BC165,Programma!$F$3:$S$1107,14,0),"")</f>
        <v/>
      </c>
      <c r="BQ165" s="314" t="str">
        <f>_xlfn.IFNA(VLOOKUP($BC165,Programma!$F$3:$T$1107,15,0),"")</f>
        <v/>
      </c>
      <c r="BR165" s="314" t="str">
        <f>_xlfn.IFNA(VLOOKUP($BC165,Programma!$F$3:$U$1107,16,0),"")</f>
        <v/>
      </c>
      <c r="BS165" s="314" t="str">
        <f>_xlfn.IFNA(VLOOKUP($BC165,Programma!$F$3:$V$1107,17,0),"")</f>
        <v/>
      </c>
      <c r="BT165" s="314" t="str">
        <f>_xlfn.IFNA(VLOOKUP($BC165,Programma!$F$3:$W$1107,18,0),"")</f>
        <v/>
      </c>
      <c r="BU165" s="314" t="str">
        <f>_xlfn.IFNA(VLOOKUP($BC165,Programma!$F$3:$X$1107,19,0),"")</f>
        <v/>
      </c>
      <c r="BV165" s="314" t="str">
        <f>_xlfn.IFNA(VLOOKUP($BC165,Programma!$F$3:$Y$1107,20,0),"")</f>
        <v/>
      </c>
    </row>
    <row r="166" spans="1:74" ht="15" customHeight="1">
      <c r="A166" s="33">
        <v>1</v>
      </c>
      <c r="B166" s="173" t="str">
        <f>VLOOKUP(Ruimtestaat[[#This Row],[Code]],Locaties[[Code]:[Locatie]],2,FALSE)</f>
        <v>CCNV</v>
      </c>
      <c r="C166" s="173" t="str">
        <f>VLOOKUP(Ruimtestaat[[#This Row],[Code]],Locaties[[#All],[Code]:[Adres]],4,FALSE)</f>
        <v>Stationslaan 26</v>
      </c>
      <c r="D166" s="173" t="str">
        <f>VLOOKUP(Ruimtestaat[[#This Row],[Code]],Locaties[[#All],[Code]:[Postcode]],5,FALSE)</f>
        <v>3842 LA</v>
      </c>
      <c r="E166" s="173" t="str">
        <f>VLOOKUP(Ruimtestaat[[#This Row],[Code]],Locaties[#All],6,FALSE)</f>
        <v>Harderwijk</v>
      </c>
      <c r="F166" s="21" t="s">
        <v>1630</v>
      </c>
      <c r="G166" s="33"/>
      <c r="H166" s="21" t="s">
        <v>1761</v>
      </c>
      <c r="I166" s="69" t="s">
        <v>1761</v>
      </c>
      <c r="J166" s="21">
        <v>17</v>
      </c>
      <c r="K166" s="69" t="str">
        <f>VLOOKUP(Ruimtestaat[[#This Row],[Ruimte code]],Ruimtegroepen[[#All],[Code]:[Ruimte omschrijving]],2,FALSE)</f>
        <v>Toestelberging</v>
      </c>
      <c r="L166" s="33" t="s">
        <v>1817</v>
      </c>
      <c r="M166" s="312" t="s">
        <v>1807</v>
      </c>
      <c r="N166" s="148">
        <v>45</v>
      </c>
      <c r="O166" s="150"/>
      <c r="P166" s="134" t="str">
        <f>VLOOKUP(Ruimtestaat[[#This Row],[Ruimte code]],Ruimtegroepen[],4,FALSE)</f>
        <v>Ve</v>
      </c>
      <c r="Q166" s="33">
        <v>30</v>
      </c>
      <c r="R166" s="33" t="s">
        <v>1811</v>
      </c>
      <c r="S166" s="33">
        <f>IF(Q166&gt;0,IF(RIGHT(Ruimtestaat[[#This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v>
      </c>
      <c r="T166" s="33">
        <f>IF(S166&gt;0,VLOOKUP($J166,Ruimtegroepen[],3,FALSE)*VLOOKUP($L166,Vloersoorten[],3,FALSE)*VLOOKUP($R166,Frequenties[],3,FALSE)*VLOOKUP($A166,Locaties[],3,FALSE),0)</f>
        <v>0</v>
      </c>
      <c r="U166" s="33">
        <f>Ruimtestaat[[#This Row],[Uitvoeringen werkdagen]]*Ruimtestaat[[#This Row],[Oppervlak (netto)]]</f>
        <v>225</v>
      </c>
      <c r="V166" s="170">
        <f>IF(T166&gt;0,Ruimtestaat[[#This Row],[Prest. (m2 /jaar) werkdagen]]/Ruimtestaat[[#This Row],[Norm (m2/uur) werkdagen]],0)</f>
        <v>0</v>
      </c>
      <c r="W166" s="171">
        <f>Ruimtestaat[[#This Row],[uren / jaar werkdagen]]*Tariefsopbouw!$E$35</f>
        <v>0</v>
      </c>
      <c r="X166" s="33"/>
      <c r="Y166" s="33">
        <f>IF(Ruimtestaat[[#This Row],[Frequentie weekend]]&gt;0,VALUE(LEFT(X166,1))*Q166,0)</f>
        <v>0</v>
      </c>
      <c r="Z166" s="104">
        <f>IF($Y166&gt;0,VLOOKUP($J166,Ruimtegroepen[],3,FALSE)*VLOOKUP($L166,Vloersoorten[],3,FALSE)*VLOOKUP($X166,Frequenties[],3,FALSE)*VLOOKUP(Ruimtestaat[[#This Row],[Code]],Locaties[],3,FALSE),0)</f>
        <v>0</v>
      </c>
      <c r="AA166" s="104">
        <f>Ruimtestaat[[#This Row],[Uitvoeringen weekend]]*Ruimtestaat[[#This Row],[Oppervlak (netto)]]</f>
        <v>0</v>
      </c>
      <c r="AB166" s="104">
        <f>IF(Z166&gt;0,Ruimtestaat[[#This Row],[Prest. (m2 /jaar) weekend]]/Ruimtestaat[[#This Row],[Norm (m2/uur) weekend]],0)</f>
        <v>0</v>
      </c>
      <c r="AC166" s="171">
        <f>Ruimtestaat[[#This Row],[uren / jaar weekend]]*Tariefsopbouw!$D$40</f>
        <v>0</v>
      </c>
      <c r="AD166" s="170">
        <f>Ruimtestaat[[#This Row],[Prest. (m2 /jaar) weekend]]+Ruimtestaat[[#This Row],[Prest. (m2 /jaar) werkdagen]]</f>
        <v>225</v>
      </c>
      <c r="AE166" s="170">
        <f>Ruimtestaat[[#This Row],[uren / jaar weekend]]+Ruimtestaat[[#This Row],[uren / jaar werkdagen]]</f>
        <v>0</v>
      </c>
      <c r="AF166" s="76">
        <f>Ruimtestaat[[#This Row],[kosten / jaar weekend]]+Ruimtestaat[[#This Row],[kosten / jaar werkdagen]]</f>
        <v>0</v>
      </c>
      <c r="AG166" s="76"/>
      <c r="AH166" s="272" t="str">
        <f>IF(Ruimtestaat[[#This Row],[Frequentie werkdagen]]="","",_xlfn.CONCAT(Ruimtestaat[[#This Row],[Ruimte code]],"-",Ruimtestaat[[#This Row],[Frequentie werkdagen]]," ",Ruimtestaat[[#This Row],[Vloer code]]))</f>
        <v>17-5j p</v>
      </c>
      <c r="AI166" s="314" t="str">
        <f>_xlfn.IFNA(VLOOKUP($AH166,Programma!$F$3:$G$1107,2,0),"")</f>
        <v/>
      </c>
      <c r="AJ166" s="314" t="str">
        <f>_xlfn.IFNA(VLOOKUP($AH166,Programma!$F$3:$H$1107,3,0),"")</f>
        <v/>
      </c>
      <c r="AK166" s="314" t="str">
        <f>_xlfn.IFNA(VLOOKUP($AH166,Programma!$F$3:$I$1107,4,0),"")</f>
        <v/>
      </c>
      <c r="AL166" s="314" t="str">
        <f>_xlfn.IFNA(VLOOKUP($AH166,Programma!$F$3:$J$1107,5,0),"")</f>
        <v/>
      </c>
      <c r="AM166" s="314" t="str">
        <f>_xlfn.IFNA(VLOOKUP($AH166,Programma!$F$3:$K$1107,6,0),"")</f>
        <v/>
      </c>
      <c r="AN166" s="314" t="str">
        <f>_xlfn.IFNA(VLOOKUP($AH166,Programma!$F$3:$L$1107,7,0),"")</f>
        <v/>
      </c>
      <c r="AO166" s="314" t="str">
        <f>_xlfn.IFNA(VLOOKUP($AH166,Programma!$F$3:$M$1107,8,0),"")</f>
        <v/>
      </c>
      <c r="AP166" s="314" t="str">
        <f>_xlfn.IFNA(VLOOKUP($AH166,Programma!$F$3:$N$1107,9,0),"")</f>
        <v/>
      </c>
      <c r="AQ166" s="314" t="str">
        <f>_xlfn.IFNA(VLOOKUP($AH166,Programma!$F$3:$O$1107,10,0),"")</f>
        <v/>
      </c>
      <c r="AR166" s="314" t="str">
        <f>_xlfn.IFNA(VLOOKUP($AH166,Programma!$F$3:$P$1107,11,0),"")</f>
        <v/>
      </c>
      <c r="AS166" s="314" t="str">
        <f>_xlfn.IFNA(VLOOKUP($AH166,Programma!$F$3:$Q$1107,12,0),"")</f>
        <v/>
      </c>
      <c r="AT166" s="314" t="str">
        <f>_xlfn.IFNA(VLOOKUP($AH166,Programma!$F$3:$R$1107,13,0),"")</f>
        <v/>
      </c>
      <c r="AU166" s="314" t="str">
        <f>_xlfn.IFNA(VLOOKUP($AH166,Programma!$F$3:$S$1107,14,0),"")</f>
        <v/>
      </c>
      <c r="AV166" s="314" t="str">
        <f>_xlfn.IFNA(VLOOKUP($AH166,Programma!$F$3:$T$1107,15,0),"")</f>
        <v/>
      </c>
      <c r="AW166" s="314" t="str">
        <f>_xlfn.IFNA(VLOOKUP($AH166,Programma!$F$3:$U$1107,16,0),"")</f>
        <v/>
      </c>
      <c r="AX166" s="314" t="str">
        <f>_xlfn.IFNA(VLOOKUP($AH166,Programma!$F$3:$V$1107,17,0),"")</f>
        <v/>
      </c>
      <c r="AY166" s="314" t="str">
        <f>_xlfn.IFNA(VLOOKUP($AH166,Programma!$F$3:$W$1107,18,0),"")</f>
        <v/>
      </c>
      <c r="AZ166" s="314" t="str">
        <f>_xlfn.IFNA(VLOOKUP($AH166,Programma!$F$3:$X$1107,19,0),"")</f>
        <v/>
      </c>
      <c r="BA166" s="314" t="str">
        <f>_xlfn.IFNA(VLOOKUP($AH166,Programma!$F$3:$Y$1107,20,0),"")</f>
        <v/>
      </c>
      <c r="BB166" s="273"/>
      <c r="BC166" s="272" t="str">
        <f>IF(Ruimtestaat[[#This Row],[Frequentie weekend]]="","",_xlfn.CONCAT(Ruimtestaat[[#This Row],[Ruimte code]],"-",Ruimtestaat[[#This Row],[Frequentie weekend]]," ",Ruimtestaat[[#This Row],[Vloer code]]))</f>
        <v/>
      </c>
      <c r="BD166" s="314" t="str">
        <f>_xlfn.IFNA(VLOOKUP($BC166,Programma!$F$3:$G$1107,2,0),"")</f>
        <v/>
      </c>
      <c r="BE166" s="314" t="str">
        <f>_xlfn.IFNA(VLOOKUP($BC166,Programma!$F$3:$H$1107,3,0),"")</f>
        <v/>
      </c>
      <c r="BF166" s="314" t="str">
        <f>_xlfn.IFNA(VLOOKUP($BC166,Programma!$F$3:$I$1107,4,0),"")</f>
        <v/>
      </c>
      <c r="BG166" s="314" t="str">
        <f>_xlfn.IFNA(VLOOKUP($BC166,Programma!$F$3:$J$1107,5,0),"")</f>
        <v/>
      </c>
      <c r="BH166" s="314" t="str">
        <f>_xlfn.IFNA(VLOOKUP($BC166,Programma!$F$3:$K$1107,6,0),"")</f>
        <v/>
      </c>
      <c r="BI166" s="314" t="str">
        <f>_xlfn.IFNA(VLOOKUP($BC166,Programma!$F$3:$L$1107,7,0),"")</f>
        <v/>
      </c>
      <c r="BJ166" s="314" t="str">
        <f>_xlfn.IFNA(VLOOKUP($BC166,Programma!$F$3:$M$1107,8,0),"")</f>
        <v/>
      </c>
      <c r="BK166" s="314" t="str">
        <f>_xlfn.IFNA(VLOOKUP($BC166,Programma!$F$3:$N$1107,9,0),"")</f>
        <v/>
      </c>
      <c r="BL166" s="314" t="str">
        <f>_xlfn.IFNA(VLOOKUP($BC166,Programma!$F$3:$O$1107,10,0),"")</f>
        <v/>
      </c>
      <c r="BM166" s="314" t="str">
        <f>_xlfn.IFNA(VLOOKUP($BC166,Programma!$F$3:$P$1107,11,0),"")</f>
        <v/>
      </c>
      <c r="BN166" s="314" t="str">
        <f>_xlfn.IFNA(VLOOKUP($BC166,Programma!$F$3:$Q$1107,12,0),"")</f>
        <v/>
      </c>
      <c r="BO166" s="314" t="str">
        <f>_xlfn.IFNA(VLOOKUP($BC166,Programma!$F$3:$R$1107,13,0),"")</f>
        <v/>
      </c>
      <c r="BP166" s="314" t="str">
        <f>_xlfn.IFNA(VLOOKUP($BC166,Programma!$F$3:$S$1107,14,0),"")</f>
        <v/>
      </c>
      <c r="BQ166" s="314" t="str">
        <f>_xlfn.IFNA(VLOOKUP($BC166,Programma!$F$3:$T$1107,15,0),"")</f>
        <v/>
      </c>
      <c r="BR166" s="314" t="str">
        <f>_xlfn.IFNA(VLOOKUP($BC166,Programma!$F$3:$U$1107,16,0),"")</f>
        <v/>
      </c>
      <c r="BS166" s="314" t="str">
        <f>_xlfn.IFNA(VLOOKUP($BC166,Programma!$F$3:$V$1107,17,0),"")</f>
        <v/>
      </c>
      <c r="BT166" s="314" t="str">
        <f>_xlfn.IFNA(VLOOKUP($BC166,Programma!$F$3:$W$1107,18,0),"")</f>
        <v/>
      </c>
      <c r="BU166" s="314" t="str">
        <f>_xlfn.IFNA(VLOOKUP($BC166,Programma!$F$3:$X$1107,19,0),"")</f>
        <v/>
      </c>
      <c r="BV166" s="314" t="str">
        <f>_xlfn.IFNA(VLOOKUP($BC166,Programma!$F$3:$Y$1107,20,0),"")</f>
        <v/>
      </c>
    </row>
    <row r="167" spans="1:74" ht="15" customHeight="1">
      <c r="A167" s="33">
        <v>1</v>
      </c>
      <c r="B167" s="173" t="str">
        <f>VLOOKUP(Ruimtestaat[[#This Row],[Code]],Locaties[[Code]:[Locatie]],2,FALSE)</f>
        <v>CCNV</v>
      </c>
      <c r="C167" s="173" t="str">
        <f>VLOOKUP(Ruimtestaat[[#This Row],[Code]],Locaties[[#All],[Code]:[Adres]],4,FALSE)</f>
        <v>Stationslaan 26</v>
      </c>
      <c r="D167" s="173" t="str">
        <f>VLOOKUP(Ruimtestaat[[#This Row],[Code]],Locaties[[#All],[Code]:[Postcode]],5,FALSE)</f>
        <v>3842 LA</v>
      </c>
      <c r="E167" s="173" t="str">
        <f>VLOOKUP(Ruimtestaat[[#This Row],[Code]],Locaties[#All],6,FALSE)</f>
        <v>Harderwijk</v>
      </c>
      <c r="F167" s="21" t="s">
        <v>1630</v>
      </c>
      <c r="G167" s="33"/>
      <c r="H167" s="21" t="s">
        <v>1762</v>
      </c>
      <c r="I167" s="69" t="s">
        <v>1762</v>
      </c>
      <c r="J167" s="21">
        <v>1</v>
      </c>
      <c r="K167" s="69" t="str">
        <f>VLOOKUP(Ruimtestaat[[#This Row],[Ruimte code]],Ruimtegroepen[[#All],[Code]:[Ruimte omschrijving]],2,FALSE)</f>
        <v>Magazijnen/bergingen</v>
      </c>
      <c r="L167" s="33" t="s">
        <v>102</v>
      </c>
      <c r="M167" s="312" t="s">
        <v>1805</v>
      </c>
      <c r="N167" s="148">
        <v>38</v>
      </c>
      <c r="O167" s="33"/>
      <c r="P167" s="134" t="str">
        <f>VLOOKUP(Ruimtestaat[[#This Row],[Ruimte code]],Ruimtegroepen[],4,FALSE)</f>
        <v>Ve</v>
      </c>
      <c r="Q167" s="33">
        <v>40</v>
      </c>
      <c r="R167" s="33" t="s">
        <v>16</v>
      </c>
      <c r="S167" s="33">
        <f>IF(Q167&gt;0,IF(RIGHT(Ruimtestaat[[#This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67" s="33">
        <f>IF(S167&gt;0,VLOOKUP($J167,Ruimtegroepen[],3,FALSE)*VLOOKUP($L167,Vloersoorten[],3,FALSE)*VLOOKUP($R167,Frequenties[],3,FALSE)*VLOOKUP($A167,Locaties[],3,FALSE),0)</f>
        <v>0</v>
      </c>
      <c r="U167" s="33">
        <f>Ruimtestaat[[#This Row],[Uitvoeringen werkdagen]]*Ruimtestaat[[#This Row],[Oppervlak (netto)]]</f>
        <v>456</v>
      </c>
      <c r="V167" s="170">
        <f>IF(T167&gt;0,Ruimtestaat[[#This Row],[Prest. (m2 /jaar) werkdagen]]/Ruimtestaat[[#This Row],[Norm (m2/uur) werkdagen]],0)</f>
        <v>0</v>
      </c>
      <c r="W167" s="171">
        <f>Ruimtestaat[[#This Row],[uren / jaar werkdagen]]*Tariefsopbouw!$E$35</f>
        <v>0</v>
      </c>
      <c r="X167" s="33"/>
      <c r="Y167" s="33">
        <f>IF(Ruimtestaat[[#This Row],[Frequentie weekend]]&gt;0,VALUE(LEFT(X167,1))*Q167,0)</f>
        <v>0</v>
      </c>
      <c r="Z167" s="104">
        <f>IF($Y167&gt;0,VLOOKUP($J167,Ruimtegroepen[],3,FALSE)*VLOOKUP($L167,Vloersoorten[],3,FALSE)*VLOOKUP($X167,Frequenties[],3,FALSE)*VLOOKUP(Ruimtestaat[[#This Row],[Code]],Locaties[],3,FALSE),0)</f>
        <v>0</v>
      </c>
      <c r="AA167" s="104">
        <f>Ruimtestaat[[#This Row],[Uitvoeringen weekend]]*Ruimtestaat[[#This Row],[Oppervlak (netto)]]</f>
        <v>0</v>
      </c>
      <c r="AB167" s="104">
        <f>IF(Z167&gt;0,Ruimtestaat[[#This Row],[Prest. (m2 /jaar) weekend]]/Ruimtestaat[[#This Row],[Norm (m2/uur) weekend]],0)</f>
        <v>0</v>
      </c>
      <c r="AC167" s="171">
        <f>Ruimtestaat[[#This Row],[uren / jaar weekend]]*Tariefsopbouw!$D$40</f>
        <v>0</v>
      </c>
      <c r="AD167" s="170">
        <f>Ruimtestaat[[#This Row],[Prest. (m2 /jaar) weekend]]+Ruimtestaat[[#This Row],[Prest. (m2 /jaar) werkdagen]]</f>
        <v>456</v>
      </c>
      <c r="AE167" s="170">
        <f>Ruimtestaat[[#This Row],[uren / jaar weekend]]+Ruimtestaat[[#This Row],[uren / jaar werkdagen]]</f>
        <v>0</v>
      </c>
      <c r="AF167" s="76">
        <f>Ruimtestaat[[#This Row],[kosten / jaar weekend]]+Ruimtestaat[[#This Row],[kosten / jaar werkdagen]]</f>
        <v>0</v>
      </c>
      <c r="AG167" s="76"/>
      <c r="AH167" s="272" t="str">
        <f>IF(Ruimtestaat[[#This Row],[Frequentie werkdagen]]="","",_xlfn.CONCAT(Ruimtestaat[[#This Row],[Ruimte code]],"-",Ruimtestaat[[#This Row],[Frequentie werkdagen]]," ",Ruimtestaat[[#This Row],[Vloer code]]))</f>
        <v>1-1m S</v>
      </c>
      <c r="AI167" s="314" t="str">
        <f>_xlfn.IFNA(VLOOKUP($AH167,Programma!$F$3:$G$1107,2,0),"")</f>
        <v>_</v>
      </c>
      <c r="AJ167" s="314" t="str">
        <f>_xlfn.IFNA(VLOOKUP($AH167,Programma!$F$3:$H$1107,3,0),"")</f>
        <v>_</v>
      </c>
      <c r="AK167" s="314" t="str">
        <f>_xlfn.IFNA(VLOOKUP($AH167,Programma!$F$3:$I$1107,4,0),"")</f>
        <v>_</v>
      </c>
      <c r="AL167" s="314" t="str">
        <f>_xlfn.IFNA(VLOOKUP($AH167,Programma!$F$3:$J$1107,5,0),"")</f>
        <v>1m</v>
      </c>
      <c r="AM167" s="314" t="str">
        <f>_xlfn.IFNA(VLOOKUP($AH167,Programma!$F$3:$K$1107,6,0),"")</f>
        <v>1j</v>
      </c>
      <c r="AN167" s="314" t="str">
        <f>_xlfn.IFNA(VLOOKUP($AH167,Programma!$F$3:$L$1107,7,0),"")</f>
        <v>_</v>
      </c>
      <c r="AO167" s="314" t="str">
        <f>_xlfn.IFNA(VLOOKUP($AH167,Programma!$F$3:$M$1107,8,0),"")</f>
        <v>_</v>
      </c>
      <c r="AP167" s="314" t="str">
        <f>_xlfn.IFNA(VLOOKUP($AH167,Programma!$F$3:$N$1107,9,0),"")</f>
        <v>_</v>
      </c>
      <c r="AQ167" s="314" t="str">
        <f>_xlfn.IFNA(VLOOKUP($AH167,Programma!$F$3:$O$1107,10,0),"")</f>
        <v>_</v>
      </c>
      <c r="AR167" s="314" t="str">
        <f>_xlfn.IFNA(VLOOKUP($AH167,Programma!$F$3:$P$1107,11,0),"")</f>
        <v>_</v>
      </c>
      <c r="AS167" s="314" t="str">
        <f>_xlfn.IFNA(VLOOKUP($AH167,Programma!$F$3:$Q$1107,12,0),"")</f>
        <v>_</v>
      </c>
      <c r="AT167" s="314" t="str">
        <f>_xlfn.IFNA(VLOOKUP($AH167,Programma!$F$3:$R$1107,13,0),"")</f>
        <v>_</v>
      </c>
      <c r="AU167" s="314" t="str">
        <f>_xlfn.IFNA(VLOOKUP($AH167,Programma!$F$3:$S$1107,14,0),"")</f>
        <v>1m</v>
      </c>
      <c r="AV167" s="314" t="str">
        <f>_xlfn.IFNA(VLOOKUP($AH167,Programma!$F$3:$T$1107,15,0),"")</f>
        <v>4j</v>
      </c>
      <c r="AW167" s="314" t="str">
        <f>_xlfn.IFNA(VLOOKUP($AH167,Programma!$F$3:$U$1107,16,0),"")</f>
        <v>4j</v>
      </c>
      <c r="AX167" s="314" t="str">
        <f>_xlfn.IFNA(VLOOKUP($AH167,Programma!$F$3:$V$1107,17,0),"")</f>
        <v>_</v>
      </c>
      <c r="AY167" s="314" t="str">
        <f>_xlfn.IFNA(VLOOKUP($AH167,Programma!$F$3:$W$1107,18,0),"")</f>
        <v>_</v>
      </c>
      <c r="AZ167" s="314" t="str">
        <f>_xlfn.IFNA(VLOOKUP($AH167,Programma!$F$3:$X$1107,19,0),"")</f>
        <v>_</v>
      </c>
      <c r="BA167" s="314" t="str">
        <f>_xlfn.IFNA(VLOOKUP($AH167,Programma!$F$3:$Y$1107,20,0),"")</f>
        <v>_</v>
      </c>
      <c r="BB167" s="273"/>
      <c r="BC167" s="272" t="str">
        <f>IF(Ruimtestaat[[#This Row],[Frequentie weekend]]="","",_xlfn.CONCAT(Ruimtestaat[[#This Row],[Ruimte code]],"-",Ruimtestaat[[#This Row],[Frequentie weekend]]," ",Ruimtestaat[[#This Row],[Vloer code]]))</f>
        <v/>
      </c>
      <c r="BD167" s="314" t="str">
        <f>_xlfn.IFNA(VLOOKUP($BC167,Programma!$F$3:$G$1107,2,0),"")</f>
        <v/>
      </c>
      <c r="BE167" s="314" t="str">
        <f>_xlfn.IFNA(VLOOKUP($BC167,Programma!$F$3:$H$1107,3,0),"")</f>
        <v/>
      </c>
      <c r="BF167" s="314" t="str">
        <f>_xlfn.IFNA(VLOOKUP($BC167,Programma!$F$3:$I$1107,4,0),"")</f>
        <v/>
      </c>
      <c r="BG167" s="314" t="str">
        <f>_xlfn.IFNA(VLOOKUP($BC167,Programma!$F$3:$J$1107,5,0),"")</f>
        <v/>
      </c>
      <c r="BH167" s="314" t="str">
        <f>_xlfn.IFNA(VLOOKUP($BC167,Programma!$F$3:$K$1107,6,0),"")</f>
        <v/>
      </c>
      <c r="BI167" s="314" t="str">
        <f>_xlfn.IFNA(VLOOKUP($BC167,Programma!$F$3:$L$1107,7,0),"")</f>
        <v/>
      </c>
      <c r="BJ167" s="314" t="str">
        <f>_xlfn.IFNA(VLOOKUP($BC167,Programma!$F$3:$M$1107,8,0),"")</f>
        <v/>
      </c>
      <c r="BK167" s="314" t="str">
        <f>_xlfn.IFNA(VLOOKUP($BC167,Programma!$F$3:$N$1107,9,0),"")</f>
        <v/>
      </c>
      <c r="BL167" s="314" t="str">
        <f>_xlfn.IFNA(VLOOKUP($BC167,Programma!$F$3:$O$1107,10,0),"")</f>
        <v/>
      </c>
      <c r="BM167" s="314" t="str">
        <f>_xlfn.IFNA(VLOOKUP($BC167,Programma!$F$3:$P$1107,11,0),"")</f>
        <v/>
      </c>
      <c r="BN167" s="314" t="str">
        <f>_xlfn.IFNA(VLOOKUP($BC167,Programma!$F$3:$Q$1107,12,0),"")</f>
        <v/>
      </c>
      <c r="BO167" s="314" t="str">
        <f>_xlfn.IFNA(VLOOKUP($BC167,Programma!$F$3:$R$1107,13,0),"")</f>
        <v/>
      </c>
      <c r="BP167" s="314" t="str">
        <f>_xlfn.IFNA(VLOOKUP($BC167,Programma!$F$3:$S$1107,14,0),"")</f>
        <v/>
      </c>
      <c r="BQ167" s="314" t="str">
        <f>_xlfn.IFNA(VLOOKUP($BC167,Programma!$F$3:$T$1107,15,0),"")</f>
        <v/>
      </c>
      <c r="BR167" s="314" t="str">
        <f>_xlfn.IFNA(VLOOKUP($BC167,Programma!$F$3:$U$1107,16,0),"")</f>
        <v/>
      </c>
      <c r="BS167" s="314" t="str">
        <f>_xlfn.IFNA(VLOOKUP($BC167,Programma!$F$3:$V$1107,17,0),"")</f>
        <v/>
      </c>
      <c r="BT167" s="314" t="str">
        <f>_xlfn.IFNA(VLOOKUP($BC167,Programma!$F$3:$W$1107,18,0),"")</f>
        <v/>
      </c>
      <c r="BU167" s="314" t="str">
        <f>_xlfn.IFNA(VLOOKUP($BC167,Programma!$F$3:$X$1107,19,0),"")</f>
        <v/>
      </c>
      <c r="BV167" s="314" t="str">
        <f>_xlfn.IFNA(VLOOKUP($BC167,Programma!$F$3:$Y$1107,20,0),"")</f>
        <v/>
      </c>
    </row>
    <row r="168" spans="1:74" ht="15" customHeight="1">
      <c r="A168" s="33">
        <v>1</v>
      </c>
      <c r="B168" s="173" t="str">
        <f>VLOOKUP(Ruimtestaat[[#This Row],[Code]],Locaties[[Code]:[Locatie]],2,FALSE)</f>
        <v>CCNV</v>
      </c>
      <c r="C168" s="173" t="str">
        <f>VLOOKUP(Ruimtestaat[[#This Row],[Code]],Locaties[[#All],[Code]:[Adres]],4,FALSE)</f>
        <v>Stationslaan 26</v>
      </c>
      <c r="D168" s="173" t="str">
        <f>VLOOKUP(Ruimtestaat[[#This Row],[Code]],Locaties[[#All],[Code]:[Postcode]],5,FALSE)</f>
        <v>3842 LA</v>
      </c>
      <c r="E168" s="173" t="str">
        <f>VLOOKUP(Ruimtestaat[[#This Row],[Code]],Locaties[#All],6,FALSE)</f>
        <v>Harderwijk</v>
      </c>
      <c r="F168" s="21" t="s">
        <v>1630</v>
      </c>
      <c r="G168" s="33"/>
      <c r="H168" s="21" t="s">
        <v>1763</v>
      </c>
      <c r="I168" s="69" t="s">
        <v>1763</v>
      </c>
      <c r="J168" s="21">
        <v>1</v>
      </c>
      <c r="K168" s="69" t="str">
        <f>VLOOKUP(Ruimtestaat[[#This Row],[Ruimte code]],Ruimtegroepen[[#All],[Code]:[Ruimte omschrijving]],2,FALSE)</f>
        <v>Magazijnen/bergingen</v>
      </c>
      <c r="L168" s="33" t="s">
        <v>102</v>
      </c>
      <c r="M168" s="312" t="s">
        <v>1805</v>
      </c>
      <c r="N168" s="148">
        <v>38</v>
      </c>
      <c r="O168" s="150"/>
      <c r="P168" s="134" t="str">
        <f>VLOOKUP(Ruimtestaat[[#This Row],[Ruimte code]],Ruimtegroepen[],4,FALSE)</f>
        <v>Ve</v>
      </c>
      <c r="Q168" s="33">
        <v>40</v>
      </c>
      <c r="R168" s="33" t="s">
        <v>16</v>
      </c>
      <c r="S168" s="33">
        <f>IF(Q168&gt;0,IF(RIGHT(Ruimtestaat[[#This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68" s="33">
        <f>IF(S168&gt;0,VLOOKUP($J168,Ruimtegroepen[],3,FALSE)*VLOOKUP($L168,Vloersoorten[],3,FALSE)*VLOOKUP($R168,Frequenties[],3,FALSE)*VLOOKUP($A168,Locaties[],3,FALSE),0)</f>
        <v>0</v>
      </c>
      <c r="U168" s="33">
        <f>Ruimtestaat[[#This Row],[Uitvoeringen werkdagen]]*Ruimtestaat[[#This Row],[Oppervlak (netto)]]</f>
        <v>456</v>
      </c>
      <c r="V168" s="170">
        <f>IF(T168&gt;0,Ruimtestaat[[#This Row],[Prest. (m2 /jaar) werkdagen]]/Ruimtestaat[[#This Row],[Norm (m2/uur) werkdagen]],0)</f>
        <v>0</v>
      </c>
      <c r="W168" s="171">
        <f>Ruimtestaat[[#This Row],[uren / jaar werkdagen]]*Tariefsopbouw!$E$35</f>
        <v>0</v>
      </c>
      <c r="X168" s="33"/>
      <c r="Y168" s="33">
        <f>IF(Ruimtestaat[[#This Row],[Frequentie weekend]]&gt;0,VALUE(LEFT(X168,1))*Q168,0)</f>
        <v>0</v>
      </c>
      <c r="Z168" s="104">
        <f>IF($Y168&gt;0,VLOOKUP($J168,Ruimtegroepen[],3,FALSE)*VLOOKUP($L168,Vloersoorten[],3,FALSE)*VLOOKUP($X168,Frequenties[],3,FALSE)*VLOOKUP(Ruimtestaat[[#This Row],[Code]],Locaties[],3,FALSE),0)</f>
        <v>0</v>
      </c>
      <c r="AA168" s="104">
        <f>Ruimtestaat[[#This Row],[Uitvoeringen weekend]]*Ruimtestaat[[#This Row],[Oppervlak (netto)]]</f>
        <v>0</v>
      </c>
      <c r="AB168" s="104">
        <f>IF(Z168&gt;0,Ruimtestaat[[#This Row],[Prest. (m2 /jaar) weekend]]/Ruimtestaat[[#This Row],[Norm (m2/uur) weekend]],0)</f>
        <v>0</v>
      </c>
      <c r="AC168" s="171">
        <f>Ruimtestaat[[#This Row],[uren / jaar weekend]]*Tariefsopbouw!$D$40</f>
        <v>0</v>
      </c>
      <c r="AD168" s="170">
        <f>Ruimtestaat[[#This Row],[Prest. (m2 /jaar) weekend]]+Ruimtestaat[[#This Row],[Prest. (m2 /jaar) werkdagen]]</f>
        <v>456</v>
      </c>
      <c r="AE168" s="170">
        <f>Ruimtestaat[[#This Row],[uren / jaar weekend]]+Ruimtestaat[[#This Row],[uren / jaar werkdagen]]</f>
        <v>0</v>
      </c>
      <c r="AF168" s="76">
        <f>Ruimtestaat[[#This Row],[kosten / jaar weekend]]+Ruimtestaat[[#This Row],[kosten / jaar werkdagen]]</f>
        <v>0</v>
      </c>
      <c r="AG168" s="76"/>
      <c r="AH168" s="272" t="str">
        <f>IF(Ruimtestaat[[#This Row],[Frequentie werkdagen]]="","",_xlfn.CONCAT(Ruimtestaat[[#This Row],[Ruimte code]],"-",Ruimtestaat[[#This Row],[Frequentie werkdagen]]," ",Ruimtestaat[[#This Row],[Vloer code]]))</f>
        <v>1-1m S</v>
      </c>
      <c r="AI168" s="314" t="str">
        <f>_xlfn.IFNA(VLOOKUP($AH168,Programma!$F$3:$G$1107,2,0),"")</f>
        <v>_</v>
      </c>
      <c r="AJ168" s="314" t="str">
        <f>_xlfn.IFNA(VLOOKUP($AH168,Programma!$F$3:$H$1107,3,0),"")</f>
        <v>_</v>
      </c>
      <c r="AK168" s="314" t="str">
        <f>_xlfn.IFNA(VLOOKUP($AH168,Programma!$F$3:$I$1107,4,0),"")</f>
        <v>_</v>
      </c>
      <c r="AL168" s="314" t="str">
        <f>_xlfn.IFNA(VLOOKUP($AH168,Programma!$F$3:$J$1107,5,0),"")</f>
        <v>1m</v>
      </c>
      <c r="AM168" s="314" t="str">
        <f>_xlfn.IFNA(VLOOKUP($AH168,Programma!$F$3:$K$1107,6,0),"")</f>
        <v>1j</v>
      </c>
      <c r="AN168" s="314" t="str">
        <f>_xlfn.IFNA(VLOOKUP($AH168,Programma!$F$3:$L$1107,7,0),"")</f>
        <v>_</v>
      </c>
      <c r="AO168" s="314" t="str">
        <f>_xlfn.IFNA(VLOOKUP($AH168,Programma!$F$3:$M$1107,8,0),"")</f>
        <v>_</v>
      </c>
      <c r="AP168" s="314" t="str">
        <f>_xlfn.IFNA(VLOOKUP($AH168,Programma!$F$3:$N$1107,9,0),"")</f>
        <v>_</v>
      </c>
      <c r="AQ168" s="314" t="str">
        <f>_xlfn.IFNA(VLOOKUP($AH168,Programma!$F$3:$O$1107,10,0),"")</f>
        <v>_</v>
      </c>
      <c r="AR168" s="314" t="str">
        <f>_xlfn.IFNA(VLOOKUP($AH168,Programma!$F$3:$P$1107,11,0),"")</f>
        <v>_</v>
      </c>
      <c r="AS168" s="314" t="str">
        <f>_xlfn.IFNA(VLOOKUP($AH168,Programma!$F$3:$Q$1107,12,0),"")</f>
        <v>_</v>
      </c>
      <c r="AT168" s="314" t="str">
        <f>_xlfn.IFNA(VLOOKUP($AH168,Programma!$F$3:$R$1107,13,0),"")</f>
        <v>_</v>
      </c>
      <c r="AU168" s="314" t="str">
        <f>_xlfn.IFNA(VLOOKUP($AH168,Programma!$F$3:$S$1107,14,0),"")</f>
        <v>1m</v>
      </c>
      <c r="AV168" s="314" t="str">
        <f>_xlfn.IFNA(VLOOKUP($AH168,Programma!$F$3:$T$1107,15,0),"")</f>
        <v>4j</v>
      </c>
      <c r="AW168" s="314" t="str">
        <f>_xlfn.IFNA(VLOOKUP($AH168,Programma!$F$3:$U$1107,16,0),"")</f>
        <v>4j</v>
      </c>
      <c r="AX168" s="314" t="str">
        <f>_xlfn.IFNA(VLOOKUP($AH168,Programma!$F$3:$V$1107,17,0),"")</f>
        <v>_</v>
      </c>
      <c r="AY168" s="314" t="str">
        <f>_xlfn.IFNA(VLOOKUP($AH168,Programma!$F$3:$W$1107,18,0),"")</f>
        <v>_</v>
      </c>
      <c r="AZ168" s="314" t="str">
        <f>_xlfn.IFNA(VLOOKUP($AH168,Programma!$F$3:$X$1107,19,0),"")</f>
        <v>_</v>
      </c>
      <c r="BA168" s="314" t="str">
        <f>_xlfn.IFNA(VLOOKUP($AH168,Programma!$F$3:$Y$1107,20,0),"")</f>
        <v>_</v>
      </c>
      <c r="BB168" s="273"/>
      <c r="BC168" s="272" t="str">
        <f>IF(Ruimtestaat[[#This Row],[Frequentie weekend]]="","",_xlfn.CONCAT(Ruimtestaat[[#This Row],[Ruimte code]],"-",Ruimtestaat[[#This Row],[Frequentie weekend]]," ",Ruimtestaat[[#This Row],[Vloer code]]))</f>
        <v/>
      </c>
      <c r="BD168" s="314" t="str">
        <f>_xlfn.IFNA(VLOOKUP($BC168,Programma!$F$3:$G$1107,2,0),"")</f>
        <v/>
      </c>
      <c r="BE168" s="314" t="str">
        <f>_xlfn.IFNA(VLOOKUP($BC168,Programma!$F$3:$H$1107,3,0),"")</f>
        <v/>
      </c>
      <c r="BF168" s="314" t="str">
        <f>_xlfn.IFNA(VLOOKUP($BC168,Programma!$F$3:$I$1107,4,0),"")</f>
        <v/>
      </c>
      <c r="BG168" s="314" t="str">
        <f>_xlfn.IFNA(VLOOKUP($BC168,Programma!$F$3:$J$1107,5,0),"")</f>
        <v/>
      </c>
      <c r="BH168" s="314" t="str">
        <f>_xlfn.IFNA(VLOOKUP($BC168,Programma!$F$3:$K$1107,6,0),"")</f>
        <v/>
      </c>
      <c r="BI168" s="314" t="str">
        <f>_xlfn.IFNA(VLOOKUP($BC168,Programma!$F$3:$L$1107,7,0),"")</f>
        <v/>
      </c>
      <c r="BJ168" s="314" t="str">
        <f>_xlfn.IFNA(VLOOKUP($BC168,Programma!$F$3:$M$1107,8,0),"")</f>
        <v/>
      </c>
      <c r="BK168" s="314" t="str">
        <f>_xlfn.IFNA(VLOOKUP($BC168,Programma!$F$3:$N$1107,9,0),"")</f>
        <v/>
      </c>
      <c r="BL168" s="314" t="str">
        <f>_xlfn.IFNA(VLOOKUP($BC168,Programma!$F$3:$O$1107,10,0),"")</f>
        <v/>
      </c>
      <c r="BM168" s="314" t="str">
        <f>_xlfn.IFNA(VLOOKUP($BC168,Programma!$F$3:$P$1107,11,0),"")</f>
        <v/>
      </c>
      <c r="BN168" s="314" t="str">
        <f>_xlfn.IFNA(VLOOKUP($BC168,Programma!$F$3:$Q$1107,12,0),"")</f>
        <v/>
      </c>
      <c r="BO168" s="314" t="str">
        <f>_xlfn.IFNA(VLOOKUP($BC168,Programma!$F$3:$R$1107,13,0),"")</f>
        <v/>
      </c>
      <c r="BP168" s="314" t="str">
        <f>_xlfn.IFNA(VLOOKUP($BC168,Programma!$F$3:$S$1107,14,0),"")</f>
        <v/>
      </c>
      <c r="BQ168" s="314" t="str">
        <f>_xlfn.IFNA(VLOOKUP($BC168,Programma!$F$3:$T$1107,15,0),"")</f>
        <v/>
      </c>
      <c r="BR168" s="314" t="str">
        <f>_xlfn.IFNA(VLOOKUP($BC168,Programma!$F$3:$U$1107,16,0),"")</f>
        <v/>
      </c>
      <c r="BS168" s="314" t="str">
        <f>_xlfn.IFNA(VLOOKUP($BC168,Programma!$F$3:$V$1107,17,0),"")</f>
        <v/>
      </c>
      <c r="BT168" s="314" t="str">
        <f>_xlfn.IFNA(VLOOKUP($BC168,Programma!$F$3:$W$1107,18,0),"")</f>
        <v/>
      </c>
      <c r="BU168" s="314" t="str">
        <f>_xlfn.IFNA(VLOOKUP($BC168,Programma!$F$3:$X$1107,19,0),"")</f>
        <v/>
      </c>
      <c r="BV168" s="314" t="str">
        <f>_xlfn.IFNA(VLOOKUP($BC168,Programma!$F$3:$Y$1107,20,0),"")</f>
        <v/>
      </c>
    </row>
    <row r="169" spans="1:74" ht="15" customHeight="1">
      <c r="A169" s="33">
        <v>1</v>
      </c>
      <c r="B169" s="173" t="str">
        <f>VLOOKUP(Ruimtestaat[[#This Row],[Code]],Locaties[[Code]:[Locatie]],2,FALSE)</f>
        <v>CCNV</v>
      </c>
      <c r="C169" s="173" t="str">
        <f>VLOOKUP(Ruimtestaat[[#This Row],[Code]],Locaties[[#All],[Code]:[Adres]],4,FALSE)</f>
        <v>Stationslaan 26</v>
      </c>
      <c r="D169" s="173" t="str">
        <f>VLOOKUP(Ruimtestaat[[#This Row],[Code]],Locaties[[#All],[Code]:[Postcode]],5,FALSE)</f>
        <v>3842 LA</v>
      </c>
      <c r="E169" s="173" t="str">
        <f>VLOOKUP(Ruimtestaat[[#This Row],[Code]],Locaties[#All],6,FALSE)</f>
        <v>Harderwijk</v>
      </c>
      <c r="F169" s="21" t="s">
        <v>1630</v>
      </c>
      <c r="G169" s="33"/>
      <c r="H169" s="21" t="s">
        <v>1764</v>
      </c>
      <c r="I169" s="69" t="s">
        <v>1764</v>
      </c>
      <c r="J169" s="21">
        <v>19</v>
      </c>
      <c r="K169" s="69" t="str">
        <f>VLOOKUP(Ruimtestaat[[#This Row],[Ruimte code]],Ruimtegroepen[[#All],[Code]:[Ruimte omschrijving]],2,FALSE)</f>
        <v>kleedruimten</v>
      </c>
      <c r="L169" s="33" t="s">
        <v>102</v>
      </c>
      <c r="M169" s="312" t="s">
        <v>1805</v>
      </c>
      <c r="N169" s="148">
        <v>45</v>
      </c>
      <c r="O169" s="150"/>
      <c r="P169" s="134" t="str">
        <f>VLOOKUP(Ruimtestaat[[#This Row],[Ruimte code]],Ruimtegroepen[],4,FALSE)</f>
        <v>Ve</v>
      </c>
      <c r="Q169" s="33">
        <v>40</v>
      </c>
      <c r="R169" s="33" t="s">
        <v>2</v>
      </c>
      <c r="S169" s="33">
        <f>IF(Q169&gt;0,IF(RIGHT(Ruimtestaat[[#This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9" s="33">
        <f>IF(S169&gt;0,VLOOKUP($J169,Ruimtegroepen[],3,FALSE)*VLOOKUP($L169,Vloersoorten[],3,FALSE)*VLOOKUP($R169,Frequenties[],3,FALSE)*VLOOKUP($A169,Locaties[],3,FALSE),0)</f>
        <v>0</v>
      </c>
      <c r="U169" s="33">
        <f>Ruimtestaat[[#This Row],[Uitvoeringen werkdagen]]*Ruimtestaat[[#This Row],[Oppervlak (netto)]]</f>
        <v>9000</v>
      </c>
      <c r="V169" s="170">
        <f>IF(T169&gt;0,Ruimtestaat[[#This Row],[Prest. (m2 /jaar) werkdagen]]/Ruimtestaat[[#This Row],[Norm (m2/uur) werkdagen]],0)</f>
        <v>0</v>
      </c>
      <c r="W169" s="171">
        <f>Ruimtestaat[[#This Row],[uren / jaar werkdagen]]*Tariefsopbouw!$E$35</f>
        <v>0</v>
      </c>
      <c r="X169" s="33"/>
      <c r="Y169" s="33">
        <f>IF(Ruimtestaat[[#This Row],[Frequentie weekend]]&gt;0,VALUE(LEFT(X169,1))*Q169,0)</f>
        <v>0</v>
      </c>
      <c r="Z169" s="104">
        <f>IF($Y169&gt;0,VLOOKUP($J169,Ruimtegroepen[],3,FALSE)*VLOOKUP($L169,Vloersoorten[],3,FALSE)*VLOOKUP($X169,Frequenties[],3,FALSE)*VLOOKUP(Ruimtestaat[[#This Row],[Code]],Locaties[],3,FALSE),0)</f>
        <v>0</v>
      </c>
      <c r="AA169" s="104">
        <f>Ruimtestaat[[#This Row],[Uitvoeringen weekend]]*Ruimtestaat[[#This Row],[Oppervlak (netto)]]</f>
        <v>0</v>
      </c>
      <c r="AB169" s="104">
        <f>IF(Z169&gt;0,Ruimtestaat[[#This Row],[Prest. (m2 /jaar) weekend]]/Ruimtestaat[[#This Row],[Norm (m2/uur) weekend]],0)</f>
        <v>0</v>
      </c>
      <c r="AC169" s="171">
        <f>Ruimtestaat[[#This Row],[uren / jaar weekend]]*Tariefsopbouw!$D$40</f>
        <v>0</v>
      </c>
      <c r="AD169" s="170">
        <f>Ruimtestaat[[#This Row],[Prest. (m2 /jaar) weekend]]+Ruimtestaat[[#This Row],[Prest. (m2 /jaar) werkdagen]]</f>
        <v>9000</v>
      </c>
      <c r="AE169" s="170">
        <f>Ruimtestaat[[#This Row],[uren / jaar weekend]]+Ruimtestaat[[#This Row],[uren / jaar werkdagen]]</f>
        <v>0</v>
      </c>
      <c r="AF169" s="76">
        <f>Ruimtestaat[[#This Row],[kosten / jaar weekend]]+Ruimtestaat[[#This Row],[kosten / jaar werkdagen]]</f>
        <v>0</v>
      </c>
      <c r="AG169" s="76"/>
      <c r="AH169" s="272" t="str">
        <f>IF(Ruimtestaat[[#This Row],[Frequentie werkdagen]]="","",_xlfn.CONCAT(Ruimtestaat[[#This Row],[Ruimte code]],"-",Ruimtestaat[[#This Row],[Frequentie werkdagen]]," ",Ruimtestaat[[#This Row],[Vloer code]]))</f>
        <v>19-5w S</v>
      </c>
      <c r="AI169" s="314" t="str">
        <f>_xlfn.IFNA(VLOOKUP($AH169,Programma!$F$3:$G$1107,2,0),"")</f>
        <v>_</v>
      </c>
      <c r="AJ169" s="314" t="str">
        <f>_xlfn.IFNA(VLOOKUP($AH169,Programma!$F$3:$H$1107,3,0),"")</f>
        <v>_</v>
      </c>
      <c r="AK169" s="314" t="str">
        <f>_xlfn.IFNA(VLOOKUP($AH169,Programma!$F$3:$I$1107,4,0),"")</f>
        <v>5w</v>
      </c>
      <c r="AL169" s="314" t="str">
        <f>_xlfn.IFNA(VLOOKUP($AH169,Programma!$F$3:$J$1107,5,0),"")</f>
        <v>_</v>
      </c>
      <c r="AM169" s="314" t="str">
        <f>_xlfn.IFNA(VLOOKUP($AH169,Programma!$F$3:$K$1107,6,0),"")</f>
        <v>5w</v>
      </c>
      <c r="AN169" s="314" t="str">
        <f>_xlfn.IFNA(VLOOKUP($AH169,Programma!$F$3:$L$1107,7,0),"")</f>
        <v>_</v>
      </c>
      <c r="AO169" s="314" t="str">
        <f>_xlfn.IFNA(VLOOKUP($AH169,Programma!$F$3:$M$1107,8,0),"")</f>
        <v>_</v>
      </c>
      <c r="AP169" s="314" t="str">
        <f>_xlfn.IFNA(VLOOKUP($AH169,Programma!$F$3:$N$1107,9,0),"")</f>
        <v>_</v>
      </c>
      <c r="AQ169" s="314" t="str">
        <f>_xlfn.IFNA(VLOOKUP($AH169,Programma!$F$3:$O$1107,10,0),"")</f>
        <v>5w</v>
      </c>
      <c r="AR169" s="314" t="str">
        <f>_xlfn.IFNA(VLOOKUP($AH169,Programma!$F$3:$P$1107,11,0),"")</f>
        <v>5w</v>
      </c>
      <c r="AS169" s="314" t="str">
        <f>_xlfn.IFNA(VLOOKUP($AH169,Programma!$F$3:$Q$1107,12,0),"")</f>
        <v>1w</v>
      </c>
      <c r="AT169" s="314" t="str">
        <f>_xlfn.IFNA(VLOOKUP($AH169,Programma!$F$3:$R$1107,13,0),"")</f>
        <v>1w</v>
      </c>
      <c r="AU169" s="314" t="str">
        <f>_xlfn.IFNA(VLOOKUP($AH169,Programma!$F$3:$S$1107,14,0),"")</f>
        <v>1m</v>
      </c>
      <c r="AV169" s="314" t="str">
        <f>_xlfn.IFNA(VLOOKUP($AH169,Programma!$F$3:$T$1107,15,0),"")</f>
        <v>2j</v>
      </c>
      <c r="AW169" s="314" t="str">
        <f>_xlfn.IFNA(VLOOKUP($AH169,Programma!$F$3:$U$1107,16,0),"")</f>
        <v>1j</v>
      </c>
      <c r="AX169" s="314" t="str">
        <f>_xlfn.IFNA(VLOOKUP($AH169,Programma!$F$3:$V$1107,17,0),"")</f>
        <v>_</v>
      </c>
      <c r="AY169" s="314" t="str">
        <f>_xlfn.IFNA(VLOOKUP($AH169,Programma!$F$3:$W$1107,18,0),"")</f>
        <v>_</v>
      </c>
      <c r="AZ169" s="314" t="str">
        <f>_xlfn.IFNA(VLOOKUP($AH169,Programma!$F$3:$X$1107,19,0),"")</f>
        <v>_</v>
      </c>
      <c r="BA169" s="314" t="str">
        <f>_xlfn.IFNA(VLOOKUP($AH169,Programma!$F$3:$Y$1107,20,0),"")</f>
        <v>_</v>
      </c>
      <c r="BB169" s="273"/>
      <c r="BC169" s="272" t="str">
        <f>IF(Ruimtestaat[[#This Row],[Frequentie weekend]]="","",_xlfn.CONCAT(Ruimtestaat[[#This Row],[Ruimte code]],"-",Ruimtestaat[[#This Row],[Frequentie weekend]]," ",Ruimtestaat[[#This Row],[Vloer code]]))</f>
        <v/>
      </c>
      <c r="BD169" s="314" t="str">
        <f>_xlfn.IFNA(VLOOKUP($BC169,Programma!$F$3:$G$1107,2,0),"")</f>
        <v/>
      </c>
      <c r="BE169" s="314" t="str">
        <f>_xlfn.IFNA(VLOOKUP($BC169,Programma!$F$3:$H$1107,3,0),"")</f>
        <v/>
      </c>
      <c r="BF169" s="314" t="str">
        <f>_xlfn.IFNA(VLOOKUP($BC169,Programma!$F$3:$I$1107,4,0),"")</f>
        <v/>
      </c>
      <c r="BG169" s="314" t="str">
        <f>_xlfn.IFNA(VLOOKUP($BC169,Programma!$F$3:$J$1107,5,0),"")</f>
        <v/>
      </c>
      <c r="BH169" s="314" t="str">
        <f>_xlfn.IFNA(VLOOKUP($BC169,Programma!$F$3:$K$1107,6,0),"")</f>
        <v/>
      </c>
      <c r="BI169" s="314" t="str">
        <f>_xlfn.IFNA(VLOOKUP($BC169,Programma!$F$3:$L$1107,7,0),"")</f>
        <v/>
      </c>
      <c r="BJ169" s="314" t="str">
        <f>_xlfn.IFNA(VLOOKUP($BC169,Programma!$F$3:$M$1107,8,0),"")</f>
        <v/>
      </c>
      <c r="BK169" s="314" t="str">
        <f>_xlfn.IFNA(VLOOKUP($BC169,Programma!$F$3:$N$1107,9,0),"")</f>
        <v/>
      </c>
      <c r="BL169" s="314" t="str">
        <f>_xlfn.IFNA(VLOOKUP($BC169,Programma!$F$3:$O$1107,10,0),"")</f>
        <v/>
      </c>
      <c r="BM169" s="314" t="str">
        <f>_xlfn.IFNA(VLOOKUP($BC169,Programma!$F$3:$P$1107,11,0),"")</f>
        <v/>
      </c>
      <c r="BN169" s="314" t="str">
        <f>_xlfn.IFNA(VLOOKUP($BC169,Programma!$F$3:$Q$1107,12,0),"")</f>
        <v/>
      </c>
      <c r="BO169" s="314" t="str">
        <f>_xlfn.IFNA(VLOOKUP($BC169,Programma!$F$3:$R$1107,13,0),"")</f>
        <v/>
      </c>
      <c r="BP169" s="314" t="str">
        <f>_xlfn.IFNA(VLOOKUP($BC169,Programma!$F$3:$S$1107,14,0),"")</f>
        <v/>
      </c>
      <c r="BQ169" s="314" t="str">
        <f>_xlfn.IFNA(VLOOKUP($BC169,Programma!$F$3:$T$1107,15,0),"")</f>
        <v/>
      </c>
      <c r="BR169" s="314" t="str">
        <f>_xlfn.IFNA(VLOOKUP($BC169,Programma!$F$3:$U$1107,16,0),"")</f>
        <v/>
      </c>
      <c r="BS169" s="314" t="str">
        <f>_xlfn.IFNA(VLOOKUP($BC169,Programma!$F$3:$V$1107,17,0),"")</f>
        <v/>
      </c>
      <c r="BT169" s="314" t="str">
        <f>_xlfn.IFNA(VLOOKUP($BC169,Programma!$F$3:$W$1107,18,0),"")</f>
        <v/>
      </c>
      <c r="BU169" s="314" t="str">
        <f>_xlfn.IFNA(VLOOKUP($BC169,Programma!$F$3:$X$1107,19,0),"")</f>
        <v/>
      </c>
      <c r="BV169" s="314" t="str">
        <f>_xlfn.IFNA(VLOOKUP($BC169,Programma!$F$3:$Y$1107,20,0),"")</f>
        <v/>
      </c>
    </row>
    <row r="170" spans="1:74" ht="15" customHeight="1">
      <c r="A170" s="33">
        <v>1</v>
      </c>
      <c r="B170" s="173" t="str">
        <f>VLOOKUP(Ruimtestaat[[#This Row],[Code]],Locaties[[Code]:[Locatie]],2,FALSE)</f>
        <v>CCNV</v>
      </c>
      <c r="C170" s="173" t="str">
        <f>VLOOKUP(Ruimtestaat[[#This Row],[Code]],Locaties[[#All],[Code]:[Adres]],4,FALSE)</f>
        <v>Stationslaan 26</v>
      </c>
      <c r="D170" s="173" t="str">
        <f>VLOOKUP(Ruimtestaat[[#This Row],[Code]],Locaties[[#All],[Code]:[Postcode]],5,FALSE)</f>
        <v>3842 LA</v>
      </c>
      <c r="E170" s="173" t="str">
        <f>VLOOKUP(Ruimtestaat[[#This Row],[Code]],Locaties[#All],6,FALSE)</f>
        <v>Harderwijk</v>
      </c>
      <c r="F170" s="21" t="s">
        <v>1630</v>
      </c>
      <c r="G170" s="33"/>
      <c r="H170" s="21" t="s">
        <v>1765</v>
      </c>
      <c r="I170" s="69" t="s">
        <v>1765</v>
      </c>
      <c r="J170" s="21">
        <v>19</v>
      </c>
      <c r="K170" s="69" t="str">
        <f>VLOOKUP(Ruimtestaat[[#This Row],[Ruimte code]],Ruimtegroepen[[#All],[Code]:[Ruimte omschrijving]],2,FALSE)</f>
        <v>kleedruimten</v>
      </c>
      <c r="L170" s="33" t="s">
        <v>102</v>
      </c>
      <c r="M170" s="312" t="s">
        <v>1805</v>
      </c>
      <c r="N170" s="148">
        <v>45</v>
      </c>
      <c r="O170" s="33"/>
      <c r="P170" s="134" t="str">
        <f>VLOOKUP(Ruimtestaat[[#This Row],[Ruimte code]],Ruimtegroepen[],4,FALSE)</f>
        <v>Ve</v>
      </c>
      <c r="Q170" s="33">
        <v>40</v>
      </c>
      <c r="R170" s="33" t="s">
        <v>2</v>
      </c>
      <c r="S170" s="33">
        <f>IF(Q170&gt;0,IF(RIGHT(Ruimtestaat[[#This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0" s="33">
        <f>IF(S170&gt;0,VLOOKUP($J170,Ruimtegroepen[],3,FALSE)*VLOOKUP($L170,Vloersoorten[],3,FALSE)*VLOOKUP($R170,Frequenties[],3,FALSE)*VLOOKUP($A170,Locaties[],3,FALSE),0)</f>
        <v>0</v>
      </c>
      <c r="U170" s="33">
        <f>Ruimtestaat[[#This Row],[Uitvoeringen werkdagen]]*Ruimtestaat[[#This Row],[Oppervlak (netto)]]</f>
        <v>9000</v>
      </c>
      <c r="V170" s="170">
        <f>IF(T170&gt;0,Ruimtestaat[[#This Row],[Prest. (m2 /jaar) werkdagen]]/Ruimtestaat[[#This Row],[Norm (m2/uur) werkdagen]],0)</f>
        <v>0</v>
      </c>
      <c r="W170" s="171">
        <f>Ruimtestaat[[#This Row],[uren / jaar werkdagen]]*Tariefsopbouw!$E$35</f>
        <v>0</v>
      </c>
      <c r="X170" s="33"/>
      <c r="Y170" s="33">
        <f>IF(Ruimtestaat[[#This Row],[Frequentie weekend]]&gt;0,VALUE(LEFT(X170,1))*Q170,0)</f>
        <v>0</v>
      </c>
      <c r="Z170" s="104">
        <f>IF($Y170&gt;0,VLOOKUP($J170,Ruimtegroepen[],3,FALSE)*VLOOKUP($L170,Vloersoorten[],3,FALSE)*VLOOKUP($X170,Frequenties[],3,FALSE)*VLOOKUP(Ruimtestaat[[#This Row],[Code]],Locaties[],3,FALSE),0)</f>
        <v>0</v>
      </c>
      <c r="AA170" s="104">
        <f>Ruimtestaat[[#This Row],[Uitvoeringen weekend]]*Ruimtestaat[[#This Row],[Oppervlak (netto)]]</f>
        <v>0</v>
      </c>
      <c r="AB170" s="104">
        <f>IF(Z170&gt;0,Ruimtestaat[[#This Row],[Prest. (m2 /jaar) weekend]]/Ruimtestaat[[#This Row],[Norm (m2/uur) weekend]],0)</f>
        <v>0</v>
      </c>
      <c r="AC170" s="171">
        <f>Ruimtestaat[[#This Row],[uren / jaar weekend]]*Tariefsopbouw!$D$40</f>
        <v>0</v>
      </c>
      <c r="AD170" s="170">
        <f>Ruimtestaat[[#This Row],[Prest. (m2 /jaar) weekend]]+Ruimtestaat[[#This Row],[Prest. (m2 /jaar) werkdagen]]</f>
        <v>9000</v>
      </c>
      <c r="AE170" s="170">
        <f>Ruimtestaat[[#This Row],[uren / jaar weekend]]+Ruimtestaat[[#This Row],[uren / jaar werkdagen]]</f>
        <v>0</v>
      </c>
      <c r="AF170" s="76">
        <f>Ruimtestaat[[#This Row],[kosten / jaar weekend]]+Ruimtestaat[[#This Row],[kosten / jaar werkdagen]]</f>
        <v>0</v>
      </c>
      <c r="AG170" s="76"/>
      <c r="AH170" s="272" t="str">
        <f>IF(Ruimtestaat[[#This Row],[Frequentie werkdagen]]="","",_xlfn.CONCAT(Ruimtestaat[[#This Row],[Ruimte code]],"-",Ruimtestaat[[#This Row],[Frequentie werkdagen]]," ",Ruimtestaat[[#This Row],[Vloer code]]))</f>
        <v>19-5w S</v>
      </c>
      <c r="AI170" s="314" t="str">
        <f>_xlfn.IFNA(VLOOKUP($AH170,Programma!$F$3:$G$1107,2,0),"")</f>
        <v>_</v>
      </c>
      <c r="AJ170" s="314" t="str">
        <f>_xlfn.IFNA(VLOOKUP($AH170,Programma!$F$3:$H$1107,3,0),"")</f>
        <v>_</v>
      </c>
      <c r="AK170" s="314" t="str">
        <f>_xlfn.IFNA(VLOOKUP($AH170,Programma!$F$3:$I$1107,4,0),"")</f>
        <v>5w</v>
      </c>
      <c r="AL170" s="314" t="str">
        <f>_xlfn.IFNA(VLOOKUP($AH170,Programma!$F$3:$J$1107,5,0),"")</f>
        <v>_</v>
      </c>
      <c r="AM170" s="314" t="str">
        <f>_xlfn.IFNA(VLOOKUP($AH170,Programma!$F$3:$K$1107,6,0),"")</f>
        <v>5w</v>
      </c>
      <c r="AN170" s="314" t="str">
        <f>_xlfn.IFNA(VLOOKUP($AH170,Programma!$F$3:$L$1107,7,0),"")</f>
        <v>_</v>
      </c>
      <c r="AO170" s="314" t="str">
        <f>_xlfn.IFNA(VLOOKUP($AH170,Programma!$F$3:$M$1107,8,0),"")</f>
        <v>_</v>
      </c>
      <c r="AP170" s="314" t="str">
        <f>_xlfn.IFNA(VLOOKUP($AH170,Programma!$F$3:$N$1107,9,0),"")</f>
        <v>_</v>
      </c>
      <c r="AQ170" s="314" t="str">
        <f>_xlfn.IFNA(VLOOKUP($AH170,Programma!$F$3:$O$1107,10,0),"")</f>
        <v>5w</v>
      </c>
      <c r="AR170" s="314" t="str">
        <f>_xlfn.IFNA(VLOOKUP($AH170,Programma!$F$3:$P$1107,11,0),"")</f>
        <v>5w</v>
      </c>
      <c r="AS170" s="314" t="str">
        <f>_xlfn.IFNA(VLOOKUP($AH170,Programma!$F$3:$Q$1107,12,0),"")</f>
        <v>1w</v>
      </c>
      <c r="AT170" s="314" t="str">
        <f>_xlfn.IFNA(VLOOKUP($AH170,Programma!$F$3:$R$1107,13,0),"")</f>
        <v>1w</v>
      </c>
      <c r="AU170" s="314" t="str">
        <f>_xlfn.IFNA(VLOOKUP($AH170,Programma!$F$3:$S$1107,14,0),"")</f>
        <v>1m</v>
      </c>
      <c r="AV170" s="314" t="str">
        <f>_xlfn.IFNA(VLOOKUP($AH170,Programma!$F$3:$T$1107,15,0),"")</f>
        <v>2j</v>
      </c>
      <c r="AW170" s="314" t="str">
        <f>_xlfn.IFNA(VLOOKUP($AH170,Programma!$F$3:$U$1107,16,0),"")</f>
        <v>1j</v>
      </c>
      <c r="AX170" s="314" t="str">
        <f>_xlfn.IFNA(VLOOKUP($AH170,Programma!$F$3:$V$1107,17,0),"")</f>
        <v>_</v>
      </c>
      <c r="AY170" s="314" t="str">
        <f>_xlfn.IFNA(VLOOKUP($AH170,Programma!$F$3:$W$1107,18,0),"")</f>
        <v>_</v>
      </c>
      <c r="AZ170" s="314" t="str">
        <f>_xlfn.IFNA(VLOOKUP($AH170,Programma!$F$3:$X$1107,19,0),"")</f>
        <v>_</v>
      </c>
      <c r="BA170" s="314" t="str">
        <f>_xlfn.IFNA(VLOOKUP($AH170,Programma!$F$3:$Y$1107,20,0),"")</f>
        <v>_</v>
      </c>
      <c r="BB170" s="273"/>
      <c r="BC170" s="272" t="str">
        <f>IF(Ruimtestaat[[#This Row],[Frequentie weekend]]="","",_xlfn.CONCAT(Ruimtestaat[[#This Row],[Ruimte code]],"-",Ruimtestaat[[#This Row],[Frequentie weekend]]," ",Ruimtestaat[[#This Row],[Vloer code]]))</f>
        <v/>
      </c>
      <c r="BD170" s="314" t="str">
        <f>_xlfn.IFNA(VLOOKUP($BC170,Programma!$F$3:$G$1107,2,0),"")</f>
        <v/>
      </c>
      <c r="BE170" s="314" t="str">
        <f>_xlfn.IFNA(VLOOKUP($BC170,Programma!$F$3:$H$1107,3,0),"")</f>
        <v/>
      </c>
      <c r="BF170" s="314" t="str">
        <f>_xlfn.IFNA(VLOOKUP($BC170,Programma!$F$3:$I$1107,4,0),"")</f>
        <v/>
      </c>
      <c r="BG170" s="314" t="str">
        <f>_xlfn.IFNA(VLOOKUP($BC170,Programma!$F$3:$J$1107,5,0),"")</f>
        <v/>
      </c>
      <c r="BH170" s="314" t="str">
        <f>_xlfn.IFNA(VLOOKUP($BC170,Programma!$F$3:$K$1107,6,0),"")</f>
        <v/>
      </c>
      <c r="BI170" s="314" t="str">
        <f>_xlfn.IFNA(VLOOKUP($BC170,Programma!$F$3:$L$1107,7,0),"")</f>
        <v/>
      </c>
      <c r="BJ170" s="314" t="str">
        <f>_xlfn.IFNA(VLOOKUP($BC170,Programma!$F$3:$M$1107,8,0),"")</f>
        <v/>
      </c>
      <c r="BK170" s="314" t="str">
        <f>_xlfn.IFNA(VLOOKUP($BC170,Programma!$F$3:$N$1107,9,0),"")</f>
        <v/>
      </c>
      <c r="BL170" s="314" t="str">
        <f>_xlfn.IFNA(VLOOKUP($BC170,Programma!$F$3:$O$1107,10,0),"")</f>
        <v/>
      </c>
      <c r="BM170" s="314" t="str">
        <f>_xlfn.IFNA(VLOOKUP($BC170,Programma!$F$3:$P$1107,11,0),"")</f>
        <v/>
      </c>
      <c r="BN170" s="314" t="str">
        <f>_xlfn.IFNA(VLOOKUP($BC170,Programma!$F$3:$Q$1107,12,0),"")</f>
        <v/>
      </c>
      <c r="BO170" s="314" t="str">
        <f>_xlfn.IFNA(VLOOKUP($BC170,Programma!$F$3:$R$1107,13,0),"")</f>
        <v/>
      </c>
      <c r="BP170" s="314" t="str">
        <f>_xlfn.IFNA(VLOOKUP($BC170,Programma!$F$3:$S$1107,14,0),"")</f>
        <v/>
      </c>
      <c r="BQ170" s="314" t="str">
        <f>_xlfn.IFNA(VLOOKUP($BC170,Programma!$F$3:$T$1107,15,0),"")</f>
        <v/>
      </c>
      <c r="BR170" s="314" t="str">
        <f>_xlfn.IFNA(VLOOKUP($BC170,Programma!$F$3:$U$1107,16,0),"")</f>
        <v/>
      </c>
      <c r="BS170" s="314" t="str">
        <f>_xlfn.IFNA(VLOOKUP($BC170,Programma!$F$3:$V$1107,17,0),"")</f>
        <v/>
      </c>
      <c r="BT170" s="314" t="str">
        <f>_xlfn.IFNA(VLOOKUP($BC170,Programma!$F$3:$W$1107,18,0),"")</f>
        <v/>
      </c>
      <c r="BU170" s="314" t="str">
        <f>_xlfn.IFNA(VLOOKUP($BC170,Programma!$F$3:$X$1107,19,0),"")</f>
        <v/>
      </c>
      <c r="BV170" s="314" t="str">
        <f>_xlfn.IFNA(VLOOKUP($BC170,Programma!$F$3:$Y$1107,20,0),"")</f>
        <v/>
      </c>
    </row>
    <row r="171" spans="1:74" ht="15" customHeight="1">
      <c r="A171" s="33">
        <v>1</v>
      </c>
      <c r="B171" s="173" t="str">
        <f>VLOOKUP(Ruimtestaat[[#This Row],[Code]],Locaties[[Code]:[Locatie]],2,FALSE)</f>
        <v>CCNV</v>
      </c>
      <c r="C171" s="173" t="str">
        <f>VLOOKUP(Ruimtestaat[[#This Row],[Code]],Locaties[[#All],[Code]:[Adres]],4,FALSE)</f>
        <v>Stationslaan 26</v>
      </c>
      <c r="D171" s="173" t="str">
        <f>VLOOKUP(Ruimtestaat[[#This Row],[Code]],Locaties[[#All],[Code]:[Postcode]],5,FALSE)</f>
        <v>3842 LA</v>
      </c>
      <c r="E171" s="173" t="str">
        <f>VLOOKUP(Ruimtestaat[[#This Row],[Code]],Locaties[#All],6,FALSE)</f>
        <v>Harderwijk</v>
      </c>
      <c r="F171" s="21" t="s">
        <v>1630</v>
      </c>
      <c r="G171" s="33"/>
      <c r="H171" s="21" t="s">
        <v>1766</v>
      </c>
      <c r="I171" s="69" t="s">
        <v>1766</v>
      </c>
      <c r="J171" s="21">
        <v>6</v>
      </c>
      <c r="K171" s="69" t="str">
        <f>VLOOKUP(Ruimtestaat[[#This Row],[Ruimte code]],Ruimtegroepen[[#All],[Code]:[Ruimte omschrijving]],2,FALSE)</f>
        <v>Gangen/hallen</v>
      </c>
      <c r="L171" s="33" t="s">
        <v>102</v>
      </c>
      <c r="M171" s="312" t="s">
        <v>1805</v>
      </c>
      <c r="N171" s="148">
        <v>20</v>
      </c>
      <c r="O171" s="150"/>
      <c r="P171" s="134" t="str">
        <f>VLOOKUP(Ruimtestaat[[#This Row],[Ruimte code]],Ruimtegroepen[],4,FALSE)</f>
        <v>Ve</v>
      </c>
      <c r="Q171" s="33">
        <v>40</v>
      </c>
      <c r="R171" s="33" t="s">
        <v>2</v>
      </c>
      <c r="S171" s="33">
        <f>IF(Q171&gt;0,IF(RIGHT(Ruimtestaat[[#This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1" s="33">
        <f>IF(S171&gt;0,VLOOKUP($J171,Ruimtegroepen[],3,FALSE)*VLOOKUP($L171,Vloersoorten[],3,FALSE)*VLOOKUP($R171,Frequenties[],3,FALSE)*VLOOKUP($A171,Locaties[],3,FALSE),0)</f>
        <v>0</v>
      </c>
      <c r="U171" s="33">
        <f>Ruimtestaat[[#This Row],[Uitvoeringen werkdagen]]*Ruimtestaat[[#This Row],[Oppervlak (netto)]]</f>
        <v>4000</v>
      </c>
      <c r="V171" s="170">
        <f>IF(T171&gt;0,Ruimtestaat[[#This Row],[Prest. (m2 /jaar) werkdagen]]/Ruimtestaat[[#This Row],[Norm (m2/uur) werkdagen]],0)</f>
        <v>0</v>
      </c>
      <c r="W171" s="171">
        <f>Ruimtestaat[[#This Row],[uren / jaar werkdagen]]*Tariefsopbouw!$E$35</f>
        <v>0</v>
      </c>
      <c r="X171" s="33"/>
      <c r="Y171" s="33">
        <f>IF(Ruimtestaat[[#This Row],[Frequentie weekend]]&gt;0,VALUE(LEFT(X171,1))*Q171,0)</f>
        <v>0</v>
      </c>
      <c r="Z171" s="104">
        <f>IF($Y171&gt;0,VLOOKUP($J171,Ruimtegroepen[],3,FALSE)*VLOOKUP($L171,Vloersoorten[],3,FALSE)*VLOOKUP($X171,Frequenties[],3,FALSE)*VLOOKUP(Ruimtestaat[[#This Row],[Code]],Locaties[],3,FALSE),0)</f>
        <v>0</v>
      </c>
      <c r="AA171" s="104">
        <f>Ruimtestaat[[#This Row],[Uitvoeringen weekend]]*Ruimtestaat[[#This Row],[Oppervlak (netto)]]</f>
        <v>0</v>
      </c>
      <c r="AB171" s="104">
        <f>IF(Z171&gt;0,Ruimtestaat[[#This Row],[Prest. (m2 /jaar) weekend]]/Ruimtestaat[[#This Row],[Norm (m2/uur) weekend]],0)</f>
        <v>0</v>
      </c>
      <c r="AC171" s="171">
        <f>Ruimtestaat[[#This Row],[uren / jaar weekend]]*Tariefsopbouw!$D$40</f>
        <v>0</v>
      </c>
      <c r="AD171" s="170">
        <f>Ruimtestaat[[#This Row],[Prest. (m2 /jaar) weekend]]+Ruimtestaat[[#This Row],[Prest. (m2 /jaar) werkdagen]]</f>
        <v>4000</v>
      </c>
      <c r="AE171" s="170">
        <f>Ruimtestaat[[#This Row],[uren / jaar weekend]]+Ruimtestaat[[#This Row],[uren / jaar werkdagen]]</f>
        <v>0</v>
      </c>
      <c r="AF171" s="76">
        <f>Ruimtestaat[[#This Row],[kosten / jaar weekend]]+Ruimtestaat[[#This Row],[kosten / jaar werkdagen]]</f>
        <v>0</v>
      </c>
      <c r="AG171" s="76"/>
      <c r="AH171" s="272" t="str">
        <f>IF(Ruimtestaat[[#This Row],[Frequentie werkdagen]]="","",_xlfn.CONCAT(Ruimtestaat[[#This Row],[Ruimte code]],"-",Ruimtestaat[[#This Row],[Frequentie werkdagen]]," ",Ruimtestaat[[#This Row],[Vloer code]]))</f>
        <v>6-5w S</v>
      </c>
      <c r="AI171" s="314" t="str">
        <f>_xlfn.IFNA(VLOOKUP($AH171,Programma!$F$3:$G$1107,2,0),"")</f>
        <v>_</v>
      </c>
      <c r="AJ171" s="314" t="str">
        <f>_xlfn.IFNA(VLOOKUP($AH171,Programma!$F$3:$H$1107,3,0),"")</f>
        <v>_</v>
      </c>
      <c r="AK171" s="314" t="str">
        <f>_xlfn.IFNA(VLOOKUP($AH171,Programma!$F$3:$I$1107,4,0),"")</f>
        <v>5w</v>
      </c>
      <c r="AL171" s="314" t="str">
        <f>_xlfn.IFNA(VLOOKUP($AH171,Programma!$F$3:$J$1107,5,0),"")</f>
        <v>_</v>
      </c>
      <c r="AM171" s="314" t="str">
        <f>_xlfn.IFNA(VLOOKUP($AH171,Programma!$F$3:$K$1107,6,0),"")</f>
        <v>5w</v>
      </c>
      <c r="AN171" s="314" t="str">
        <f>_xlfn.IFNA(VLOOKUP($AH171,Programma!$F$3:$L$1107,7,0),"")</f>
        <v>_</v>
      </c>
      <c r="AO171" s="314" t="str">
        <f>_xlfn.IFNA(VLOOKUP($AH171,Programma!$F$3:$M$1107,8,0),"")</f>
        <v>_</v>
      </c>
      <c r="AP171" s="314" t="str">
        <f>_xlfn.IFNA(VLOOKUP($AH171,Programma!$F$3:$N$1107,9,0),"")</f>
        <v>_</v>
      </c>
      <c r="AQ171" s="314" t="str">
        <f>_xlfn.IFNA(VLOOKUP($AH171,Programma!$F$3:$O$1107,10,0),"")</f>
        <v>5w</v>
      </c>
      <c r="AR171" s="314" t="str">
        <f>_xlfn.IFNA(VLOOKUP($AH171,Programma!$F$3:$P$1107,11,0),"")</f>
        <v>5w</v>
      </c>
      <c r="AS171" s="314" t="str">
        <f>_xlfn.IFNA(VLOOKUP($AH171,Programma!$F$3:$Q$1107,12,0),"")</f>
        <v>1w</v>
      </c>
      <c r="AT171" s="314" t="str">
        <f>_xlfn.IFNA(VLOOKUP($AH171,Programma!$F$3:$R$1107,13,0),"")</f>
        <v>1w</v>
      </c>
      <c r="AU171" s="314" t="str">
        <f>_xlfn.IFNA(VLOOKUP($AH171,Programma!$F$3:$S$1107,14,0),"")</f>
        <v>1m</v>
      </c>
      <c r="AV171" s="314" t="str">
        <f>_xlfn.IFNA(VLOOKUP($AH171,Programma!$F$3:$T$1107,15,0),"")</f>
        <v>2j</v>
      </c>
      <c r="AW171" s="314" t="str">
        <f>_xlfn.IFNA(VLOOKUP($AH171,Programma!$F$3:$U$1107,16,0),"")</f>
        <v>1j</v>
      </c>
      <c r="AX171" s="314" t="str">
        <f>_xlfn.IFNA(VLOOKUP($AH171,Programma!$F$3:$V$1107,17,0),"")</f>
        <v>_</v>
      </c>
      <c r="AY171" s="314" t="str">
        <f>_xlfn.IFNA(VLOOKUP($AH171,Programma!$F$3:$W$1107,18,0),"")</f>
        <v>_</v>
      </c>
      <c r="AZ171" s="314" t="str">
        <f>_xlfn.IFNA(VLOOKUP($AH171,Programma!$F$3:$X$1107,19,0),"")</f>
        <v>_</v>
      </c>
      <c r="BA171" s="314" t="str">
        <f>_xlfn.IFNA(VLOOKUP($AH171,Programma!$F$3:$Y$1107,20,0),"")</f>
        <v>_</v>
      </c>
      <c r="BB171" s="273"/>
      <c r="BC171" s="272" t="str">
        <f>IF(Ruimtestaat[[#This Row],[Frequentie weekend]]="","",_xlfn.CONCAT(Ruimtestaat[[#This Row],[Ruimte code]],"-",Ruimtestaat[[#This Row],[Frequentie weekend]]," ",Ruimtestaat[[#This Row],[Vloer code]]))</f>
        <v/>
      </c>
      <c r="BD171" s="314" t="str">
        <f>_xlfn.IFNA(VLOOKUP($BC171,Programma!$F$3:$G$1107,2,0),"")</f>
        <v/>
      </c>
      <c r="BE171" s="314" t="str">
        <f>_xlfn.IFNA(VLOOKUP($BC171,Programma!$F$3:$H$1107,3,0),"")</f>
        <v/>
      </c>
      <c r="BF171" s="314" t="str">
        <f>_xlfn.IFNA(VLOOKUP($BC171,Programma!$F$3:$I$1107,4,0),"")</f>
        <v/>
      </c>
      <c r="BG171" s="314" t="str">
        <f>_xlfn.IFNA(VLOOKUP($BC171,Programma!$F$3:$J$1107,5,0),"")</f>
        <v/>
      </c>
      <c r="BH171" s="314" t="str">
        <f>_xlfn.IFNA(VLOOKUP($BC171,Programma!$F$3:$K$1107,6,0),"")</f>
        <v/>
      </c>
      <c r="BI171" s="314" t="str">
        <f>_xlfn.IFNA(VLOOKUP($BC171,Programma!$F$3:$L$1107,7,0),"")</f>
        <v/>
      </c>
      <c r="BJ171" s="314" t="str">
        <f>_xlfn.IFNA(VLOOKUP($BC171,Programma!$F$3:$M$1107,8,0),"")</f>
        <v/>
      </c>
      <c r="BK171" s="314" t="str">
        <f>_xlfn.IFNA(VLOOKUP($BC171,Programma!$F$3:$N$1107,9,0),"")</f>
        <v/>
      </c>
      <c r="BL171" s="314" t="str">
        <f>_xlfn.IFNA(VLOOKUP($BC171,Programma!$F$3:$O$1107,10,0),"")</f>
        <v/>
      </c>
      <c r="BM171" s="314" t="str">
        <f>_xlfn.IFNA(VLOOKUP($BC171,Programma!$F$3:$P$1107,11,0),"")</f>
        <v/>
      </c>
      <c r="BN171" s="314" t="str">
        <f>_xlfn.IFNA(VLOOKUP($BC171,Programma!$F$3:$Q$1107,12,0),"")</f>
        <v/>
      </c>
      <c r="BO171" s="314" t="str">
        <f>_xlfn.IFNA(VLOOKUP($BC171,Programma!$F$3:$R$1107,13,0),"")</f>
        <v/>
      </c>
      <c r="BP171" s="314" t="str">
        <f>_xlfn.IFNA(VLOOKUP($BC171,Programma!$F$3:$S$1107,14,0),"")</f>
        <v/>
      </c>
      <c r="BQ171" s="314" t="str">
        <f>_xlfn.IFNA(VLOOKUP($BC171,Programma!$F$3:$T$1107,15,0),"")</f>
        <v/>
      </c>
      <c r="BR171" s="314" t="str">
        <f>_xlfn.IFNA(VLOOKUP($BC171,Programma!$F$3:$U$1107,16,0),"")</f>
        <v/>
      </c>
      <c r="BS171" s="314" t="str">
        <f>_xlfn.IFNA(VLOOKUP($BC171,Programma!$F$3:$V$1107,17,0),"")</f>
        <v/>
      </c>
      <c r="BT171" s="314" t="str">
        <f>_xlfn.IFNA(VLOOKUP($BC171,Programma!$F$3:$W$1107,18,0),"")</f>
        <v/>
      </c>
      <c r="BU171" s="314" t="str">
        <f>_xlfn.IFNA(VLOOKUP($BC171,Programma!$F$3:$X$1107,19,0),"")</f>
        <v/>
      </c>
      <c r="BV171" s="314" t="str">
        <f>_xlfn.IFNA(VLOOKUP($BC171,Programma!$F$3:$Y$1107,20,0),"")</f>
        <v/>
      </c>
    </row>
    <row r="172" spans="1:74" ht="15" customHeight="1">
      <c r="A172" s="33">
        <v>1</v>
      </c>
      <c r="B172" s="173" t="str">
        <f>VLOOKUP(Ruimtestaat[[#This Row],[Code]],Locaties[[Code]:[Locatie]],2,FALSE)</f>
        <v>CCNV</v>
      </c>
      <c r="C172" s="173" t="str">
        <f>VLOOKUP(Ruimtestaat[[#This Row],[Code]],Locaties[[#All],[Code]:[Adres]],4,FALSE)</f>
        <v>Stationslaan 26</v>
      </c>
      <c r="D172" s="173" t="str">
        <f>VLOOKUP(Ruimtestaat[[#This Row],[Code]],Locaties[[#All],[Code]:[Postcode]],5,FALSE)</f>
        <v>3842 LA</v>
      </c>
      <c r="E172" s="173" t="str">
        <f>VLOOKUP(Ruimtestaat[[#This Row],[Code]],Locaties[#All],6,FALSE)</f>
        <v>Harderwijk</v>
      </c>
      <c r="F172" s="21" t="s">
        <v>1630</v>
      </c>
      <c r="G172" s="33"/>
      <c r="I172" s="69" t="s">
        <v>1730</v>
      </c>
      <c r="J172" s="21">
        <v>5</v>
      </c>
      <c r="K172" s="69" t="str">
        <f>VLOOKUP(Ruimtestaat[[#This Row],[Ruimte code]],Ruimtegroepen[[#All],[Code]:[Ruimte omschrijving]],2,FALSE)</f>
        <v>Sanitair</v>
      </c>
      <c r="L172" s="33" t="s">
        <v>102</v>
      </c>
      <c r="M172" s="312" t="s">
        <v>1805</v>
      </c>
      <c r="N172" s="148">
        <v>4</v>
      </c>
      <c r="O172" s="150"/>
      <c r="P172" s="134" t="str">
        <f>VLOOKUP(Ruimtestaat[[#This Row],[Ruimte code]],Ruimtegroepen[],4,FALSE)</f>
        <v>Sa</v>
      </c>
      <c r="Q172" s="33">
        <v>40</v>
      </c>
      <c r="R172" s="33" t="s">
        <v>2</v>
      </c>
      <c r="S172" s="33">
        <f>IF(Q172&gt;0,IF(RIGHT(Ruimtestaat[[#This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2" s="33">
        <f>IF(S172&gt;0,VLOOKUP($J172,Ruimtegroepen[],3,FALSE)*VLOOKUP($L172,Vloersoorten[],3,FALSE)*VLOOKUP($R172,Frequenties[],3,FALSE)*VLOOKUP($A172,Locaties[],3,FALSE),0)</f>
        <v>0</v>
      </c>
      <c r="U172" s="33">
        <f>Ruimtestaat[[#This Row],[Uitvoeringen werkdagen]]*Ruimtestaat[[#This Row],[Oppervlak (netto)]]</f>
        <v>800</v>
      </c>
      <c r="V172" s="170">
        <f>IF(T172&gt;0,Ruimtestaat[[#This Row],[Prest. (m2 /jaar) werkdagen]]/Ruimtestaat[[#This Row],[Norm (m2/uur) werkdagen]],0)</f>
        <v>0</v>
      </c>
      <c r="W172" s="171">
        <f>Ruimtestaat[[#This Row],[uren / jaar werkdagen]]*Tariefsopbouw!$E$35</f>
        <v>0</v>
      </c>
      <c r="X172" s="33"/>
      <c r="Y172" s="33">
        <f>IF(Ruimtestaat[[#This Row],[Frequentie weekend]]&gt;0,VALUE(LEFT(X172,1))*Q172,0)</f>
        <v>0</v>
      </c>
      <c r="Z172" s="104">
        <f>IF($Y172&gt;0,VLOOKUP($J172,Ruimtegroepen[],3,FALSE)*VLOOKUP($L172,Vloersoorten[],3,FALSE)*VLOOKUP($X172,Frequenties[],3,FALSE)*VLOOKUP(Ruimtestaat[[#This Row],[Code]],Locaties[],3,FALSE),0)</f>
        <v>0</v>
      </c>
      <c r="AA172" s="104">
        <f>Ruimtestaat[[#This Row],[Uitvoeringen weekend]]*Ruimtestaat[[#This Row],[Oppervlak (netto)]]</f>
        <v>0</v>
      </c>
      <c r="AB172" s="104">
        <f>IF(Z172&gt;0,Ruimtestaat[[#This Row],[Prest. (m2 /jaar) weekend]]/Ruimtestaat[[#This Row],[Norm (m2/uur) weekend]],0)</f>
        <v>0</v>
      </c>
      <c r="AC172" s="171">
        <f>Ruimtestaat[[#This Row],[uren / jaar weekend]]*Tariefsopbouw!$D$40</f>
        <v>0</v>
      </c>
      <c r="AD172" s="170">
        <f>Ruimtestaat[[#This Row],[Prest. (m2 /jaar) weekend]]+Ruimtestaat[[#This Row],[Prest. (m2 /jaar) werkdagen]]</f>
        <v>800</v>
      </c>
      <c r="AE172" s="170">
        <f>Ruimtestaat[[#This Row],[uren / jaar weekend]]+Ruimtestaat[[#This Row],[uren / jaar werkdagen]]</f>
        <v>0</v>
      </c>
      <c r="AF172" s="76">
        <f>Ruimtestaat[[#This Row],[kosten / jaar weekend]]+Ruimtestaat[[#This Row],[kosten / jaar werkdagen]]</f>
        <v>0</v>
      </c>
      <c r="AG172" s="76"/>
      <c r="AH172" s="272" t="str">
        <f>IF(Ruimtestaat[[#This Row],[Frequentie werkdagen]]="","",_xlfn.CONCAT(Ruimtestaat[[#This Row],[Ruimte code]],"-",Ruimtestaat[[#This Row],[Frequentie werkdagen]]," ",Ruimtestaat[[#This Row],[Vloer code]]))</f>
        <v>5-5w S</v>
      </c>
      <c r="AI172" s="314" t="str">
        <f>_xlfn.IFNA(VLOOKUP($AH172,Programma!$F$3:$G$1107,2,0),"")</f>
        <v>_</v>
      </c>
      <c r="AJ172" s="314" t="str">
        <f>_xlfn.IFNA(VLOOKUP($AH172,Programma!$F$3:$H$1107,3,0),"")</f>
        <v>_</v>
      </c>
      <c r="AK172" s="314" t="str">
        <f>_xlfn.IFNA(VLOOKUP($AH172,Programma!$F$3:$I$1107,4,0),"")</f>
        <v>_</v>
      </c>
      <c r="AL172" s="314" t="str">
        <f>_xlfn.IFNA(VLOOKUP($AH172,Programma!$F$3:$J$1107,5,0),"")</f>
        <v>4w</v>
      </c>
      <c r="AM172" s="314" t="str">
        <f>_xlfn.IFNA(VLOOKUP($AH172,Programma!$F$3:$K$1107,6,0),"")</f>
        <v>1w</v>
      </c>
      <c r="AN172" s="314" t="str">
        <f>_xlfn.IFNA(VLOOKUP($AH172,Programma!$F$3:$L$1107,7,0),"")</f>
        <v>_</v>
      </c>
      <c r="AO172" s="314" t="str">
        <f>_xlfn.IFNA(VLOOKUP($AH172,Programma!$F$3:$M$1107,8,0),"")</f>
        <v>_</v>
      </c>
      <c r="AP172" s="314" t="str">
        <f>_xlfn.IFNA(VLOOKUP($AH172,Programma!$F$3:$N$1107,9,0),"")</f>
        <v>_</v>
      </c>
      <c r="AQ172" s="314" t="str">
        <f>_xlfn.IFNA(VLOOKUP($AH172,Programma!$F$3:$O$1107,10,0),"")</f>
        <v>_</v>
      </c>
      <c r="AR172" s="314" t="str">
        <f>_xlfn.IFNA(VLOOKUP($AH172,Programma!$F$3:$P$1107,11,0),"")</f>
        <v>_</v>
      </c>
      <c r="AS172" s="314" t="str">
        <f>_xlfn.IFNA(VLOOKUP($AH172,Programma!$F$3:$Q$1107,12,0),"")</f>
        <v>_</v>
      </c>
      <c r="AT172" s="314" t="str">
        <f>_xlfn.IFNA(VLOOKUP($AH172,Programma!$F$3:$R$1107,13,0),"")</f>
        <v>_</v>
      </c>
      <c r="AU172" s="314" t="str">
        <f>_xlfn.IFNA(VLOOKUP($AH172,Programma!$F$3:$S$1107,14,0),"")</f>
        <v>_</v>
      </c>
      <c r="AV172" s="314" t="str">
        <f>_xlfn.IFNA(VLOOKUP($AH172,Programma!$F$3:$T$1107,15,0),"")</f>
        <v>_</v>
      </c>
      <c r="AW172" s="314" t="str">
        <f>_xlfn.IFNA(VLOOKUP($AH172,Programma!$F$3:$U$1107,16,0),"")</f>
        <v>_</v>
      </c>
      <c r="AX172" s="314" t="str">
        <f>_xlfn.IFNA(VLOOKUP($AH172,Programma!$F$3:$V$1107,17,0),"")</f>
        <v>_</v>
      </c>
      <c r="AY172" s="314" t="str">
        <f>_xlfn.IFNA(VLOOKUP($AH172,Programma!$F$3:$W$1107,18,0),"")</f>
        <v>4w</v>
      </c>
      <c r="AZ172" s="314" t="str">
        <f>_xlfn.IFNA(VLOOKUP($AH172,Programma!$F$3:$X$1107,19,0),"")</f>
        <v>1w</v>
      </c>
      <c r="BA172" s="314" t="str">
        <f>_xlfn.IFNA(VLOOKUP($AH172,Programma!$F$3:$Y$1107,20,0),"")</f>
        <v>_</v>
      </c>
      <c r="BB172" s="273"/>
      <c r="BC172" s="272" t="str">
        <f>IF(Ruimtestaat[[#This Row],[Frequentie weekend]]="","",_xlfn.CONCAT(Ruimtestaat[[#This Row],[Ruimte code]],"-",Ruimtestaat[[#This Row],[Frequentie weekend]]," ",Ruimtestaat[[#This Row],[Vloer code]]))</f>
        <v/>
      </c>
      <c r="BD172" s="314" t="str">
        <f>_xlfn.IFNA(VLOOKUP($BC172,Programma!$F$3:$G$1107,2,0),"")</f>
        <v/>
      </c>
      <c r="BE172" s="314" t="str">
        <f>_xlfn.IFNA(VLOOKUP($BC172,Programma!$F$3:$H$1107,3,0),"")</f>
        <v/>
      </c>
      <c r="BF172" s="314" t="str">
        <f>_xlfn.IFNA(VLOOKUP($BC172,Programma!$F$3:$I$1107,4,0),"")</f>
        <v/>
      </c>
      <c r="BG172" s="314" t="str">
        <f>_xlfn.IFNA(VLOOKUP($BC172,Programma!$F$3:$J$1107,5,0),"")</f>
        <v/>
      </c>
      <c r="BH172" s="314" t="str">
        <f>_xlfn.IFNA(VLOOKUP($BC172,Programma!$F$3:$K$1107,6,0),"")</f>
        <v/>
      </c>
      <c r="BI172" s="314" t="str">
        <f>_xlfn.IFNA(VLOOKUP($BC172,Programma!$F$3:$L$1107,7,0),"")</f>
        <v/>
      </c>
      <c r="BJ172" s="314" t="str">
        <f>_xlfn.IFNA(VLOOKUP($BC172,Programma!$F$3:$M$1107,8,0),"")</f>
        <v/>
      </c>
      <c r="BK172" s="314" t="str">
        <f>_xlfn.IFNA(VLOOKUP($BC172,Programma!$F$3:$N$1107,9,0),"")</f>
        <v/>
      </c>
      <c r="BL172" s="314" t="str">
        <f>_xlfn.IFNA(VLOOKUP($BC172,Programma!$F$3:$O$1107,10,0),"")</f>
        <v/>
      </c>
      <c r="BM172" s="314" t="str">
        <f>_xlfn.IFNA(VLOOKUP($BC172,Programma!$F$3:$P$1107,11,0),"")</f>
        <v/>
      </c>
      <c r="BN172" s="314" t="str">
        <f>_xlfn.IFNA(VLOOKUP($BC172,Programma!$F$3:$Q$1107,12,0),"")</f>
        <v/>
      </c>
      <c r="BO172" s="314" t="str">
        <f>_xlfn.IFNA(VLOOKUP($BC172,Programma!$F$3:$R$1107,13,0),"")</f>
        <v/>
      </c>
      <c r="BP172" s="314" t="str">
        <f>_xlfn.IFNA(VLOOKUP($BC172,Programma!$F$3:$S$1107,14,0),"")</f>
        <v/>
      </c>
      <c r="BQ172" s="314" t="str">
        <f>_xlfn.IFNA(VLOOKUP($BC172,Programma!$F$3:$T$1107,15,0),"")</f>
        <v/>
      </c>
      <c r="BR172" s="314" t="str">
        <f>_xlfn.IFNA(VLOOKUP($BC172,Programma!$F$3:$U$1107,16,0),"")</f>
        <v/>
      </c>
      <c r="BS172" s="314" t="str">
        <f>_xlfn.IFNA(VLOOKUP($BC172,Programma!$F$3:$V$1107,17,0),"")</f>
        <v/>
      </c>
      <c r="BT172" s="314" t="str">
        <f>_xlfn.IFNA(VLOOKUP($BC172,Programma!$F$3:$W$1107,18,0),"")</f>
        <v/>
      </c>
      <c r="BU172" s="314" t="str">
        <f>_xlfn.IFNA(VLOOKUP($BC172,Programma!$F$3:$X$1107,19,0),"")</f>
        <v/>
      </c>
      <c r="BV172" s="314" t="str">
        <f>_xlfn.IFNA(VLOOKUP($BC172,Programma!$F$3:$Y$1107,20,0),"")</f>
        <v/>
      </c>
    </row>
    <row r="173" spans="1:74" ht="15" customHeight="1">
      <c r="A173" s="33">
        <v>1</v>
      </c>
      <c r="B173" s="173" t="str">
        <f>VLOOKUP(Ruimtestaat[[#This Row],[Code]],Locaties[[Code]:[Locatie]],2,FALSE)</f>
        <v>CCNV</v>
      </c>
      <c r="C173" s="173" t="str">
        <f>VLOOKUP(Ruimtestaat[[#This Row],[Code]],Locaties[[#All],[Code]:[Adres]],4,FALSE)</f>
        <v>Stationslaan 26</v>
      </c>
      <c r="D173" s="173" t="str">
        <f>VLOOKUP(Ruimtestaat[[#This Row],[Code]],Locaties[[#All],[Code]:[Postcode]],5,FALSE)</f>
        <v>3842 LA</v>
      </c>
      <c r="E173" s="173" t="str">
        <f>VLOOKUP(Ruimtestaat[[#This Row],[Code]],Locaties[#All],6,FALSE)</f>
        <v>Harderwijk</v>
      </c>
      <c r="F173" s="21" t="s">
        <v>1630</v>
      </c>
      <c r="G173" s="33"/>
      <c r="I173" s="69" t="s">
        <v>1730</v>
      </c>
      <c r="J173" s="21">
        <v>5</v>
      </c>
      <c r="K173" s="69" t="str">
        <f>VLOOKUP(Ruimtestaat[[#This Row],[Ruimte code]],Ruimtegroepen[[#All],[Code]:[Ruimte omschrijving]],2,FALSE)</f>
        <v>Sanitair</v>
      </c>
      <c r="L173" s="33" t="s">
        <v>102</v>
      </c>
      <c r="M173" s="312" t="s">
        <v>1805</v>
      </c>
      <c r="N173" s="148">
        <v>4</v>
      </c>
      <c r="O173" s="33"/>
      <c r="P173" s="134" t="str">
        <f>VLOOKUP(Ruimtestaat[[#This Row],[Ruimte code]],Ruimtegroepen[],4,FALSE)</f>
        <v>Sa</v>
      </c>
      <c r="Q173" s="33">
        <v>40</v>
      </c>
      <c r="R173" s="33" t="s">
        <v>2</v>
      </c>
      <c r="S173" s="33">
        <f>IF(Q173&gt;0,IF(RIGHT(Ruimtestaat[[#This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3" s="33">
        <f>IF(S173&gt;0,VLOOKUP($J173,Ruimtegroepen[],3,FALSE)*VLOOKUP($L173,Vloersoorten[],3,FALSE)*VLOOKUP($R173,Frequenties[],3,FALSE)*VLOOKUP($A173,Locaties[],3,FALSE),0)</f>
        <v>0</v>
      </c>
      <c r="U173" s="33">
        <f>Ruimtestaat[[#This Row],[Uitvoeringen werkdagen]]*Ruimtestaat[[#This Row],[Oppervlak (netto)]]</f>
        <v>800</v>
      </c>
      <c r="V173" s="170">
        <f>IF(T173&gt;0,Ruimtestaat[[#This Row],[Prest. (m2 /jaar) werkdagen]]/Ruimtestaat[[#This Row],[Norm (m2/uur) werkdagen]],0)</f>
        <v>0</v>
      </c>
      <c r="W173" s="171">
        <f>Ruimtestaat[[#This Row],[uren / jaar werkdagen]]*Tariefsopbouw!$E$35</f>
        <v>0</v>
      </c>
      <c r="X173" s="33"/>
      <c r="Y173" s="33">
        <f>IF(Ruimtestaat[[#This Row],[Frequentie weekend]]&gt;0,VALUE(LEFT(X173,1))*Q173,0)</f>
        <v>0</v>
      </c>
      <c r="Z173" s="104">
        <f>IF($Y173&gt;0,VLOOKUP($J173,Ruimtegroepen[],3,FALSE)*VLOOKUP($L173,Vloersoorten[],3,FALSE)*VLOOKUP($X173,Frequenties[],3,FALSE)*VLOOKUP(Ruimtestaat[[#This Row],[Code]],Locaties[],3,FALSE),0)</f>
        <v>0</v>
      </c>
      <c r="AA173" s="104">
        <f>Ruimtestaat[[#This Row],[Uitvoeringen weekend]]*Ruimtestaat[[#This Row],[Oppervlak (netto)]]</f>
        <v>0</v>
      </c>
      <c r="AB173" s="104">
        <f>IF(Z173&gt;0,Ruimtestaat[[#This Row],[Prest. (m2 /jaar) weekend]]/Ruimtestaat[[#This Row],[Norm (m2/uur) weekend]],0)</f>
        <v>0</v>
      </c>
      <c r="AC173" s="171">
        <f>Ruimtestaat[[#This Row],[uren / jaar weekend]]*Tariefsopbouw!$D$40</f>
        <v>0</v>
      </c>
      <c r="AD173" s="170">
        <f>Ruimtestaat[[#This Row],[Prest. (m2 /jaar) weekend]]+Ruimtestaat[[#This Row],[Prest. (m2 /jaar) werkdagen]]</f>
        <v>800</v>
      </c>
      <c r="AE173" s="170">
        <f>Ruimtestaat[[#This Row],[uren / jaar weekend]]+Ruimtestaat[[#This Row],[uren / jaar werkdagen]]</f>
        <v>0</v>
      </c>
      <c r="AF173" s="76">
        <f>Ruimtestaat[[#This Row],[kosten / jaar weekend]]+Ruimtestaat[[#This Row],[kosten / jaar werkdagen]]</f>
        <v>0</v>
      </c>
      <c r="AG173" s="76"/>
      <c r="AH173" s="272" t="str">
        <f>IF(Ruimtestaat[[#This Row],[Frequentie werkdagen]]="","",_xlfn.CONCAT(Ruimtestaat[[#This Row],[Ruimte code]],"-",Ruimtestaat[[#This Row],[Frequentie werkdagen]]," ",Ruimtestaat[[#This Row],[Vloer code]]))</f>
        <v>5-5w S</v>
      </c>
      <c r="AI173" s="314" t="str">
        <f>_xlfn.IFNA(VLOOKUP($AH173,Programma!$F$3:$G$1107,2,0),"")</f>
        <v>_</v>
      </c>
      <c r="AJ173" s="314" t="str">
        <f>_xlfn.IFNA(VLOOKUP($AH173,Programma!$F$3:$H$1107,3,0),"")</f>
        <v>_</v>
      </c>
      <c r="AK173" s="314" t="str">
        <f>_xlfn.IFNA(VLOOKUP($AH173,Programma!$F$3:$I$1107,4,0),"")</f>
        <v>_</v>
      </c>
      <c r="AL173" s="314" t="str">
        <f>_xlfn.IFNA(VLOOKUP($AH173,Programma!$F$3:$J$1107,5,0),"")</f>
        <v>4w</v>
      </c>
      <c r="AM173" s="314" t="str">
        <f>_xlfn.IFNA(VLOOKUP($AH173,Programma!$F$3:$K$1107,6,0),"")</f>
        <v>1w</v>
      </c>
      <c r="AN173" s="314" t="str">
        <f>_xlfn.IFNA(VLOOKUP($AH173,Programma!$F$3:$L$1107,7,0),"")</f>
        <v>_</v>
      </c>
      <c r="AO173" s="314" t="str">
        <f>_xlfn.IFNA(VLOOKUP($AH173,Programma!$F$3:$M$1107,8,0),"")</f>
        <v>_</v>
      </c>
      <c r="AP173" s="314" t="str">
        <f>_xlfn.IFNA(VLOOKUP($AH173,Programma!$F$3:$N$1107,9,0),"")</f>
        <v>_</v>
      </c>
      <c r="AQ173" s="314" t="str">
        <f>_xlfn.IFNA(VLOOKUP($AH173,Programma!$F$3:$O$1107,10,0),"")</f>
        <v>_</v>
      </c>
      <c r="AR173" s="314" t="str">
        <f>_xlfn.IFNA(VLOOKUP($AH173,Programma!$F$3:$P$1107,11,0),"")</f>
        <v>_</v>
      </c>
      <c r="AS173" s="314" t="str">
        <f>_xlfn.IFNA(VLOOKUP($AH173,Programma!$F$3:$Q$1107,12,0),"")</f>
        <v>_</v>
      </c>
      <c r="AT173" s="314" t="str">
        <f>_xlfn.IFNA(VLOOKUP($AH173,Programma!$F$3:$R$1107,13,0),"")</f>
        <v>_</v>
      </c>
      <c r="AU173" s="314" t="str">
        <f>_xlfn.IFNA(VLOOKUP($AH173,Programma!$F$3:$S$1107,14,0),"")</f>
        <v>_</v>
      </c>
      <c r="AV173" s="314" t="str">
        <f>_xlfn.IFNA(VLOOKUP($AH173,Programma!$F$3:$T$1107,15,0),"")</f>
        <v>_</v>
      </c>
      <c r="AW173" s="314" t="str">
        <f>_xlfn.IFNA(VLOOKUP($AH173,Programma!$F$3:$U$1107,16,0),"")</f>
        <v>_</v>
      </c>
      <c r="AX173" s="314" t="str">
        <f>_xlfn.IFNA(VLOOKUP($AH173,Programma!$F$3:$V$1107,17,0),"")</f>
        <v>_</v>
      </c>
      <c r="AY173" s="314" t="str">
        <f>_xlfn.IFNA(VLOOKUP($AH173,Programma!$F$3:$W$1107,18,0),"")</f>
        <v>4w</v>
      </c>
      <c r="AZ173" s="314" t="str">
        <f>_xlfn.IFNA(VLOOKUP($AH173,Programma!$F$3:$X$1107,19,0),"")</f>
        <v>1w</v>
      </c>
      <c r="BA173" s="314" t="str">
        <f>_xlfn.IFNA(VLOOKUP($AH173,Programma!$F$3:$Y$1107,20,0),"")</f>
        <v>_</v>
      </c>
      <c r="BB173" s="273"/>
      <c r="BC173" s="272" t="str">
        <f>IF(Ruimtestaat[[#This Row],[Frequentie weekend]]="","",_xlfn.CONCAT(Ruimtestaat[[#This Row],[Ruimte code]],"-",Ruimtestaat[[#This Row],[Frequentie weekend]]," ",Ruimtestaat[[#This Row],[Vloer code]]))</f>
        <v/>
      </c>
      <c r="BD173" s="314" t="str">
        <f>_xlfn.IFNA(VLOOKUP($BC173,Programma!$F$3:$G$1107,2,0),"")</f>
        <v/>
      </c>
      <c r="BE173" s="314" t="str">
        <f>_xlfn.IFNA(VLOOKUP($BC173,Programma!$F$3:$H$1107,3,0),"")</f>
        <v/>
      </c>
      <c r="BF173" s="314" t="str">
        <f>_xlfn.IFNA(VLOOKUP($BC173,Programma!$F$3:$I$1107,4,0),"")</f>
        <v/>
      </c>
      <c r="BG173" s="314" t="str">
        <f>_xlfn.IFNA(VLOOKUP($BC173,Programma!$F$3:$J$1107,5,0),"")</f>
        <v/>
      </c>
      <c r="BH173" s="314" t="str">
        <f>_xlfn.IFNA(VLOOKUP($BC173,Programma!$F$3:$K$1107,6,0),"")</f>
        <v/>
      </c>
      <c r="BI173" s="314" t="str">
        <f>_xlfn.IFNA(VLOOKUP($BC173,Programma!$F$3:$L$1107,7,0),"")</f>
        <v/>
      </c>
      <c r="BJ173" s="314" t="str">
        <f>_xlfn.IFNA(VLOOKUP($BC173,Programma!$F$3:$M$1107,8,0),"")</f>
        <v/>
      </c>
      <c r="BK173" s="314" t="str">
        <f>_xlfn.IFNA(VLOOKUP($BC173,Programma!$F$3:$N$1107,9,0),"")</f>
        <v/>
      </c>
      <c r="BL173" s="314" t="str">
        <f>_xlfn.IFNA(VLOOKUP($BC173,Programma!$F$3:$O$1107,10,0),"")</f>
        <v/>
      </c>
      <c r="BM173" s="314" t="str">
        <f>_xlfn.IFNA(VLOOKUP($BC173,Programma!$F$3:$P$1107,11,0),"")</f>
        <v/>
      </c>
      <c r="BN173" s="314" t="str">
        <f>_xlfn.IFNA(VLOOKUP($BC173,Programma!$F$3:$Q$1107,12,0),"")</f>
        <v/>
      </c>
      <c r="BO173" s="314" t="str">
        <f>_xlfn.IFNA(VLOOKUP($BC173,Programma!$F$3:$R$1107,13,0),"")</f>
        <v/>
      </c>
      <c r="BP173" s="314" t="str">
        <f>_xlfn.IFNA(VLOOKUP($BC173,Programma!$F$3:$S$1107,14,0),"")</f>
        <v/>
      </c>
      <c r="BQ173" s="314" t="str">
        <f>_xlfn.IFNA(VLOOKUP($BC173,Programma!$F$3:$T$1107,15,0),"")</f>
        <v/>
      </c>
      <c r="BR173" s="314" t="str">
        <f>_xlfn.IFNA(VLOOKUP($BC173,Programma!$F$3:$U$1107,16,0),"")</f>
        <v/>
      </c>
      <c r="BS173" s="314" t="str">
        <f>_xlfn.IFNA(VLOOKUP($BC173,Programma!$F$3:$V$1107,17,0),"")</f>
        <v/>
      </c>
      <c r="BT173" s="314" t="str">
        <f>_xlfn.IFNA(VLOOKUP($BC173,Programma!$F$3:$W$1107,18,0),"")</f>
        <v/>
      </c>
      <c r="BU173" s="314" t="str">
        <f>_xlfn.IFNA(VLOOKUP($BC173,Programma!$F$3:$X$1107,19,0),"")</f>
        <v/>
      </c>
      <c r="BV173" s="314" t="str">
        <f>_xlfn.IFNA(VLOOKUP($BC173,Programma!$F$3:$Y$1107,20,0),"")</f>
        <v/>
      </c>
    </row>
    <row r="174" spans="1:74" ht="15" customHeight="1">
      <c r="A174" s="33">
        <v>1</v>
      </c>
      <c r="B174" s="173" t="str">
        <f>VLOOKUP(Ruimtestaat[[#This Row],[Code]],Locaties[[Code]:[Locatie]],2,FALSE)</f>
        <v>CCNV</v>
      </c>
      <c r="C174" s="173" t="str">
        <f>VLOOKUP(Ruimtestaat[[#This Row],[Code]],Locaties[[#All],[Code]:[Adres]],4,FALSE)</f>
        <v>Stationslaan 26</v>
      </c>
      <c r="D174" s="173" t="str">
        <f>VLOOKUP(Ruimtestaat[[#This Row],[Code]],Locaties[[#All],[Code]:[Postcode]],5,FALSE)</f>
        <v>3842 LA</v>
      </c>
      <c r="E174" s="173" t="str">
        <f>VLOOKUP(Ruimtestaat[[#This Row],[Code]],Locaties[#All],6,FALSE)</f>
        <v>Harderwijk</v>
      </c>
      <c r="F174" s="21" t="s">
        <v>1630</v>
      </c>
      <c r="G174" s="33"/>
      <c r="H174" s="21" t="s">
        <v>1767</v>
      </c>
      <c r="I174" s="69" t="s">
        <v>1796</v>
      </c>
      <c r="J174" s="21">
        <v>18</v>
      </c>
      <c r="K174" s="69" t="str">
        <f>VLOOKUP(Ruimtestaat[[#This Row],[Ruimte code]],Ruimtegroepen[[#All],[Code]:[Ruimte omschrijving]],2,FALSE)</f>
        <v>Gymzaal</v>
      </c>
      <c r="L174" s="33" t="s">
        <v>1817</v>
      </c>
      <c r="M174" s="312" t="s">
        <v>1807</v>
      </c>
      <c r="N174" s="148">
        <v>375</v>
      </c>
      <c r="O174" s="150"/>
      <c r="P174" s="134" t="str">
        <f>VLOOKUP(Ruimtestaat[[#This Row],[Ruimte code]],Ruimtegroepen[],4,FALSE)</f>
        <v>Sp</v>
      </c>
      <c r="Q174" s="33">
        <v>30</v>
      </c>
      <c r="R174" s="33" t="s">
        <v>2</v>
      </c>
      <c r="S174" s="33">
        <f>IF(Q174&gt;0,IF(RIGHT(Ruimtestaat[[#This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150</v>
      </c>
      <c r="T174" s="33">
        <f>IF(S174&gt;0,VLOOKUP($J174,Ruimtegroepen[],3,FALSE)*VLOOKUP($L174,Vloersoorten[],3,FALSE)*VLOOKUP($R174,Frequenties[],3,FALSE)*VLOOKUP($A174,Locaties[],3,FALSE),0)</f>
        <v>0</v>
      </c>
      <c r="U174" s="33">
        <f>Ruimtestaat[[#This Row],[Uitvoeringen werkdagen]]*Ruimtestaat[[#This Row],[Oppervlak (netto)]]</f>
        <v>56250</v>
      </c>
      <c r="V174" s="170">
        <f>IF(T174&gt;0,Ruimtestaat[[#This Row],[Prest. (m2 /jaar) werkdagen]]/Ruimtestaat[[#This Row],[Norm (m2/uur) werkdagen]],0)</f>
        <v>0</v>
      </c>
      <c r="W174" s="171">
        <f>Ruimtestaat[[#This Row],[uren / jaar werkdagen]]*Tariefsopbouw!$E$35</f>
        <v>0</v>
      </c>
      <c r="X174" s="33"/>
      <c r="Y174" s="33">
        <f>IF(Ruimtestaat[[#This Row],[Frequentie weekend]]&gt;0,VALUE(LEFT(X174,1))*Q174,0)</f>
        <v>0</v>
      </c>
      <c r="Z174" s="104">
        <f>IF($Y174&gt;0,VLOOKUP($J174,Ruimtegroepen[],3,FALSE)*VLOOKUP($L174,Vloersoorten[],3,FALSE)*VLOOKUP($X174,Frequenties[],3,FALSE)*VLOOKUP(Ruimtestaat[[#This Row],[Code]],Locaties[],3,FALSE),0)</f>
        <v>0</v>
      </c>
      <c r="AA174" s="104">
        <f>Ruimtestaat[[#This Row],[Uitvoeringen weekend]]*Ruimtestaat[[#This Row],[Oppervlak (netto)]]</f>
        <v>0</v>
      </c>
      <c r="AB174" s="104">
        <f>IF(Z174&gt;0,Ruimtestaat[[#This Row],[Prest. (m2 /jaar) weekend]]/Ruimtestaat[[#This Row],[Norm (m2/uur) weekend]],0)</f>
        <v>0</v>
      </c>
      <c r="AC174" s="171">
        <f>Ruimtestaat[[#This Row],[uren / jaar weekend]]*Tariefsopbouw!$D$40</f>
        <v>0</v>
      </c>
      <c r="AD174" s="170">
        <f>Ruimtestaat[[#This Row],[Prest. (m2 /jaar) weekend]]+Ruimtestaat[[#This Row],[Prest. (m2 /jaar) werkdagen]]</f>
        <v>56250</v>
      </c>
      <c r="AE174" s="170">
        <f>Ruimtestaat[[#This Row],[uren / jaar weekend]]+Ruimtestaat[[#This Row],[uren / jaar werkdagen]]</f>
        <v>0</v>
      </c>
      <c r="AF174" s="76">
        <f>Ruimtestaat[[#This Row],[kosten / jaar weekend]]+Ruimtestaat[[#This Row],[kosten / jaar werkdagen]]</f>
        <v>0</v>
      </c>
      <c r="AG174" s="76"/>
      <c r="AH174" s="272" t="str">
        <f>IF(Ruimtestaat[[#This Row],[Frequentie werkdagen]]="","",_xlfn.CONCAT(Ruimtestaat[[#This Row],[Ruimte code]],"-",Ruimtestaat[[#This Row],[Frequentie werkdagen]]," ",Ruimtestaat[[#This Row],[Vloer code]]))</f>
        <v>18-5w p</v>
      </c>
      <c r="AI174" s="310" t="str">
        <f>_xlfn.IFNA(VLOOKUP($AH174,Programma!$F$3:$G$1107,2,0),"")</f>
        <v>_</v>
      </c>
      <c r="AJ174" s="310" t="str">
        <f>_xlfn.IFNA(VLOOKUP($AH174,Programma!$F$3:$H$1107,3,0),"")</f>
        <v>_</v>
      </c>
      <c r="AK174" s="310" t="str">
        <f>_xlfn.IFNA(VLOOKUP($AH174,Programma!$F$3:$I$1107,4,0),"")</f>
        <v>4w</v>
      </c>
      <c r="AL174" s="310" t="str">
        <f>_xlfn.IFNA(VLOOKUP($AH174,Programma!$F$3:$J$1107,5,0),"")</f>
        <v>1w</v>
      </c>
      <c r="AM174" s="310" t="str">
        <f>_xlfn.IFNA(VLOOKUP($AH174,Programma!$F$3:$K$1107,6,0),"")</f>
        <v>4j</v>
      </c>
      <c r="AN174" s="310" t="str">
        <f>_xlfn.IFNA(VLOOKUP($AH174,Programma!$F$3:$L$1107,7,0),"")</f>
        <v>_</v>
      </c>
      <c r="AO174" s="310" t="str">
        <f>_xlfn.IFNA(VLOOKUP($AH174,Programma!$F$3:$M$1107,8,0),"")</f>
        <v>_</v>
      </c>
      <c r="AP174" s="310" t="str">
        <f>_xlfn.IFNA(VLOOKUP($AH174,Programma!$F$3:$N$1107,9,0),"")</f>
        <v>_</v>
      </c>
      <c r="AQ174" s="310" t="str">
        <f>_xlfn.IFNA(VLOOKUP($AH174,Programma!$F$3:$O$1107,10,0),"")</f>
        <v>5w</v>
      </c>
      <c r="AR174" s="310" t="str">
        <f>_xlfn.IFNA(VLOOKUP($AH174,Programma!$F$3:$P$1107,11,0),"")</f>
        <v>5w</v>
      </c>
      <c r="AS174" s="310" t="str">
        <f>_xlfn.IFNA(VLOOKUP($AH174,Programma!$F$3:$Q$1107,12,0),"")</f>
        <v>5w</v>
      </c>
      <c r="AT174" s="310" t="str">
        <f>_xlfn.IFNA(VLOOKUP($AH174,Programma!$F$3:$R$1107,13,0),"")</f>
        <v>5w</v>
      </c>
      <c r="AU174" s="310" t="str">
        <f>_xlfn.IFNA(VLOOKUP($AH174,Programma!$F$3:$S$1107,14,0),"")</f>
        <v>5w</v>
      </c>
      <c r="AV174" s="310" t="str">
        <f>_xlfn.IFNA(VLOOKUP($AH174,Programma!$F$3:$T$1107,15,0),"")</f>
        <v>5w</v>
      </c>
      <c r="AW174" s="310" t="str">
        <f>_xlfn.IFNA(VLOOKUP($AH174,Programma!$F$3:$U$1107,16,0),"")</f>
        <v>5w</v>
      </c>
      <c r="AX174" s="310" t="str">
        <f>_xlfn.IFNA(VLOOKUP($AH174,Programma!$F$3:$V$1107,17,0),"")</f>
        <v>_</v>
      </c>
      <c r="AY174" s="310" t="str">
        <f>_xlfn.IFNA(VLOOKUP($AH174,Programma!$F$3:$W$1107,18,0),"")</f>
        <v>_</v>
      </c>
      <c r="AZ174" s="310" t="str">
        <f>_xlfn.IFNA(VLOOKUP($AH174,Programma!$F$3:$X$1107,19,0),"")</f>
        <v>_</v>
      </c>
      <c r="BA174" s="310" t="str">
        <f>_xlfn.IFNA(VLOOKUP($AH174,Programma!$F$3:$Y$1107,20,0),"")</f>
        <v>_</v>
      </c>
      <c r="BB174" s="273"/>
      <c r="BC174" s="272" t="str">
        <f>IF(Ruimtestaat[[#This Row],[Frequentie weekend]]="","",_xlfn.CONCAT(Ruimtestaat[[#This Row],[Ruimte code]],"-",Ruimtestaat[[#This Row],[Frequentie weekend]]," ",Ruimtestaat[[#This Row],[Vloer code]]))</f>
        <v/>
      </c>
      <c r="BD174" s="310" t="str">
        <f>_xlfn.IFNA(VLOOKUP($BC174,Programma!$F$3:$G$1107,2,0),"")</f>
        <v/>
      </c>
      <c r="BE174" s="310" t="str">
        <f>_xlfn.IFNA(VLOOKUP($BC174,Programma!$F$3:$H$1107,3,0),"")</f>
        <v/>
      </c>
      <c r="BF174" s="310" t="str">
        <f>_xlfn.IFNA(VLOOKUP($BC174,Programma!$F$3:$I$1107,4,0),"")</f>
        <v/>
      </c>
      <c r="BG174" s="310" t="str">
        <f>_xlfn.IFNA(VLOOKUP($BC174,Programma!$F$3:$J$1107,5,0),"")</f>
        <v/>
      </c>
      <c r="BH174" s="310" t="str">
        <f>_xlfn.IFNA(VLOOKUP($BC174,Programma!$F$3:$K$1107,6,0),"")</f>
        <v/>
      </c>
      <c r="BI174" s="310" t="str">
        <f>_xlfn.IFNA(VLOOKUP($BC174,Programma!$F$3:$L$1107,7,0),"")</f>
        <v/>
      </c>
      <c r="BJ174" s="310" t="str">
        <f>_xlfn.IFNA(VLOOKUP($BC174,Programma!$F$3:$M$1107,8,0),"")</f>
        <v/>
      </c>
      <c r="BK174" s="310" t="str">
        <f>_xlfn.IFNA(VLOOKUP($BC174,Programma!$F$3:$N$1107,9,0),"")</f>
        <v/>
      </c>
      <c r="BL174" s="310" t="str">
        <f>_xlfn.IFNA(VLOOKUP($BC174,Programma!$F$3:$O$1107,10,0),"")</f>
        <v/>
      </c>
      <c r="BM174" s="310" t="str">
        <f>_xlfn.IFNA(VLOOKUP($BC174,Programma!$F$3:$P$1107,11,0),"")</f>
        <v/>
      </c>
      <c r="BN174" s="310" t="str">
        <f>_xlfn.IFNA(VLOOKUP($BC174,Programma!$F$3:$Q$1107,12,0),"")</f>
        <v/>
      </c>
      <c r="BO174" s="310" t="str">
        <f>_xlfn.IFNA(VLOOKUP($BC174,Programma!$F$3:$R$1107,13,0),"")</f>
        <v/>
      </c>
      <c r="BP174" s="310" t="str">
        <f>_xlfn.IFNA(VLOOKUP($BC174,Programma!$F$3:$S$1107,14,0),"")</f>
        <v/>
      </c>
      <c r="BQ174" s="310" t="str">
        <f>_xlfn.IFNA(VLOOKUP($BC174,Programma!$F$3:$T$1107,15,0),"")</f>
        <v/>
      </c>
      <c r="BR174" s="310" t="str">
        <f>_xlfn.IFNA(VLOOKUP($BC174,Programma!$F$3:$U$1107,16,0),"")</f>
        <v/>
      </c>
      <c r="BS174" s="310" t="str">
        <f>_xlfn.IFNA(VLOOKUP($BC174,Programma!$F$3:$V$1107,17,0),"")</f>
        <v/>
      </c>
      <c r="BT174" s="310" t="str">
        <f>_xlfn.IFNA(VLOOKUP($BC174,Programma!$F$3:$W$1107,18,0),"")</f>
        <v/>
      </c>
      <c r="BU174" s="310" t="str">
        <f>_xlfn.IFNA(VLOOKUP($BC174,Programma!$F$3:$X$1107,19,0),"")</f>
        <v/>
      </c>
      <c r="BV174" s="310" t="str">
        <f>_xlfn.IFNA(VLOOKUP($BC174,Programma!$F$3:$Y$1107,20,0),"")</f>
        <v/>
      </c>
    </row>
    <row r="175" spans="1:74" ht="15" customHeight="1">
      <c r="A175" s="33">
        <v>1</v>
      </c>
      <c r="B175" s="173" t="str">
        <f>VLOOKUP(Ruimtestaat[[#This Row],[Code]],Locaties[[Code]:[Locatie]],2,FALSE)</f>
        <v>CCNV</v>
      </c>
      <c r="C175" s="173" t="str">
        <f>VLOOKUP(Ruimtestaat[[#This Row],[Code]],Locaties[[#All],[Code]:[Adres]],4,FALSE)</f>
        <v>Stationslaan 26</v>
      </c>
      <c r="D175" s="173" t="str">
        <f>VLOOKUP(Ruimtestaat[[#This Row],[Code]],Locaties[[#All],[Code]:[Postcode]],5,FALSE)</f>
        <v>3842 LA</v>
      </c>
      <c r="E175" s="173" t="str">
        <f>VLOOKUP(Ruimtestaat[[#This Row],[Code]],Locaties[#All],6,FALSE)</f>
        <v>Harderwijk</v>
      </c>
      <c r="F175" s="21" t="s">
        <v>1630</v>
      </c>
      <c r="G175" s="33"/>
      <c r="I175" s="69" t="s">
        <v>1797</v>
      </c>
      <c r="J175" s="21">
        <v>17</v>
      </c>
      <c r="K175" s="69" t="str">
        <f>VLOOKUP(Ruimtestaat[[#This Row],[Ruimte code]],Ruimtegroepen[[#All],[Code]:[Ruimte omschrijving]],2,FALSE)</f>
        <v>Toestelberging</v>
      </c>
      <c r="L175" s="33" t="s">
        <v>1817</v>
      </c>
      <c r="M175" s="312" t="s">
        <v>1807</v>
      </c>
      <c r="N175" s="148">
        <v>75</v>
      </c>
      <c r="O175" s="150"/>
      <c r="P175" s="134" t="str">
        <f>VLOOKUP(Ruimtestaat[[#This Row],[Ruimte code]],Ruimtegroepen[],4,FALSE)</f>
        <v>Ve</v>
      </c>
      <c r="Q175" s="33">
        <v>30</v>
      </c>
      <c r="R175" s="33" t="s">
        <v>1811</v>
      </c>
      <c r="S175" s="33">
        <f>IF(Q175&gt;0,IF(RIGHT(Ruimtestaat[[#This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v>
      </c>
      <c r="T175" s="33">
        <f>IF(S175&gt;0,VLOOKUP($J175,Ruimtegroepen[],3,FALSE)*VLOOKUP($L175,Vloersoorten[],3,FALSE)*VLOOKUP($R175,Frequenties[],3,FALSE)*VLOOKUP($A175,Locaties[],3,FALSE),0)</f>
        <v>0</v>
      </c>
      <c r="U175" s="33">
        <f>Ruimtestaat[[#This Row],[Uitvoeringen werkdagen]]*Ruimtestaat[[#This Row],[Oppervlak (netto)]]</f>
        <v>375</v>
      </c>
      <c r="V175" s="170">
        <f>IF(T175&gt;0,Ruimtestaat[[#This Row],[Prest. (m2 /jaar) werkdagen]]/Ruimtestaat[[#This Row],[Norm (m2/uur) werkdagen]],0)</f>
        <v>0</v>
      </c>
      <c r="W175" s="171">
        <f>Ruimtestaat[[#This Row],[uren / jaar werkdagen]]*Tariefsopbouw!$E$35</f>
        <v>0</v>
      </c>
      <c r="X175" s="33"/>
      <c r="Y175" s="33">
        <f>IF(Ruimtestaat[[#This Row],[Frequentie weekend]]&gt;0,VALUE(LEFT(X175,1))*Q175,0)</f>
        <v>0</v>
      </c>
      <c r="Z175" s="104">
        <f>IF($Y175&gt;0,VLOOKUP($J175,Ruimtegroepen[],3,FALSE)*VLOOKUP($L175,Vloersoorten[],3,FALSE)*VLOOKUP($X175,Frequenties[],3,FALSE)*VLOOKUP(Ruimtestaat[[#This Row],[Code]],Locaties[],3,FALSE),0)</f>
        <v>0</v>
      </c>
      <c r="AA175" s="104">
        <f>Ruimtestaat[[#This Row],[Uitvoeringen weekend]]*Ruimtestaat[[#This Row],[Oppervlak (netto)]]</f>
        <v>0</v>
      </c>
      <c r="AB175" s="104">
        <f>IF(Z175&gt;0,Ruimtestaat[[#This Row],[Prest. (m2 /jaar) weekend]]/Ruimtestaat[[#This Row],[Norm (m2/uur) weekend]],0)</f>
        <v>0</v>
      </c>
      <c r="AC175" s="171">
        <f>Ruimtestaat[[#This Row],[uren / jaar weekend]]*Tariefsopbouw!$D$40</f>
        <v>0</v>
      </c>
      <c r="AD175" s="170">
        <f>Ruimtestaat[[#This Row],[Prest. (m2 /jaar) weekend]]+Ruimtestaat[[#This Row],[Prest. (m2 /jaar) werkdagen]]</f>
        <v>375</v>
      </c>
      <c r="AE175" s="170">
        <f>Ruimtestaat[[#This Row],[uren / jaar weekend]]+Ruimtestaat[[#This Row],[uren / jaar werkdagen]]</f>
        <v>0</v>
      </c>
      <c r="AF175" s="76">
        <f>Ruimtestaat[[#This Row],[kosten / jaar weekend]]+Ruimtestaat[[#This Row],[kosten / jaar werkdagen]]</f>
        <v>0</v>
      </c>
      <c r="AG175" s="76"/>
      <c r="AH175" s="272" t="str">
        <f>IF(Ruimtestaat[[#This Row],[Frequentie werkdagen]]="","",_xlfn.CONCAT(Ruimtestaat[[#This Row],[Ruimte code]],"-",Ruimtestaat[[#This Row],[Frequentie werkdagen]]," ",Ruimtestaat[[#This Row],[Vloer code]]))</f>
        <v>17-5j p</v>
      </c>
      <c r="AI175" s="310" t="str">
        <f>_xlfn.IFNA(VLOOKUP($AH175,Programma!$F$3:$G$1107,2,0),"")</f>
        <v/>
      </c>
      <c r="AJ175" s="310" t="str">
        <f>_xlfn.IFNA(VLOOKUP($AH175,Programma!$F$3:$H$1107,3,0),"")</f>
        <v/>
      </c>
      <c r="AK175" s="310" t="str">
        <f>_xlfn.IFNA(VLOOKUP($AH175,Programma!$F$3:$I$1107,4,0),"")</f>
        <v/>
      </c>
      <c r="AL175" s="310" t="str">
        <f>_xlfn.IFNA(VLOOKUP($AH175,Programma!$F$3:$J$1107,5,0),"")</f>
        <v/>
      </c>
      <c r="AM175" s="310" t="str">
        <f>_xlfn.IFNA(VLOOKUP($AH175,Programma!$F$3:$K$1107,6,0),"")</f>
        <v/>
      </c>
      <c r="AN175" s="310" t="str">
        <f>_xlfn.IFNA(VLOOKUP($AH175,Programma!$F$3:$L$1107,7,0),"")</f>
        <v/>
      </c>
      <c r="AO175" s="310" t="str">
        <f>_xlfn.IFNA(VLOOKUP($AH175,Programma!$F$3:$M$1107,8,0),"")</f>
        <v/>
      </c>
      <c r="AP175" s="310" t="str">
        <f>_xlfn.IFNA(VLOOKUP($AH175,Programma!$F$3:$N$1107,9,0),"")</f>
        <v/>
      </c>
      <c r="AQ175" s="310" t="str">
        <f>_xlfn.IFNA(VLOOKUP($AH175,Programma!$F$3:$O$1107,10,0),"")</f>
        <v/>
      </c>
      <c r="AR175" s="310" t="str">
        <f>_xlfn.IFNA(VLOOKUP($AH175,Programma!$F$3:$P$1107,11,0),"")</f>
        <v/>
      </c>
      <c r="AS175" s="310" t="str">
        <f>_xlfn.IFNA(VLOOKUP($AH175,Programma!$F$3:$Q$1107,12,0),"")</f>
        <v/>
      </c>
      <c r="AT175" s="310" t="str">
        <f>_xlfn.IFNA(VLOOKUP($AH175,Programma!$F$3:$R$1107,13,0),"")</f>
        <v/>
      </c>
      <c r="AU175" s="310" t="str">
        <f>_xlfn.IFNA(VLOOKUP($AH175,Programma!$F$3:$S$1107,14,0),"")</f>
        <v/>
      </c>
      <c r="AV175" s="310" t="str">
        <f>_xlfn.IFNA(VLOOKUP($AH175,Programma!$F$3:$T$1107,15,0),"")</f>
        <v/>
      </c>
      <c r="AW175" s="310" t="str">
        <f>_xlfn.IFNA(VLOOKUP($AH175,Programma!$F$3:$U$1107,16,0),"")</f>
        <v/>
      </c>
      <c r="AX175" s="310" t="str">
        <f>_xlfn.IFNA(VLOOKUP($AH175,Programma!$F$3:$V$1107,17,0),"")</f>
        <v/>
      </c>
      <c r="AY175" s="310" t="str">
        <f>_xlfn.IFNA(VLOOKUP($AH175,Programma!$F$3:$W$1107,18,0),"")</f>
        <v/>
      </c>
      <c r="AZ175" s="310" t="str">
        <f>_xlfn.IFNA(VLOOKUP($AH175,Programma!$F$3:$X$1107,19,0),"")</f>
        <v/>
      </c>
      <c r="BA175" s="310" t="str">
        <f>_xlfn.IFNA(VLOOKUP($AH175,Programma!$F$3:$Y$1107,20,0),"")</f>
        <v/>
      </c>
      <c r="BB175" s="273"/>
      <c r="BC175" s="272" t="str">
        <f>IF(Ruimtestaat[[#This Row],[Frequentie weekend]]="","",_xlfn.CONCAT(Ruimtestaat[[#This Row],[Ruimte code]],"-",Ruimtestaat[[#This Row],[Frequentie weekend]]," ",Ruimtestaat[[#This Row],[Vloer code]]))</f>
        <v/>
      </c>
      <c r="BD175" s="310" t="str">
        <f>_xlfn.IFNA(VLOOKUP($BC175,Programma!$F$3:$G$1107,2,0),"")</f>
        <v/>
      </c>
      <c r="BE175" s="310" t="str">
        <f>_xlfn.IFNA(VLOOKUP($BC175,Programma!$F$3:$H$1107,3,0),"")</f>
        <v/>
      </c>
      <c r="BF175" s="310" t="str">
        <f>_xlfn.IFNA(VLOOKUP($BC175,Programma!$F$3:$I$1107,4,0),"")</f>
        <v/>
      </c>
      <c r="BG175" s="310" t="str">
        <f>_xlfn.IFNA(VLOOKUP($BC175,Programma!$F$3:$J$1107,5,0),"")</f>
        <v/>
      </c>
      <c r="BH175" s="310" t="str">
        <f>_xlfn.IFNA(VLOOKUP($BC175,Programma!$F$3:$K$1107,6,0),"")</f>
        <v/>
      </c>
      <c r="BI175" s="310" t="str">
        <f>_xlfn.IFNA(VLOOKUP($BC175,Programma!$F$3:$L$1107,7,0),"")</f>
        <v/>
      </c>
      <c r="BJ175" s="310" t="str">
        <f>_xlfn.IFNA(VLOOKUP($BC175,Programma!$F$3:$M$1107,8,0),"")</f>
        <v/>
      </c>
      <c r="BK175" s="310" t="str">
        <f>_xlfn.IFNA(VLOOKUP($BC175,Programma!$F$3:$N$1107,9,0),"")</f>
        <v/>
      </c>
      <c r="BL175" s="310" t="str">
        <f>_xlfn.IFNA(VLOOKUP($BC175,Programma!$F$3:$O$1107,10,0),"")</f>
        <v/>
      </c>
      <c r="BM175" s="310" t="str">
        <f>_xlfn.IFNA(VLOOKUP($BC175,Programma!$F$3:$P$1107,11,0),"")</f>
        <v/>
      </c>
      <c r="BN175" s="310" t="str">
        <f>_xlfn.IFNA(VLOOKUP($BC175,Programma!$F$3:$Q$1107,12,0),"")</f>
        <v/>
      </c>
      <c r="BO175" s="310" t="str">
        <f>_xlfn.IFNA(VLOOKUP($BC175,Programma!$F$3:$R$1107,13,0),"")</f>
        <v/>
      </c>
      <c r="BP175" s="310" t="str">
        <f>_xlfn.IFNA(VLOOKUP($BC175,Programma!$F$3:$S$1107,14,0),"")</f>
        <v/>
      </c>
      <c r="BQ175" s="310" t="str">
        <f>_xlfn.IFNA(VLOOKUP($BC175,Programma!$F$3:$T$1107,15,0),"")</f>
        <v/>
      </c>
      <c r="BR175" s="310" t="str">
        <f>_xlfn.IFNA(VLOOKUP($BC175,Programma!$F$3:$U$1107,16,0),"")</f>
        <v/>
      </c>
      <c r="BS175" s="310" t="str">
        <f>_xlfn.IFNA(VLOOKUP($BC175,Programma!$F$3:$V$1107,17,0),"")</f>
        <v/>
      </c>
      <c r="BT175" s="310" t="str">
        <f>_xlfn.IFNA(VLOOKUP($BC175,Programma!$F$3:$W$1107,18,0),"")</f>
        <v/>
      </c>
      <c r="BU175" s="310" t="str">
        <f>_xlfn.IFNA(VLOOKUP($BC175,Programma!$F$3:$X$1107,19,0),"")</f>
        <v/>
      </c>
      <c r="BV175" s="310" t="str">
        <f>_xlfn.IFNA(VLOOKUP($BC175,Programma!$F$3:$Y$1107,20,0),"")</f>
        <v/>
      </c>
    </row>
    <row r="176" spans="1:74" ht="15" customHeight="1">
      <c r="A176" s="33">
        <v>1</v>
      </c>
      <c r="B176" s="173" t="str">
        <f>VLOOKUP(Ruimtestaat[[#This Row],[Code]],Locaties[[Code]:[Locatie]],2,FALSE)</f>
        <v>CCNV</v>
      </c>
      <c r="C176" s="173" t="str">
        <f>VLOOKUP(Ruimtestaat[[#This Row],[Code]],Locaties[[#All],[Code]:[Adres]],4,FALSE)</f>
        <v>Stationslaan 26</v>
      </c>
      <c r="D176" s="173" t="str">
        <f>VLOOKUP(Ruimtestaat[[#This Row],[Code]],Locaties[[#All],[Code]:[Postcode]],5,FALSE)</f>
        <v>3842 LA</v>
      </c>
      <c r="E176" s="173" t="str">
        <f>VLOOKUP(Ruimtestaat[[#This Row],[Code]],Locaties[#All],6,FALSE)</f>
        <v>Harderwijk</v>
      </c>
      <c r="F176" s="21" t="s">
        <v>1630</v>
      </c>
      <c r="G176" s="33"/>
      <c r="I176" s="69" t="s">
        <v>1783</v>
      </c>
      <c r="J176" s="33">
        <v>2</v>
      </c>
      <c r="K176" s="69" t="str">
        <f>VLOOKUP(Ruimtestaat[[#This Row],[Ruimte code]],Ruimtegroepen[[#All],[Code]:[Ruimte omschrijving]],2,FALSE)</f>
        <v>Kantoren</v>
      </c>
      <c r="L176" s="33" t="s">
        <v>1817</v>
      </c>
      <c r="M176" s="312" t="s">
        <v>1802</v>
      </c>
      <c r="N176" s="148">
        <v>33</v>
      </c>
      <c r="O176" s="33"/>
      <c r="P176" s="134" t="str">
        <f>VLOOKUP(Ruimtestaat[[#This Row],[Ruimte code]],Ruimtegroepen[],4,FALSE)</f>
        <v>Bu</v>
      </c>
      <c r="Q176" s="33">
        <v>40</v>
      </c>
      <c r="R176" s="33" t="s">
        <v>15</v>
      </c>
      <c r="S176" s="33">
        <f>IF(Q176&gt;0,IF(RIGHT(Ruimtestaat[[#This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76" s="33">
        <f>IF(S176&gt;0,VLOOKUP($J176,Ruimtegroepen[],3,FALSE)*VLOOKUP($L176,Vloersoorten[],3,FALSE)*VLOOKUP($R176,Frequenties[],3,FALSE)*VLOOKUP($A176,Locaties[],3,FALSE),0)</f>
        <v>0</v>
      </c>
      <c r="U176" s="33">
        <f>Ruimtestaat[[#This Row],[Uitvoeringen werkdagen]]*Ruimtestaat[[#This Row],[Oppervlak (netto)]]</f>
        <v>1320</v>
      </c>
      <c r="V176" s="170">
        <f>IF(T176&gt;0,Ruimtestaat[[#This Row],[Prest. (m2 /jaar) werkdagen]]/Ruimtestaat[[#This Row],[Norm (m2/uur) werkdagen]],0)</f>
        <v>0</v>
      </c>
      <c r="W176" s="171">
        <f>Ruimtestaat[[#This Row],[uren / jaar werkdagen]]*Tariefsopbouw!$E$35</f>
        <v>0</v>
      </c>
      <c r="X176" s="33"/>
      <c r="Y176" s="33">
        <f>IF(Ruimtestaat[[#This Row],[Frequentie weekend]]&gt;0,VALUE(LEFT(X176,1))*Q176,0)</f>
        <v>0</v>
      </c>
      <c r="Z176" s="104">
        <f>IF($Y176&gt;0,VLOOKUP($J176,Ruimtegroepen[],3,FALSE)*VLOOKUP($L176,Vloersoorten[],3,FALSE)*VLOOKUP($X176,Frequenties[],3,FALSE)*VLOOKUP(Ruimtestaat[[#This Row],[Code]],Locaties[],3,FALSE),0)</f>
        <v>0</v>
      </c>
      <c r="AA176" s="104">
        <f>Ruimtestaat[[#This Row],[Uitvoeringen weekend]]*Ruimtestaat[[#This Row],[Oppervlak (netto)]]</f>
        <v>0</v>
      </c>
      <c r="AB176" s="104">
        <f>IF(Z176&gt;0,Ruimtestaat[[#This Row],[Prest. (m2 /jaar) weekend]]/Ruimtestaat[[#This Row],[Norm (m2/uur) weekend]],0)</f>
        <v>0</v>
      </c>
      <c r="AC176" s="171">
        <f>Ruimtestaat[[#This Row],[uren / jaar weekend]]*Tariefsopbouw!$D$40</f>
        <v>0</v>
      </c>
      <c r="AD176" s="170">
        <f>Ruimtestaat[[#This Row],[Prest. (m2 /jaar) weekend]]+Ruimtestaat[[#This Row],[Prest. (m2 /jaar) werkdagen]]</f>
        <v>1320</v>
      </c>
      <c r="AE176" s="170">
        <f>Ruimtestaat[[#This Row],[uren / jaar weekend]]+Ruimtestaat[[#This Row],[uren / jaar werkdagen]]</f>
        <v>0</v>
      </c>
      <c r="AF176" s="76">
        <f>Ruimtestaat[[#This Row],[kosten / jaar weekend]]+Ruimtestaat[[#This Row],[kosten / jaar werkdagen]]</f>
        <v>0</v>
      </c>
      <c r="AG176" s="76"/>
      <c r="AH176" s="272" t="str">
        <f>IF(Ruimtestaat[[#This Row],[Frequentie werkdagen]]="","",_xlfn.CONCAT(Ruimtestaat[[#This Row],[Ruimte code]],"-",Ruimtestaat[[#This Row],[Frequentie werkdagen]]," ",Ruimtestaat[[#This Row],[Vloer code]]))</f>
        <v>2-1w p</v>
      </c>
      <c r="AI176" s="310" t="str">
        <f>_xlfn.IFNA(VLOOKUP($AH176,Programma!$F$3:$G$1107,2,0),"")</f>
        <v>_</v>
      </c>
      <c r="AJ176" s="310" t="str">
        <f>_xlfn.IFNA(VLOOKUP($AH176,Programma!$F$3:$H$1107,3,0),"")</f>
        <v>_</v>
      </c>
      <c r="AK176" s="310" t="str">
        <f>_xlfn.IFNA(VLOOKUP($AH176,Programma!$F$3:$I$1107,4,0),"")</f>
        <v>_</v>
      </c>
      <c r="AL176" s="310" t="str">
        <f>_xlfn.IFNA(VLOOKUP($AH176,Programma!$F$3:$J$1107,5,0),"")</f>
        <v>1w</v>
      </c>
      <c r="AM176" s="310" t="str">
        <f>_xlfn.IFNA(VLOOKUP($AH176,Programma!$F$3:$K$1107,6,0),"")</f>
        <v>1j</v>
      </c>
      <c r="AN176" s="310" t="str">
        <f>_xlfn.IFNA(VLOOKUP($AH176,Programma!$F$3:$L$1107,7,0),"")</f>
        <v>_</v>
      </c>
      <c r="AO176" s="310" t="str">
        <f>_xlfn.IFNA(VLOOKUP($AH176,Programma!$F$3:$M$1107,8,0),"")</f>
        <v>_</v>
      </c>
      <c r="AP176" s="310" t="str">
        <f>_xlfn.IFNA(VLOOKUP($AH176,Programma!$F$3:$N$1107,9,0),"")</f>
        <v>_</v>
      </c>
      <c r="AQ176" s="310" t="str">
        <f>_xlfn.IFNA(VLOOKUP($AH176,Programma!$F$3:$O$1107,10,0),"")</f>
        <v>1w</v>
      </c>
      <c r="AR176" s="310" t="str">
        <f>_xlfn.IFNA(VLOOKUP($AH176,Programma!$F$3:$P$1107,11,0),"")</f>
        <v>1w</v>
      </c>
      <c r="AS176" s="310" t="str">
        <f>_xlfn.IFNA(VLOOKUP($AH176,Programma!$F$3:$Q$1107,12,0),"")</f>
        <v>1w</v>
      </c>
      <c r="AT176" s="310" t="str">
        <f>_xlfn.IFNA(VLOOKUP($AH176,Programma!$F$3:$R$1107,13,0),"")</f>
        <v>1w</v>
      </c>
      <c r="AU176" s="310" t="str">
        <f>_xlfn.IFNA(VLOOKUP($AH176,Programma!$F$3:$S$1107,14,0),"")</f>
        <v>1m</v>
      </c>
      <c r="AV176" s="310" t="str">
        <f>_xlfn.IFNA(VLOOKUP($AH176,Programma!$F$3:$T$1107,15,0),"")</f>
        <v>2j</v>
      </c>
      <c r="AW176" s="310" t="str">
        <f>_xlfn.IFNA(VLOOKUP($AH176,Programma!$F$3:$U$1107,16,0),"")</f>
        <v>1j</v>
      </c>
      <c r="AX176" s="310" t="str">
        <f>_xlfn.IFNA(VLOOKUP($AH176,Programma!$F$3:$V$1107,17,0),"")</f>
        <v>_</v>
      </c>
      <c r="AY176" s="310" t="str">
        <f>_xlfn.IFNA(VLOOKUP($AH176,Programma!$F$3:$W$1107,18,0),"")</f>
        <v>_</v>
      </c>
      <c r="AZ176" s="310" t="str">
        <f>_xlfn.IFNA(VLOOKUP($AH176,Programma!$F$3:$X$1107,19,0),"")</f>
        <v>_</v>
      </c>
      <c r="BA176" s="310" t="str">
        <f>_xlfn.IFNA(VLOOKUP($AH176,Programma!$F$3:$Y$1107,20,0),"")</f>
        <v>_</v>
      </c>
      <c r="BB176" s="273"/>
      <c r="BC176" s="272" t="str">
        <f>IF(Ruimtestaat[[#This Row],[Frequentie weekend]]="","",_xlfn.CONCAT(Ruimtestaat[[#This Row],[Ruimte code]],"-",Ruimtestaat[[#This Row],[Frequentie weekend]]," ",Ruimtestaat[[#This Row],[Vloer code]]))</f>
        <v/>
      </c>
      <c r="BD176" s="310" t="str">
        <f>_xlfn.IFNA(VLOOKUP($BC176,Programma!$F$3:$G$1107,2,0),"")</f>
        <v/>
      </c>
      <c r="BE176" s="310" t="str">
        <f>_xlfn.IFNA(VLOOKUP($BC176,Programma!$F$3:$H$1107,3,0),"")</f>
        <v/>
      </c>
      <c r="BF176" s="310" t="str">
        <f>_xlfn.IFNA(VLOOKUP($BC176,Programma!$F$3:$I$1107,4,0),"")</f>
        <v/>
      </c>
      <c r="BG176" s="310" t="str">
        <f>_xlfn.IFNA(VLOOKUP($BC176,Programma!$F$3:$J$1107,5,0),"")</f>
        <v/>
      </c>
      <c r="BH176" s="310" t="str">
        <f>_xlfn.IFNA(VLOOKUP($BC176,Programma!$F$3:$K$1107,6,0),"")</f>
        <v/>
      </c>
      <c r="BI176" s="310" t="str">
        <f>_xlfn.IFNA(VLOOKUP($BC176,Programma!$F$3:$L$1107,7,0),"")</f>
        <v/>
      </c>
      <c r="BJ176" s="310" t="str">
        <f>_xlfn.IFNA(VLOOKUP($BC176,Programma!$F$3:$M$1107,8,0),"")</f>
        <v/>
      </c>
      <c r="BK176" s="310" t="str">
        <f>_xlfn.IFNA(VLOOKUP($BC176,Programma!$F$3:$N$1107,9,0),"")</f>
        <v/>
      </c>
      <c r="BL176" s="310" t="str">
        <f>_xlfn.IFNA(VLOOKUP($BC176,Programma!$F$3:$O$1107,10,0),"")</f>
        <v/>
      </c>
      <c r="BM176" s="310" t="str">
        <f>_xlfn.IFNA(VLOOKUP($BC176,Programma!$F$3:$P$1107,11,0),"")</f>
        <v/>
      </c>
      <c r="BN176" s="310" t="str">
        <f>_xlfn.IFNA(VLOOKUP($BC176,Programma!$F$3:$Q$1107,12,0),"")</f>
        <v/>
      </c>
      <c r="BO176" s="310" t="str">
        <f>_xlfn.IFNA(VLOOKUP($BC176,Programma!$F$3:$R$1107,13,0),"")</f>
        <v/>
      </c>
      <c r="BP176" s="310" t="str">
        <f>_xlfn.IFNA(VLOOKUP($BC176,Programma!$F$3:$S$1107,14,0),"")</f>
        <v/>
      </c>
      <c r="BQ176" s="310" t="str">
        <f>_xlfn.IFNA(VLOOKUP($BC176,Programma!$F$3:$T$1107,15,0),"")</f>
        <v/>
      </c>
      <c r="BR176" s="310" t="str">
        <f>_xlfn.IFNA(VLOOKUP($BC176,Programma!$F$3:$U$1107,16,0),"")</f>
        <v/>
      </c>
      <c r="BS176" s="310" t="str">
        <f>_xlfn.IFNA(VLOOKUP($BC176,Programma!$F$3:$V$1107,17,0),"")</f>
        <v/>
      </c>
      <c r="BT176" s="310" t="str">
        <f>_xlfn.IFNA(VLOOKUP($BC176,Programma!$F$3:$W$1107,18,0),"")</f>
        <v/>
      </c>
      <c r="BU176" s="310" t="str">
        <f>_xlfn.IFNA(VLOOKUP($BC176,Programma!$F$3:$X$1107,19,0),"")</f>
        <v/>
      </c>
      <c r="BV176" s="310" t="str">
        <f>_xlfn.IFNA(VLOOKUP($BC176,Programma!$F$3:$Y$1107,20,0),"")</f>
        <v/>
      </c>
    </row>
    <row r="177" spans="1:74" ht="15" customHeight="1">
      <c r="A177" s="33">
        <v>1</v>
      </c>
      <c r="B177" s="173" t="str">
        <f>VLOOKUP(Ruimtestaat[[#This Row],[Code]],Locaties[[Code]:[Locatie]],2,FALSE)</f>
        <v>CCNV</v>
      </c>
      <c r="C177" s="173" t="str">
        <f>VLOOKUP(Ruimtestaat[[#This Row],[Code]],Locaties[[#All],[Code]:[Adres]],4,FALSE)</f>
        <v>Stationslaan 26</v>
      </c>
      <c r="D177" s="173" t="str">
        <f>VLOOKUP(Ruimtestaat[[#This Row],[Code]],Locaties[[#All],[Code]:[Postcode]],5,FALSE)</f>
        <v>3842 LA</v>
      </c>
      <c r="E177" s="173" t="str">
        <f>VLOOKUP(Ruimtestaat[[#This Row],[Code]],Locaties[#All],6,FALSE)</f>
        <v>Harderwijk</v>
      </c>
      <c r="F177" s="21" t="s">
        <v>1630</v>
      </c>
      <c r="G177" s="33"/>
      <c r="I177" s="69" t="s">
        <v>1795</v>
      </c>
      <c r="J177" s="21">
        <v>7</v>
      </c>
      <c r="K177" s="69" t="str">
        <f>VLOOKUP(Ruimtestaat[[#This Row],[Ruimte code]],Ruimtegroepen[[#All],[Code]:[Ruimte omschrijving]],2,FALSE)</f>
        <v>Entree</v>
      </c>
      <c r="L177" s="33" t="s">
        <v>100</v>
      </c>
      <c r="M177" s="312" t="s">
        <v>1809</v>
      </c>
      <c r="N177" s="148">
        <v>20</v>
      </c>
      <c r="O177" s="150"/>
      <c r="P177" s="134" t="str">
        <f>VLOOKUP(Ruimtestaat[[#This Row],[Ruimte code]],Ruimtegroepen[],4,FALSE)</f>
        <v>Ve</v>
      </c>
      <c r="Q177" s="33">
        <v>40</v>
      </c>
      <c r="R177" s="33" t="s">
        <v>2</v>
      </c>
      <c r="S177" s="33">
        <f>IF(Q177&gt;0,IF(RIGHT(Ruimtestaat[[#This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7" s="33">
        <f>IF(S177&gt;0,VLOOKUP($J177,Ruimtegroepen[],3,FALSE)*VLOOKUP($L177,Vloersoorten[],3,FALSE)*VLOOKUP($R177,Frequenties[],3,FALSE)*VLOOKUP($A177,Locaties[],3,FALSE),0)</f>
        <v>0</v>
      </c>
      <c r="U177" s="33">
        <f>Ruimtestaat[[#This Row],[Uitvoeringen werkdagen]]*Ruimtestaat[[#This Row],[Oppervlak (netto)]]</f>
        <v>4000</v>
      </c>
      <c r="V177" s="170">
        <f>IF(T177&gt;0,Ruimtestaat[[#This Row],[Prest. (m2 /jaar) werkdagen]]/Ruimtestaat[[#This Row],[Norm (m2/uur) werkdagen]],0)</f>
        <v>0</v>
      </c>
      <c r="W177" s="171">
        <f>Ruimtestaat[[#This Row],[uren / jaar werkdagen]]*Tariefsopbouw!$E$35</f>
        <v>0</v>
      </c>
      <c r="X177" s="33"/>
      <c r="Y177" s="33">
        <f>IF(Ruimtestaat[[#This Row],[Frequentie weekend]]&gt;0,VALUE(LEFT(X177,1))*Q177,0)</f>
        <v>0</v>
      </c>
      <c r="Z177" s="104">
        <f>IF($Y177&gt;0,VLOOKUP($J177,Ruimtegroepen[],3,FALSE)*VLOOKUP($L177,Vloersoorten[],3,FALSE)*VLOOKUP($X177,Frequenties[],3,FALSE)*VLOOKUP(Ruimtestaat[[#This Row],[Code]],Locaties[],3,FALSE),0)</f>
        <v>0</v>
      </c>
      <c r="AA177" s="104">
        <f>Ruimtestaat[[#This Row],[Uitvoeringen weekend]]*Ruimtestaat[[#This Row],[Oppervlak (netto)]]</f>
        <v>0</v>
      </c>
      <c r="AB177" s="104">
        <f>IF(Z177&gt;0,Ruimtestaat[[#This Row],[Prest. (m2 /jaar) weekend]]/Ruimtestaat[[#This Row],[Norm (m2/uur) weekend]],0)</f>
        <v>0</v>
      </c>
      <c r="AC177" s="171">
        <f>Ruimtestaat[[#This Row],[uren / jaar weekend]]*Tariefsopbouw!$D$40</f>
        <v>0</v>
      </c>
      <c r="AD177" s="170">
        <f>Ruimtestaat[[#This Row],[Prest. (m2 /jaar) weekend]]+Ruimtestaat[[#This Row],[Prest. (m2 /jaar) werkdagen]]</f>
        <v>4000</v>
      </c>
      <c r="AE177" s="170">
        <f>Ruimtestaat[[#This Row],[uren / jaar weekend]]+Ruimtestaat[[#This Row],[uren / jaar werkdagen]]</f>
        <v>0</v>
      </c>
      <c r="AF177" s="76">
        <f>Ruimtestaat[[#This Row],[kosten / jaar weekend]]+Ruimtestaat[[#This Row],[kosten / jaar werkdagen]]</f>
        <v>0</v>
      </c>
      <c r="AG177" s="76"/>
      <c r="AH177" s="272" t="str">
        <f>IF(Ruimtestaat[[#This Row],[Frequentie werkdagen]]="","",_xlfn.CONCAT(Ruimtestaat[[#This Row],[Ruimte code]],"-",Ruimtestaat[[#This Row],[Frequentie werkdagen]]," ",Ruimtestaat[[#This Row],[Vloer code]]))</f>
        <v>7-5w T</v>
      </c>
      <c r="AI177" s="310" t="str">
        <f>_xlfn.IFNA(VLOOKUP($AH177,Programma!$F$3:$G$1107,2,0),"")</f>
        <v>_</v>
      </c>
      <c r="AJ177" s="310" t="str">
        <f>_xlfn.IFNA(VLOOKUP($AH177,Programma!$F$3:$H$1107,3,0),"")</f>
        <v>5w</v>
      </c>
      <c r="AK177" s="310" t="str">
        <f>_xlfn.IFNA(VLOOKUP($AH177,Programma!$F$3:$I$1107,4,0),"")</f>
        <v>_</v>
      </c>
      <c r="AL177" s="310" t="str">
        <f>_xlfn.IFNA(VLOOKUP($AH177,Programma!$F$3:$J$1107,5,0),"")</f>
        <v>_</v>
      </c>
      <c r="AM177" s="310" t="str">
        <f>_xlfn.IFNA(VLOOKUP($AH177,Programma!$F$3:$K$1107,6,0),"")</f>
        <v>_</v>
      </c>
      <c r="AN177" s="310" t="str">
        <f>_xlfn.IFNA(VLOOKUP($AH177,Programma!$F$3:$L$1107,7,0),"")</f>
        <v>_</v>
      </c>
      <c r="AO177" s="310" t="str">
        <f>_xlfn.IFNA(VLOOKUP($AH177,Programma!$F$3:$M$1107,8,0),"")</f>
        <v>_</v>
      </c>
      <c r="AP177" s="310" t="str">
        <f>_xlfn.IFNA(VLOOKUP($AH177,Programma!$F$3:$N$1107,9,0),"")</f>
        <v>_</v>
      </c>
      <c r="AQ177" s="310" t="str">
        <f>_xlfn.IFNA(VLOOKUP($AH177,Programma!$F$3:$O$1107,10,0),"")</f>
        <v>5w</v>
      </c>
      <c r="AR177" s="310" t="str">
        <f>_xlfn.IFNA(VLOOKUP($AH177,Programma!$F$3:$P$1107,11,0),"")</f>
        <v>5w</v>
      </c>
      <c r="AS177" s="310" t="str">
        <f>_xlfn.IFNA(VLOOKUP($AH177,Programma!$F$3:$Q$1107,12,0),"")</f>
        <v>1w</v>
      </c>
      <c r="AT177" s="310" t="str">
        <f>_xlfn.IFNA(VLOOKUP($AH177,Programma!$F$3:$R$1107,13,0),"")</f>
        <v>1w</v>
      </c>
      <c r="AU177" s="310" t="str">
        <f>_xlfn.IFNA(VLOOKUP($AH177,Programma!$F$3:$S$1107,14,0),"")</f>
        <v>1m</v>
      </c>
      <c r="AV177" s="310" t="str">
        <f>_xlfn.IFNA(VLOOKUP($AH177,Programma!$F$3:$T$1107,15,0),"")</f>
        <v>2j</v>
      </c>
      <c r="AW177" s="310" t="str">
        <f>_xlfn.IFNA(VLOOKUP($AH177,Programma!$F$3:$U$1107,16,0),"")</f>
        <v>1j</v>
      </c>
      <c r="AX177" s="310" t="str">
        <f>_xlfn.IFNA(VLOOKUP($AH177,Programma!$F$3:$V$1107,17,0),"")</f>
        <v>_</v>
      </c>
      <c r="AY177" s="310" t="str">
        <f>_xlfn.IFNA(VLOOKUP($AH177,Programma!$F$3:$W$1107,18,0),"")</f>
        <v>_</v>
      </c>
      <c r="AZ177" s="310" t="str">
        <f>_xlfn.IFNA(VLOOKUP($AH177,Programma!$F$3:$X$1107,19,0),"")</f>
        <v>_</v>
      </c>
      <c r="BA177" s="310" t="str">
        <f>_xlfn.IFNA(VLOOKUP($AH177,Programma!$F$3:$Y$1107,20,0),"")</f>
        <v>_</v>
      </c>
      <c r="BB177" s="273"/>
      <c r="BC177" s="272" t="str">
        <f>IF(Ruimtestaat[[#This Row],[Frequentie weekend]]="","",_xlfn.CONCAT(Ruimtestaat[[#This Row],[Ruimte code]],"-",Ruimtestaat[[#This Row],[Frequentie weekend]]," ",Ruimtestaat[[#This Row],[Vloer code]]))</f>
        <v/>
      </c>
      <c r="BD177" s="310" t="str">
        <f>_xlfn.IFNA(VLOOKUP($BC177,Programma!$F$3:$G$1107,2,0),"")</f>
        <v/>
      </c>
      <c r="BE177" s="310" t="str">
        <f>_xlfn.IFNA(VLOOKUP($BC177,Programma!$F$3:$H$1107,3,0),"")</f>
        <v/>
      </c>
      <c r="BF177" s="310" t="str">
        <f>_xlfn.IFNA(VLOOKUP($BC177,Programma!$F$3:$I$1107,4,0),"")</f>
        <v/>
      </c>
      <c r="BG177" s="310" t="str">
        <f>_xlfn.IFNA(VLOOKUP($BC177,Programma!$F$3:$J$1107,5,0),"")</f>
        <v/>
      </c>
      <c r="BH177" s="310" t="str">
        <f>_xlfn.IFNA(VLOOKUP($BC177,Programma!$F$3:$K$1107,6,0),"")</f>
        <v/>
      </c>
      <c r="BI177" s="310" t="str">
        <f>_xlfn.IFNA(VLOOKUP($BC177,Programma!$F$3:$L$1107,7,0),"")</f>
        <v/>
      </c>
      <c r="BJ177" s="310" t="str">
        <f>_xlfn.IFNA(VLOOKUP($BC177,Programma!$F$3:$M$1107,8,0),"")</f>
        <v/>
      </c>
      <c r="BK177" s="310" t="str">
        <f>_xlfn.IFNA(VLOOKUP($BC177,Programma!$F$3:$N$1107,9,0),"")</f>
        <v/>
      </c>
      <c r="BL177" s="310" t="str">
        <f>_xlfn.IFNA(VLOOKUP($BC177,Programma!$F$3:$O$1107,10,0),"")</f>
        <v/>
      </c>
      <c r="BM177" s="310" t="str">
        <f>_xlfn.IFNA(VLOOKUP($BC177,Programma!$F$3:$P$1107,11,0),"")</f>
        <v/>
      </c>
      <c r="BN177" s="310" t="str">
        <f>_xlfn.IFNA(VLOOKUP($BC177,Programma!$F$3:$Q$1107,12,0),"")</f>
        <v/>
      </c>
      <c r="BO177" s="310" t="str">
        <f>_xlfn.IFNA(VLOOKUP($BC177,Programma!$F$3:$R$1107,13,0),"")</f>
        <v/>
      </c>
      <c r="BP177" s="310" t="str">
        <f>_xlfn.IFNA(VLOOKUP($BC177,Programma!$F$3:$S$1107,14,0),"")</f>
        <v/>
      </c>
      <c r="BQ177" s="310" t="str">
        <f>_xlfn.IFNA(VLOOKUP($BC177,Programma!$F$3:$T$1107,15,0),"")</f>
        <v/>
      </c>
      <c r="BR177" s="310" t="str">
        <f>_xlfn.IFNA(VLOOKUP($BC177,Programma!$F$3:$U$1107,16,0),"")</f>
        <v/>
      </c>
      <c r="BS177" s="310" t="str">
        <f>_xlfn.IFNA(VLOOKUP($BC177,Programma!$F$3:$V$1107,17,0),"")</f>
        <v/>
      </c>
      <c r="BT177" s="310" t="str">
        <f>_xlfn.IFNA(VLOOKUP($BC177,Programma!$F$3:$W$1107,18,0),"")</f>
        <v/>
      </c>
      <c r="BU177" s="310" t="str">
        <f>_xlfn.IFNA(VLOOKUP($BC177,Programma!$F$3:$X$1107,19,0),"")</f>
        <v/>
      </c>
      <c r="BV177" s="310" t="str">
        <f>_xlfn.IFNA(VLOOKUP($BC177,Programma!$F$3:$Y$1107,20,0),"")</f>
        <v/>
      </c>
    </row>
    <row r="178" spans="1:74" ht="15" customHeight="1">
      <c r="A178" s="33">
        <v>1</v>
      </c>
      <c r="B178" s="173" t="str">
        <f>VLOOKUP(Ruimtestaat[[#This Row],[Code]],Locaties[[Code]:[Locatie]],2,FALSE)</f>
        <v>CCNV</v>
      </c>
      <c r="C178" s="173" t="str">
        <f>VLOOKUP(Ruimtestaat[[#This Row],[Code]],Locaties[[#All],[Code]:[Adres]],4,FALSE)</f>
        <v>Stationslaan 26</v>
      </c>
      <c r="D178" s="173" t="str">
        <f>VLOOKUP(Ruimtestaat[[#This Row],[Code]],Locaties[[#All],[Code]:[Postcode]],5,FALSE)</f>
        <v>3842 LA</v>
      </c>
      <c r="E178" s="173" t="str">
        <f>VLOOKUP(Ruimtestaat[[#This Row],[Code]],Locaties[#All],6,FALSE)</f>
        <v>Harderwijk</v>
      </c>
      <c r="F178" s="21" t="s">
        <v>1630</v>
      </c>
      <c r="G178" s="33"/>
      <c r="I178" s="69" t="s">
        <v>1795</v>
      </c>
      <c r="J178" s="21">
        <v>7</v>
      </c>
      <c r="K178" s="69" t="str">
        <f>VLOOKUP(Ruimtestaat[[#This Row],[Ruimte code]],Ruimtegroepen[[#All],[Code]:[Ruimte omschrijving]],2,FALSE)</f>
        <v>Entree</v>
      </c>
      <c r="L178" s="33" t="s">
        <v>1817</v>
      </c>
      <c r="M178" s="312" t="s">
        <v>1802</v>
      </c>
      <c r="N178" s="148">
        <v>11</v>
      </c>
      <c r="O178" s="150"/>
      <c r="P178" s="134" t="str">
        <f>VLOOKUP(Ruimtestaat[[#This Row],[Ruimte code]],Ruimtegroepen[],4,FALSE)</f>
        <v>Ve</v>
      </c>
      <c r="Q178" s="33">
        <v>40</v>
      </c>
      <c r="R178" s="33" t="s">
        <v>2</v>
      </c>
      <c r="S178" s="33">
        <f>IF(Q178&gt;0,IF(RIGHT(Ruimtestaat[[#This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8" s="33">
        <f>IF(S178&gt;0,VLOOKUP($J178,Ruimtegroepen[],3,FALSE)*VLOOKUP($L178,Vloersoorten[],3,FALSE)*VLOOKUP($R178,Frequenties[],3,FALSE)*VLOOKUP($A178,Locaties[],3,FALSE),0)</f>
        <v>0</v>
      </c>
      <c r="U178" s="33">
        <f>Ruimtestaat[[#This Row],[Uitvoeringen werkdagen]]*Ruimtestaat[[#This Row],[Oppervlak (netto)]]</f>
        <v>2200</v>
      </c>
      <c r="V178" s="170">
        <f>IF(T178&gt;0,Ruimtestaat[[#This Row],[Prest. (m2 /jaar) werkdagen]]/Ruimtestaat[[#This Row],[Norm (m2/uur) werkdagen]],0)</f>
        <v>0</v>
      </c>
      <c r="W178" s="171">
        <f>Ruimtestaat[[#This Row],[uren / jaar werkdagen]]*Tariefsopbouw!$E$35</f>
        <v>0</v>
      </c>
      <c r="X178" s="33"/>
      <c r="Y178" s="33">
        <f>IF(Ruimtestaat[[#This Row],[Frequentie weekend]]&gt;0,VALUE(LEFT(X178,1))*Q178,0)</f>
        <v>0</v>
      </c>
      <c r="Z178" s="104">
        <f>IF($Y178&gt;0,VLOOKUP($J178,Ruimtegroepen[],3,FALSE)*VLOOKUP($L178,Vloersoorten[],3,FALSE)*VLOOKUP($X178,Frequenties[],3,FALSE)*VLOOKUP(Ruimtestaat[[#This Row],[Code]],Locaties[],3,FALSE),0)</f>
        <v>0</v>
      </c>
      <c r="AA178" s="104">
        <f>Ruimtestaat[[#This Row],[Uitvoeringen weekend]]*Ruimtestaat[[#This Row],[Oppervlak (netto)]]</f>
        <v>0</v>
      </c>
      <c r="AB178" s="104">
        <f>IF(Z178&gt;0,Ruimtestaat[[#This Row],[Prest. (m2 /jaar) weekend]]/Ruimtestaat[[#This Row],[Norm (m2/uur) weekend]],0)</f>
        <v>0</v>
      </c>
      <c r="AC178" s="171">
        <f>Ruimtestaat[[#This Row],[uren / jaar weekend]]*Tariefsopbouw!$D$40</f>
        <v>0</v>
      </c>
      <c r="AD178" s="170">
        <f>Ruimtestaat[[#This Row],[Prest. (m2 /jaar) weekend]]+Ruimtestaat[[#This Row],[Prest. (m2 /jaar) werkdagen]]</f>
        <v>2200</v>
      </c>
      <c r="AE178" s="170">
        <f>Ruimtestaat[[#This Row],[uren / jaar weekend]]+Ruimtestaat[[#This Row],[uren / jaar werkdagen]]</f>
        <v>0</v>
      </c>
      <c r="AF178" s="76">
        <f>Ruimtestaat[[#This Row],[kosten / jaar weekend]]+Ruimtestaat[[#This Row],[kosten / jaar werkdagen]]</f>
        <v>0</v>
      </c>
      <c r="AG178" s="76"/>
      <c r="AH178" s="272" t="str">
        <f>IF(Ruimtestaat[[#This Row],[Frequentie werkdagen]]="","",_xlfn.CONCAT(Ruimtestaat[[#This Row],[Ruimte code]],"-",Ruimtestaat[[#This Row],[Frequentie werkdagen]]," ",Ruimtestaat[[#This Row],[Vloer code]]))</f>
        <v>7-5w p</v>
      </c>
      <c r="AI178" s="310" t="str">
        <f>_xlfn.IFNA(VLOOKUP($AH178,Programma!$F$3:$G$1107,2,0),"")</f>
        <v>_</v>
      </c>
      <c r="AJ178" s="310" t="str">
        <f>_xlfn.IFNA(VLOOKUP($AH178,Programma!$F$3:$H$1107,3,0),"")</f>
        <v>_</v>
      </c>
      <c r="AK178" s="310" t="str">
        <f>_xlfn.IFNA(VLOOKUP($AH178,Programma!$F$3:$I$1107,4,0),"")</f>
        <v>5w</v>
      </c>
      <c r="AL178" s="310" t="str">
        <f>_xlfn.IFNA(VLOOKUP($AH178,Programma!$F$3:$J$1107,5,0),"")</f>
        <v>_</v>
      </c>
      <c r="AM178" s="310" t="str">
        <f>_xlfn.IFNA(VLOOKUP($AH178,Programma!$F$3:$K$1107,6,0),"")</f>
        <v>5w</v>
      </c>
      <c r="AN178" s="310" t="str">
        <f>_xlfn.IFNA(VLOOKUP($AH178,Programma!$F$3:$L$1107,7,0),"")</f>
        <v>_</v>
      </c>
      <c r="AO178" s="310" t="str">
        <f>_xlfn.IFNA(VLOOKUP($AH178,Programma!$F$3:$M$1107,8,0),"")</f>
        <v>_</v>
      </c>
      <c r="AP178" s="310" t="str">
        <f>_xlfn.IFNA(VLOOKUP($AH178,Programma!$F$3:$N$1107,9,0),"")</f>
        <v>_</v>
      </c>
      <c r="AQ178" s="310" t="str">
        <f>_xlfn.IFNA(VLOOKUP($AH178,Programma!$F$3:$O$1107,10,0),"")</f>
        <v>5w</v>
      </c>
      <c r="AR178" s="310" t="str">
        <f>_xlfn.IFNA(VLOOKUP($AH178,Programma!$F$3:$P$1107,11,0),"")</f>
        <v>5w</v>
      </c>
      <c r="AS178" s="310" t="str">
        <f>_xlfn.IFNA(VLOOKUP($AH178,Programma!$F$3:$Q$1107,12,0),"")</f>
        <v>1w</v>
      </c>
      <c r="AT178" s="310" t="str">
        <f>_xlfn.IFNA(VLOOKUP($AH178,Programma!$F$3:$R$1107,13,0),"")</f>
        <v>1w</v>
      </c>
      <c r="AU178" s="310" t="str">
        <f>_xlfn.IFNA(VLOOKUP($AH178,Programma!$F$3:$S$1107,14,0),"")</f>
        <v>1m</v>
      </c>
      <c r="AV178" s="310" t="str">
        <f>_xlfn.IFNA(VLOOKUP($AH178,Programma!$F$3:$T$1107,15,0),"")</f>
        <v>2j</v>
      </c>
      <c r="AW178" s="310" t="str">
        <f>_xlfn.IFNA(VLOOKUP($AH178,Programma!$F$3:$U$1107,16,0),"")</f>
        <v>1j</v>
      </c>
      <c r="AX178" s="310" t="str">
        <f>_xlfn.IFNA(VLOOKUP($AH178,Programma!$F$3:$V$1107,17,0),"")</f>
        <v>_</v>
      </c>
      <c r="AY178" s="310" t="str">
        <f>_xlfn.IFNA(VLOOKUP($AH178,Programma!$F$3:$W$1107,18,0),"")</f>
        <v>_</v>
      </c>
      <c r="AZ178" s="310" t="str">
        <f>_xlfn.IFNA(VLOOKUP($AH178,Programma!$F$3:$X$1107,19,0),"")</f>
        <v>_</v>
      </c>
      <c r="BA178" s="310" t="str">
        <f>_xlfn.IFNA(VLOOKUP($AH178,Programma!$F$3:$Y$1107,20,0),"")</f>
        <v>_</v>
      </c>
      <c r="BB178" s="273"/>
      <c r="BC178" s="272" t="str">
        <f>IF(Ruimtestaat[[#This Row],[Frequentie weekend]]="","",_xlfn.CONCAT(Ruimtestaat[[#This Row],[Ruimte code]],"-",Ruimtestaat[[#This Row],[Frequentie weekend]]," ",Ruimtestaat[[#This Row],[Vloer code]]))</f>
        <v/>
      </c>
      <c r="BD178" s="310" t="str">
        <f>_xlfn.IFNA(VLOOKUP($BC178,Programma!$F$3:$G$1107,2,0),"")</f>
        <v/>
      </c>
      <c r="BE178" s="310" t="str">
        <f>_xlfn.IFNA(VLOOKUP($BC178,Programma!$F$3:$H$1107,3,0),"")</f>
        <v/>
      </c>
      <c r="BF178" s="310" t="str">
        <f>_xlfn.IFNA(VLOOKUP($BC178,Programma!$F$3:$I$1107,4,0),"")</f>
        <v/>
      </c>
      <c r="BG178" s="310" t="str">
        <f>_xlfn.IFNA(VLOOKUP($BC178,Programma!$F$3:$J$1107,5,0),"")</f>
        <v/>
      </c>
      <c r="BH178" s="310" t="str">
        <f>_xlfn.IFNA(VLOOKUP($BC178,Programma!$F$3:$K$1107,6,0),"")</f>
        <v/>
      </c>
      <c r="BI178" s="310" t="str">
        <f>_xlfn.IFNA(VLOOKUP($BC178,Programma!$F$3:$L$1107,7,0),"")</f>
        <v/>
      </c>
      <c r="BJ178" s="310" t="str">
        <f>_xlfn.IFNA(VLOOKUP($BC178,Programma!$F$3:$M$1107,8,0),"")</f>
        <v/>
      </c>
      <c r="BK178" s="310" t="str">
        <f>_xlfn.IFNA(VLOOKUP($BC178,Programma!$F$3:$N$1107,9,0),"")</f>
        <v/>
      </c>
      <c r="BL178" s="310" t="str">
        <f>_xlfn.IFNA(VLOOKUP($BC178,Programma!$F$3:$O$1107,10,0),"")</f>
        <v/>
      </c>
      <c r="BM178" s="310" t="str">
        <f>_xlfn.IFNA(VLOOKUP($BC178,Programma!$F$3:$P$1107,11,0),"")</f>
        <v/>
      </c>
      <c r="BN178" s="310" t="str">
        <f>_xlfn.IFNA(VLOOKUP($BC178,Programma!$F$3:$Q$1107,12,0),"")</f>
        <v/>
      </c>
      <c r="BO178" s="310" t="str">
        <f>_xlfn.IFNA(VLOOKUP($BC178,Programma!$F$3:$R$1107,13,0),"")</f>
        <v/>
      </c>
      <c r="BP178" s="310" t="str">
        <f>_xlfn.IFNA(VLOOKUP($BC178,Programma!$F$3:$S$1107,14,0),"")</f>
        <v/>
      </c>
      <c r="BQ178" s="310" t="str">
        <f>_xlfn.IFNA(VLOOKUP($BC178,Programma!$F$3:$T$1107,15,0),"")</f>
        <v/>
      </c>
      <c r="BR178" s="310" t="str">
        <f>_xlfn.IFNA(VLOOKUP($BC178,Programma!$F$3:$U$1107,16,0),"")</f>
        <v/>
      </c>
      <c r="BS178" s="310" t="str">
        <f>_xlfn.IFNA(VLOOKUP($BC178,Programma!$F$3:$V$1107,17,0),"")</f>
        <v/>
      </c>
      <c r="BT178" s="310" t="str">
        <f>_xlfn.IFNA(VLOOKUP($BC178,Programma!$F$3:$W$1107,18,0),"")</f>
        <v/>
      </c>
      <c r="BU178" s="310" t="str">
        <f>_xlfn.IFNA(VLOOKUP($BC178,Programma!$F$3:$X$1107,19,0),"")</f>
        <v/>
      </c>
      <c r="BV178" s="310" t="str">
        <f>_xlfn.IFNA(VLOOKUP($BC178,Programma!$F$3:$Y$1107,20,0),"")</f>
        <v/>
      </c>
    </row>
    <row r="179" spans="1:74" ht="15" customHeight="1">
      <c r="A179" s="33">
        <v>1</v>
      </c>
      <c r="B179" s="173" t="str">
        <f>VLOOKUP(Ruimtestaat[[#This Row],[Code]],Locaties[[Code]:[Locatie]],2,FALSE)</f>
        <v>CCNV</v>
      </c>
      <c r="C179" s="173" t="str">
        <f>VLOOKUP(Ruimtestaat[[#This Row],[Code]],Locaties[[#All],[Code]:[Adres]],4,FALSE)</f>
        <v>Stationslaan 26</v>
      </c>
      <c r="D179" s="173" t="str">
        <f>VLOOKUP(Ruimtestaat[[#This Row],[Code]],Locaties[[#All],[Code]:[Postcode]],5,FALSE)</f>
        <v>3842 LA</v>
      </c>
      <c r="E179" s="173" t="str">
        <f>VLOOKUP(Ruimtestaat[[#This Row],[Code]],Locaties[#All],6,FALSE)</f>
        <v>Harderwijk</v>
      </c>
      <c r="F179" s="21" t="s">
        <v>1630</v>
      </c>
      <c r="G179" s="33"/>
      <c r="I179" s="69" t="s">
        <v>1730</v>
      </c>
      <c r="J179" s="21">
        <v>5</v>
      </c>
      <c r="K179" s="69" t="str">
        <f>VLOOKUP(Ruimtestaat[[#This Row],[Ruimte code]],Ruimtegroepen[[#All],[Code]:[Ruimte omschrijving]],2,FALSE)</f>
        <v>Sanitair</v>
      </c>
      <c r="L179" s="33" t="s">
        <v>102</v>
      </c>
      <c r="M179" s="312" t="s">
        <v>1805</v>
      </c>
      <c r="N179" s="148">
        <v>4.5</v>
      </c>
      <c r="O179" s="33"/>
      <c r="P179" s="134" t="str">
        <f>VLOOKUP(Ruimtestaat[[#This Row],[Ruimte code]],Ruimtegroepen[],4,FALSE)</f>
        <v>Sa</v>
      </c>
      <c r="Q179" s="33">
        <v>40</v>
      </c>
      <c r="R179" s="33" t="s">
        <v>2</v>
      </c>
      <c r="S179" s="33">
        <f>IF(Q179&gt;0,IF(RIGHT(Ruimtestaat[[#This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9" s="33">
        <f>IF(S179&gt;0,VLOOKUP($J179,Ruimtegroepen[],3,FALSE)*VLOOKUP($L179,Vloersoorten[],3,FALSE)*VLOOKUP($R179,Frequenties[],3,FALSE)*VLOOKUP($A179,Locaties[],3,FALSE),0)</f>
        <v>0</v>
      </c>
      <c r="U179" s="33">
        <f>Ruimtestaat[[#This Row],[Uitvoeringen werkdagen]]*Ruimtestaat[[#This Row],[Oppervlak (netto)]]</f>
        <v>900</v>
      </c>
      <c r="V179" s="170">
        <f>IF(T179&gt;0,Ruimtestaat[[#This Row],[Prest. (m2 /jaar) werkdagen]]/Ruimtestaat[[#This Row],[Norm (m2/uur) werkdagen]],0)</f>
        <v>0</v>
      </c>
      <c r="W179" s="171">
        <f>Ruimtestaat[[#This Row],[uren / jaar werkdagen]]*Tariefsopbouw!$E$35</f>
        <v>0</v>
      </c>
      <c r="X179" s="33"/>
      <c r="Y179" s="33">
        <f>IF(Ruimtestaat[[#This Row],[Frequentie weekend]]&gt;0,VALUE(LEFT(X179,1))*Q179,0)</f>
        <v>0</v>
      </c>
      <c r="Z179" s="104">
        <f>IF($Y179&gt;0,VLOOKUP($J179,Ruimtegroepen[],3,FALSE)*VLOOKUP($L179,Vloersoorten[],3,FALSE)*VLOOKUP($X179,Frequenties[],3,FALSE)*VLOOKUP(Ruimtestaat[[#This Row],[Code]],Locaties[],3,FALSE),0)</f>
        <v>0</v>
      </c>
      <c r="AA179" s="104">
        <f>Ruimtestaat[[#This Row],[Uitvoeringen weekend]]*Ruimtestaat[[#This Row],[Oppervlak (netto)]]</f>
        <v>0</v>
      </c>
      <c r="AB179" s="104">
        <f>IF(Z179&gt;0,Ruimtestaat[[#This Row],[Prest. (m2 /jaar) weekend]]/Ruimtestaat[[#This Row],[Norm (m2/uur) weekend]],0)</f>
        <v>0</v>
      </c>
      <c r="AC179" s="171">
        <f>Ruimtestaat[[#This Row],[uren / jaar weekend]]*Tariefsopbouw!$D$40</f>
        <v>0</v>
      </c>
      <c r="AD179" s="170">
        <f>Ruimtestaat[[#This Row],[Prest. (m2 /jaar) weekend]]+Ruimtestaat[[#This Row],[Prest. (m2 /jaar) werkdagen]]</f>
        <v>900</v>
      </c>
      <c r="AE179" s="170">
        <f>Ruimtestaat[[#This Row],[uren / jaar weekend]]+Ruimtestaat[[#This Row],[uren / jaar werkdagen]]</f>
        <v>0</v>
      </c>
      <c r="AF179" s="76">
        <f>Ruimtestaat[[#This Row],[kosten / jaar weekend]]+Ruimtestaat[[#This Row],[kosten / jaar werkdagen]]</f>
        <v>0</v>
      </c>
      <c r="AG179" s="76"/>
      <c r="AH179" s="272" t="str">
        <f>IF(Ruimtestaat[[#This Row],[Frequentie werkdagen]]="","",_xlfn.CONCAT(Ruimtestaat[[#This Row],[Ruimte code]],"-",Ruimtestaat[[#This Row],[Frequentie werkdagen]]," ",Ruimtestaat[[#This Row],[Vloer code]]))</f>
        <v>5-5w S</v>
      </c>
      <c r="AI179" s="310" t="str">
        <f>_xlfn.IFNA(VLOOKUP($AH179,Programma!$F$3:$G$1107,2,0),"")</f>
        <v>_</v>
      </c>
      <c r="AJ179" s="310" t="str">
        <f>_xlfn.IFNA(VLOOKUP($AH179,Programma!$F$3:$H$1107,3,0),"")</f>
        <v>_</v>
      </c>
      <c r="AK179" s="310" t="str">
        <f>_xlfn.IFNA(VLOOKUP($AH179,Programma!$F$3:$I$1107,4,0),"")</f>
        <v>_</v>
      </c>
      <c r="AL179" s="310" t="str">
        <f>_xlfn.IFNA(VLOOKUP($AH179,Programma!$F$3:$J$1107,5,0),"")</f>
        <v>4w</v>
      </c>
      <c r="AM179" s="310" t="str">
        <f>_xlfn.IFNA(VLOOKUP($AH179,Programma!$F$3:$K$1107,6,0),"")</f>
        <v>1w</v>
      </c>
      <c r="AN179" s="310" t="str">
        <f>_xlfn.IFNA(VLOOKUP($AH179,Programma!$F$3:$L$1107,7,0),"")</f>
        <v>_</v>
      </c>
      <c r="AO179" s="310" t="str">
        <f>_xlfn.IFNA(VLOOKUP($AH179,Programma!$F$3:$M$1107,8,0),"")</f>
        <v>_</v>
      </c>
      <c r="AP179" s="310" t="str">
        <f>_xlfn.IFNA(VLOOKUP($AH179,Programma!$F$3:$N$1107,9,0),"")</f>
        <v>_</v>
      </c>
      <c r="AQ179" s="310" t="str">
        <f>_xlfn.IFNA(VLOOKUP($AH179,Programma!$F$3:$O$1107,10,0),"")</f>
        <v>_</v>
      </c>
      <c r="AR179" s="310" t="str">
        <f>_xlfn.IFNA(VLOOKUP($AH179,Programma!$F$3:$P$1107,11,0),"")</f>
        <v>_</v>
      </c>
      <c r="AS179" s="310" t="str">
        <f>_xlfn.IFNA(VLOOKUP($AH179,Programma!$F$3:$Q$1107,12,0),"")</f>
        <v>_</v>
      </c>
      <c r="AT179" s="310" t="str">
        <f>_xlfn.IFNA(VLOOKUP($AH179,Programma!$F$3:$R$1107,13,0),"")</f>
        <v>_</v>
      </c>
      <c r="AU179" s="310" t="str">
        <f>_xlfn.IFNA(VLOOKUP($AH179,Programma!$F$3:$S$1107,14,0),"")</f>
        <v>_</v>
      </c>
      <c r="AV179" s="310" t="str">
        <f>_xlfn.IFNA(VLOOKUP($AH179,Programma!$F$3:$T$1107,15,0),"")</f>
        <v>_</v>
      </c>
      <c r="AW179" s="310" t="str">
        <f>_xlfn.IFNA(VLOOKUP($AH179,Programma!$F$3:$U$1107,16,0),"")</f>
        <v>_</v>
      </c>
      <c r="AX179" s="310" t="str">
        <f>_xlfn.IFNA(VLOOKUP($AH179,Programma!$F$3:$V$1107,17,0),"")</f>
        <v>_</v>
      </c>
      <c r="AY179" s="310" t="str">
        <f>_xlfn.IFNA(VLOOKUP($AH179,Programma!$F$3:$W$1107,18,0),"")</f>
        <v>4w</v>
      </c>
      <c r="AZ179" s="310" t="str">
        <f>_xlfn.IFNA(VLOOKUP($AH179,Programma!$F$3:$X$1107,19,0),"")</f>
        <v>1w</v>
      </c>
      <c r="BA179" s="310" t="str">
        <f>_xlfn.IFNA(VLOOKUP($AH179,Programma!$F$3:$Y$1107,20,0),"")</f>
        <v>_</v>
      </c>
      <c r="BB179" s="273"/>
      <c r="BC179" s="272" t="str">
        <f>IF(Ruimtestaat[[#This Row],[Frequentie weekend]]="","",_xlfn.CONCAT(Ruimtestaat[[#This Row],[Ruimte code]],"-",Ruimtestaat[[#This Row],[Frequentie weekend]]," ",Ruimtestaat[[#This Row],[Vloer code]]))</f>
        <v/>
      </c>
      <c r="BD179" s="310" t="str">
        <f>_xlfn.IFNA(VLOOKUP($BC179,Programma!$F$3:$G$1107,2,0),"")</f>
        <v/>
      </c>
      <c r="BE179" s="310" t="str">
        <f>_xlfn.IFNA(VLOOKUP($BC179,Programma!$F$3:$H$1107,3,0),"")</f>
        <v/>
      </c>
      <c r="BF179" s="310" t="str">
        <f>_xlfn.IFNA(VLOOKUP($BC179,Programma!$F$3:$I$1107,4,0),"")</f>
        <v/>
      </c>
      <c r="BG179" s="310" t="str">
        <f>_xlfn.IFNA(VLOOKUP($BC179,Programma!$F$3:$J$1107,5,0),"")</f>
        <v/>
      </c>
      <c r="BH179" s="310" t="str">
        <f>_xlfn.IFNA(VLOOKUP($BC179,Programma!$F$3:$K$1107,6,0),"")</f>
        <v/>
      </c>
      <c r="BI179" s="310" t="str">
        <f>_xlfn.IFNA(VLOOKUP($BC179,Programma!$F$3:$L$1107,7,0),"")</f>
        <v/>
      </c>
      <c r="BJ179" s="310" t="str">
        <f>_xlfn.IFNA(VLOOKUP($BC179,Programma!$F$3:$M$1107,8,0),"")</f>
        <v/>
      </c>
      <c r="BK179" s="310" t="str">
        <f>_xlfn.IFNA(VLOOKUP($BC179,Programma!$F$3:$N$1107,9,0),"")</f>
        <v/>
      </c>
      <c r="BL179" s="310" t="str">
        <f>_xlfn.IFNA(VLOOKUP($BC179,Programma!$F$3:$O$1107,10,0),"")</f>
        <v/>
      </c>
      <c r="BM179" s="310" t="str">
        <f>_xlfn.IFNA(VLOOKUP($BC179,Programma!$F$3:$P$1107,11,0),"")</f>
        <v/>
      </c>
      <c r="BN179" s="310" t="str">
        <f>_xlfn.IFNA(VLOOKUP($BC179,Programma!$F$3:$Q$1107,12,0),"")</f>
        <v/>
      </c>
      <c r="BO179" s="310" t="str">
        <f>_xlfn.IFNA(VLOOKUP($BC179,Programma!$F$3:$R$1107,13,0),"")</f>
        <v/>
      </c>
      <c r="BP179" s="310" t="str">
        <f>_xlfn.IFNA(VLOOKUP($BC179,Programma!$F$3:$S$1107,14,0),"")</f>
        <v/>
      </c>
      <c r="BQ179" s="310" t="str">
        <f>_xlfn.IFNA(VLOOKUP($BC179,Programma!$F$3:$T$1107,15,0),"")</f>
        <v/>
      </c>
      <c r="BR179" s="310" t="str">
        <f>_xlfn.IFNA(VLOOKUP($BC179,Programma!$F$3:$U$1107,16,0),"")</f>
        <v/>
      </c>
      <c r="BS179" s="310" t="str">
        <f>_xlfn.IFNA(VLOOKUP($BC179,Programma!$F$3:$V$1107,17,0),"")</f>
        <v/>
      </c>
      <c r="BT179" s="310" t="str">
        <f>_xlfn.IFNA(VLOOKUP($BC179,Programma!$F$3:$W$1107,18,0),"")</f>
        <v/>
      </c>
      <c r="BU179" s="310" t="str">
        <f>_xlfn.IFNA(VLOOKUP($BC179,Programma!$F$3:$X$1107,19,0),"")</f>
        <v/>
      </c>
      <c r="BV179" s="310" t="str">
        <f>_xlfn.IFNA(VLOOKUP($BC179,Programma!$F$3:$Y$1107,20,0),"")</f>
        <v/>
      </c>
    </row>
    <row r="180" spans="1:74" ht="15" customHeight="1">
      <c r="A180" s="33">
        <v>1</v>
      </c>
      <c r="B180" s="173" t="str">
        <f>VLOOKUP(Ruimtestaat[[#This Row],[Code]],Locaties[[Code]:[Locatie]],2,FALSE)</f>
        <v>CCNV</v>
      </c>
      <c r="C180" s="173" t="str">
        <f>VLOOKUP(Ruimtestaat[[#This Row],[Code]],Locaties[[#All],[Code]:[Adres]],4,FALSE)</f>
        <v>Stationslaan 26</v>
      </c>
      <c r="D180" s="173" t="str">
        <f>VLOOKUP(Ruimtestaat[[#This Row],[Code]],Locaties[[#All],[Code]:[Postcode]],5,FALSE)</f>
        <v>3842 LA</v>
      </c>
      <c r="E180" s="173" t="str">
        <f>VLOOKUP(Ruimtestaat[[#This Row],[Code]],Locaties[#All],6,FALSE)</f>
        <v>Harderwijk</v>
      </c>
      <c r="F180" s="21" t="s">
        <v>1630</v>
      </c>
      <c r="G180" s="33"/>
      <c r="I180" s="69" t="s">
        <v>1730</v>
      </c>
      <c r="J180" s="21">
        <v>5</v>
      </c>
      <c r="K180" s="69" t="str">
        <f>VLOOKUP(Ruimtestaat[[#This Row],[Ruimte code]],Ruimtegroepen[[#All],[Code]:[Ruimte omschrijving]],2,FALSE)</f>
        <v>Sanitair</v>
      </c>
      <c r="L180" s="33" t="s">
        <v>102</v>
      </c>
      <c r="M180" s="312" t="s">
        <v>1805</v>
      </c>
      <c r="N180" s="148">
        <v>4.5</v>
      </c>
      <c r="O180" s="150"/>
      <c r="P180" s="134" t="str">
        <f>VLOOKUP(Ruimtestaat[[#This Row],[Ruimte code]],Ruimtegroepen[],4,FALSE)</f>
        <v>Sa</v>
      </c>
      <c r="Q180" s="33">
        <v>40</v>
      </c>
      <c r="R180" s="33" t="s">
        <v>2</v>
      </c>
      <c r="S180" s="33">
        <f>IF(Q180&gt;0,IF(RIGHT(Ruimtestaat[[#This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0" s="33">
        <f>IF(S180&gt;0,VLOOKUP($J180,Ruimtegroepen[],3,FALSE)*VLOOKUP($L180,Vloersoorten[],3,FALSE)*VLOOKUP($R180,Frequenties[],3,FALSE)*VLOOKUP($A180,Locaties[],3,FALSE),0)</f>
        <v>0</v>
      </c>
      <c r="U180" s="33">
        <f>Ruimtestaat[[#This Row],[Uitvoeringen werkdagen]]*Ruimtestaat[[#This Row],[Oppervlak (netto)]]</f>
        <v>900</v>
      </c>
      <c r="V180" s="170">
        <f>IF(T180&gt;0,Ruimtestaat[[#This Row],[Prest. (m2 /jaar) werkdagen]]/Ruimtestaat[[#This Row],[Norm (m2/uur) werkdagen]],0)</f>
        <v>0</v>
      </c>
      <c r="W180" s="171">
        <f>Ruimtestaat[[#This Row],[uren / jaar werkdagen]]*Tariefsopbouw!$E$35</f>
        <v>0</v>
      </c>
      <c r="X180" s="33"/>
      <c r="Y180" s="33">
        <f>IF(Ruimtestaat[[#This Row],[Frequentie weekend]]&gt;0,VALUE(LEFT(X180,1))*Q180,0)</f>
        <v>0</v>
      </c>
      <c r="Z180" s="104">
        <f>IF($Y180&gt;0,VLOOKUP($J180,Ruimtegroepen[],3,FALSE)*VLOOKUP($L180,Vloersoorten[],3,FALSE)*VLOOKUP($X180,Frequenties[],3,FALSE)*VLOOKUP(Ruimtestaat[[#This Row],[Code]],Locaties[],3,FALSE),0)</f>
        <v>0</v>
      </c>
      <c r="AA180" s="104">
        <f>Ruimtestaat[[#This Row],[Uitvoeringen weekend]]*Ruimtestaat[[#This Row],[Oppervlak (netto)]]</f>
        <v>0</v>
      </c>
      <c r="AB180" s="104">
        <f>IF(Z180&gt;0,Ruimtestaat[[#This Row],[Prest. (m2 /jaar) weekend]]/Ruimtestaat[[#This Row],[Norm (m2/uur) weekend]],0)</f>
        <v>0</v>
      </c>
      <c r="AC180" s="171">
        <f>Ruimtestaat[[#This Row],[uren / jaar weekend]]*Tariefsopbouw!$D$40</f>
        <v>0</v>
      </c>
      <c r="AD180" s="170">
        <f>Ruimtestaat[[#This Row],[Prest. (m2 /jaar) weekend]]+Ruimtestaat[[#This Row],[Prest. (m2 /jaar) werkdagen]]</f>
        <v>900</v>
      </c>
      <c r="AE180" s="170">
        <f>Ruimtestaat[[#This Row],[uren / jaar weekend]]+Ruimtestaat[[#This Row],[uren / jaar werkdagen]]</f>
        <v>0</v>
      </c>
      <c r="AF180" s="76">
        <f>Ruimtestaat[[#This Row],[kosten / jaar weekend]]+Ruimtestaat[[#This Row],[kosten / jaar werkdagen]]</f>
        <v>0</v>
      </c>
      <c r="AG180" s="76"/>
      <c r="AH180" s="272" t="str">
        <f>IF(Ruimtestaat[[#This Row],[Frequentie werkdagen]]="","",_xlfn.CONCAT(Ruimtestaat[[#This Row],[Ruimte code]],"-",Ruimtestaat[[#This Row],[Frequentie werkdagen]]," ",Ruimtestaat[[#This Row],[Vloer code]]))</f>
        <v>5-5w S</v>
      </c>
      <c r="AI180" s="310" t="str">
        <f>_xlfn.IFNA(VLOOKUP($AH180,Programma!$F$3:$G$1107,2,0),"")</f>
        <v>_</v>
      </c>
      <c r="AJ180" s="310" t="str">
        <f>_xlfn.IFNA(VLOOKUP($AH180,Programma!$F$3:$H$1107,3,0),"")</f>
        <v>_</v>
      </c>
      <c r="AK180" s="310" t="str">
        <f>_xlfn.IFNA(VLOOKUP($AH180,Programma!$F$3:$I$1107,4,0),"")</f>
        <v>_</v>
      </c>
      <c r="AL180" s="310" t="str">
        <f>_xlfn.IFNA(VLOOKUP($AH180,Programma!$F$3:$J$1107,5,0),"")</f>
        <v>4w</v>
      </c>
      <c r="AM180" s="310" t="str">
        <f>_xlfn.IFNA(VLOOKUP($AH180,Programma!$F$3:$K$1107,6,0),"")</f>
        <v>1w</v>
      </c>
      <c r="AN180" s="310" t="str">
        <f>_xlfn.IFNA(VLOOKUP($AH180,Programma!$F$3:$L$1107,7,0),"")</f>
        <v>_</v>
      </c>
      <c r="AO180" s="310" t="str">
        <f>_xlfn.IFNA(VLOOKUP($AH180,Programma!$F$3:$M$1107,8,0),"")</f>
        <v>_</v>
      </c>
      <c r="AP180" s="310" t="str">
        <f>_xlfn.IFNA(VLOOKUP($AH180,Programma!$F$3:$N$1107,9,0),"")</f>
        <v>_</v>
      </c>
      <c r="AQ180" s="310" t="str">
        <f>_xlfn.IFNA(VLOOKUP($AH180,Programma!$F$3:$O$1107,10,0),"")</f>
        <v>_</v>
      </c>
      <c r="AR180" s="310" t="str">
        <f>_xlfn.IFNA(VLOOKUP($AH180,Programma!$F$3:$P$1107,11,0),"")</f>
        <v>_</v>
      </c>
      <c r="AS180" s="310" t="str">
        <f>_xlfn.IFNA(VLOOKUP($AH180,Programma!$F$3:$Q$1107,12,0),"")</f>
        <v>_</v>
      </c>
      <c r="AT180" s="310" t="str">
        <f>_xlfn.IFNA(VLOOKUP($AH180,Programma!$F$3:$R$1107,13,0),"")</f>
        <v>_</v>
      </c>
      <c r="AU180" s="310" t="str">
        <f>_xlfn.IFNA(VLOOKUP($AH180,Programma!$F$3:$S$1107,14,0),"")</f>
        <v>_</v>
      </c>
      <c r="AV180" s="310" t="str">
        <f>_xlfn.IFNA(VLOOKUP($AH180,Programma!$F$3:$T$1107,15,0),"")</f>
        <v>_</v>
      </c>
      <c r="AW180" s="310" t="str">
        <f>_xlfn.IFNA(VLOOKUP($AH180,Programma!$F$3:$U$1107,16,0),"")</f>
        <v>_</v>
      </c>
      <c r="AX180" s="310" t="str">
        <f>_xlfn.IFNA(VLOOKUP($AH180,Programma!$F$3:$V$1107,17,0),"")</f>
        <v>_</v>
      </c>
      <c r="AY180" s="310" t="str">
        <f>_xlfn.IFNA(VLOOKUP($AH180,Programma!$F$3:$W$1107,18,0),"")</f>
        <v>4w</v>
      </c>
      <c r="AZ180" s="310" t="str">
        <f>_xlfn.IFNA(VLOOKUP($AH180,Programma!$F$3:$X$1107,19,0),"")</f>
        <v>1w</v>
      </c>
      <c r="BA180" s="310" t="str">
        <f>_xlfn.IFNA(VLOOKUP($AH180,Programma!$F$3:$Y$1107,20,0),"")</f>
        <v>_</v>
      </c>
      <c r="BB180" s="273"/>
      <c r="BC180" s="272" t="str">
        <f>IF(Ruimtestaat[[#This Row],[Frequentie weekend]]="","",_xlfn.CONCAT(Ruimtestaat[[#This Row],[Ruimte code]],"-",Ruimtestaat[[#This Row],[Frequentie weekend]]," ",Ruimtestaat[[#This Row],[Vloer code]]))</f>
        <v/>
      </c>
      <c r="BD180" s="310" t="str">
        <f>_xlfn.IFNA(VLOOKUP($BC180,Programma!$F$3:$G$1107,2,0),"")</f>
        <v/>
      </c>
      <c r="BE180" s="310" t="str">
        <f>_xlfn.IFNA(VLOOKUP($BC180,Programma!$F$3:$H$1107,3,0),"")</f>
        <v/>
      </c>
      <c r="BF180" s="310" t="str">
        <f>_xlfn.IFNA(VLOOKUP($BC180,Programma!$F$3:$I$1107,4,0),"")</f>
        <v/>
      </c>
      <c r="BG180" s="310" t="str">
        <f>_xlfn.IFNA(VLOOKUP($BC180,Programma!$F$3:$J$1107,5,0),"")</f>
        <v/>
      </c>
      <c r="BH180" s="310" t="str">
        <f>_xlfn.IFNA(VLOOKUP($BC180,Programma!$F$3:$K$1107,6,0),"")</f>
        <v/>
      </c>
      <c r="BI180" s="310" t="str">
        <f>_xlfn.IFNA(VLOOKUP($BC180,Programma!$F$3:$L$1107,7,0),"")</f>
        <v/>
      </c>
      <c r="BJ180" s="310" t="str">
        <f>_xlfn.IFNA(VLOOKUP($BC180,Programma!$F$3:$M$1107,8,0),"")</f>
        <v/>
      </c>
      <c r="BK180" s="310" t="str">
        <f>_xlfn.IFNA(VLOOKUP($BC180,Programma!$F$3:$N$1107,9,0),"")</f>
        <v/>
      </c>
      <c r="BL180" s="310" t="str">
        <f>_xlfn.IFNA(VLOOKUP($BC180,Programma!$F$3:$O$1107,10,0),"")</f>
        <v/>
      </c>
      <c r="BM180" s="310" t="str">
        <f>_xlfn.IFNA(VLOOKUP($BC180,Programma!$F$3:$P$1107,11,0),"")</f>
        <v/>
      </c>
      <c r="BN180" s="310" t="str">
        <f>_xlfn.IFNA(VLOOKUP($BC180,Programma!$F$3:$Q$1107,12,0),"")</f>
        <v/>
      </c>
      <c r="BO180" s="310" t="str">
        <f>_xlfn.IFNA(VLOOKUP($BC180,Programma!$F$3:$R$1107,13,0),"")</f>
        <v/>
      </c>
      <c r="BP180" s="310" t="str">
        <f>_xlfn.IFNA(VLOOKUP($BC180,Programma!$F$3:$S$1107,14,0),"")</f>
        <v/>
      </c>
      <c r="BQ180" s="310" t="str">
        <f>_xlfn.IFNA(VLOOKUP($BC180,Programma!$F$3:$T$1107,15,0),"")</f>
        <v/>
      </c>
      <c r="BR180" s="310" t="str">
        <f>_xlfn.IFNA(VLOOKUP($BC180,Programma!$F$3:$U$1107,16,0),"")</f>
        <v/>
      </c>
      <c r="BS180" s="310" t="str">
        <f>_xlfn.IFNA(VLOOKUP($BC180,Programma!$F$3:$V$1107,17,0),"")</f>
        <v/>
      </c>
      <c r="BT180" s="310" t="str">
        <f>_xlfn.IFNA(VLOOKUP($BC180,Programma!$F$3:$W$1107,18,0),"")</f>
        <v/>
      </c>
      <c r="BU180" s="310" t="str">
        <f>_xlfn.IFNA(VLOOKUP($BC180,Programma!$F$3:$X$1107,19,0),"")</f>
        <v/>
      </c>
      <c r="BV180" s="310" t="str">
        <f>_xlfn.IFNA(VLOOKUP($BC180,Programma!$F$3:$Y$1107,20,0),"")</f>
        <v/>
      </c>
    </row>
    <row r="181" spans="1:74" ht="15" customHeight="1">
      <c r="A181" s="33">
        <v>1</v>
      </c>
      <c r="B181" s="173" t="str">
        <f>VLOOKUP(Ruimtestaat[[#This Row],[Code]],Locaties[[Code]:[Locatie]],2,FALSE)</f>
        <v>CCNV</v>
      </c>
      <c r="C181" s="173" t="str">
        <f>VLOOKUP(Ruimtestaat[[#This Row],[Code]],Locaties[[#All],[Code]:[Adres]],4,FALSE)</f>
        <v>Stationslaan 26</v>
      </c>
      <c r="D181" s="173" t="str">
        <f>VLOOKUP(Ruimtestaat[[#This Row],[Code]],Locaties[[#All],[Code]:[Postcode]],5,FALSE)</f>
        <v>3842 LA</v>
      </c>
      <c r="E181" s="173" t="str">
        <f>VLOOKUP(Ruimtestaat[[#This Row],[Code]],Locaties[#All],6,FALSE)</f>
        <v>Harderwijk</v>
      </c>
      <c r="F181" s="21" t="s">
        <v>1630</v>
      </c>
      <c r="G181" s="33"/>
      <c r="I181" s="69" t="s">
        <v>1766</v>
      </c>
      <c r="J181" s="21">
        <v>6</v>
      </c>
      <c r="K181" s="69" t="str">
        <f>VLOOKUP(Ruimtestaat[[#This Row],[Ruimte code]],Ruimtegroepen[[#All],[Code]:[Ruimte omschrijving]],2,FALSE)</f>
        <v>Gangen/hallen</v>
      </c>
      <c r="L181" s="33" t="s">
        <v>1817</v>
      </c>
      <c r="M181" s="312" t="s">
        <v>1802</v>
      </c>
      <c r="N181" s="148">
        <v>42</v>
      </c>
      <c r="O181" s="150"/>
      <c r="P181" s="134" t="str">
        <f>VLOOKUP(Ruimtestaat[[#This Row],[Ruimte code]],Ruimtegroepen[],4,FALSE)</f>
        <v>Ve</v>
      </c>
      <c r="Q181" s="33">
        <v>40</v>
      </c>
      <c r="R181" s="33" t="s">
        <v>2</v>
      </c>
      <c r="S181" s="33">
        <f>IF(Q181&gt;0,IF(RIGHT(Ruimtestaat[[#This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1" s="33">
        <f>IF(S181&gt;0,VLOOKUP($J181,Ruimtegroepen[],3,FALSE)*VLOOKUP($L181,Vloersoorten[],3,FALSE)*VLOOKUP($R181,Frequenties[],3,FALSE)*VLOOKUP($A181,Locaties[],3,FALSE),0)</f>
        <v>0</v>
      </c>
      <c r="U181" s="33">
        <f>Ruimtestaat[[#This Row],[Uitvoeringen werkdagen]]*Ruimtestaat[[#This Row],[Oppervlak (netto)]]</f>
        <v>8400</v>
      </c>
      <c r="V181" s="170">
        <f>IF(T181&gt;0,Ruimtestaat[[#This Row],[Prest. (m2 /jaar) werkdagen]]/Ruimtestaat[[#This Row],[Norm (m2/uur) werkdagen]],0)</f>
        <v>0</v>
      </c>
      <c r="W181" s="171">
        <f>Ruimtestaat[[#This Row],[uren / jaar werkdagen]]*Tariefsopbouw!$E$35</f>
        <v>0</v>
      </c>
      <c r="X181" s="33"/>
      <c r="Y181" s="33">
        <f>IF(Ruimtestaat[[#This Row],[Frequentie weekend]]&gt;0,VALUE(LEFT(X181,1))*Q181,0)</f>
        <v>0</v>
      </c>
      <c r="Z181" s="104">
        <f>IF($Y181&gt;0,VLOOKUP($J181,Ruimtegroepen[],3,FALSE)*VLOOKUP($L181,Vloersoorten[],3,FALSE)*VLOOKUP($X181,Frequenties[],3,FALSE)*VLOOKUP(Ruimtestaat[[#This Row],[Code]],Locaties[],3,FALSE),0)</f>
        <v>0</v>
      </c>
      <c r="AA181" s="104">
        <f>Ruimtestaat[[#This Row],[Uitvoeringen weekend]]*Ruimtestaat[[#This Row],[Oppervlak (netto)]]</f>
        <v>0</v>
      </c>
      <c r="AB181" s="104">
        <f>IF(Z181&gt;0,Ruimtestaat[[#This Row],[Prest. (m2 /jaar) weekend]]/Ruimtestaat[[#This Row],[Norm (m2/uur) weekend]],0)</f>
        <v>0</v>
      </c>
      <c r="AC181" s="171">
        <f>Ruimtestaat[[#This Row],[uren / jaar weekend]]*Tariefsopbouw!$D$40</f>
        <v>0</v>
      </c>
      <c r="AD181" s="170">
        <f>Ruimtestaat[[#This Row],[Prest. (m2 /jaar) weekend]]+Ruimtestaat[[#This Row],[Prest. (m2 /jaar) werkdagen]]</f>
        <v>8400</v>
      </c>
      <c r="AE181" s="170">
        <f>Ruimtestaat[[#This Row],[uren / jaar weekend]]+Ruimtestaat[[#This Row],[uren / jaar werkdagen]]</f>
        <v>0</v>
      </c>
      <c r="AF181" s="76">
        <f>Ruimtestaat[[#This Row],[kosten / jaar weekend]]+Ruimtestaat[[#This Row],[kosten / jaar werkdagen]]</f>
        <v>0</v>
      </c>
      <c r="AG181" s="76"/>
      <c r="AH181" s="272" t="str">
        <f>IF(Ruimtestaat[[#This Row],[Frequentie werkdagen]]="","",_xlfn.CONCAT(Ruimtestaat[[#This Row],[Ruimte code]],"-",Ruimtestaat[[#This Row],[Frequentie werkdagen]]," ",Ruimtestaat[[#This Row],[Vloer code]]))</f>
        <v>6-5w p</v>
      </c>
      <c r="AI181" s="310" t="str">
        <f>_xlfn.IFNA(VLOOKUP($AH181,Programma!$F$3:$G$1107,2,0),"")</f>
        <v>_</v>
      </c>
      <c r="AJ181" s="310" t="str">
        <f>_xlfn.IFNA(VLOOKUP($AH181,Programma!$F$3:$H$1107,3,0),"")</f>
        <v>_</v>
      </c>
      <c r="AK181" s="310" t="str">
        <f>_xlfn.IFNA(VLOOKUP($AH181,Programma!$F$3:$I$1107,4,0),"")</f>
        <v>5w</v>
      </c>
      <c r="AL181" s="310" t="str">
        <f>_xlfn.IFNA(VLOOKUP($AH181,Programma!$F$3:$J$1107,5,0),"")</f>
        <v>_</v>
      </c>
      <c r="AM181" s="310" t="str">
        <f>_xlfn.IFNA(VLOOKUP($AH181,Programma!$F$3:$K$1107,6,0),"")</f>
        <v>5w</v>
      </c>
      <c r="AN181" s="310" t="str">
        <f>_xlfn.IFNA(VLOOKUP($AH181,Programma!$F$3:$L$1107,7,0),"")</f>
        <v>_</v>
      </c>
      <c r="AO181" s="310" t="str">
        <f>_xlfn.IFNA(VLOOKUP($AH181,Programma!$F$3:$M$1107,8,0),"")</f>
        <v>_</v>
      </c>
      <c r="AP181" s="310" t="str">
        <f>_xlfn.IFNA(VLOOKUP($AH181,Programma!$F$3:$N$1107,9,0),"")</f>
        <v>_</v>
      </c>
      <c r="AQ181" s="310" t="str">
        <f>_xlfn.IFNA(VLOOKUP($AH181,Programma!$F$3:$O$1107,10,0),"")</f>
        <v>5w</v>
      </c>
      <c r="AR181" s="310" t="str">
        <f>_xlfn.IFNA(VLOOKUP($AH181,Programma!$F$3:$P$1107,11,0),"")</f>
        <v>5w</v>
      </c>
      <c r="AS181" s="310" t="str">
        <f>_xlfn.IFNA(VLOOKUP($AH181,Programma!$F$3:$Q$1107,12,0),"")</f>
        <v>1w</v>
      </c>
      <c r="AT181" s="310" t="str">
        <f>_xlfn.IFNA(VLOOKUP($AH181,Programma!$F$3:$R$1107,13,0),"")</f>
        <v>1w</v>
      </c>
      <c r="AU181" s="310" t="str">
        <f>_xlfn.IFNA(VLOOKUP($AH181,Programma!$F$3:$S$1107,14,0),"")</f>
        <v>1m</v>
      </c>
      <c r="AV181" s="310" t="str">
        <f>_xlfn.IFNA(VLOOKUP($AH181,Programma!$F$3:$T$1107,15,0),"")</f>
        <v>2j</v>
      </c>
      <c r="AW181" s="310" t="str">
        <f>_xlfn.IFNA(VLOOKUP($AH181,Programma!$F$3:$U$1107,16,0),"")</f>
        <v>1j</v>
      </c>
      <c r="AX181" s="310" t="str">
        <f>_xlfn.IFNA(VLOOKUP($AH181,Programma!$F$3:$V$1107,17,0),"")</f>
        <v>_</v>
      </c>
      <c r="AY181" s="310" t="str">
        <f>_xlfn.IFNA(VLOOKUP($AH181,Programma!$F$3:$W$1107,18,0),"")</f>
        <v>_</v>
      </c>
      <c r="AZ181" s="310" t="str">
        <f>_xlfn.IFNA(VLOOKUP($AH181,Programma!$F$3:$X$1107,19,0),"")</f>
        <v>_</v>
      </c>
      <c r="BA181" s="310" t="str">
        <f>_xlfn.IFNA(VLOOKUP($AH181,Programma!$F$3:$Y$1107,20,0),"")</f>
        <v>_</v>
      </c>
      <c r="BB181" s="273"/>
      <c r="BC181" s="272" t="str">
        <f>IF(Ruimtestaat[[#This Row],[Frequentie weekend]]="","",_xlfn.CONCAT(Ruimtestaat[[#This Row],[Ruimte code]],"-",Ruimtestaat[[#This Row],[Frequentie weekend]]," ",Ruimtestaat[[#This Row],[Vloer code]]))</f>
        <v/>
      </c>
      <c r="BD181" s="310" t="str">
        <f>_xlfn.IFNA(VLOOKUP($BC181,Programma!$F$3:$G$1107,2,0),"")</f>
        <v/>
      </c>
      <c r="BE181" s="310" t="str">
        <f>_xlfn.IFNA(VLOOKUP($BC181,Programma!$F$3:$H$1107,3,0),"")</f>
        <v/>
      </c>
      <c r="BF181" s="310" t="str">
        <f>_xlfn.IFNA(VLOOKUP($BC181,Programma!$F$3:$I$1107,4,0),"")</f>
        <v/>
      </c>
      <c r="BG181" s="310" t="str">
        <f>_xlfn.IFNA(VLOOKUP($BC181,Programma!$F$3:$J$1107,5,0),"")</f>
        <v/>
      </c>
      <c r="BH181" s="310" t="str">
        <f>_xlfn.IFNA(VLOOKUP($BC181,Programma!$F$3:$K$1107,6,0),"")</f>
        <v/>
      </c>
      <c r="BI181" s="310" t="str">
        <f>_xlfn.IFNA(VLOOKUP($BC181,Programma!$F$3:$L$1107,7,0),"")</f>
        <v/>
      </c>
      <c r="BJ181" s="310" t="str">
        <f>_xlfn.IFNA(VLOOKUP($BC181,Programma!$F$3:$M$1107,8,0),"")</f>
        <v/>
      </c>
      <c r="BK181" s="310" t="str">
        <f>_xlfn.IFNA(VLOOKUP($BC181,Programma!$F$3:$N$1107,9,0),"")</f>
        <v/>
      </c>
      <c r="BL181" s="310" t="str">
        <f>_xlfn.IFNA(VLOOKUP($BC181,Programma!$F$3:$O$1107,10,0),"")</f>
        <v/>
      </c>
      <c r="BM181" s="310" t="str">
        <f>_xlfn.IFNA(VLOOKUP($BC181,Programma!$F$3:$P$1107,11,0),"")</f>
        <v/>
      </c>
      <c r="BN181" s="310" t="str">
        <f>_xlfn.IFNA(VLOOKUP($BC181,Programma!$F$3:$Q$1107,12,0),"")</f>
        <v/>
      </c>
      <c r="BO181" s="310" t="str">
        <f>_xlfn.IFNA(VLOOKUP($BC181,Programma!$F$3:$R$1107,13,0),"")</f>
        <v/>
      </c>
      <c r="BP181" s="310" t="str">
        <f>_xlfn.IFNA(VLOOKUP($BC181,Programma!$F$3:$S$1107,14,0),"")</f>
        <v/>
      </c>
      <c r="BQ181" s="310" t="str">
        <f>_xlfn.IFNA(VLOOKUP($BC181,Programma!$F$3:$T$1107,15,0),"")</f>
        <v/>
      </c>
      <c r="BR181" s="310" t="str">
        <f>_xlfn.IFNA(VLOOKUP($BC181,Programma!$F$3:$U$1107,16,0),"")</f>
        <v/>
      </c>
      <c r="BS181" s="310" t="str">
        <f>_xlfn.IFNA(VLOOKUP($BC181,Programma!$F$3:$V$1107,17,0),"")</f>
        <v/>
      </c>
      <c r="BT181" s="310" t="str">
        <f>_xlfn.IFNA(VLOOKUP($BC181,Programma!$F$3:$W$1107,18,0),"")</f>
        <v/>
      </c>
      <c r="BU181" s="310" t="str">
        <f>_xlfn.IFNA(VLOOKUP($BC181,Programma!$F$3:$X$1107,19,0),"")</f>
        <v/>
      </c>
      <c r="BV181" s="310" t="str">
        <f>_xlfn.IFNA(VLOOKUP($BC181,Programma!$F$3:$Y$1107,20,0),"")</f>
        <v/>
      </c>
    </row>
    <row r="182" spans="1:74" ht="15" customHeight="1">
      <c r="A182" s="33">
        <v>1</v>
      </c>
      <c r="B182" s="173" t="str">
        <f>VLOOKUP(Ruimtestaat[[#This Row],[Code]],Locaties[[Code]:[Locatie]],2,FALSE)</f>
        <v>CCNV</v>
      </c>
      <c r="C182" s="173" t="str">
        <f>VLOOKUP(Ruimtestaat[[#This Row],[Code]],Locaties[[#All],[Code]:[Adres]],4,FALSE)</f>
        <v>Stationslaan 26</v>
      </c>
      <c r="D182" s="173" t="str">
        <f>VLOOKUP(Ruimtestaat[[#This Row],[Code]],Locaties[[#All],[Code]:[Postcode]],5,FALSE)</f>
        <v>3842 LA</v>
      </c>
      <c r="E182" s="173" t="str">
        <f>VLOOKUP(Ruimtestaat[[#This Row],[Code]],Locaties[#All],6,FALSE)</f>
        <v>Harderwijk</v>
      </c>
      <c r="F182" s="21" t="s">
        <v>1630</v>
      </c>
      <c r="G182" s="33"/>
      <c r="I182" s="69" t="s">
        <v>1798</v>
      </c>
      <c r="J182" s="21">
        <v>19</v>
      </c>
      <c r="K182" s="69" t="str">
        <f>VLOOKUP(Ruimtestaat[[#This Row],[Ruimte code]],Ruimtegroepen[[#All],[Code]:[Ruimte omschrijving]],2,FALSE)</f>
        <v>kleedruimten</v>
      </c>
      <c r="L182" s="33" t="s">
        <v>1817</v>
      </c>
      <c r="M182" s="312" t="s">
        <v>1802</v>
      </c>
      <c r="N182" s="148">
        <v>44</v>
      </c>
      <c r="O182" s="33"/>
      <c r="P182" s="134" t="str">
        <f>VLOOKUP(Ruimtestaat[[#This Row],[Ruimte code]],Ruimtegroepen[],4,FALSE)</f>
        <v>Ve</v>
      </c>
      <c r="Q182" s="33">
        <v>40</v>
      </c>
      <c r="R182" s="33" t="s">
        <v>2</v>
      </c>
      <c r="S182" s="33">
        <f>IF(Q182&gt;0,IF(RIGHT(Ruimtestaat[[#This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2" s="33">
        <f>IF(S182&gt;0,VLOOKUP($J182,Ruimtegroepen[],3,FALSE)*VLOOKUP($L182,Vloersoorten[],3,FALSE)*VLOOKUP($R182,Frequenties[],3,FALSE)*VLOOKUP($A182,Locaties[],3,FALSE),0)</f>
        <v>0</v>
      </c>
      <c r="U182" s="33">
        <f>Ruimtestaat[[#This Row],[Uitvoeringen werkdagen]]*Ruimtestaat[[#This Row],[Oppervlak (netto)]]</f>
        <v>8800</v>
      </c>
      <c r="V182" s="170">
        <f>IF(T182&gt;0,Ruimtestaat[[#This Row],[Prest. (m2 /jaar) werkdagen]]/Ruimtestaat[[#This Row],[Norm (m2/uur) werkdagen]],0)</f>
        <v>0</v>
      </c>
      <c r="W182" s="171">
        <f>Ruimtestaat[[#This Row],[uren / jaar werkdagen]]*Tariefsopbouw!$E$35</f>
        <v>0</v>
      </c>
      <c r="X182" s="33"/>
      <c r="Y182" s="33">
        <f>IF(Ruimtestaat[[#This Row],[Frequentie weekend]]&gt;0,VALUE(LEFT(X182,1))*Q182,0)</f>
        <v>0</v>
      </c>
      <c r="Z182" s="104">
        <f>IF($Y182&gt;0,VLOOKUP($J182,Ruimtegroepen[],3,FALSE)*VLOOKUP($L182,Vloersoorten[],3,FALSE)*VLOOKUP($X182,Frequenties[],3,FALSE)*VLOOKUP(Ruimtestaat[[#This Row],[Code]],Locaties[],3,FALSE),0)</f>
        <v>0</v>
      </c>
      <c r="AA182" s="104">
        <f>Ruimtestaat[[#This Row],[Uitvoeringen weekend]]*Ruimtestaat[[#This Row],[Oppervlak (netto)]]</f>
        <v>0</v>
      </c>
      <c r="AB182" s="104">
        <f>IF(Z182&gt;0,Ruimtestaat[[#This Row],[Prest. (m2 /jaar) weekend]]/Ruimtestaat[[#This Row],[Norm (m2/uur) weekend]],0)</f>
        <v>0</v>
      </c>
      <c r="AC182" s="171">
        <f>Ruimtestaat[[#This Row],[uren / jaar weekend]]*Tariefsopbouw!$D$40</f>
        <v>0</v>
      </c>
      <c r="AD182" s="170">
        <f>Ruimtestaat[[#This Row],[Prest. (m2 /jaar) weekend]]+Ruimtestaat[[#This Row],[Prest. (m2 /jaar) werkdagen]]</f>
        <v>8800</v>
      </c>
      <c r="AE182" s="170">
        <f>Ruimtestaat[[#This Row],[uren / jaar weekend]]+Ruimtestaat[[#This Row],[uren / jaar werkdagen]]</f>
        <v>0</v>
      </c>
      <c r="AF182" s="76">
        <f>Ruimtestaat[[#This Row],[kosten / jaar weekend]]+Ruimtestaat[[#This Row],[kosten / jaar werkdagen]]</f>
        <v>0</v>
      </c>
      <c r="AG182" s="76"/>
      <c r="AH182" s="272" t="str">
        <f>IF(Ruimtestaat[[#This Row],[Frequentie werkdagen]]="","",_xlfn.CONCAT(Ruimtestaat[[#This Row],[Ruimte code]],"-",Ruimtestaat[[#This Row],[Frequentie werkdagen]]," ",Ruimtestaat[[#This Row],[Vloer code]]))</f>
        <v>19-5w p</v>
      </c>
      <c r="AI182" s="310" t="str">
        <f>_xlfn.IFNA(VLOOKUP($AH182,Programma!$F$3:$G$1107,2,0),"")</f>
        <v>_</v>
      </c>
      <c r="AJ182" s="310" t="str">
        <f>_xlfn.IFNA(VLOOKUP($AH182,Programma!$F$3:$H$1107,3,0),"")</f>
        <v>_</v>
      </c>
      <c r="AK182" s="310" t="str">
        <f>_xlfn.IFNA(VLOOKUP($AH182,Programma!$F$3:$I$1107,4,0),"")</f>
        <v>5w</v>
      </c>
      <c r="AL182" s="310" t="str">
        <f>_xlfn.IFNA(VLOOKUP($AH182,Programma!$F$3:$J$1107,5,0),"")</f>
        <v>_</v>
      </c>
      <c r="AM182" s="310" t="str">
        <f>_xlfn.IFNA(VLOOKUP($AH182,Programma!$F$3:$K$1107,6,0),"")</f>
        <v>5w</v>
      </c>
      <c r="AN182" s="310" t="str">
        <f>_xlfn.IFNA(VLOOKUP($AH182,Programma!$F$3:$L$1107,7,0),"")</f>
        <v>_</v>
      </c>
      <c r="AO182" s="310" t="str">
        <f>_xlfn.IFNA(VLOOKUP($AH182,Programma!$F$3:$M$1107,8,0),"")</f>
        <v>_</v>
      </c>
      <c r="AP182" s="310" t="str">
        <f>_xlfn.IFNA(VLOOKUP($AH182,Programma!$F$3:$N$1107,9,0),"")</f>
        <v>_</v>
      </c>
      <c r="AQ182" s="310" t="str">
        <f>_xlfn.IFNA(VLOOKUP($AH182,Programma!$F$3:$O$1107,10,0),"")</f>
        <v>5w</v>
      </c>
      <c r="AR182" s="310" t="str">
        <f>_xlfn.IFNA(VLOOKUP($AH182,Programma!$F$3:$P$1107,11,0),"")</f>
        <v>5w</v>
      </c>
      <c r="AS182" s="310" t="str">
        <f>_xlfn.IFNA(VLOOKUP($AH182,Programma!$F$3:$Q$1107,12,0),"")</f>
        <v>1w</v>
      </c>
      <c r="AT182" s="310" t="str">
        <f>_xlfn.IFNA(VLOOKUP($AH182,Programma!$F$3:$R$1107,13,0),"")</f>
        <v>1w</v>
      </c>
      <c r="AU182" s="310" t="str">
        <f>_xlfn.IFNA(VLOOKUP($AH182,Programma!$F$3:$S$1107,14,0),"")</f>
        <v>1m</v>
      </c>
      <c r="AV182" s="310" t="str">
        <f>_xlfn.IFNA(VLOOKUP($AH182,Programma!$F$3:$T$1107,15,0),"")</f>
        <v>2j</v>
      </c>
      <c r="AW182" s="310" t="str">
        <f>_xlfn.IFNA(VLOOKUP($AH182,Programma!$F$3:$U$1107,16,0),"")</f>
        <v>1j</v>
      </c>
      <c r="AX182" s="310" t="str">
        <f>_xlfn.IFNA(VLOOKUP($AH182,Programma!$F$3:$V$1107,17,0),"")</f>
        <v>_</v>
      </c>
      <c r="AY182" s="310" t="str">
        <f>_xlfn.IFNA(VLOOKUP($AH182,Programma!$F$3:$W$1107,18,0),"")</f>
        <v>_</v>
      </c>
      <c r="AZ182" s="310" t="str">
        <f>_xlfn.IFNA(VLOOKUP($AH182,Programma!$F$3:$X$1107,19,0),"")</f>
        <v>_</v>
      </c>
      <c r="BA182" s="310" t="str">
        <f>_xlfn.IFNA(VLOOKUP($AH182,Programma!$F$3:$Y$1107,20,0),"")</f>
        <v>_</v>
      </c>
      <c r="BB182" s="273"/>
      <c r="BC182" s="272" t="str">
        <f>IF(Ruimtestaat[[#This Row],[Frequentie weekend]]="","",_xlfn.CONCAT(Ruimtestaat[[#This Row],[Ruimte code]],"-",Ruimtestaat[[#This Row],[Frequentie weekend]]," ",Ruimtestaat[[#This Row],[Vloer code]]))</f>
        <v/>
      </c>
      <c r="BD182" s="310" t="str">
        <f>_xlfn.IFNA(VLOOKUP($BC182,Programma!$F$3:$G$1107,2,0),"")</f>
        <v/>
      </c>
      <c r="BE182" s="310" t="str">
        <f>_xlfn.IFNA(VLOOKUP($BC182,Programma!$F$3:$H$1107,3,0),"")</f>
        <v/>
      </c>
      <c r="BF182" s="310" t="str">
        <f>_xlfn.IFNA(VLOOKUP($BC182,Programma!$F$3:$I$1107,4,0),"")</f>
        <v/>
      </c>
      <c r="BG182" s="310" t="str">
        <f>_xlfn.IFNA(VLOOKUP($BC182,Programma!$F$3:$J$1107,5,0),"")</f>
        <v/>
      </c>
      <c r="BH182" s="310" t="str">
        <f>_xlfn.IFNA(VLOOKUP($BC182,Programma!$F$3:$K$1107,6,0),"")</f>
        <v/>
      </c>
      <c r="BI182" s="310" t="str">
        <f>_xlfn.IFNA(VLOOKUP($BC182,Programma!$F$3:$L$1107,7,0),"")</f>
        <v/>
      </c>
      <c r="BJ182" s="310" t="str">
        <f>_xlfn.IFNA(VLOOKUP($BC182,Programma!$F$3:$M$1107,8,0),"")</f>
        <v/>
      </c>
      <c r="BK182" s="310" t="str">
        <f>_xlfn.IFNA(VLOOKUP($BC182,Programma!$F$3:$N$1107,9,0),"")</f>
        <v/>
      </c>
      <c r="BL182" s="310" t="str">
        <f>_xlfn.IFNA(VLOOKUP($BC182,Programma!$F$3:$O$1107,10,0),"")</f>
        <v/>
      </c>
      <c r="BM182" s="310" t="str">
        <f>_xlfn.IFNA(VLOOKUP($BC182,Programma!$F$3:$P$1107,11,0),"")</f>
        <v/>
      </c>
      <c r="BN182" s="310" t="str">
        <f>_xlfn.IFNA(VLOOKUP($BC182,Programma!$F$3:$Q$1107,12,0),"")</f>
        <v/>
      </c>
      <c r="BO182" s="310" t="str">
        <f>_xlfn.IFNA(VLOOKUP($BC182,Programma!$F$3:$R$1107,13,0),"")</f>
        <v/>
      </c>
      <c r="BP182" s="310" t="str">
        <f>_xlfn.IFNA(VLOOKUP($BC182,Programma!$F$3:$S$1107,14,0),"")</f>
        <v/>
      </c>
      <c r="BQ182" s="310" t="str">
        <f>_xlfn.IFNA(VLOOKUP($BC182,Programma!$F$3:$T$1107,15,0),"")</f>
        <v/>
      </c>
      <c r="BR182" s="310" t="str">
        <f>_xlfn.IFNA(VLOOKUP($BC182,Programma!$F$3:$U$1107,16,0),"")</f>
        <v/>
      </c>
      <c r="BS182" s="310" t="str">
        <f>_xlfn.IFNA(VLOOKUP($BC182,Programma!$F$3:$V$1107,17,0),"")</f>
        <v/>
      </c>
      <c r="BT182" s="310" t="str">
        <f>_xlfn.IFNA(VLOOKUP($BC182,Programma!$F$3:$W$1107,18,0),"")</f>
        <v/>
      </c>
      <c r="BU182" s="310" t="str">
        <f>_xlfn.IFNA(VLOOKUP($BC182,Programma!$F$3:$X$1107,19,0),"")</f>
        <v/>
      </c>
      <c r="BV182" s="310" t="str">
        <f>_xlfn.IFNA(VLOOKUP($BC182,Programma!$F$3:$Y$1107,20,0),"")</f>
        <v/>
      </c>
    </row>
    <row r="183" spans="1:74" ht="15" customHeight="1">
      <c r="A183" s="33">
        <v>1</v>
      </c>
      <c r="B183" s="173" t="str">
        <f>VLOOKUP(Ruimtestaat[[#This Row],[Code]],Locaties[[Code]:[Locatie]],2,FALSE)</f>
        <v>CCNV</v>
      </c>
      <c r="C183" s="173" t="str">
        <f>VLOOKUP(Ruimtestaat[[#This Row],[Code]],Locaties[[#All],[Code]:[Adres]],4,FALSE)</f>
        <v>Stationslaan 26</v>
      </c>
      <c r="D183" s="173" t="str">
        <f>VLOOKUP(Ruimtestaat[[#This Row],[Code]],Locaties[[#All],[Code]:[Postcode]],5,FALSE)</f>
        <v>3842 LA</v>
      </c>
      <c r="E183" s="173" t="str">
        <f>VLOOKUP(Ruimtestaat[[#This Row],[Code]],Locaties[#All],6,FALSE)</f>
        <v>Harderwijk</v>
      </c>
      <c r="F183" s="21" t="s">
        <v>1630</v>
      </c>
      <c r="G183" s="33"/>
      <c r="I183" s="69" t="s">
        <v>1798</v>
      </c>
      <c r="J183" s="21">
        <v>19</v>
      </c>
      <c r="K183" s="69" t="str">
        <f>VLOOKUP(Ruimtestaat[[#This Row],[Ruimte code]],Ruimtegroepen[[#All],[Code]:[Ruimte omschrijving]],2,FALSE)</f>
        <v>kleedruimten</v>
      </c>
      <c r="L183" s="33" t="s">
        <v>1817</v>
      </c>
      <c r="M183" s="312" t="s">
        <v>1802</v>
      </c>
      <c r="N183" s="148">
        <v>44</v>
      </c>
      <c r="O183" s="150"/>
      <c r="P183" s="134" t="str">
        <f>VLOOKUP(Ruimtestaat[[#This Row],[Ruimte code]],Ruimtegroepen[],4,FALSE)</f>
        <v>Ve</v>
      </c>
      <c r="Q183" s="33">
        <v>40</v>
      </c>
      <c r="R183" s="33" t="s">
        <v>2</v>
      </c>
      <c r="S183" s="33">
        <f>IF(Q183&gt;0,IF(RIGHT(Ruimtestaat[[#This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3" s="33">
        <f>IF(S183&gt;0,VLOOKUP($J183,Ruimtegroepen[],3,FALSE)*VLOOKUP($L183,Vloersoorten[],3,FALSE)*VLOOKUP($R183,Frequenties[],3,FALSE)*VLOOKUP($A183,Locaties[],3,FALSE),0)</f>
        <v>0</v>
      </c>
      <c r="U183" s="33">
        <f>Ruimtestaat[[#This Row],[Uitvoeringen werkdagen]]*Ruimtestaat[[#This Row],[Oppervlak (netto)]]</f>
        <v>8800</v>
      </c>
      <c r="V183" s="170">
        <f>IF(T183&gt;0,Ruimtestaat[[#This Row],[Prest. (m2 /jaar) werkdagen]]/Ruimtestaat[[#This Row],[Norm (m2/uur) werkdagen]],0)</f>
        <v>0</v>
      </c>
      <c r="W183" s="171">
        <f>Ruimtestaat[[#This Row],[uren / jaar werkdagen]]*Tariefsopbouw!$E$35</f>
        <v>0</v>
      </c>
      <c r="X183" s="33"/>
      <c r="Y183" s="33">
        <f>IF(Ruimtestaat[[#This Row],[Frequentie weekend]]&gt;0,VALUE(LEFT(X183,1))*Q183,0)</f>
        <v>0</v>
      </c>
      <c r="Z183" s="104">
        <f>IF($Y183&gt;0,VLOOKUP($J183,Ruimtegroepen[],3,FALSE)*VLOOKUP($L183,Vloersoorten[],3,FALSE)*VLOOKUP($X183,Frequenties[],3,FALSE)*VLOOKUP(Ruimtestaat[[#This Row],[Code]],Locaties[],3,FALSE),0)</f>
        <v>0</v>
      </c>
      <c r="AA183" s="104">
        <f>Ruimtestaat[[#This Row],[Uitvoeringen weekend]]*Ruimtestaat[[#This Row],[Oppervlak (netto)]]</f>
        <v>0</v>
      </c>
      <c r="AB183" s="104">
        <f>IF(Z183&gt;0,Ruimtestaat[[#This Row],[Prest. (m2 /jaar) weekend]]/Ruimtestaat[[#This Row],[Norm (m2/uur) weekend]],0)</f>
        <v>0</v>
      </c>
      <c r="AC183" s="171">
        <f>Ruimtestaat[[#This Row],[uren / jaar weekend]]*Tariefsopbouw!$D$40</f>
        <v>0</v>
      </c>
      <c r="AD183" s="170">
        <f>Ruimtestaat[[#This Row],[Prest. (m2 /jaar) weekend]]+Ruimtestaat[[#This Row],[Prest. (m2 /jaar) werkdagen]]</f>
        <v>8800</v>
      </c>
      <c r="AE183" s="170">
        <f>Ruimtestaat[[#This Row],[uren / jaar weekend]]+Ruimtestaat[[#This Row],[uren / jaar werkdagen]]</f>
        <v>0</v>
      </c>
      <c r="AF183" s="76">
        <f>Ruimtestaat[[#This Row],[kosten / jaar weekend]]+Ruimtestaat[[#This Row],[kosten / jaar werkdagen]]</f>
        <v>0</v>
      </c>
      <c r="AG183" s="76"/>
      <c r="AH183" s="272" t="str">
        <f>IF(Ruimtestaat[[#This Row],[Frequentie werkdagen]]="","",_xlfn.CONCAT(Ruimtestaat[[#This Row],[Ruimte code]],"-",Ruimtestaat[[#This Row],[Frequentie werkdagen]]," ",Ruimtestaat[[#This Row],[Vloer code]]))</f>
        <v>19-5w p</v>
      </c>
      <c r="AI183" s="310" t="str">
        <f>_xlfn.IFNA(VLOOKUP($AH183,Programma!$F$3:$G$1107,2,0),"")</f>
        <v>_</v>
      </c>
      <c r="AJ183" s="310" t="str">
        <f>_xlfn.IFNA(VLOOKUP($AH183,Programma!$F$3:$H$1107,3,0),"")</f>
        <v>_</v>
      </c>
      <c r="AK183" s="310" t="str">
        <f>_xlfn.IFNA(VLOOKUP($AH183,Programma!$F$3:$I$1107,4,0),"")</f>
        <v>5w</v>
      </c>
      <c r="AL183" s="310" t="str">
        <f>_xlfn.IFNA(VLOOKUP($AH183,Programma!$F$3:$J$1107,5,0),"")</f>
        <v>_</v>
      </c>
      <c r="AM183" s="310" t="str">
        <f>_xlfn.IFNA(VLOOKUP($AH183,Programma!$F$3:$K$1107,6,0),"")</f>
        <v>5w</v>
      </c>
      <c r="AN183" s="310" t="str">
        <f>_xlfn.IFNA(VLOOKUP($AH183,Programma!$F$3:$L$1107,7,0),"")</f>
        <v>_</v>
      </c>
      <c r="AO183" s="310" t="str">
        <f>_xlfn.IFNA(VLOOKUP($AH183,Programma!$F$3:$M$1107,8,0),"")</f>
        <v>_</v>
      </c>
      <c r="AP183" s="310" t="str">
        <f>_xlfn.IFNA(VLOOKUP($AH183,Programma!$F$3:$N$1107,9,0),"")</f>
        <v>_</v>
      </c>
      <c r="AQ183" s="310" t="str">
        <f>_xlfn.IFNA(VLOOKUP($AH183,Programma!$F$3:$O$1107,10,0),"")</f>
        <v>5w</v>
      </c>
      <c r="AR183" s="310" t="str">
        <f>_xlfn.IFNA(VLOOKUP($AH183,Programma!$F$3:$P$1107,11,0),"")</f>
        <v>5w</v>
      </c>
      <c r="AS183" s="310" t="str">
        <f>_xlfn.IFNA(VLOOKUP($AH183,Programma!$F$3:$Q$1107,12,0),"")</f>
        <v>1w</v>
      </c>
      <c r="AT183" s="310" t="str">
        <f>_xlfn.IFNA(VLOOKUP($AH183,Programma!$F$3:$R$1107,13,0),"")</f>
        <v>1w</v>
      </c>
      <c r="AU183" s="310" t="str">
        <f>_xlfn.IFNA(VLOOKUP($AH183,Programma!$F$3:$S$1107,14,0),"")</f>
        <v>1m</v>
      </c>
      <c r="AV183" s="310" t="str">
        <f>_xlfn.IFNA(VLOOKUP($AH183,Programma!$F$3:$T$1107,15,0),"")</f>
        <v>2j</v>
      </c>
      <c r="AW183" s="310" t="str">
        <f>_xlfn.IFNA(VLOOKUP($AH183,Programma!$F$3:$U$1107,16,0),"")</f>
        <v>1j</v>
      </c>
      <c r="AX183" s="310" t="str">
        <f>_xlfn.IFNA(VLOOKUP($AH183,Programma!$F$3:$V$1107,17,0),"")</f>
        <v>_</v>
      </c>
      <c r="AY183" s="310" t="str">
        <f>_xlfn.IFNA(VLOOKUP($AH183,Programma!$F$3:$W$1107,18,0),"")</f>
        <v>_</v>
      </c>
      <c r="AZ183" s="310" t="str">
        <f>_xlfn.IFNA(VLOOKUP($AH183,Programma!$F$3:$X$1107,19,0),"")</f>
        <v>_</v>
      </c>
      <c r="BA183" s="310" t="str">
        <f>_xlfn.IFNA(VLOOKUP($AH183,Programma!$F$3:$Y$1107,20,0),"")</f>
        <v>_</v>
      </c>
      <c r="BB183" s="273"/>
      <c r="BC183" s="272" t="str">
        <f>IF(Ruimtestaat[[#This Row],[Frequentie weekend]]="","",_xlfn.CONCAT(Ruimtestaat[[#This Row],[Ruimte code]],"-",Ruimtestaat[[#This Row],[Frequentie weekend]]," ",Ruimtestaat[[#This Row],[Vloer code]]))</f>
        <v/>
      </c>
      <c r="BD183" s="310" t="str">
        <f>_xlfn.IFNA(VLOOKUP($BC183,Programma!$F$3:$G$1107,2,0),"")</f>
        <v/>
      </c>
      <c r="BE183" s="310" t="str">
        <f>_xlfn.IFNA(VLOOKUP($BC183,Programma!$F$3:$H$1107,3,0),"")</f>
        <v/>
      </c>
      <c r="BF183" s="310" t="str">
        <f>_xlfn.IFNA(VLOOKUP($BC183,Programma!$F$3:$I$1107,4,0),"")</f>
        <v/>
      </c>
      <c r="BG183" s="310" t="str">
        <f>_xlfn.IFNA(VLOOKUP($BC183,Programma!$F$3:$J$1107,5,0),"")</f>
        <v/>
      </c>
      <c r="BH183" s="310" t="str">
        <f>_xlfn.IFNA(VLOOKUP($BC183,Programma!$F$3:$K$1107,6,0),"")</f>
        <v/>
      </c>
      <c r="BI183" s="310" t="str">
        <f>_xlfn.IFNA(VLOOKUP($BC183,Programma!$F$3:$L$1107,7,0),"")</f>
        <v/>
      </c>
      <c r="BJ183" s="310" t="str">
        <f>_xlfn.IFNA(VLOOKUP($BC183,Programma!$F$3:$M$1107,8,0),"")</f>
        <v/>
      </c>
      <c r="BK183" s="310" t="str">
        <f>_xlfn.IFNA(VLOOKUP($BC183,Programma!$F$3:$N$1107,9,0),"")</f>
        <v/>
      </c>
      <c r="BL183" s="310" t="str">
        <f>_xlfn.IFNA(VLOOKUP($BC183,Programma!$F$3:$O$1107,10,0),"")</f>
        <v/>
      </c>
      <c r="BM183" s="310" t="str">
        <f>_xlfn.IFNA(VLOOKUP($BC183,Programma!$F$3:$P$1107,11,0),"")</f>
        <v/>
      </c>
      <c r="BN183" s="310" t="str">
        <f>_xlfn.IFNA(VLOOKUP($BC183,Programma!$F$3:$Q$1107,12,0),"")</f>
        <v/>
      </c>
      <c r="BO183" s="310" t="str">
        <f>_xlfn.IFNA(VLOOKUP($BC183,Programma!$F$3:$R$1107,13,0),"")</f>
        <v/>
      </c>
      <c r="BP183" s="310" t="str">
        <f>_xlfn.IFNA(VLOOKUP($BC183,Programma!$F$3:$S$1107,14,0),"")</f>
        <v/>
      </c>
      <c r="BQ183" s="310" t="str">
        <f>_xlfn.IFNA(VLOOKUP($BC183,Programma!$F$3:$T$1107,15,0),"")</f>
        <v/>
      </c>
      <c r="BR183" s="310" t="str">
        <f>_xlfn.IFNA(VLOOKUP($BC183,Programma!$F$3:$U$1107,16,0),"")</f>
        <v/>
      </c>
      <c r="BS183" s="310" t="str">
        <f>_xlfn.IFNA(VLOOKUP($BC183,Programma!$F$3:$V$1107,17,0),"")</f>
        <v/>
      </c>
      <c r="BT183" s="310" t="str">
        <f>_xlfn.IFNA(VLOOKUP($BC183,Programma!$F$3:$W$1107,18,0),"")</f>
        <v/>
      </c>
      <c r="BU183" s="310" t="str">
        <f>_xlfn.IFNA(VLOOKUP($BC183,Programma!$F$3:$X$1107,19,0),"")</f>
        <v/>
      </c>
      <c r="BV183" s="310" t="str">
        <f>_xlfn.IFNA(VLOOKUP($BC183,Programma!$F$3:$Y$1107,20,0),"")</f>
        <v/>
      </c>
    </row>
    <row r="184" spans="1:74" ht="15" customHeight="1">
      <c r="A184" s="33">
        <v>1</v>
      </c>
      <c r="B184" s="173" t="str">
        <f>VLOOKUP(Ruimtestaat[[#This Row],[Code]],Locaties[[Code]:[Locatie]],2,FALSE)</f>
        <v>CCNV</v>
      </c>
      <c r="C184" s="173" t="str">
        <f>VLOOKUP(Ruimtestaat[[#This Row],[Code]],Locaties[[#All],[Code]:[Adres]],4,FALSE)</f>
        <v>Stationslaan 26</v>
      </c>
      <c r="D184" s="173" t="str">
        <f>VLOOKUP(Ruimtestaat[[#This Row],[Code]],Locaties[[#All],[Code]:[Postcode]],5,FALSE)</f>
        <v>3842 LA</v>
      </c>
      <c r="E184" s="173" t="str">
        <f>VLOOKUP(Ruimtestaat[[#This Row],[Code]],Locaties[#All],6,FALSE)</f>
        <v>Harderwijk</v>
      </c>
      <c r="F184" s="21" t="s">
        <v>1630</v>
      </c>
      <c r="G184" s="33"/>
      <c r="I184" s="69" t="s">
        <v>1799</v>
      </c>
      <c r="J184" s="21">
        <v>5</v>
      </c>
      <c r="K184" s="69" t="str">
        <f>VLOOKUP(Ruimtestaat[[#This Row],[Ruimte code]],Ruimtegroepen[[#All],[Code]:[Ruimte omschrijving]],2,FALSE)</f>
        <v>Sanitair</v>
      </c>
      <c r="L184" s="33" t="s">
        <v>102</v>
      </c>
      <c r="M184" s="312" t="s">
        <v>1805</v>
      </c>
      <c r="N184" s="148">
        <v>12</v>
      </c>
      <c r="O184" s="150"/>
      <c r="P184" s="134" t="str">
        <f>VLOOKUP(Ruimtestaat[[#This Row],[Ruimte code]],Ruimtegroepen[],4,FALSE)</f>
        <v>Sa</v>
      </c>
      <c r="Q184" s="33">
        <v>40</v>
      </c>
      <c r="R184" s="33" t="s">
        <v>2</v>
      </c>
      <c r="S184" s="33">
        <f>IF(Q184&gt;0,IF(RIGHT(Ruimtestaat[[#This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4" s="33">
        <f>IF(S184&gt;0,VLOOKUP($J184,Ruimtegroepen[],3,FALSE)*VLOOKUP($L184,Vloersoorten[],3,FALSE)*VLOOKUP($R184,Frequenties[],3,FALSE)*VLOOKUP($A184,Locaties[],3,FALSE),0)</f>
        <v>0</v>
      </c>
      <c r="U184" s="33">
        <f>Ruimtestaat[[#This Row],[Uitvoeringen werkdagen]]*Ruimtestaat[[#This Row],[Oppervlak (netto)]]</f>
        <v>2400</v>
      </c>
      <c r="V184" s="170">
        <f>IF(T184&gt;0,Ruimtestaat[[#This Row],[Prest. (m2 /jaar) werkdagen]]/Ruimtestaat[[#This Row],[Norm (m2/uur) werkdagen]],0)</f>
        <v>0</v>
      </c>
      <c r="W184" s="171">
        <f>Ruimtestaat[[#This Row],[uren / jaar werkdagen]]*Tariefsopbouw!$E$35</f>
        <v>0</v>
      </c>
      <c r="X184" s="33"/>
      <c r="Y184" s="33">
        <f>IF(Ruimtestaat[[#This Row],[Frequentie weekend]]&gt;0,VALUE(LEFT(X184,1))*Q184,0)</f>
        <v>0</v>
      </c>
      <c r="Z184" s="104">
        <f>IF($Y184&gt;0,VLOOKUP($J184,Ruimtegroepen[],3,FALSE)*VLOOKUP($L184,Vloersoorten[],3,FALSE)*VLOOKUP($X184,Frequenties[],3,FALSE)*VLOOKUP(Ruimtestaat[[#This Row],[Code]],Locaties[],3,FALSE),0)</f>
        <v>0</v>
      </c>
      <c r="AA184" s="104">
        <f>Ruimtestaat[[#This Row],[Uitvoeringen weekend]]*Ruimtestaat[[#This Row],[Oppervlak (netto)]]</f>
        <v>0</v>
      </c>
      <c r="AB184" s="104">
        <f>IF(Z184&gt;0,Ruimtestaat[[#This Row],[Prest. (m2 /jaar) weekend]]/Ruimtestaat[[#This Row],[Norm (m2/uur) weekend]],0)</f>
        <v>0</v>
      </c>
      <c r="AC184" s="171">
        <f>Ruimtestaat[[#This Row],[uren / jaar weekend]]*Tariefsopbouw!$D$40</f>
        <v>0</v>
      </c>
      <c r="AD184" s="170">
        <f>Ruimtestaat[[#This Row],[Prest. (m2 /jaar) weekend]]+Ruimtestaat[[#This Row],[Prest. (m2 /jaar) werkdagen]]</f>
        <v>2400</v>
      </c>
      <c r="AE184" s="170">
        <f>Ruimtestaat[[#This Row],[uren / jaar weekend]]+Ruimtestaat[[#This Row],[uren / jaar werkdagen]]</f>
        <v>0</v>
      </c>
      <c r="AF184" s="76">
        <f>Ruimtestaat[[#This Row],[kosten / jaar weekend]]+Ruimtestaat[[#This Row],[kosten / jaar werkdagen]]</f>
        <v>0</v>
      </c>
      <c r="AG184" s="76"/>
      <c r="AH184" s="272" t="str">
        <f>IF(Ruimtestaat[[#This Row],[Frequentie werkdagen]]="","",_xlfn.CONCAT(Ruimtestaat[[#This Row],[Ruimte code]],"-",Ruimtestaat[[#This Row],[Frequentie werkdagen]]," ",Ruimtestaat[[#This Row],[Vloer code]]))</f>
        <v>5-5w S</v>
      </c>
      <c r="AI184" s="310" t="str">
        <f>_xlfn.IFNA(VLOOKUP($AH184,Programma!$F$3:$G$1107,2,0),"")</f>
        <v>_</v>
      </c>
      <c r="AJ184" s="310" t="str">
        <f>_xlfn.IFNA(VLOOKUP($AH184,Programma!$F$3:$H$1107,3,0),"")</f>
        <v>_</v>
      </c>
      <c r="AK184" s="310" t="str">
        <f>_xlfn.IFNA(VLOOKUP($AH184,Programma!$F$3:$I$1107,4,0),"")</f>
        <v>_</v>
      </c>
      <c r="AL184" s="310" t="str">
        <f>_xlfn.IFNA(VLOOKUP($AH184,Programma!$F$3:$J$1107,5,0),"")</f>
        <v>4w</v>
      </c>
      <c r="AM184" s="310" t="str">
        <f>_xlfn.IFNA(VLOOKUP($AH184,Programma!$F$3:$K$1107,6,0),"")</f>
        <v>1w</v>
      </c>
      <c r="AN184" s="310" t="str">
        <f>_xlfn.IFNA(VLOOKUP($AH184,Programma!$F$3:$L$1107,7,0),"")</f>
        <v>_</v>
      </c>
      <c r="AO184" s="310" t="str">
        <f>_xlfn.IFNA(VLOOKUP($AH184,Programma!$F$3:$M$1107,8,0),"")</f>
        <v>_</v>
      </c>
      <c r="AP184" s="310" t="str">
        <f>_xlfn.IFNA(VLOOKUP($AH184,Programma!$F$3:$N$1107,9,0),"")</f>
        <v>_</v>
      </c>
      <c r="AQ184" s="310" t="str">
        <f>_xlfn.IFNA(VLOOKUP($AH184,Programma!$F$3:$O$1107,10,0),"")</f>
        <v>_</v>
      </c>
      <c r="AR184" s="310" t="str">
        <f>_xlfn.IFNA(VLOOKUP($AH184,Programma!$F$3:$P$1107,11,0),"")</f>
        <v>_</v>
      </c>
      <c r="AS184" s="310" t="str">
        <f>_xlfn.IFNA(VLOOKUP($AH184,Programma!$F$3:$Q$1107,12,0),"")</f>
        <v>_</v>
      </c>
      <c r="AT184" s="310" t="str">
        <f>_xlfn.IFNA(VLOOKUP($AH184,Programma!$F$3:$R$1107,13,0),"")</f>
        <v>_</v>
      </c>
      <c r="AU184" s="310" t="str">
        <f>_xlfn.IFNA(VLOOKUP($AH184,Programma!$F$3:$S$1107,14,0),"")</f>
        <v>_</v>
      </c>
      <c r="AV184" s="310" t="str">
        <f>_xlfn.IFNA(VLOOKUP($AH184,Programma!$F$3:$T$1107,15,0),"")</f>
        <v>_</v>
      </c>
      <c r="AW184" s="310" t="str">
        <f>_xlfn.IFNA(VLOOKUP($AH184,Programma!$F$3:$U$1107,16,0),"")</f>
        <v>_</v>
      </c>
      <c r="AX184" s="310" t="str">
        <f>_xlfn.IFNA(VLOOKUP($AH184,Programma!$F$3:$V$1107,17,0),"")</f>
        <v>_</v>
      </c>
      <c r="AY184" s="310" t="str">
        <f>_xlfn.IFNA(VLOOKUP($AH184,Programma!$F$3:$W$1107,18,0),"")</f>
        <v>4w</v>
      </c>
      <c r="AZ184" s="310" t="str">
        <f>_xlfn.IFNA(VLOOKUP($AH184,Programma!$F$3:$X$1107,19,0),"")</f>
        <v>1w</v>
      </c>
      <c r="BA184" s="310" t="str">
        <f>_xlfn.IFNA(VLOOKUP($AH184,Programma!$F$3:$Y$1107,20,0),"")</f>
        <v>_</v>
      </c>
      <c r="BB184" s="273"/>
      <c r="BC184" s="272" t="str">
        <f>IF(Ruimtestaat[[#This Row],[Frequentie weekend]]="","",_xlfn.CONCAT(Ruimtestaat[[#This Row],[Ruimte code]],"-",Ruimtestaat[[#This Row],[Frequentie weekend]]," ",Ruimtestaat[[#This Row],[Vloer code]]))</f>
        <v/>
      </c>
      <c r="BD184" s="310" t="str">
        <f>_xlfn.IFNA(VLOOKUP($BC184,Programma!$F$3:$G$1107,2,0),"")</f>
        <v/>
      </c>
      <c r="BE184" s="310" t="str">
        <f>_xlfn.IFNA(VLOOKUP($BC184,Programma!$F$3:$H$1107,3,0),"")</f>
        <v/>
      </c>
      <c r="BF184" s="310" t="str">
        <f>_xlfn.IFNA(VLOOKUP($BC184,Programma!$F$3:$I$1107,4,0),"")</f>
        <v/>
      </c>
      <c r="BG184" s="310" t="str">
        <f>_xlfn.IFNA(VLOOKUP($BC184,Programma!$F$3:$J$1107,5,0),"")</f>
        <v/>
      </c>
      <c r="BH184" s="310" t="str">
        <f>_xlfn.IFNA(VLOOKUP($BC184,Programma!$F$3:$K$1107,6,0),"")</f>
        <v/>
      </c>
      <c r="BI184" s="310" t="str">
        <f>_xlfn.IFNA(VLOOKUP($BC184,Programma!$F$3:$L$1107,7,0),"")</f>
        <v/>
      </c>
      <c r="BJ184" s="310" t="str">
        <f>_xlfn.IFNA(VLOOKUP($BC184,Programma!$F$3:$M$1107,8,0),"")</f>
        <v/>
      </c>
      <c r="BK184" s="310" t="str">
        <f>_xlfn.IFNA(VLOOKUP($BC184,Programma!$F$3:$N$1107,9,0),"")</f>
        <v/>
      </c>
      <c r="BL184" s="310" t="str">
        <f>_xlfn.IFNA(VLOOKUP($BC184,Programma!$F$3:$O$1107,10,0),"")</f>
        <v/>
      </c>
      <c r="BM184" s="310" t="str">
        <f>_xlfn.IFNA(VLOOKUP($BC184,Programma!$F$3:$P$1107,11,0),"")</f>
        <v/>
      </c>
      <c r="BN184" s="310" t="str">
        <f>_xlfn.IFNA(VLOOKUP($BC184,Programma!$F$3:$Q$1107,12,0),"")</f>
        <v/>
      </c>
      <c r="BO184" s="310" t="str">
        <f>_xlfn.IFNA(VLOOKUP($BC184,Programma!$F$3:$R$1107,13,0),"")</f>
        <v/>
      </c>
      <c r="BP184" s="310" t="str">
        <f>_xlfn.IFNA(VLOOKUP($BC184,Programma!$F$3:$S$1107,14,0),"")</f>
        <v/>
      </c>
      <c r="BQ184" s="310" t="str">
        <f>_xlfn.IFNA(VLOOKUP($BC184,Programma!$F$3:$T$1107,15,0),"")</f>
        <v/>
      </c>
      <c r="BR184" s="310" t="str">
        <f>_xlfn.IFNA(VLOOKUP($BC184,Programma!$F$3:$U$1107,16,0),"")</f>
        <v/>
      </c>
      <c r="BS184" s="310" t="str">
        <f>_xlfn.IFNA(VLOOKUP($BC184,Programma!$F$3:$V$1107,17,0),"")</f>
        <v/>
      </c>
      <c r="BT184" s="310" t="str">
        <f>_xlfn.IFNA(VLOOKUP($BC184,Programma!$F$3:$W$1107,18,0),"")</f>
        <v/>
      </c>
      <c r="BU184" s="310" t="str">
        <f>_xlfn.IFNA(VLOOKUP($BC184,Programma!$F$3:$X$1107,19,0),"")</f>
        <v/>
      </c>
      <c r="BV184" s="310" t="str">
        <f>_xlfn.IFNA(VLOOKUP($BC184,Programma!$F$3:$Y$1107,20,0),"")</f>
        <v/>
      </c>
    </row>
    <row r="185" spans="1:74" ht="15" customHeight="1">
      <c r="A185" s="33">
        <v>1</v>
      </c>
      <c r="B185" s="173" t="str">
        <f>VLOOKUP(Ruimtestaat[[#This Row],[Code]],Locaties[[Code]:[Locatie]],2,FALSE)</f>
        <v>CCNV</v>
      </c>
      <c r="C185" s="173" t="str">
        <f>VLOOKUP(Ruimtestaat[[#This Row],[Code]],Locaties[[#All],[Code]:[Adres]],4,FALSE)</f>
        <v>Stationslaan 26</v>
      </c>
      <c r="D185" s="173" t="str">
        <f>VLOOKUP(Ruimtestaat[[#This Row],[Code]],Locaties[[#All],[Code]:[Postcode]],5,FALSE)</f>
        <v>3842 LA</v>
      </c>
      <c r="E185" s="173" t="str">
        <f>VLOOKUP(Ruimtestaat[[#This Row],[Code]],Locaties[#All],6,FALSE)</f>
        <v>Harderwijk</v>
      </c>
      <c r="F185" s="21" t="s">
        <v>1630</v>
      </c>
      <c r="G185" s="33"/>
      <c r="I185" s="69" t="s">
        <v>1799</v>
      </c>
      <c r="J185" s="21">
        <v>5</v>
      </c>
      <c r="K185" s="69" t="str">
        <f>VLOOKUP(Ruimtestaat[[#This Row],[Ruimte code]],Ruimtegroepen[[#All],[Code]:[Ruimte omschrijving]],2,FALSE)</f>
        <v>Sanitair</v>
      </c>
      <c r="L185" s="33" t="s">
        <v>102</v>
      </c>
      <c r="M185" s="312" t="s">
        <v>1805</v>
      </c>
      <c r="N185" s="148">
        <v>12</v>
      </c>
      <c r="O185" s="33"/>
      <c r="P185" s="134" t="str">
        <f>VLOOKUP(Ruimtestaat[[#This Row],[Ruimte code]],Ruimtegroepen[],4,FALSE)</f>
        <v>Sa</v>
      </c>
      <c r="Q185" s="33">
        <v>40</v>
      </c>
      <c r="R185" s="33" t="s">
        <v>2</v>
      </c>
      <c r="S185" s="33">
        <f>IF(Q185&gt;0,IF(RIGHT(Ruimtestaat[[#This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5" s="33">
        <f>IF(S185&gt;0,VLOOKUP($J185,Ruimtegroepen[],3,FALSE)*VLOOKUP($L185,Vloersoorten[],3,FALSE)*VLOOKUP($R185,Frequenties[],3,FALSE)*VLOOKUP($A185,Locaties[],3,FALSE),0)</f>
        <v>0</v>
      </c>
      <c r="U185" s="33">
        <f>Ruimtestaat[[#This Row],[Uitvoeringen werkdagen]]*Ruimtestaat[[#This Row],[Oppervlak (netto)]]</f>
        <v>2400</v>
      </c>
      <c r="V185" s="170">
        <f>IF(T185&gt;0,Ruimtestaat[[#This Row],[Prest. (m2 /jaar) werkdagen]]/Ruimtestaat[[#This Row],[Norm (m2/uur) werkdagen]],0)</f>
        <v>0</v>
      </c>
      <c r="W185" s="171">
        <f>Ruimtestaat[[#This Row],[uren / jaar werkdagen]]*Tariefsopbouw!$E$35</f>
        <v>0</v>
      </c>
      <c r="X185" s="33"/>
      <c r="Y185" s="33">
        <f>IF(Ruimtestaat[[#This Row],[Frequentie weekend]]&gt;0,VALUE(LEFT(X185,1))*Q185,0)</f>
        <v>0</v>
      </c>
      <c r="Z185" s="104">
        <f>IF($Y185&gt;0,VLOOKUP($J185,Ruimtegroepen[],3,FALSE)*VLOOKUP($L185,Vloersoorten[],3,FALSE)*VLOOKUP($X185,Frequenties[],3,FALSE)*VLOOKUP(Ruimtestaat[[#This Row],[Code]],Locaties[],3,FALSE),0)</f>
        <v>0</v>
      </c>
      <c r="AA185" s="104">
        <f>Ruimtestaat[[#This Row],[Uitvoeringen weekend]]*Ruimtestaat[[#This Row],[Oppervlak (netto)]]</f>
        <v>0</v>
      </c>
      <c r="AB185" s="104">
        <f>IF(Z185&gt;0,Ruimtestaat[[#This Row],[Prest. (m2 /jaar) weekend]]/Ruimtestaat[[#This Row],[Norm (m2/uur) weekend]],0)</f>
        <v>0</v>
      </c>
      <c r="AC185" s="171">
        <f>Ruimtestaat[[#This Row],[uren / jaar weekend]]*Tariefsopbouw!$D$40</f>
        <v>0</v>
      </c>
      <c r="AD185" s="170">
        <f>Ruimtestaat[[#This Row],[Prest. (m2 /jaar) weekend]]+Ruimtestaat[[#This Row],[Prest. (m2 /jaar) werkdagen]]</f>
        <v>2400</v>
      </c>
      <c r="AE185" s="170">
        <f>Ruimtestaat[[#This Row],[uren / jaar weekend]]+Ruimtestaat[[#This Row],[uren / jaar werkdagen]]</f>
        <v>0</v>
      </c>
      <c r="AF185" s="76">
        <f>Ruimtestaat[[#This Row],[kosten / jaar weekend]]+Ruimtestaat[[#This Row],[kosten / jaar werkdagen]]</f>
        <v>0</v>
      </c>
      <c r="AG185" s="76"/>
      <c r="AH185" s="272" t="str">
        <f>IF(Ruimtestaat[[#This Row],[Frequentie werkdagen]]="","",_xlfn.CONCAT(Ruimtestaat[[#This Row],[Ruimte code]],"-",Ruimtestaat[[#This Row],[Frequentie werkdagen]]," ",Ruimtestaat[[#This Row],[Vloer code]]))</f>
        <v>5-5w S</v>
      </c>
      <c r="AI185" s="310" t="str">
        <f>_xlfn.IFNA(VLOOKUP($AH185,Programma!$F$3:$G$1107,2,0),"")</f>
        <v>_</v>
      </c>
      <c r="AJ185" s="310" t="str">
        <f>_xlfn.IFNA(VLOOKUP($AH185,Programma!$F$3:$H$1107,3,0),"")</f>
        <v>_</v>
      </c>
      <c r="AK185" s="310" t="str">
        <f>_xlfn.IFNA(VLOOKUP($AH185,Programma!$F$3:$I$1107,4,0),"")</f>
        <v>_</v>
      </c>
      <c r="AL185" s="310" t="str">
        <f>_xlfn.IFNA(VLOOKUP($AH185,Programma!$F$3:$J$1107,5,0),"")</f>
        <v>4w</v>
      </c>
      <c r="AM185" s="310" t="str">
        <f>_xlfn.IFNA(VLOOKUP($AH185,Programma!$F$3:$K$1107,6,0),"")</f>
        <v>1w</v>
      </c>
      <c r="AN185" s="310" t="str">
        <f>_xlfn.IFNA(VLOOKUP($AH185,Programma!$F$3:$L$1107,7,0),"")</f>
        <v>_</v>
      </c>
      <c r="AO185" s="310" t="str">
        <f>_xlfn.IFNA(VLOOKUP($AH185,Programma!$F$3:$M$1107,8,0),"")</f>
        <v>_</v>
      </c>
      <c r="AP185" s="310" t="str">
        <f>_xlfn.IFNA(VLOOKUP($AH185,Programma!$F$3:$N$1107,9,0),"")</f>
        <v>_</v>
      </c>
      <c r="AQ185" s="310" t="str">
        <f>_xlfn.IFNA(VLOOKUP($AH185,Programma!$F$3:$O$1107,10,0),"")</f>
        <v>_</v>
      </c>
      <c r="AR185" s="310" t="str">
        <f>_xlfn.IFNA(VLOOKUP($AH185,Programma!$F$3:$P$1107,11,0),"")</f>
        <v>_</v>
      </c>
      <c r="AS185" s="310" t="str">
        <f>_xlfn.IFNA(VLOOKUP($AH185,Programma!$F$3:$Q$1107,12,0),"")</f>
        <v>_</v>
      </c>
      <c r="AT185" s="310" t="str">
        <f>_xlfn.IFNA(VLOOKUP($AH185,Programma!$F$3:$R$1107,13,0),"")</f>
        <v>_</v>
      </c>
      <c r="AU185" s="310" t="str">
        <f>_xlfn.IFNA(VLOOKUP($AH185,Programma!$F$3:$S$1107,14,0),"")</f>
        <v>_</v>
      </c>
      <c r="AV185" s="310" t="str">
        <f>_xlfn.IFNA(VLOOKUP($AH185,Programma!$F$3:$T$1107,15,0),"")</f>
        <v>_</v>
      </c>
      <c r="AW185" s="310" t="str">
        <f>_xlfn.IFNA(VLOOKUP($AH185,Programma!$F$3:$U$1107,16,0),"")</f>
        <v>_</v>
      </c>
      <c r="AX185" s="310" t="str">
        <f>_xlfn.IFNA(VLOOKUP($AH185,Programma!$F$3:$V$1107,17,0),"")</f>
        <v>_</v>
      </c>
      <c r="AY185" s="310" t="str">
        <f>_xlfn.IFNA(VLOOKUP($AH185,Programma!$F$3:$W$1107,18,0),"")</f>
        <v>4w</v>
      </c>
      <c r="AZ185" s="310" t="str">
        <f>_xlfn.IFNA(VLOOKUP($AH185,Programma!$F$3:$X$1107,19,0),"")</f>
        <v>1w</v>
      </c>
      <c r="BA185" s="310" t="str">
        <f>_xlfn.IFNA(VLOOKUP($AH185,Programma!$F$3:$Y$1107,20,0),"")</f>
        <v>_</v>
      </c>
      <c r="BB185" s="273"/>
      <c r="BC185" s="272" t="str">
        <f>IF(Ruimtestaat[[#This Row],[Frequentie weekend]]="","",_xlfn.CONCAT(Ruimtestaat[[#This Row],[Ruimte code]],"-",Ruimtestaat[[#This Row],[Frequentie weekend]]," ",Ruimtestaat[[#This Row],[Vloer code]]))</f>
        <v/>
      </c>
      <c r="BD185" s="310" t="str">
        <f>_xlfn.IFNA(VLOOKUP($BC185,Programma!$F$3:$G$1107,2,0),"")</f>
        <v/>
      </c>
      <c r="BE185" s="310" t="str">
        <f>_xlfn.IFNA(VLOOKUP($BC185,Programma!$F$3:$H$1107,3,0),"")</f>
        <v/>
      </c>
      <c r="BF185" s="310" t="str">
        <f>_xlfn.IFNA(VLOOKUP($BC185,Programma!$F$3:$I$1107,4,0),"")</f>
        <v/>
      </c>
      <c r="BG185" s="310" t="str">
        <f>_xlfn.IFNA(VLOOKUP($BC185,Programma!$F$3:$J$1107,5,0),"")</f>
        <v/>
      </c>
      <c r="BH185" s="310" t="str">
        <f>_xlfn.IFNA(VLOOKUP($BC185,Programma!$F$3:$K$1107,6,0),"")</f>
        <v/>
      </c>
      <c r="BI185" s="310" t="str">
        <f>_xlfn.IFNA(VLOOKUP($BC185,Programma!$F$3:$L$1107,7,0),"")</f>
        <v/>
      </c>
      <c r="BJ185" s="310" t="str">
        <f>_xlfn.IFNA(VLOOKUP($BC185,Programma!$F$3:$M$1107,8,0),"")</f>
        <v/>
      </c>
      <c r="BK185" s="310" t="str">
        <f>_xlfn.IFNA(VLOOKUP($BC185,Programma!$F$3:$N$1107,9,0),"")</f>
        <v/>
      </c>
      <c r="BL185" s="310" t="str">
        <f>_xlfn.IFNA(VLOOKUP($BC185,Programma!$F$3:$O$1107,10,0),"")</f>
        <v/>
      </c>
      <c r="BM185" s="310" t="str">
        <f>_xlfn.IFNA(VLOOKUP($BC185,Programma!$F$3:$P$1107,11,0),"")</f>
        <v/>
      </c>
      <c r="BN185" s="310" t="str">
        <f>_xlfn.IFNA(VLOOKUP($BC185,Programma!$F$3:$Q$1107,12,0),"")</f>
        <v/>
      </c>
      <c r="BO185" s="310" t="str">
        <f>_xlfn.IFNA(VLOOKUP($BC185,Programma!$F$3:$R$1107,13,0),"")</f>
        <v/>
      </c>
      <c r="BP185" s="310" t="str">
        <f>_xlfn.IFNA(VLOOKUP($BC185,Programma!$F$3:$S$1107,14,0),"")</f>
        <v/>
      </c>
      <c r="BQ185" s="310" t="str">
        <f>_xlfn.IFNA(VLOOKUP($BC185,Programma!$F$3:$T$1107,15,0),"")</f>
        <v/>
      </c>
      <c r="BR185" s="310" t="str">
        <f>_xlfn.IFNA(VLOOKUP($BC185,Programma!$F$3:$U$1107,16,0),"")</f>
        <v/>
      </c>
      <c r="BS185" s="310" t="str">
        <f>_xlfn.IFNA(VLOOKUP($BC185,Programma!$F$3:$V$1107,17,0),"")</f>
        <v/>
      </c>
      <c r="BT185" s="310" t="str">
        <f>_xlfn.IFNA(VLOOKUP($BC185,Programma!$F$3:$W$1107,18,0),"")</f>
        <v/>
      </c>
      <c r="BU185" s="310" t="str">
        <f>_xlfn.IFNA(VLOOKUP($BC185,Programma!$F$3:$X$1107,19,0),"")</f>
        <v/>
      </c>
      <c r="BV185" s="310" t="str">
        <f>_xlfn.IFNA(VLOOKUP($BC185,Programma!$F$3:$Y$1107,20,0),"")</f>
        <v/>
      </c>
    </row>
    <row r="186" spans="1:74" ht="15" customHeight="1">
      <c r="A186" s="33">
        <v>1</v>
      </c>
      <c r="B186" s="173" t="str">
        <f>VLOOKUP(Ruimtestaat[[#This Row],[Code]],Locaties[[Code]:[Locatie]],2,FALSE)</f>
        <v>CCNV</v>
      </c>
      <c r="C186" s="173" t="str">
        <f>VLOOKUP(Ruimtestaat[[#This Row],[Code]],Locaties[[#All],[Code]:[Adres]],4,FALSE)</f>
        <v>Stationslaan 26</v>
      </c>
      <c r="D186" s="173" t="str">
        <f>VLOOKUP(Ruimtestaat[[#This Row],[Code]],Locaties[[#All],[Code]:[Postcode]],5,FALSE)</f>
        <v>3842 LA</v>
      </c>
      <c r="E186" s="173" t="str">
        <f>VLOOKUP(Ruimtestaat[[#This Row],[Code]],Locaties[#All],6,FALSE)</f>
        <v>Harderwijk</v>
      </c>
      <c r="F186" s="21" t="s">
        <v>1631</v>
      </c>
      <c r="G186" s="33"/>
      <c r="H186" s="21" t="s">
        <v>1768</v>
      </c>
      <c r="I186" s="69" t="s">
        <v>1783</v>
      </c>
      <c r="J186" s="33">
        <v>2</v>
      </c>
      <c r="K186" s="69" t="str">
        <f>VLOOKUP(Ruimtestaat[[#This Row],[Ruimte code]],Ruimtegroepen[[#All],[Code]:[Ruimte omschrijving]],2,FALSE)</f>
        <v>Kantoren</v>
      </c>
      <c r="L186" s="33" t="s">
        <v>100</v>
      </c>
      <c r="M186" s="312" t="s">
        <v>1803</v>
      </c>
      <c r="N186" s="148">
        <v>34</v>
      </c>
      <c r="O186" s="150"/>
      <c r="P186" s="134" t="str">
        <f>VLOOKUP(Ruimtestaat[[#This Row],[Ruimte code]],Ruimtegroepen[],4,FALSE)</f>
        <v>Bu</v>
      </c>
      <c r="Q186" s="33">
        <v>40</v>
      </c>
      <c r="R186" s="33" t="s">
        <v>15</v>
      </c>
      <c r="S186" s="33">
        <f>IF(Q186&gt;0,IF(RIGHT(Ruimtestaat[[#This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86" s="33">
        <f>IF(S186&gt;0,VLOOKUP($J186,Ruimtegroepen[],3,FALSE)*VLOOKUP($L186,Vloersoorten[],3,FALSE)*VLOOKUP($R186,Frequenties[],3,FALSE)*VLOOKUP($A186,Locaties[],3,FALSE),0)</f>
        <v>0</v>
      </c>
      <c r="U186" s="33">
        <f>Ruimtestaat[[#This Row],[Uitvoeringen werkdagen]]*Ruimtestaat[[#This Row],[Oppervlak (netto)]]</f>
        <v>1360</v>
      </c>
      <c r="V186" s="170">
        <f>IF(T186&gt;0,Ruimtestaat[[#This Row],[Prest. (m2 /jaar) werkdagen]]/Ruimtestaat[[#This Row],[Norm (m2/uur) werkdagen]],0)</f>
        <v>0</v>
      </c>
      <c r="W186" s="171">
        <f>Ruimtestaat[[#This Row],[uren / jaar werkdagen]]*Tariefsopbouw!$E$35</f>
        <v>0</v>
      </c>
      <c r="X186" s="33"/>
      <c r="Y186" s="33">
        <f>IF(Ruimtestaat[[#This Row],[Frequentie weekend]]&gt;0,VALUE(LEFT(X186,1))*Q186,0)</f>
        <v>0</v>
      </c>
      <c r="Z186" s="104">
        <f>IF($Y186&gt;0,VLOOKUP($J186,Ruimtegroepen[],3,FALSE)*VLOOKUP($L186,Vloersoorten[],3,FALSE)*VLOOKUP($X186,Frequenties[],3,FALSE)*VLOOKUP(Ruimtestaat[[#This Row],[Code]],Locaties[],3,FALSE),0)</f>
        <v>0</v>
      </c>
      <c r="AA186" s="104">
        <f>Ruimtestaat[[#This Row],[Uitvoeringen weekend]]*Ruimtestaat[[#This Row],[Oppervlak (netto)]]</f>
        <v>0</v>
      </c>
      <c r="AB186" s="104">
        <f>IF(Z186&gt;0,Ruimtestaat[[#This Row],[Prest. (m2 /jaar) weekend]]/Ruimtestaat[[#This Row],[Norm (m2/uur) weekend]],0)</f>
        <v>0</v>
      </c>
      <c r="AC186" s="171">
        <f>Ruimtestaat[[#This Row],[uren / jaar weekend]]*Tariefsopbouw!$D$40</f>
        <v>0</v>
      </c>
      <c r="AD186" s="170">
        <f>Ruimtestaat[[#This Row],[Prest. (m2 /jaar) weekend]]+Ruimtestaat[[#This Row],[Prest. (m2 /jaar) werkdagen]]</f>
        <v>1360</v>
      </c>
      <c r="AE186" s="170">
        <f>Ruimtestaat[[#This Row],[uren / jaar weekend]]+Ruimtestaat[[#This Row],[uren / jaar werkdagen]]</f>
        <v>0</v>
      </c>
      <c r="AF186" s="76">
        <f>Ruimtestaat[[#This Row],[kosten / jaar weekend]]+Ruimtestaat[[#This Row],[kosten / jaar werkdagen]]</f>
        <v>0</v>
      </c>
      <c r="AG186" s="76"/>
      <c r="AH186" s="272" t="str">
        <f>IF(Ruimtestaat[[#This Row],[Frequentie werkdagen]]="","",_xlfn.CONCAT(Ruimtestaat[[#This Row],[Ruimte code]],"-",Ruimtestaat[[#This Row],[Frequentie werkdagen]]," ",Ruimtestaat[[#This Row],[Vloer code]]))</f>
        <v>2-1w T</v>
      </c>
      <c r="AI186" s="310" t="str">
        <f>_xlfn.IFNA(VLOOKUP($AH186,Programma!$F$3:$G$1107,2,0),"")</f>
        <v>_</v>
      </c>
      <c r="AJ186" s="310" t="str">
        <f>_xlfn.IFNA(VLOOKUP($AH186,Programma!$F$3:$H$1107,3,0),"")</f>
        <v>1w</v>
      </c>
      <c r="AK186" s="310" t="str">
        <f>_xlfn.IFNA(VLOOKUP($AH186,Programma!$F$3:$I$1107,4,0),"")</f>
        <v>_</v>
      </c>
      <c r="AL186" s="310" t="str">
        <f>_xlfn.IFNA(VLOOKUP($AH186,Programma!$F$3:$J$1107,5,0),"")</f>
        <v>_</v>
      </c>
      <c r="AM186" s="310" t="str">
        <f>_xlfn.IFNA(VLOOKUP($AH186,Programma!$F$3:$K$1107,6,0),"")</f>
        <v>_</v>
      </c>
      <c r="AN186" s="310" t="str">
        <f>_xlfn.IFNA(VLOOKUP($AH186,Programma!$F$3:$L$1107,7,0),"")</f>
        <v>_</v>
      </c>
      <c r="AO186" s="310" t="str">
        <f>_xlfn.IFNA(VLOOKUP($AH186,Programma!$F$3:$M$1107,8,0),"")</f>
        <v>_</v>
      </c>
      <c r="AP186" s="310" t="str">
        <f>_xlfn.IFNA(VLOOKUP($AH186,Programma!$F$3:$N$1107,9,0),"")</f>
        <v>_</v>
      </c>
      <c r="AQ186" s="310" t="str">
        <f>_xlfn.IFNA(VLOOKUP($AH186,Programma!$F$3:$O$1107,10,0),"")</f>
        <v>1w</v>
      </c>
      <c r="AR186" s="310" t="str">
        <f>_xlfn.IFNA(VLOOKUP($AH186,Programma!$F$3:$P$1107,11,0),"")</f>
        <v>1w</v>
      </c>
      <c r="AS186" s="310" t="str">
        <f>_xlfn.IFNA(VLOOKUP($AH186,Programma!$F$3:$Q$1107,12,0),"")</f>
        <v>1w</v>
      </c>
      <c r="AT186" s="310" t="str">
        <f>_xlfn.IFNA(VLOOKUP($AH186,Programma!$F$3:$R$1107,13,0),"")</f>
        <v>1w</v>
      </c>
      <c r="AU186" s="310" t="str">
        <f>_xlfn.IFNA(VLOOKUP($AH186,Programma!$F$3:$S$1107,14,0),"")</f>
        <v>1m</v>
      </c>
      <c r="AV186" s="310" t="str">
        <f>_xlfn.IFNA(VLOOKUP($AH186,Programma!$F$3:$T$1107,15,0),"")</f>
        <v>2j</v>
      </c>
      <c r="AW186" s="310" t="str">
        <f>_xlfn.IFNA(VLOOKUP($AH186,Programma!$F$3:$U$1107,16,0),"")</f>
        <v>1j</v>
      </c>
      <c r="AX186" s="310" t="str">
        <f>_xlfn.IFNA(VLOOKUP($AH186,Programma!$F$3:$V$1107,17,0),"")</f>
        <v>_</v>
      </c>
      <c r="AY186" s="310" t="str">
        <f>_xlfn.IFNA(VLOOKUP($AH186,Programma!$F$3:$W$1107,18,0),"")</f>
        <v>_</v>
      </c>
      <c r="AZ186" s="310" t="str">
        <f>_xlfn.IFNA(VLOOKUP($AH186,Programma!$F$3:$X$1107,19,0),"")</f>
        <v>_</v>
      </c>
      <c r="BA186" s="310" t="str">
        <f>_xlfn.IFNA(VLOOKUP($AH186,Programma!$F$3:$Y$1107,20,0),"")</f>
        <v>_</v>
      </c>
      <c r="BB186" s="273"/>
      <c r="BC186" s="272" t="str">
        <f>IF(Ruimtestaat[[#This Row],[Frequentie weekend]]="","",_xlfn.CONCAT(Ruimtestaat[[#This Row],[Ruimte code]],"-",Ruimtestaat[[#This Row],[Frequentie weekend]]," ",Ruimtestaat[[#This Row],[Vloer code]]))</f>
        <v/>
      </c>
      <c r="BD186" s="310" t="str">
        <f>_xlfn.IFNA(VLOOKUP($BC186,Programma!$F$3:$G$1107,2,0),"")</f>
        <v/>
      </c>
      <c r="BE186" s="310" t="str">
        <f>_xlfn.IFNA(VLOOKUP($BC186,Programma!$F$3:$H$1107,3,0),"")</f>
        <v/>
      </c>
      <c r="BF186" s="310" t="str">
        <f>_xlfn.IFNA(VLOOKUP($BC186,Programma!$F$3:$I$1107,4,0),"")</f>
        <v/>
      </c>
      <c r="BG186" s="310" t="str">
        <f>_xlfn.IFNA(VLOOKUP($BC186,Programma!$F$3:$J$1107,5,0),"")</f>
        <v/>
      </c>
      <c r="BH186" s="310" t="str">
        <f>_xlfn.IFNA(VLOOKUP($BC186,Programma!$F$3:$K$1107,6,0),"")</f>
        <v/>
      </c>
      <c r="BI186" s="310" t="str">
        <f>_xlfn.IFNA(VLOOKUP($BC186,Programma!$F$3:$L$1107,7,0),"")</f>
        <v/>
      </c>
      <c r="BJ186" s="310" t="str">
        <f>_xlfn.IFNA(VLOOKUP($BC186,Programma!$F$3:$M$1107,8,0),"")</f>
        <v/>
      </c>
      <c r="BK186" s="310" t="str">
        <f>_xlfn.IFNA(VLOOKUP($BC186,Programma!$F$3:$N$1107,9,0),"")</f>
        <v/>
      </c>
      <c r="BL186" s="310" t="str">
        <f>_xlfn.IFNA(VLOOKUP($BC186,Programma!$F$3:$O$1107,10,0),"")</f>
        <v/>
      </c>
      <c r="BM186" s="310" t="str">
        <f>_xlfn.IFNA(VLOOKUP($BC186,Programma!$F$3:$P$1107,11,0),"")</f>
        <v/>
      </c>
      <c r="BN186" s="310" t="str">
        <f>_xlfn.IFNA(VLOOKUP($BC186,Programma!$F$3:$Q$1107,12,0),"")</f>
        <v/>
      </c>
      <c r="BO186" s="310" t="str">
        <f>_xlfn.IFNA(VLOOKUP($BC186,Programma!$F$3:$R$1107,13,0),"")</f>
        <v/>
      </c>
      <c r="BP186" s="310" t="str">
        <f>_xlfn.IFNA(VLOOKUP($BC186,Programma!$F$3:$S$1107,14,0),"")</f>
        <v/>
      </c>
      <c r="BQ186" s="310" t="str">
        <f>_xlfn.IFNA(VLOOKUP($BC186,Programma!$F$3:$T$1107,15,0),"")</f>
        <v/>
      </c>
      <c r="BR186" s="310" t="str">
        <f>_xlfn.IFNA(VLOOKUP($BC186,Programma!$F$3:$U$1107,16,0),"")</f>
        <v/>
      </c>
      <c r="BS186" s="310" t="str">
        <f>_xlfn.IFNA(VLOOKUP($BC186,Programma!$F$3:$V$1107,17,0),"")</f>
        <v/>
      </c>
      <c r="BT186" s="310" t="str">
        <f>_xlfn.IFNA(VLOOKUP($BC186,Programma!$F$3:$W$1107,18,0),"")</f>
        <v/>
      </c>
      <c r="BU186" s="310" t="str">
        <f>_xlfn.IFNA(VLOOKUP($BC186,Programma!$F$3:$X$1107,19,0),"")</f>
        <v/>
      </c>
      <c r="BV186" s="310" t="str">
        <f>_xlfn.IFNA(VLOOKUP($BC186,Programma!$F$3:$Y$1107,20,0),"")</f>
        <v/>
      </c>
    </row>
    <row r="187" spans="1:74" ht="15" customHeight="1">
      <c r="A187" s="33">
        <v>1</v>
      </c>
      <c r="B187" s="173" t="str">
        <f>VLOOKUP(Ruimtestaat[[#This Row],[Code]],Locaties[[Code]:[Locatie]],2,FALSE)</f>
        <v>CCNV</v>
      </c>
      <c r="C187" s="173" t="str">
        <f>VLOOKUP(Ruimtestaat[[#This Row],[Code]],Locaties[[#All],[Code]:[Adres]],4,FALSE)</f>
        <v>Stationslaan 26</v>
      </c>
      <c r="D187" s="173" t="str">
        <f>VLOOKUP(Ruimtestaat[[#This Row],[Code]],Locaties[[#All],[Code]:[Postcode]],5,FALSE)</f>
        <v>3842 LA</v>
      </c>
      <c r="E187" s="173" t="str">
        <f>VLOOKUP(Ruimtestaat[[#This Row],[Code]],Locaties[#All],6,FALSE)</f>
        <v>Harderwijk</v>
      </c>
      <c r="F187" s="21" t="s">
        <v>1631</v>
      </c>
      <c r="G187" s="33"/>
      <c r="H187" s="21" t="s">
        <v>1769</v>
      </c>
      <c r="I187" s="69" t="s">
        <v>1783</v>
      </c>
      <c r="J187" s="21">
        <v>2</v>
      </c>
      <c r="K187" s="69" t="str">
        <f>VLOOKUP(Ruimtestaat[[#This Row],[Ruimte code]],Ruimtegroepen[[#All],[Code]:[Ruimte omschrijving]],2,FALSE)</f>
        <v>Kantoren</v>
      </c>
      <c r="L187" s="33" t="s">
        <v>1817</v>
      </c>
      <c r="M187" s="312" t="s">
        <v>1802</v>
      </c>
      <c r="N187" s="148">
        <v>16</v>
      </c>
      <c r="O187" s="150"/>
      <c r="P187" s="134" t="str">
        <f>VLOOKUP(Ruimtestaat[[#This Row],[Ruimte code]],Ruimtegroepen[],4,FALSE)</f>
        <v>Bu</v>
      </c>
      <c r="Q187" s="33">
        <v>40</v>
      </c>
      <c r="R187" s="33" t="s">
        <v>15</v>
      </c>
      <c r="S187" s="33">
        <f>IF(Q187&gt;0,IF(RIGHT(Ruimtestaat[[#This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87" s="33">
        <f>IF(S187&gt;0,VLOOKUP($J187,Ruimtegroepen[],3,FALSE)*VLOOKUP($L187,Vloersoorten[],3,FALSE)*VLOOKUP($R187,Frequenties[],3,FALSE)*VLOOKUP($A187,Locaties[],3,FALSE),0)</f>
        <v>0</v>
      </c>
      <c r="U187" s="33">
        <f>Ruimtestaat[[#This Row],[Uitvoeringen werkdagen]]*Ruimtestaat[[#This Row],[Oppervlak (netto)]]</f>
        <v>640</v>
      </c>
      <c r="V187" s="170">
        <f>IF(T187&gt;0,Ruimtestaat[[#This Row],[Prest. (m2 /jaar) werkdagen]]/Ruimtestaat[[#This Row],[Norm (m2/uur) werkdagen]],0)</f>
        <v>0</v>
      </c>
      <c r="W187" s="171">
        <f>Ruimtestaat[[#This Row],[uren / jaar werkdagen]]*Tariefsopbouw!$E$35</f>
        <v>0</v>
      </c>
      <c r="X187" s="33"/>
      <c r="Y187" s="33">
        <f>IF(Ruimtestaat[[#This Row],[Frequentie weekend]]&gt;0,VALUE(LEFT(X187,1))*Q187,0)</f>
        <v>0</v>
      </c>
      <c r="Z187" s="104">
        <f>IF($Y187&gt;0,VLOOKUP($J187,Ruimtegroepen[],3,FALSE)*VLOOKUP($L187,Vloersoorten[],3,FALSE)*VLOOKUP($X187,Frequenties[],3,FALSE)*VLOOKUP(Ruimtestaat[[#This Row],[Code]],Locaties[],3,FALSE),0)</f>
        <v>0</v>
      </c>
      <c r="AA187" s="104">
        <f>Ruimtestaat[[#This Row],[Uitvoeringen weekend]]*Ruimtestaat[[#This Row],[Oppervlak (netto)]]</f>
        <v>0</v>
      </c>
      <c r="AB187" s="104">
        <f>IF(Z187&gt;0,Ruimtestaat[[#This Row],[Prest. (m2 /jaar) weekend]]/Ruimtestaat[[#This Row],[Norm (m2/uur) weekend]],0)</f>
        <v>0</v>
      </c>
      <c r="AC187" s="171">
        <f>Ruimtestaat[[#This Row],[uren / jaar weekend]]*Tariefsopbouw!$D$40</f>
        <v>0</v>
      </c>
      <c r="AD187" s="170">
        <f>Ruimtestaat[[#This Row],[Prest. (m2 /jaar) weekend]]+Ruimtestaat[[#This Row],[Prest. (m2 /jaar) werkdagen]]</f>
        <v>640</v>
      </c>
      <c r="AE187" s="170">
        <f>Ruimtestaat[[#This Row],[uren / jaar weekend]]+Ruimtestaat[[#This Row],[uren / jaar werkdagen]]</f>
        <v>0</v>
      </c>
      <c r="AF187" s="76">
        <f>Ruimtestaat[[#This Row],[kosten / jaar weekend]]+Ruimtestaat[[#This Row],[kosten / jaar werkdagen]]</f>
        <v>0</v>
      </c>
      <c r="AG187" s="76"/>
      <c r="AH187" s="272" t="str">
        <f>IF(Ruimtestaat[[#This Row],[Frequentie werkdagen]]="","",_xlfn.CONCAT(Ruimtestaat[[#This Row],[Ruimte code]],"-",Ruimtestaat[[#This Row],[Frequentie werkdagen]]," ",Ruimtestaat[[#This Row],[Vloer code]]))</f>
        <v>2-1w p</v>
      </c>
      <c r="AI187" s="310" t="str">
        <f>_xlfn.IFNA(VLOOKUP($AH187,Programma!$F$3:$G$1107,2,0),"")</f>
        <v>_</v>
      </c>
      <c r="AJ187" s="310" t="str">
        <f>_xlfn.IFNA(VLOOKUP($AH187,Programma!$F$3:$H$1107,3,0),"")</f>
        <v>_</v>
      </c>
      <c r="AK187" s="310" t="str">
        <f>_xlfn.IFNA(VLOOKUP($AH187,Programma!$F$3:$I$1107,4,0),"")</f>
        <v>_</v>
      </c>
      <c r="AL187" s="310" t="str">
        <f>_xlfn.IFNA(VLOOKUP($AH187,Programma!$F$3:$J$1107,5,0),"")</f>
        <v>1w</v>
      </c>
      <c r="AM187" s="310" t="str">
        <f>_xlfn.IFNA(VLOOKUP($AH187,Programma!$F$3:$K$1107,6,0),"")</f>
        <v>1j</v>
      </c>
      <c r="AN187" s="310" t="str">
        <f>_xlfn.IFNA(VLOOKUP($AH187,Programma!$F$3:$L$1107,7,0),"")</f>
        <v>_</v>
      </c>
      <c r="AO187" s="310" t="str">
        <f>_xlfn.IFNA(VLOOKUP($AH187,Programma!$F$3:$M$1107,8,0),"")</f>
        <v>_</v>
      </c>
      <c r="AP187" s="310" t="str">
        <f>_xlfn.IFNA(VLOOKUP($AH187,Programma!$F$3:$N$1107,9,0),"")</f>
        <v>_</v>
      </c>
      <c r="AQ187" s="310" t="str">
        <f>_xlfn.IFNA(VLOOKUP($AH187,Programma!$F$3:$O$1107,10,0),"")</f>
        <v>1w</v>
      </c>
      <c r="AR187" s="310" t="str">
        <f>_xlfn.IFNA(VLOOKUP($AH187,Programma!$F$3:$P$1107,11,0),"")</f>
        <v>1w</v>
      </c>
      <c r="AS187" s="310" t="str">
        <f>_xlfn.IFNA(VLOOKUP($AH187,Programma!$F$3:$Q$1107,12,0),"")</f>
        <v>1w</v>
      </c>
      <c r="AT187" s="310" t="str">
        <f>_xlfn.IFNA(VLOOKUP($AH187,Programma!$F$3:$R$1107,13,0),"")</f>
        <v>1w</v>
      </c>
      <c r="AU187" s="310" t="str">
        <f>_xlfn.IFNA(VLOOKUP($AH187,Programma!$F$3:$S$1107,14,0),"")</f>
        <v>1m</v>
      </c>
      <c r="AV187" s="310" t="str">
        <f>_xlfn.IFNA(VLOOKUP($AH187,Programma!$F$3:$T$1107,15,0),"")</f>
        <v>2j</v>
      </c>
      <c r="AW187" s="310" t="str">
        <f>_xlfn.IFNA(VLOOKUP($AH187,Programma!$F$3:$U$1107,16,0),"")</f>
        <v>1j</v>
      </c>
      <c r="AX187" s="310" t="str">
        <f>_xlfn.IFNA(VLOOKUP($AH187,Programma!$F$3:$V$1107,17,0),"")</f>
        <v>_</v>
      </c>
      <c r="AY187" s="310" t="str">
        <f>_xlfn.IFNA(VLOOKUP($AH187,Programma!$F$3:$W$1107,18,0),"")</f>
        <v>_</v>
      </c>
      <c r="AZ187" s="310" t="str">
        <f>_xlfn.IFNA(VLOOKUP($AH187,Programma!$F$3:$X$1107,19,0),"")</f>
        <v>_</v>
      </c>
      <c r="BA187" s="310" t="str">
        <f>_xlfn.IFNA(VLOOKUP($AH187,Programma!$F$3:$Y$1107,20,0),"")</f>
        <v>_</v>
      </c>
      <c r="BB187" s="273"/>
      <c r="BC187" s="272" t="str">
        <f>IF(Ruimtestaat[[#This Row],[Frequentie weekend]]="","",_xlfn.CONCAT(Ruimtestaat[[#This Row],[Ruimte code]],"-",Ruimtestaat[[#This Row],[Frequentie weekend]]," ",Ruimtestaat[[#This Row],[Vloer code]]))</f>
        <v/>
      </c>
      <c r="BD187" s="310" t="str">
        <f>_xlfn.IFNA(VLOOKUP($BC187,Programma!$F$3:$G$1107,2,0),"")</f>
        <v/>
      </c>
      <c r="BE187" s="310" t="str">
        <f>_xlfn.IFNA(VLOOKUP($BC187,Programma!$F$3:$H$1107,3,0),"")</f>
        <v/>
      </c>
      <c r="BF187" s="310" t="str">
        <f>_xlfn.IFNA(VLOOKUP($BC187,Programma!$F$3:$I$1107,4,0),"")</f>
        <v/>
      </c>
      <c r="BG187" s="310" t="str">
        <f>_xlfn.IFNA(VLOOKUP($BC187,Programma!$F$3:$J$1107,5,0),"")</f>
        <v/>
      </c>
      <c r="BH187" s="310" t="str">
        <f>_xlfn.IFNA(VLOOKUP($BC187,Programma!$F$3:$K$1107,6,0),"")</f>
        <v/>
      </c>
      <c r="BI187" s="310" t="str">
        <f>_xlfn.IFNA(VLOOKUP($BC187,Programma!$F$3:$L$1107,7,0),"")</f>
        <v/>
      </c>
      <c r="BJ187" s="310" t="str">
        <f>_xlfn.IFNA(VLOOKUP($BC187,Programma!$F$3:$M$1107,8,0),"")</f>
        <v/>
      </c>
      <c r="BK187" s="310" t="str">
        <f>_xlfn.IFNA(VLOOKUP($BC187,Programma!$F$3:$N$1107,9,0),"")</f>
        <v/>
      </c>
      <c r="BL187" s="310" t="str">
        <f>_xlfn.IFNA(VLOOKUP($BC187,Programma!$F$3:$O$1107,10,0),"")</f>
        <v/>
      </c>
      <c r="BM187" s="310" t="str">
        <f>_xlfn.IFNA(VLOOKUP($BC187,Programma!$F$3:$P$1107,11,0),"")</f>
        <v/>
      </c>
      <c r="BN187" s="310" t="str">
        <f>_xlfn.IFNA(VLOOKUP($BC187,Programma!$F$3:$Q$1107,12,0),"")</f>
        <v/>
      </c>
      <c r="BO187" s="310" t="str">
        <f>_xlfn.IFNA(VLOOKUP($BC187,Programma!$F$3:$R$1107,13,0),"")</f>
        <v/>
      </c>
      <c r="BP187" s="310" t="str">
        <f>_xlfn.IFNA(VLOOKUP($BC187,Programma!$F$3:$S$1107,14,0),"")</f>
        <v/>
      </c>
      <c r="BQ187" s="310" t="str">
        <f>_xlfn.IFNA(VLOOKUP($BC187,Programma!$F$3:$T$1107,15,0),"")</f>
        <v/>
      </c>
      <c r="BR187" s="310" t="str">
        <f>_xlfn.IFNA(VLOOKUP($BC187,Programma!$F$3:$U$1107,16,0),"")</f>
        <v/>
      </c>
      <c r="BS187" s="310" t="str">
        <f>_xlfn.IFNA(VLOOKUP($BC187,Programma!$F$3:$V$1107,17,0),"")</f>
        <v/>
      </c>
      <c r="BT187" s="310" t="str">
        <f>_xlfn.IFNA(VLOOKUP($BC187,Programma!$F$3:$W$1107,18,0),"")</f>
        <v/>
      </c>
      <c r="BU187" s="310" t="str">
        <f>_xlfn.IFNA(VLOOKUP($BC187,Programma!$F$3:$X$1107,19,0),"")</f>
        <v/>
      </c>
      <c r="BV187" s="310" t="str">
        <f>_xlfn.IFNA(VLOOKUP($BC187,Programma!$F$3:$Y$1107,20,0),"")</f>
        <v/>
      </c>
    </row>
    <row r="188" spans="1:74" ht="15" customHeight="1">
      <c r="A188" s="33">
        <v>1</v>
      </c>
      <c r="B188" s="173" t="str">
        <f>VLOOKUP(Ruimtestaat[[#This Row],[Code]],Locaties[[Code]:[Locatie]],2,FALSE)</f>
        <v>CCNV</v>
      </c>
      <c r="C188" s="173" t="str">
        <f>VLOOKUP(Ruimtestaat[[#This Row],[Code]],Locaties[[#All],[Code]:[Adres]],4,FALSE)</f>
        <v>Stationslaan 26</v>
      </c>
      <c r="D188" s="173" t="str">
        <f>VLOOKUP(Ruimtestaat[[#This Row],[Code]],Locaties[[#All],[Code]:[Postcode]],5,FALSE)</f>
        <v>3842 LA</v>
      </c>
      <c r="E188" s="173" t="str">
        <f>VLOOKUP(Ruimtestaat[[#This Row],[Code]],Locaties[#All],6,FALSE)</f>
        <v>Harderwijk</v>
      </c>
      <c r="F188" s="21" t="s">
        <v>1631</v>
      </c>
      <c r="G188" s="33"/>
      <c r="H188" s="21" t="s">
        <v>1770</v>
      </c>
      <c r="I188" s="69" t="s">
        <v>1783</v>
      </c>
      <c r="J188" s="21">
        <v>2</v>
      </c>
      <c r="K188" s="69" t="str">
        <f>VLOOKUP(Ruimtestaat[[#This Row],[Ruimte code]],Ruimtegroepen[[#All],[Code]:[Ruimte omschrijving]],2,FALSE)</f>
        <v>Kantoren</v>
      </c>
      <c r="L188" s="33" t="s">
        <v>1817</v>
      </c>
      <c r="M188" s="312" t="s">
        <v>1802</v>
      </c>
      <c r="N188" s="148">
        <v>26</v>
      </c>
      <c r="O188" s="33"/>
      <c r="P188" s="134" t="str">
        <f>VLOOKUP(Ruimtestaat[[#This Row],[Ruimte code]],Ruimtegroepen[],4,FALSE)</f>
        <v>Bu</v>
      </c>
      <c r="Q188" s="33">
        <v>40</v>
      </c>
      <c r="R188" s="33" t="s">
        <v>15</v>
      </c>
      <c r="S188" s="33">
        <f>IF(Q188&gt;0,IF(RIGHT(Ruimtestaat[[#This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88" s="33">
        <f>IF(S188&gt;0,VLOOKUP($J188,Ruimtegroepen[],3,FALSE)*VLOOKUP($L188,Vloersoorten[],3,FALSE)*VLOOKUP($R188,Frequenties[],3,FALSE)*VLOOKUP($A188,Locaties[],3,FALSE),0)</f>
        <v>0</v>
      </c>
      <c r="U188" s="33">
        <f>Ruimtestaat[[#This Row],[Uitvoeringen werkdagen]]*Ruimtestaat[[#This Row],[Oppervlak (netto)]]</f>
        <v>1040</v>
      </c>
      <c r="V188" s="170">
        <f>IF(T188&gt;0,Ruimtestaat[[#This Row],[Prest. (m2 /jaar) werkdagen]]/Ruimtestaat[[#This Row],[Norm (m2/uur) werkdagen]],0)</f>
        <v>0</v>
      </c>
      <c r="W188" s="171">
        <f>Ruimtestaat[[#This Row],[uren / jaar werkdagen]]*Tariefsopbouw!$E$35</f>
        <v>0</v>
      </c>
      <c r="X188" s="33"/>
      <c r="Y188" s="33">
        <f>IF(Ruimtestaat[[#This Row],[Frequentie weekend]]&gt;0,VALUE(LEFT(X188,1))*Q188,0)</f>
        <v>0</v>
      </c>
      <c r="Z188" s="104">
        <f>IF($Y188&gt;0,VLOOKUP($J188,Ruimtegroepen[],3,FALSE)*VLOOKUP($L188,Vloersoorten[],3,FALSE)*VLOOKUP($X188,Frequenties[],3,FALSE)*VLOOKUP(Ruimtestaat[[#This Row],[Code]],Locaties[],3,FALSE),0)</f>
        <v>0</v>
      </c>
      <c r="AA188" s="104">
        <f>Ruimtestaat[[#This Row],[Uitvoeringen weekend]]*Ruimtestaat[[#This Row],[Oppervlak (netto)]]</f>
        <v>0</v>
      </c>
      <c r="AB188" s="104">
        <f>IF(Z188&gt;0,Ruimtestaat[[#This Row],[Prest. (m2 /jaar) weekend]]/Ruimtestaat[[#This Row],[Norm (m2/uur) weekend]],0)</f>
        <v>0</v>
      </c>
      <c r="AC188" s="171">
        <f>Ruimtestaat[[#This Row],[uren / jaar weekend]]*Tariefsopbouw!$D$40</f>
        <v>0</v>
      </c>
      <c r="AD188" s="170">
        <f>Ruimtestaat[[#This Row],[Prest. (m2 /jaar) weekend]]+Ruimtestaat[[#This Row],[Prest. (m2 /jaar) werkdagen]]</f>
        <v>1040</v>
      </c>
      <c r="AE188" s="170">
        <f>Ruimtestaat[[#This Row],[uren / jaar weekend]]+Ruimtestaat[[#This Row],[uren / jaar werkdagen]]</f>
        <v>0</v>
      </c>
      <c r="AF188" s="76">
        <f>Ruimtestaat[[#This Row],[kosten / jaar weekend]]+Ruimtestaat[[#This Row],[kosten / jaar werkdagen]]</f>
        <v>0</v>
      </c>
      <c r="AG188" s="76"/>
      <c r="AH188" s="272" t="str">
        <f>IF(Ruimtestaat[[#This Row],[Frequentie werkdagen]]="","",_xlfn.CONCAT(Ruimtestaat[[#This Row],[Ruimte code]],"-",Ruimtestaat[[#This Row],[Frequentie werkdagen]]," ",Ruimtestaat[[#This Row],[Vloer code]]))</f>
        <v>2-1w p</v>
      </c>
      <c r="AI188" s="314" t="str">
        <f>_xlfn.IFNA(VLOOKUP($AH188,Programma!$F$3:$G$1107,2,0),"")</f>
        <v>_</v>
      </c>
      <c r="AJ188" s="314" t="str">
        <f>_xlfn.IFNA(VLOOKUP($AH188,Programma!$F$3:$H$1107,3,0),"")</f>
        <v>_</v>
      </c>
      <c r="AK188" s="314" t="str">
        <f>_xlfn.IFNA(VLOOKUP($AH188,Programma!$F$3:$I$1107,4,0),"")</f>
        <v>_</v>
      </c>
      <c r="AL188" s="314" t="str">
        <f>_xlfn.IFNA(VLOOKUP($AH188,Programma!$F$3:$J$1107,5,0),"")</f>
        <v>1w</v>
      </c>
      <c r="AM188" s="314" t="str">
        <f>_xlfn.IFNA(VLOOKUP($AH188,Programma!$F$3:$K$1107,6,0),"")</f>
        <v>1j</v>
      </c>
      <c r="AN188" s="314" t="str">
        <f>_xlfn.IFNA(VLOOKUP($AH188,Programma!$F$3:$L$1107,7,0),"")</f>
        <v>_</v>
      </c>
      <c r="AO188" s="314" t="str">
        <f>_xlfn.IFNA(VLOOKUP($AH188,Programma!$F$3:$M$1107,8,0),"")</f>
        <v>_</v>
      </c>
      <c r="AP188" s="314" t="str">
        <f>_xlfn.IFNA(VLOOKUP($AH188,Programma!$F$3:$N$1107,9,0),"")</f>
        <v>_</v>
      </c>
      <c r="AQ188" s="314" t="str">
        <f>_xlfn.IFNA(VLOOKUP($AH188,Programma!$F$3:$O$1107,10,0),"")</f>
        <v>1w</v>
      </c>
      <c r="AR188" s="314" t="str">
        <f>_xlfn.IFNA(VLOOKUP($AH188,Programma!$F$3:$P$1107,11,0),"")</f>
        <v>1w</v>
      </c>
      <c r="AS188" s="314" t="str">
        <f>_xlfn.IFNA(VLOOKUP($AH188,Programma!$F$3:$Q$1107,12,0),"")</f>
        <v>1w</v>
      </c>
      <c r="AT188" s="314" t="str">
        <f>_xlfn.IFNA(VLOOKUP($AH188,Programma!$F$3:$R$1107,13,0),"")</f>
        <v>1w</v>
      </c>
      <c r="AU188" s="314" t="str">
        <f>_xlfn.IFNA(VLOOKUP($AH188,Programma!$F$3:$S$1107,14,0),"")</f>
        <v>1m</v>
      </c>
      <c r="AV188" s="314" t="str">
        <f>_xlfn.IFNA(VLOOKUP($AH188,Programma!$F$3:$T$1107,15,0),"")</f>
        <v>2j</v>
      </c>
      <c r="AW188" s="314" t="str">
        <f>_xlfn.IFNA(VLOOKUP($AH188,Programma!$F$3:$U$1107,16,0),"")</f>
        <v>1j</v>
      </c>
      <c r="AX188" s="314" t="str">
        <f>_xlfn.IFNA(VLOOKUP($AH188,Programma!$F$3:$V$1107,17,0),"")</f>
        <v>_</v>
      </c>
      <c r="AY188" s="314" t="str">
        <f>_xlfn.IFNA(VLOOKUP($AH188,Programma!$F$3:$W$1107,18,0),"")</f>
        <v>_</v>
      </c>
      <c r="AZ188" s="314" t="str">
        <f>_xlfn.IFNA(VLOOKUP($AH188,Programma!$F$3:$X$1107,19,0),"")</f>
        <v>_</v>
      </c>
      <c r="BA188" s="314" t="str">
        <f>_xlfn.IFNA(VLOOKUP($AH188,Programma!$F$3:$Y$1107,20,0),"")</f>
        <v>_</v>
      </c>
      <c r="BB188" s="273"/>
      <c r="BC188" s="272" t="str">
        <f>IF(Ruimtestaat[[#This Row],[Frequentie weekend]]="","",_xlfn.CONCAT(Ruimtestaat[[#This Row],[Ruimte code]],"-",Ruimtestaat[[#This Row],[Frequentie weekend]]," ",Ruimtestaat[[#This Row],[Vloer code]]))</f>
        <v/>
      </c>
      <c r="BD188" s="314" t="str">
        <f>_xlfn.IFNA(VLOOKUP($BC188,Programma!$F$3:$G$1107,2,0),"")</f>
        <v/>
      </c>
      <c r="BE188" s="314" t="str">
        <f>_xlfn.IFNA(VLOOKUP($BC188,Programma!$F$3:$H$1107,3,0),"")</f>
        <v/>
      </c>
      <c r="BF188" s="314" t="str">
        <f>_xlfn.IFNA(VLOOKUP($BC188,Programma!$F$3:$I$1107,4,0),"")</f>
        <v/>
      </c>
      <c r="BG188" s="314" t="str">
        <f>_xlfn.IFNA(VLOOKUP($BC188,Programma!$F$3:$J$1107,5,0),"")</f>
        <v/>
      </c>
      <c r="BH188" s="314" t="str">
        <f>_xlfn.IFNA(VLOOKUP($BC188,Programma!$F$3:$K$1107,6,0),"")</f>
        <v/>
      </c>
      <c r="BI188" s="314" t="str">
        <f>_xlfn.IFNA(VLOOKUP($BC188,Programma!$F$3:$L$1107,7,0),"")</f>
        <v/>
      </c>
      <c r="BJ188" s="314" t="str">
        <f>_xlfn.IFNA(VLOOKUP($BC188,Programma!$F$3:$M$1107,8,0),"")</f>
        <v/>
      </c>
      <c r="BK188" s="314" t="str">
        <f>_xlfn.IFNA(VLOOKUP($BC188,Programma!$F$3:$N$1107,9,0),"")</f>
        <v/>
      </c>
      <c r="BL188" s="314" t="str">
        <f>_xlfn.IFNA(VLOOKUP($BC188,Programma!$F$3:$O$1107,10,0),"")</f>
        <v/>
      </c>
      <c r="BM188" s="314" t="str">
        <f>_xlfn.IFNA(VLOOKUP($BC188,Programma!$F$3:$P$1107,11,0),"")</f>
        <v/>
      </c>
      <c r="BN188" s="314" t="str">
        <f>_xlfn.IFNA(VLOOKUP($BC188,Programma!$F$3:$Q$1107,12,0),"")</f>
        <v/>
      </c>
      <c r="BO188" s="314" t="str">
        <f>_xlfn.IFNA(VLOOKUP($BC188,Programma!$F$3:$R$1107,13,0),"")</f>
        <v/>
      </c>
      <c r="BP188" s="314" t="str">
        <f>_xlfn.IFNA(VLOOKUP($BC188,Programma!$F$3:$S$1107,14,0),"")</f>
        <v/>
      </c>
      <c r="BQ188" s="314" t="str">
        <f>_xlfn.IFNA(VLOOKUP($BC188,Programma!$F$3:$T$1107,15,0),"")</f>
        <v/>
      </c>
      <c r="BR188" s="314" t="str">
        <f>_xlfn.IFNA(VLOOKUP($BC188,Programma!$F$3:$U$1107,16,0),"")</f>
        <v/>
      </c>
      <c r="BS188" s="314" t="str">
        <f>_xlfn.IFNA(VLOOKUP($BC188,Programma!$F$3:$V$1107,17,0),"")</f>
        <v/>
      </c>
      <c r="BT188" s="314" t="str">
        <f>_xlfn.IFNA(VLOOKUP($BC188,Programma!$F$3:$W$1107,18,0),"")</f>
        <v/>
      </c>
      <c r="BU188" s="314" t="str">
        <f>_xlfn.IFNA(VLOOKUP($BC188,Programma!$F$3:$X$1107,19,0),"")</f>
        <v/>
      </c>
      <c r="BV188" s="314" t="str">
        <f>_xlfn.IFNA(VLOOKUP($BC188,Programma!$F$3:$Y$1107,20,0),"")</f>
        <v/>
      </c>
    </row>
    <row r="189" spans="1:74" ht="15" customHeight="1">
      <c r="A189" s="33">
        <v>1</v>
      </c>
      <c r="B189" s="173" t="str">
        <f>VLOOKUP(Ruimtestaat[[#This Row],[Code]],Locaties[[Code]:[Locatie]],2,FALSE)</f>
        <v>CCNV</v>
      </c>
      <c r="C189" s="173" t="str">
        <f>VLOOKUP(Ruimtestaat[[#This Row],[Code]],Locaties[[#All],[Code]:[Adres]],4,FALSE)</f>
        <v>Stationslaan 26</v>
      </c>
      <c r="D189" s="173" t="str">
        <f>VLOOKUP(Ruimtestaat[[#This Row],[Code]],Locaties[[#All],[Code]:[Postcode]],5,FALSE)</f>
        <v>3842 LA</v>
      </c>
      <c r="E189" s="173" t="str">
        <f>VLOOKUP(Ruimtestaat[[#This Row],[Code]],Locaties[#All],6,FALSE)</f>
        <v>Harderwijk</v>
      </c>
      <c r="F189" s="21" t="s">
        <v>1631</v>
      </c>
      <c r="G189" s="33"/>
      <c r="H189" s="21" t="s">
        <v>1771</v>
      </c>
      <c r="I189" s="69" t="s">
        <v>1783</v>
      </c>
      <c r="J189" s="21">
        <v>2</v>
      </c>
      <c r="K189" s="69" t="str">
        <f>VLOOKUP(Ruimtestaat[[#This Row],[Ruimte code]],Ruimtegroepen[[#All],[Code]:[Ruimte omschrijving]],2,FALSE)</f>
        <v>Kantoren</v>
      </c>
      <c r="L189" s="33" t="s">
        <v>1817</v>
      </c>
      <c r="M189" s="312" t="s">
        <v>1802</v>
      </c>
      <c r="N189" s="148">
        <v>26</v>
      </c>
      <c r="O189" s="150"/>
      <c r="P189" s="134" t="str">
        <f>VLOOKUP(Ruimtestaat[[#This Row],[Ruimte code]],Ruimtegroepen[],4,FALSE)</f>
        <v>Bu</v>
      </c>
      <c r="Q189" s="33">
        <v>40</v>
      </c>
      <c r="R189" s="33" t="s">
        <v>15</v>
      </c>
      <c r="S189" s="33">
        <f>IF(Q189&gt;0,IF(RIGHT(Ruimtestaat[[#This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89" s="33">
        <f>IF(S189&gt;0,VLOOKUP($J189,Ruimtegroepen[],3,FALSE)*VLOOKUP($L189,Vloersoorten[],3,FALSE)*VLOOKUP($R189,Frequenties[],3,FALSE)*VLOOKUP($A189,Locaties[],3,FALSE),0)</f>
        <v>0</v>
      </c>
      <c r="U189" s="33">
        <f>Ruimtestaat[[#This Row],[Uitvoeringen werkdagen]]*Ruimtestaat[[#This Row],[Oppervlak (netto)]]</f>
        <v>1040</v>
      </c>
      <c r="V189" s="170">
        <f>IF(T189&gt;0,Ruimtestaat[[#This Row],[Prest. (m2 /jaar) werkdagen]]/Ruimtestaat[[#This Row],[Norm (m2/uur) werkdagen]],0)</f>
        <v>0</v>
      </c>
      <c r="W189" s="171">
        <f>Ruimtestaat[[#This Row],[uren / jaar werkdagen]]*Tariefsopbouw!$E$35</f>
        <v>0</v>
      </c>
      <c r="X189" s="33"/>
      <c r="Y189" s="33">
        <f>IF(Ruimtestaat[[#This Row],[Frequentie weekend]]&gt;0,VALUE(LEFT(X189,1))*Q189,0)</f>
        <v>0</v>
      </c>
      <c r="Z189" s="104">
        <f>IF($Y189&gt;0,VLOOKUP($J189,Ruimtegroepen[],3,FALSE)*VLOOKUP($L189,Vloersoorten[],3,FALSE)*VLOOKUP($X189,Frequenties[],3,FALSE)*VLOOKUP(Ruimtestaat[[#This Row],[Code]],Locaties[],3,FALSE),0)</f>
        <v>0</v>
      </c>
      <c r="AA189" s="104">
        <f>Ruimtestaat[[#This Row],[Uitvoeringen weekend]]*Ruimtestaat[[#This Row],[Oppervlak (netto)]]</f>
        <v>0</v>
      </c>
      <c r="AB189" s="104">
        <f>IF(Z189&gt;0,Ruimtestaat[[#This Row],[Prest. (m2 /jaar) weekend]]/Ruimtestaat[[#This Row],[Norm (m2/uur) weekend]],0)</f>
        <v>0</v>
      </c>
      <c r="AC189" s="171">
        <f>Ruimtestaat[[#This Row],[uren / jaar weekend]]*Tariefsopbouw!$D$40</f>
        <v>0</v>
      </c>
      <c r="AD189" s="170">
        <f>Ruimtestaat[[#This Row],[Prest. (m2 /jaar) weekend]]+Ruimtestaat[[#This Row],[Prest. (m2 /jaar) werkdagen]]</f>
        <v>1040</v>
      </c>
      <c r="AE189" s="170">
        <f>Ruimtestaat[[#This Row],[uren / jaar weekend]]+Ruimtestaat[[#This Row],[uren / jaar werkdagen]]</f>
        <v>0</v>
      </c>
      <c r="AF189" s="76">
        <f>Ruimtestaat[[#This Row],[kosten / jaar weekend]]+Ruimtestaat[[#This Row],[kosten / jaar werkdagen]]</f>
        <v>0</v>
      </c>
      <c r="AG189" s="76"/>
      <c r="AH189" s="272" t="str">
        <f>IF(Ruimtestaat[[#This Row],[Frequentie werkdagen]]="","",_xlfn.CONCAT(Ruimtestaat[[#This Row],[Ruimte code]],"-",Ruimtestaat[[#This Row],[Frequentie werkdagen]]," ",Ruimtestaat[[#This Row],[Vloer code]]))</f>
        <v>2-1w p</v>
      </c>
      <c r="AI189" s="314" t="str">
        <f>_xlfn.IFNA(VLOOKUP($AH189,Programma!$F$3:$G$1107,2,0),"")</f>
        <v>_</v>
      </c>
      <c r="AJ189" s="314" t="str">
        <f>_xlfn.IFNA(VLOOKUP($AH189,Programma!$F$3:$H$1107,3,0),"")</f>
        <v>_</v>
      </c>
      <c r="AK189" s="314" t="str">
        <f>_xlfn.IFNA(VLOOKUP($AH189,Programma!$F$3:$I$1107,4,0),"")</f>
        <v>_</v>
      </c>
      <c r="AL189" s="314" t="str">
        <f>_xlfn.IFNA(VLOOKUP($AH189,Programma!$F$3:$J$1107,5,0),"")</f>
        <v>1w</v>
      </c>
      <c r="AM189" s="314" t="str">
        <f>_xlfn.IFNA(VLOOKUP($AH189,Programma!$F$3:$K$1107,6,0),"")</f>
        <v>1j</v>
      </c>
      <c r="AN189" s="314" t="str">
        <f>_xlfn.IFNA(VLOOKUP($AH189,Programma!$F$3:$L$1107,7,0),"")</f>
        <v>_</v>
      </c>
      <c r="AO189" s="314" t="str">
        <f>_xlfn.IFNA(VLOOKUP($AH189,Programma!$F$3:$M$1107,8,0),"")</f>
        <v>_</v>
      </c>
      <c r="AP189" s="314" t="str">
        <f>_xlfn.IFNA(VLOOKUP($AH189,Programma!$F$3:$N$1107,9,0),"")</f>
        <v>_</v>
      </c>
      <c r="AQ189" s="314" t="str">
        <f>_xlfn.IFNA(VLOOKUP($AH189,Programma!$F$3:$O$1107,10,0),"")</f>
        <v>1w</v>
      </c>
      <c r="AR189" s="314" t="str">
        <f>_xlfn.IFNA(VLOOKUP($AH189,Programma!$F$3:$P$1107,11,0),"")</f>
        <v>1w</v>
      </c>
      <c r="AS189" s="314" t="str">
        <f>_xlfn.IFNA(VLOOKUP($AH189,Programma!$F$3:$Q$1107,12,0),"")</f>
        <v>1w</v>
      </c>
      <c r="AT189" s="314" t="str">
        <f>_xlfn.IFNA(VLOOKUP($AH189,Programma!$F$3:$R$1107,13,0),"")</f>
        <v>1w</v>
      </c>
      <c r="AU189" s="314" t="str">
        <f>_xlfn.IFNA(VLOOKUP($AH189,Programma!$F$3:$S$1107,14,0),"")</f>
        <v>1m</v>
      </c>
      <c r="AV189" s="314" t="str">
        <f>_xlfn.IFNA(VLOOKUP($AH189,Programma!$F$3:$T$1107,15,0),"")</f>
        <v>2j</v>
      </c>
      <c r="AW189" s="314" t="str">
        <f>_xlfn.IFNA(VLOOKUP($AH189,Programma!$F$3:$U$1107,16,0),"")</f>
        <v>1j</v>
      </c>
      <c r="AX189" s="314" t="str">
        <f>_xlfn.IFNA(VLOOKUP($AH189,Programma!$F$3:$V$1107,17,0),"")</f>
        <v>_</v>
      </c>
      <c r="AY189" s="314" t="str">
        <f>_xlfn.IFNA(VLOOKUP($AH189,Programma!$F$3:$W$1107,18,0),"")</f>
        <v>_</v>
      </c>
      <c r="AZ189" s="314" t="str">
        <f>_xlfn.IFNA(VLOOKUP($AH189,Programma!$F$3:$X$1107,19,0),"")</f>
        <v>_</v>
      </c>
      <c r="BA189" s="314" t="str">
        <f>_xlfn.IFNA(VLOOKUP($AH189,Programma!$F$3:$Y$1107,20,0),"")</f>
        <v>_</v>
      </c>
      <c r="BB189" s="273"/>
      <c r="BC189" s="272" t="str">
        <f>IF(Ruimtestaat[[#This Row],[Frequentie weekend]]="","",_xlfn.CONCAT(Ruimtestaat[[#This Row],[Ruimte code]],"-",Ruimtestaat[[#This Row],[Frequentie weekend]]," ",Ruimtestaat[[#This Row],[Vloer code]]))</f>
        <v/>
      </c>
      <c r="BD189" s="314" t="str">
        <f>_xlfn.IFNA(VLOOKUP($BC189,Programma!$F$3:$G$1107,2,0),"")</f>
        <v/>
      </c>
      <c r="BE189" s="314" t="str">
        <f>_xlfn.IFNA(VLOOKUP($BC189,Programma!$F$3:$H$1107,3,0),"")</f>
        <v/>
      </c>
      <c r="BF189" s="314" t="str">
        <f>_xlfn.IFNA(VLOOKUP($BC189,Programma!$F$3:$I$1107,4,0),"")</f>
        <v/>
      </c>
      <c r="BG189" s="314" t="str">
        <f>_xlfn.IFNA(VLOOKUP($BC189,Programma!$F$3:$J$1107,5,0),"")</f>
        <v/>
      </c>
      <c r="BH189" s="314" t="str">
        <f>_xlfn.IFNA(VLOOKUP($BC189,Programma!$F$3:$K$1107,6,0),"")</f>
        <v/>
      </c>
      <c r="BI189" s="314" t="str">
        <f>_xlfn.IFNA(VLOOKUP($BC189,Programma!$F$3:$L$1107,7,0),"")</f>
        <v/>
      </c>
      <c r="BJ189" s="314" t="str">
        <f>_xlfn.IFNA(VLOOKUP($BC189,Programma!$F$3:$M$1107,8,0),"")</f>
        <v/>
      </c>
      <c r="BK189" s="314" t="str">
        <f>_xlfn.IFNA(VLOOKUP($BC189,Programma!$F$3:$N$1107,9,0),"")</f>
        <v/>
      </c>
      <c r="BL189" s="314" t="str">
        <f>_xlfn.IFNA(VLOOKUP($BC189,Programma!$F$3:$O$1107,10,0),"")</f>
        <v/>
      </c>
      <c r="BM189" s="314" t="str">
        <f>_xlfn.IFNA(VLOOKUP($BC189,Programma!$F$3:$P$1107,11,0),"")</f>
        <v/>
      </c>
      <c r="BN189" s="314" t="str">
        <f>_xlfn.IFNA(VLOOKUP($BC189,Programma!$F$3:$Q$1107,12,0),"")</f>
        <v/>
      </c>
      <c r="BO189" s="314" t="str">
        <f>_xlfn.IFNA(VLOOKUP($BC189,Programma!$F$3:$R$1107,13,0),"")</f>
        <v/>
      </c>
      <c r="BP189" s="314" t="str">
        <f>_xlfn.IFNA(VLOOKUP($BC189,Programma!$F$3:$S$1107,14,0),"")</f>
        <v/>
      </c>
      <c r="BQ189" s="314" t="str">
        <f>_xlfn.IFNA(VLOOKUP($BC189,Programma!$F$3:$T$1107,15,0),"")</f>
        <v/>
      </c>
      <c r="BR189" s="314" t="str">
        <f>_xlfn.IFNA(VLOOKUP($BC189,Programma!$F$3:$U$1107,16,0),"")</f>
        <v/>
      </c>
      <c r="BS189" s="314" t="str">
        <f>_xlfn.IFNA(VLOOKUP($BC189,Programma!$F$3:$V$1107,17,0),"")</f>
        <v/>
      </c>
      <c r="BT189" s="314" t="str">
        <f>_xlfn.IFNA(VLOOKUP($BC189,Programma!$F$3:$W$1107,18,0),"")</f>
        <v/>
      </c>
      <c r="BU189" s="314" t="str">
        <f>_xlfn.IFNA(VLOOKUP($BC189,Programma!$F$3:$X$1107,19,0),"")</f>
        <v/>
      </c>
      <c r="BV189" s="314" t="str">
        <f>_xlfn.IFNA(VLOOKUP($BC189,Programma!$F$3:$Y$1107,20,0),"")</f>
        <v/>
      </c>
    </row>
    <row r="190" spans="1:74" ht="15" customHeight="1">
      <c r="A190" s="33">
        <v>1</v>
      </c>
      <c r="B190" s="173" t="str">
        <f>VLOOKUP(Ruimtestaat[[#This Row],[Code]],Locaties[[Code]:[Locatie]],2,FALSE)</f>
        <v>CCNV</v>
      </c>
      <c r="C190" s="173" t="str">
        <f>VLOOKUP(Ruimtestaat[[#This Row],[Code]],Locaties[[#All],[Code]:[Adres]],4,FALSE)</f>
        <v>Stationslaan 26</v>
      </c>
      <c r="D190" s="173" t="str">
        <f>VLOOKUP(Ruimtestaat[[#This Row],[Code]],Locaties[[#All],[Code]:[Postcode]],5,FALSE)</f>
        <v>3842 LA</v>
      </c>
      <c r="E190" s="173" t="str">
        <f>VLOOKUP(Ruimtestaat[[#This Row],[Code]],Locaties[#All],6,FALSE)</f>
        <v>Harderwijk</v>
      </c>
      <c r="F190" s="21" t="s">
        <v>1631</v>
      </c>
      <c r="G190" s="33"/>
      <c r="H190" s="21" t="s">
        <v>1772</v>
      </c>
      <c r="I190" s="69" t="s">
        <v>1787</v>
      </c>
      <c r="J190" s="21">
        <v>12</v>
      </c>
      <c r="K190" s="69" t="str">
        <f>VLOOKUP(Ruimtestaat[[#This Row],[Ruimte code]],Ruimtegroepen[[#All],[Code]:[Ruimte omschrijving]],2,FALSE)</f>
        <v>Kantine/Aula</v>
      </c>
      <c r="L190" s="33" t="s">
        <v>100</v>
      </c>
      <c r="M190" s="312" t="s">
        <v>1803</v>
      </c>
      <c r="N190" s="148">
        <v>95</v>
      </c>
      <c r="O190" s="150"/>
      <c r="P190" s="134" t="str">
        <f>VLOOKUP(Ruimtestaat[[#This Row],[Ruimte code]],Ruimtegroepen[],4,FALSE)</f>
        <v>Ve</v>
      </c>
      <c r="Q190" s="33">
        <v>40</v>
      </c>
      <c r="R190" s="33" t="s">
        <v>2</v>
      </c>
      <c r="S190" s="33">
        <f>IF(Q190&gt;0,IF(RIGHT(Ruimtestaat[[#This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0" s="33">
        <f>IF(S190&gt;0,VLOOKUP($J190,Ruimtegroepen[],3,FALSE)*VLOOKUP($L190,Vloersoorten[],3,FALSE)*VLOOKUP($R190,Frequenties[],3,FALSE)*VLOOKUP($A190,Locaties[],3,FALSE),0)</f>
        <v>0</v>
      </c>
      <c r="U190" s="33">
        <f>Ruimtestaat[[#This Row],[Uitvoeringen werkdagen]]*Ruimtestaat[[#This Row],[Oppervlak (netto)]]</f>
        <v>19000</v>
      </c>
      <c r="V190" s="170">
        <f>IF(T190&gt;0,Ruimtestaat[[#This Row],[Prest. (m2 /jaar) werkdagen]]/Ruimtestaat[[#This Row],[Norm (m2/uur) werkdagen]],0)</f>
        <v>0</v>
      </c>
      <c r="W190" s="171">
        <f>Ruimtestaat[[#This Row],[uren / jaar werkdagen]]*Tariefsopbouw!$E$35</f>
        <v>0</v>
      </c>
      <c r="X190" s="33"/>
      <c r="Y190" s="33">
        <f>IF(Ruimtestaat[[#This Row],[Frequentie weekend]]&gt;0,VALUE(LEFT(X190,1))*Q190,0)</f>
        <v>0</v>
      </c>
      <c r="Z190" s="104">
        <f>IF($Y190&gt;0,VLOOKUP($J190,Ruimtegroepen[],3,FALSE)*VLOOKUP($L190,Vloersoorten[],3,FALSE)*VLOOKUP($X190,Frequenties[],3,FALSE)*VLOOKUP(Ruimtestaat[[#This Row],[Code]],Locaties[],3,FALSE),0)</f>
        <v>0</v>
      </c>
      <c r="AA190" s="104">
        <f>Ruimtestaat[[#This Row],[Uitvoeringen weekend]]*Ruimtestaat[[#This Row],[Oppervlak (netto)]]</f>
        <v>0</v>
      </c>
      <c r="AB190" s="104">
        <f>IF(Z190&gt;0,Ruimtestaat[[#This Row],[Prest. (m2 /jaar) weekend]]/Ruimtestaat[[#This Row],[Norm (m2/uur) weekend]],0)</f>
        <v>0</v>
      </c>
      <c r="AC190" s="171">
        <f>Ruimtestaat[[#This Row],[uren / jaar weekend]]*Tariefsopbouw!$D$40</f>
        <v>0</v>
      </c>
      <c r="AD190" s="170">
        <f>Ruimtestaat[[#This Row],[Prest. (m2 /jaar) weekend]]+Ruimtestaat[[#This Row],[Prest. (m2 /jaar) werkdagen]]</f>
        <v>19000</v>
      </c>
      <c r="AE190" s="170">
        <f>Ruimtestaat[[#This Row],[uren / jaar weekend]]+Ruimtestaat[[#This Row],[uren / jaar werkdagen]]</f>
        <v>0</v>
      </c>
      <c r="AF190" s="76">
        <f>Ruimtestaat[[#This Row],[kosten / jaar weekend]]+Ruimtestaat[[#This Row],[kosten / jaar werkdagen]]</f>
        <v>0</v>
      </c>
      <c r="AG190" s="76"/>
      <c r="AH190" s="272" t="str">
        <f>IF(Ruimtestaat[[#This Row],[Frequentie werkdagen]]="","",_xlfn.CONCAT(Ruimtestaat[[#This Row],[Ruimte code]],"-",Ruimtestaat[[#This Row],[Frequentie werkdagen]]," ",Ruimtestaat[[#This Row],[Vloer code]]))</f>
        <v>12-5w T</v>
      </c>
      <c r="AI190" s="314" t="str">
        <f>_xlfn.IFNA(VLOOKUP($AH190,Programma!$F$3:$G$1107,2,0),"")</f>
        <v>_</v>
      </c>
      <c r="AJ190" s="314" t="str">
        <f>_xlfn.IFNA(VLOOKUP($AH190,Programma!$F$3:$H$1107,3,0),"")</f>
        <v>5w</v>
      </c>
      <c r="AK190" s="314" t="str">
        <f>_xlfn.IFNA(VLOOKUP($AH190,Programma!$F$3:$I$1107,4,0),"")</f>
        <v>_</v>
      </c>
      <c r="AL190" s="314" t="str">
        <f>_xlfn.IFNA(VLOOKUP($AH190,Programma!$F$3:$J$1107,5,0),"")</f>
        <v>_</v>
      </c>
      <c r="AM190" s="314" t="str">
        <f>_xlfn.IFNA(VLOOKUP($AH190,Programma!$F$3:$K$1107,6,0),"")</f>
        <v>_</v>
      </c>
      <c r="AN190" s="314" t="str">
        <f>_xlfn.IFNA(VLOOKUP($AH190,Programma!$F$3:$L$1107,7,0),"")</f>
        <v>_</v>
      </c>
      <c r="AO190" s="314" t="str">
        <f>_xlfn.IFNA(VLOOKUP($AH190,Programma!$F$3:$M$1107,8,0),"")</f>
        <v>_</v>
      </c>
      <c r="AP190" s="314" t="str">
        <f>_xlfn.IFNA(VLOOKUP($AH190,Programma!$F$3:$N$1107,9,0),"")</f>
        <v>_</v>
      </c>
      <c r="AQ190" s="314" t="str">
        <f>_xlfn.IFNA(VLOOKUP($AH190,Programma!$F$3:$O$1107,10,0),"")</f>
        <v>5w</v>
      </c>
      <c r="AR190" s="314" t="str">
        <f>_xlfn.IFNA(VLOOKUP($AH190,Programma!$F$3:$P$1107,11,0),"")</f>
        <v>5w</v>
      </c>
      <c r="AS190" s="314" t="str">
        <f>_xlfn.IFNA(VLOOKUP($AH190,Programma!$F$3:$Q$1107,12,0),"")</f>
        <v>1w</v>
      </c>
      <c r="AT190" s="314" t="str">
        <f>_xlfn.IFNA(VLOOKUP($AH190,Programma!$F$3:$R$1107,13,0),"")</f>
        <v>1w</v>
      </c>
      <c r="AU190" s="314" t="str">
        <f>_xlfn.IFNA(VLOOKUP($AH190,Programma!$F$3:$S$1107,14,0),"")</f>
        <v>1m</v>
      </c>
      <c r="AV190" s="314" t="str">
        <f>_xlfn.IFNA(VLOOKUP($AH190,Programma!$F$3:$T$1107,15,0),"")</f>
        <v>2j</v>
      </c>
      <c r="AW190" s="314" t="str">
        <f>_xlfn.IFNA(VLOOKUP($AH190,Programma!$F$3:$U$1107,16,0),"")</f>
        <v>1j</v>
      </c>
      <c r="AX190" s="314" t="str">
        <f>_xlfn.IFNA(VLOOKUP($AH190,Programma!$F$3:$V$1107,17,0),"")</f>
        <v>_</v>
      </c>
      <c r="AY190" s="314" t="str">
        <f>_xlfn.IFNA(VLOOKUP($AH190,Programma!$F$3:$W$1107,18,0),"")</f>
        <v>_</v>
      </c>
      <c r="AZ190" s="314" t="str">
        <f>_xlfn.IFNA(VLOOKUP($AH190,Programma!$F$3:$X$1107,19,0),"")</f>
        <v>_</v>
      </c>
      <c r="BA190" s="314" t="str">
        <f>_xlfn.IFNA(VLOOKUP($AH190,Programma!$F$3:$Y$1107,20,0),"")</f>
        <v>_</v>
      </c>
      <c r="BB190" s="273"/>
      <c r="BC190" s="272" t="str">
        <f>IF(Ruimtestaat[[#This Row],[Frequentie weekend]]="","",_xlfn.CONCAT(Ruimtestaat[[#This Row],[Ruimte code]],"-",Ruimtestaat[[#This Row],[Frequentie weekend]]," ",Ruimtestaat[[#This Row],[Vloer code]]))</f>
        <v/>
      </c>
      <c r="BD190" s="314" t="str">
        <f>_xlfn.IFNA(VLOOKUP($BC190,Programma!$F$3:$G$1107,2,0),"")</f>
        <v/>
      </c>
      <c r="BE190" s="314" t="str">
        <f>_xlfn.IFNA(VLOOKUP($BC190,Programma!$F$3:$H$1107,3,0),"")</f>
        <v/>
      </c>
      <c r="BF190" s="314" t="str">
        <f>_xlfn.IFNA(VLOOKUP($BC190,Programma!$F$3:$I$1107,4,0),"")</f>
        <v/>
      </c>
      <c r="BG190" s="314" t="str">
        <f>_xlfn.IFNA(VLOOKUP($BC190,Programma!$F$3:$J$1107,5,0),"")</f>
        <v/>
      </c>
      <c r="BH190" s="314" t="str">
        <f>_xlfn.IFNA(VLOOKUP($BC190,Programma!$F$3:$K$1107,6,0),"")</f>
        <v/>
      </c>
      <c r="BI190" s="314" t="str">
        <f>_xlfn.IFNA(VLOOKUP($BC190,Programma!$F$3:$L$1107,7,0),"")</f>
        <v/>
      </c>
      <c r="BJ190" s="314" t="str">
        <f>_xlfn.IFNA(VLOOKUP($BC190,Programma!$F$3:$M$1107,8,0),"")</f>
        <v/>
      </c>
      <c r="BK190" s="314" t="str">
        <f>_xlfn.IFNA(VLOOKUP($BC190,Programma!$F$3:$N$1107,9,0),"")</f>
        <v/>
      </c>
      <c r="BL190" s="314" t="str">
        <f>_xlfn.IFNA(VLOOKUP($BC190,Programma!$F$3:$O$1107,10,0),"")</f>
        <v/>
      </c>
      <c r="BM190" s="314" t="str">
        <f>_xlfn.IFNA(VLOOKUP($BC190,Programma!$F$3:$P$1107,11,0),"")</f>
        <v/>
      </c>
      <c r="BN190" s="314" t="str">
        <f>_xlfn.IFNA(VLOOKUP($BC190,Programma!$F$3:$Q$1107,12,0),"")</f>
        <v/>
      </c>
      <c r="BO190" s="314" t="str">
        <f>_xlfn.IFNA(VLOOKUP($BC190,Programma!$F$3:$R$1107,13,0),"")</f>
        <v/>
      </c>
      <c r="BP190" s="314" t="str">
        <f>_xlfn.IFNA(VLOOKUP($BC190,Programma!$F$3:$S$1107,14,0),"")</f>
        <v/>
      </c>
      <c r="BQ190" s="314" t="str">
        <f>_xlfn.IFNA(VLOOKUP($BC190,Programma!$F$3:$T$1107,15,0),"")</f>
        <v/>
      </c>
      <c r="BR190" s="314" t="str">
        <f>_xlfn.IFNA(VLOOKUP($BC190,Programma!$F$3:$U$1107,16,0),"")</f>
        <v/>
      </c>
      <c r="BS190" s="314" t="str">
        <f>_xlfn.IFNA(VLOOKUP($BC190,Programma!$F$3:$V$1107,17,0),"")</f>
        <v/>
      </c>
      <c r="BT190" s="314" t="str">
        <f>_xlfn.IFNA(VLOOKUP($BC190,Programma!$F$3:$W$1107,18,0),"")</f>
        <v/>
      </c>
      <c r="BU190" s="314" t="str">
        <f>_xlfn.IFNA(VLOOKUP($BC190,Programma!$F$3:$X$1107,19,0),"")</f>
        <v/>
      </c>
      <c r="BV190" s="314" t="str">
        <f>_xlfn.IFNA(VLOOKUP($BC190,Programma!$F$3:$Y$1107,20,0),"")</f>
        <v/>
      </c>
    </row>
    <row r="191" spans="1:74" ht="15" customHeight="1">
      <c r="A191" s="33">
        <v>1</v>
      </c>
      <c r="B191" s="173" t="str">
        <f>VLOOKUP(Ruimtestaat[[#This Row],[Code]],Locaties[[Code]:[Locatie]],2,FALSE)</f>
        <v>CCNV</v>
      </c>
      <c r="C191" s="173" t="str">
        <f>VLOOKUP(Ruimtestaat[[#This Row],[Code]],Locaties[[#All],[Code]:[Adres]],4,FALSE)</f>
        <v>Stationslaan 26</v>
      </c>
      <c r="D191" s="173" t="str">
        <f>VLOOKUP(Ruimtestaat[[#This Row],[Code]],Locaties[[#All],[Code]:[Postcode]],5,FALSE)</f>
        <v>3842 LA</v>
      </c>
      <c r="E191" s="173" t="str">
        <f>VLOOKUP(Ruimtestaat[[#This Row],[Code]],Locaties[#All],6,FALSE)</f>
        <v>Harderwijk</v>
      </c>
      <c r="F191" s="21" t="s">
        <v>1631</v>
      </c>
      <c r="G191" s="33"/>
      <c r="H191" s="21" t="s">
        <v>1773</v>
      </c>
      <c r="I191" s="69" t="s">
        <v>1800</v>
      </c>
      <c r="J191" s="21">
        <v>15</v>
      </c>
      <c r="K191" s="69" t="str">
        <f>VLOOKUP(Ruimtestaat[[#This Row],[Ruimte code]],Ruimtegroepen[[#All],[Code]:[Ruimte omschrijving]],2,FALSE)</f>
        <v>Keuken/pantry</v>
      </c>
      <c r="L191" s="33" t="s">
        <v>102</v>
      </c>
      <c r="M191" s="312" t="s">
        <v>1805</v>
      </c>
      <c r="N191" s="148">
        <v>9</v>
      </c>
      <c r="O191" s="33"/>
      <c r="P191" s="134" t="str">
        <f>VLOOKUP(Ruimtestaat[[#This Row],[Ruimte code]],Ruimtegroepen[],4,FALSE)</f>
        <v>Ve</v>
      </c>
      <c r="Q191" s="33">
        <v>40</v>
      </c>
      <c r="R191" s="33" t="s">
        <v>2</v>
      </c>
      <c r="S191" s="33">
        <f>IF(Q191&gt;0,IF(RIGHT(Ruimtestaat[[#This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1" s="33">
        <f>IF(S191&gt;0,VLOOKUP($J191,Ruimtegroepen[],3,FALSE)*VLOOKUP($L191,Vloersoorten[],3,FALSE)*VLOOKUP($R191,Frequenties[],3,FALSE)*VLOOKUP($A191,Locaties[],3,FALSE),0)</f>
        <v>0</v>
      </c>
      <c r="U191" s="33">
        <f>Ruimtestaat[[#This Row],[Uitvoeringen werkdagen]]*Ruimtestaat[[#This Row],[Oppervlak (netto)]]</f>
        <v>1800</v>
      </c>
      <c r="V191" s="170">
        <f>IF(T191&gt;0,Ruimtestaat[[#This Row],[Prest. (m2 /jaar) werkdagen]]/Ruimtestaat[[#This Row],[Norm (m2/uur) werkdagen]],0)</f>
        <v>0</v>
      </c>
      <c r="W191" s="171">
        <f>Ruimtestaat[[#This Row],[uren / jaar werkdagen]]*Tariefsopbouw!$E$35</f>
        <v>0</v>
      </c>
      <c r="X191" s="33"/>
      <c r="Y191" s="33">
        <f>IF(Ruimtestaat[[#This Row],[Frequentie weekend]]&gt;0,VALUE(LEFT(X191,1))*Q191,0)</f>
        <v>0</v>
      </c>
      <c r="Z191" s="104">
        <f>IF($Y191&gt;0,VLOOKUP($J191,Ruimtegroepen[],3,FALSE)*VLOOKUP($L191,Vloersoorten[],3,FALSE)*VLOOKUP($X191,Frequenties[],3,FALSE)*VLOOKUP(Ruimtestaat[[#This Row],[Code]],Locaties[],3,FALSE),0)</f>
        <v>0</v>
      </c>
      <c r="AA191" s="104">
        <f>Ruimtestaat[[#This Row],[Uitvoeringen weekend]]*Ruimtestaat[[#This Row],[Oppervlak (netto)]]</f>
        <v>0</v>
      </c>
      <c r="AB191" s="104">
        <f>IF(Z191&gt;0,Ruimtestaat[[#This Row],[Prest. (m2 /jaar) weekend]]/Ruimtestaat[[#This Row],[Norm (m2/uur) weekend]],0)</f>
        <v>0</v>
      </c>
      <c r="AC191" s="171">
        <f>Ruimtestaat[[#This Row],[uren / jaar weekend]]*Tariefsopbouw!$D$40</f>
        <v>0</v>
      </c>
      <c r="AD191" s="170">
        <f>Ruimtestaat[[#This Row],[Prest. (m2 /jaar) weekend]]+Ruimtestaat[[#This Row],[Prest. (m2 /jaar) werkdagen]]</f>
        <v>1800</v>
      </c>
      <c r="AE191" s="170">
        <f>Ruimtestaat[[#This Row],[uren / jaar weekend]]+Ruimtestaat[[#This Row],[uren / jaar werkdagen]]</f>
        <v>0</v>
      </c>
      <c r="AF191" s="76">
        <f>Ruimtestaat[[#This Row],[kosten / jaar weekend]]+Ruimtestaat[[#This Row],[kosten / jaar werkdagen]]</f>
        <v>0</v>
      </c>
      <c r="AG191" s="76"/>
      <c r="AH191" s="272" t="str">
        <f>IF(Ruimtestaat[[#This Row],[Frequentie werkdagen]]="","",_xlfn.CONCAT(Ruimtestaat[[#This Row],[Ruimte code]],"-",Ruimtestaat[[#This Row],[Frequentie werkdagen]]," ",Ruimtestaat[[#This Row],[Vloer code]]))</f>
        <v>15-5w S</v>
      </c>
      <c r="AI191" s="314" t="str">
        <f>_xlfn.IFNA(VLOOKUP($AH191,Programma!$F$3:$G$1107,2,0),"")</f>
        <v>_</v>
      </c>
      <c r="AJ191" s="314" t="str">
        <f>_xlfn.IFNA(VLOOKUP($AH191,Programma!$F$3:$H$1107,3,0),"")</f>
        <v>_</v>
      </c>
      <c r="AK191" s="314" t="str">
        <f>_xlfn.IFNA(VLOOKUP($AH191,Programma!$F$3:$I$1107,4,0),"")</f>
        <v>5w</v>
      </c>
      <c r="AL191" s="314" t="str">
        <f>_xlfn.IFNA(VLOOKUP($AH191,Programma!$F$3:$J$1107,5,0),"")</f>
        <v>_</v>
      </c>
      <c r="AM191" s="314" t="str">
        <f>_xlfn.IFNA(VLOOKUP($AH191,Programma!$F$3:$K$1107,6,0),"")</f>
        <v>5w</v>
      </c>
      <c r="AN191" s="314" t="str">
        <f>_xlfn.IFNA(VLOOKUP($AH191,Programma!$F$3:$L$1107,7,0),"")</f>
        <v>_</v>
      </c>
      <c r="AO191" s="314" t="str">
        <f>_xlfn.IFNA(VLOOKUP($AH191,Programma!$F$3:$M$1107,8,0),"")</f>
        <v>_</v>
      </c>
      <c r="AP191" s="314" t="str">
        <f>_xlfn.IFNA(VLOOKUP($AH191,Programma!$F$3:$N$1107,9,0),"")</f>
        <v>_</v>
      </c>
      <c r="AQ191" s="314" t="str">
        <f>_xlfn.IFNA(VLOOKUP($AH191,Programma!$F$3:$O$1107,10,0),"")</f>
        <v>5w</v>
      </c>
      <c r="AR191" s="314" t="str">
        <f>_xlfn.IFNA(VLOOKUP($AH191,Programma!$F$3:$P$1107,11,0),"")</f>
        <v>5w</v>
      </c>
      <c r="AS191" s="314" t="str">
        <f>_xlfn.IFNA(VLOOKUP($AH191,Programma!$F$3:$Q$1107,12,0),"")</f>
        <v>1w</v>
      </c>
      <c r="AT191" s="314" t="str">
        <f>_xlfn.IFNA(VLOOKUP($AH191,Programma!$F$3:$R$1107,13,0),"")</f>
        <v>1w</v>
      </c>
      <c r="AU191" s="314" t="str">
        <f>_xlfn.IFNA(VLOOKUP($AH191,Programma!$F$3:$S$1107,14,0),"")</f>
        <v>1m</v>
      </c>
      <c r="AV191" s="314" t="str">
        <f>_xlfn.IFNA(VLOOKUP($AH191,Programma!$F$3:$T$1107,15,0),"")</f>
        <v>2j</v>
      </c>
      <c r="AW191" s="314" t="str">
        <f>_xlfn.IFNA(VLOOKUP($AH191,Programma!$F$3:$U$1107,16,0),"")</f>
        <v>1j</v>
      </c>
      <c r="AX191" s="314" t="str">
        <f>_xlfn.IFNA(VLOOKUP($AH191,Programma!$F$3:$V$1107,17,0),"")</f>
        <v>_</v>
      </c>
      <c r="AY191" s="314" t="str">
        <f>_xlfn.IFNA(VLOOKUP($AH191,Programma!$F$3:$W$1107,18,0),"")</f>
        <v>_</v>
      </c>
      <c r="AZ191" s="314" t="str">
        <f>_xlfn.IFNA(VLOOKUP($AH191,Programma!$F$3:$X$1107,19,0),"")</f>
        <v>_</v>
      </c>
      <c r="BA191" s="314" t="str">
        <f>_xlfn.IFNA(VLOOKUP($AH191,Programma!$F$3:$Y$1107,20,0),"")</f>
        <v>_</v>
      </c>
      <c r="BB191" s="273"/>
      <c r="BC191" s="272" t="str">
        <f>IF(Ruimtestaat[[#This Row],[Frequentie weekend]]="","",_xlfn.CONCAT(Ruimtestaat[[#This Row],[Ruimte code]],"-",Ruimtestaat[[#This Row],[Frequentie weekend]]," ",Ruimtestaat[[#This Row],[Vloer code]]))</f>
        <v/>
      </c>
      <c r="BD191" s="314" t="str">
        <f>_xlfn.IFNA(VLOOKUP($BC191,Programma!$F$3:$G$1107,2,0),"")</f>
        <v/>
      </c>
      <c r="BE191" s="314" t="str">
        <f>_xlfn.IFNA(VLOOKUP($BC191,Programma!$F$3:$H$1107,3,0),"")</f>
        <v/>
      </c>
      <c r="BF191" s="314" t="str">
        <f>_xlfn.IFNA(VLOOKUP($BC191,Programma!$F$3:$I$1107,4,0),"")</f>
        <v/>
      </c>
      <c r="BG191" s="314" t="str">
        <f>_xlfn.IFNA(VLOOKUP($BC191,Programma!$F$3:$J$1107,5,0),"")</f>
        <v/>
      </c>
      <c r="BH191" s="314" t="str">
        <f>_xlfn.IFNA(VLOOKUP($BC191,Programma!$F$3:$K$1107,6,0),"")</f>
        <v/>
      </c>
      <c r="BI191" s="314" t="str">
        <f>_xlfn.IFNA(VLOOKUP($BC191,Programma!$F$3:$L$1107,7,0),"")</f>
        <v/>
      </c>
      <c r="BJ191" s="314" t="str">
        <f>_xlfn.IFNA(VLOOKUP($BC191,Programma!$F$3:$M$1107,8,0),"")</f>
        <v/>
      </c>
      <c r="BK191" s="314" t="str">
        <f>_xlfn.IFNA(VLOOKUP($BC191,Programma!$F$3:$N$1107,9,0),"")</f>
        <v/>
      </c>
      <c r="BL191" s="314" t="str">
        <f>_xlfn.IFNA(VLOOKUP($BC191,Programma!$F$3:$O$1107,10,0),"")</f>
        <v/>
      </c>
      <c r="BM191" s="314" t="str">
        <f>_xlfn.IFNA(VLOOKUP($BC191,Programma!$F$3:$P$1107,11,0),"")</f>
        <v/>
      </c>
      <c r="BN191" s="314" t="str">
        <f>_xlfn.IFNA(VLOOKUP($BC191,Programma!$F$3:$Q$1107,12,0),"")</f>
        <v/>
      </c>
      <c r="BO191" s="314" t="str">
        <f>_xlfn.IFNA(VLOOKUP($BC191,Programma!$F$3:$R$1107,13,0),"")</f>
        <v/>
      </c>
      <c r="BP191" s="314" t="str">
        <f>_xlfn.IFNA(VLOOKUP($BC191,Programma!$F$3:$S$1107,14,0),"")</f>
        <v/>
      </c>
      <c r="BQ191" s="314" t="str">
        <f>_xlfn.IFNA(VLOOKUP($BC191,Programma!$F$3:$T$1107,15,0),"")</f>
        <v/>
      </c>
      <c r="BR191" s="314" t="str">
        <f>_xlfn.IFNA(VLOOKUP($BC191,Programma!$F$3:$U$1107,16,0),"")</f>
        <v/>
      </c>
      <c r="BS191" s="314" t="str">
        <f>_xlfn.IFNA(VLOOKUP($BC191,Programma!$F$3:$V$1107,17,0),"")</f>
        <v/>
      </c>
      <c r="BT191" s="314" t="str">
        <f>_xlfn.IFNA(VLOOKUP($BC191,Programma!$F$3:$W$1107,18,0),"")</f>
        <v/>
      </c>
      <c r="BU191" s="314" t="str">
        <f>_xlfn.IFNA(VLOOKUP($BC191,Programma!$F$3:$X$1107,19,0),"")</f>
        <v/>
      </c>
      <c r="BV191" s="314" t="str">
        <f>_xlfn.IFNA(VLOOKUP($BC191,Programma!$F$3:$Y$1107,20,0),"")</f>
        <v/>
      </c>
    </row>
    <row r="192" spans="1:74" ht="15" customHeight="1">
      <c r="A192" s="33">
        <v>1</v>
      </c>
      <c r="B192" s="173" t="str">
        <f>VLOOKUP(Ruimtestaat[[#This Row],[Code]],Locaties[[Code]:[Locatie]],2,FALSE)</f>
        <v>CCNV</v>
      </c>
      <c r="C192" s="173" t="str">
        <f>VLOOKUP(Ruimtestaat[[#This Row],[Code]],Locaties[[#All],[Code]:[Adres]],4,FALSE)</f>
        <v>Stationslaan 26</v>
      </c>
      <c r="D192" s="173" t="str">
        <f>VLOOKUP(Ruimtestaat[[#This Row],[Code]],Locaties[[#All],[Code]:[Postcode]],5,FALSE)</f>
        <v>3842 LA</v>
      </c>
      <c r="E192" s="173" t="str">
        <f>VLOOKUP(Ruimtestaat[[#This Row],[Code]],Locaties[#All],6,FALSE)</f>
        <v>Harderwijk</v>
      </c>
      <c r="F192" s="21" t="s">
        <v>1631</v>
      </c>
      <c r="G192" s="33"/>
      <c r="H192" s="21" t="s">
        <v>1774</v>
      </c>
      <c r="I192" s="69" t="s">
        <v>1783</v>
      </c>
      <c r="J192" s="21">
        <v>2</v>
      </c>
      <c r="K192" s="69" t="str">
        <f>VLOOKUP(Ruimtestaat[[#This Row],[Ruimte code]],Ruimtegroepen[[#All],[Code]:[Ruimte omschrijving]],2,FALSE)</f>
        <v>Kantoren</v>
      </c>
      <c r="L192" s="33" t="s">
        <v>100</v>
      </c>
      <c r="M192" s="312" t="s">
        <v>1803</v>
      </c>
      <c r="N192" s="148">
        <v>17</v>
      </c>
      <c r="O192" s="150"/>
      <c r="P192" s="134" t="str">
        <f>VLOOKUP(Ruimtestaat[[#This Row],[Ruimte code]],Ruimtegroepen[],4,FALSE)</f>
        <v>Bu</v>
      </c>
      <c r="Q192" s="33">
        <v>40</v>
      </c>
      <c r="R192" s="33" t="s">
        <v>15</v>
      </c>
      <c r="S192" s="33">
        <f>IF(Q192&gt;0,IF(RIGHT(Ruimtestaat[[#This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92" s="33">
        <f>IF(S192&gt;0,VLOOKUP($J192,Ruimtegroepen[],3,FALSE)*VLOOKUP($L192,Vloersoorten[],3,FALSE)*VLOOKUP($R192,Frequenties[],3,FALSE)*VLOOKUP($A192,Locaties[],3,FALSE),0)</f>
        <v>0</v>
      </c>
      <c r="U192" s="33">
        <f>Ruimtestaat[[#This Row],[Uitvoeringen werkdagen]]*Ruimtestaat[[#This Row],[Oppervlak (netto)]]</f>
        <v>680</v>
      </c>
      <c r="V192" s="170">
        <f>IF(T192&gt;0,Ruimtestaat[[#This Row],[Prest. (m2 /jaar) werkdagen]]/Ruimtestaat[[#This Row],[Norm (m2/uur) werkdagen]],0)</f>
        <v>0</v>
      </c>
      <c r="W192" s="171">
        <f>Ruimtestaat[[#This Row],[uren / jaar werkdagen]]*Tariefsopbouw!$E$35</f>
        <v>0</v>
      </c>
      <c r="X192" s="33"/>
      <c r="Y192" s="33">
        <f>IF(Ruimtestaat[[#This Row],[Frequentie weekend]]&gt;0,VALUE(LEFT(X192,1))*Q192,0)</f>
        <v>0</v>
      </c>
      <c r="Z192" s="104">
        <f>IF($Y192&gt;0,VLOOKUP($J192,Ruimtegroepen[],3,FALSE)*VLOOKUP($L192,Vloersoorten[],3,FALSE)*VLOOKUP($X192,Frequenties[],3,FALSE)*VLOOKUP(Ruimtestaat[[#This Row],[Code]],Locaties[],3,FALSE),0)</f>
        <v>0</v>
      </c>
      <c r="AA192" s="104">
        <f>Ruimtestaat[[#This Row],[Uitvoeringen weekend]]*Ruimtestaat[[#This Row],[Oppervlak (netto)]]</f>
        <v>0</v>
      </c>
      <c r="AB192" s="104">
        <f>IF(Z192&gt;0,Ruimtestaat[[#This Row],[Prest. (m2 /jaar) weekend]]/Ruimtestaat[[#This Row],[Norm (m2/uur) weekend]],0)</f>
        <v>0</v>
      </c>
      <c r="AC192" s="171">
        <f>Ruimtestaat[[#This Row],[uren / jaar weekend]]*Tariefsopbouw!$D$40</f>
        <v>0</v>
      </c>
      <c r="AD192" s="170">
        <f>Ruimtestaat[[#This Row],[Prest. (m2 /jaar) weekend]]+Ruimtestaat[[#This Row],[Prest. (m2 /jaar) werkdagen]]</f>
        <v>680</v>
      </c>
      <c r="AE192" s="170">
        <f>Ruimtestaat[[#This Row],[uren / jaar weekend]]+Ruimtestaat[[#This Row],[uren / jaar werkdagen]]</f>
        <v>0</v>
      </c>
      <c r="AF192" s="76">
        <f>Ruimtestaat[[#This Row],[kosten / jaar weekend]]+Ruimtestaat[[#This Row],[kosten / jaar werkdagen]]</f>
        <v>0</v>
      </c>
      <c r="AG192" s="76"/>
      <c r="AH192" s="272" t="str">
        <f>IF(Ruimtestaat[[#This Row],[Frequentie werkdagen]]="","",_xlfn.CONCAT(Ruimtestaat[[#This Row],[Ruimte code]],"-",Ruimtestaat[[#This Row],[Frequentie werkdagen]]," ",Ruimtestaat[[#This Row],[Vloer code]]))</f>
        <v>2-1w T</v>
      </c>
      <c r="AI192" s="314" t="str">
        <f>_xlfn.IFNA(VLOOKUP($AH192,Programma!$F$3:$G$1107,2,0),"")</f>
        <v>_</v>
      </c>
      <c r="AJ192" s="314" t="str">
        <f>_xlfn.IFNA(VLOOKUP($AH192,Programma!$F$3:$H$1107,3,0),"")</f>
        <v>1w</v>
      </c>
      <c r="AK192" s="314" t="str">
        <f>_xlfn.IFNA(VLOOKUP($AH192,Programma!$F$3:$I$1107,4,0),"")</f>
        <v>_</v>
      </c>
      <c r="AL192" s="314" t="str">
        <f>_xlfn.IFNA(VLOOKUP($AH192,Programma!$F$3:$J$1107,5,0),"")</f>
        <v>_</v>
      </c>
      <c r="AM192" s="314" t="str">
        <f>_xlfn.IFNA(VLOOKUP($AH192,Programma!$F$3:$K$1107,6,0),"")</f>
        <v>_</v>
      </c>
      <c r="AN192" s="314" t="str">
        <f>_xlfn.IFNA(VLOOKUP($AH192,Programma!$F$3:$L$1107,7,0),"")</f>
        <v>_</v>
      </c>
      <c r="AO192" s="314" t="str">
        <f>_xlfn.IFNA(VLOOKUP($AH192,Programma!$F$3:$M$1107,8,0),"")</f>
        <v>_</v>
      </c>
      <c r="AP192" s="314" t="str">
        <f>_xlfn.IFNA(VLOOKUP($AH192,Programma!$F$3:$N$1107,9,0),"")</f>
        <v>_</v>
      </c>
      <c r="AQ192" s="314" t="str">
        <f>_xlfn.IFNA(VLOOKUP($AH192,Programma!$F$3:$O$1107,10,0),"")</f>
        <v>1w</v>
      </c>
      <c r="AR192" s="314" t="str">
        <f>_xlfn.IFNA(VLOOKUP($AH192,Programma!$F$3:$P$1107,11,0),"")</f>
        <v>1w</v>
      </c>
      <c r="AS192" s="314" t="str">
        <f>_xlfn.IFNA(VLOOKUP($AH192,Programma!$F$3:$Q$1107,12,0),"")</f>
        <v>1w</v>
      </c>
      <c r="AT192" s="314" t="str">
        <f>_xlfn.IFNA(VLOOKUP($AH192,Programma!$F$3:$R$1107,13,0),"")</f>
        <v>1w</v>
      </c>
      <c r="AU192" s="314" t="str">
        <f>_xlfn.IFNA(VLOOKUP($AH192,Programma!$F$3:$S$1107,14,0),"")</f>
        <v>1m</v>
      </c>
      <c r="AV192" s="314" t="str">
        <f>_xlfn.IFNA(VLOOKUP($AH192,Programma!$F$3:$T$1107,15,0),"")</f>
        <v>2j</v>
      </c>
      <c r="AW192" s="314" t="str">
        <f>_xlfn.IFNA(VLOOKUP($AH192,Programma!$F$3:$U$1107,16,0),"")</f>
        <v>1j</v>
      </c>
      <c r="AX192" s="314" t="str">
        <f>_xlfn.IFNA(VLOOKUP($AH192,Programma!$F$3:$V$1107,17,0),"")</f>
        <v>_</v>
      </c>
      <c r="AY192" s="314" t="str">
        <f>_xlfn.IFNA(VLOOKUP($AH192,Programma!$F$3:$W$1107,18,0),"")</f>
        <v>_</v>
      </c>
      <c r="AZ192" s="314" t="str">
        <f>_xlfn.IFNA(VLOOKUP($AH192,Programma!$F$3:$X$1107,19,0),"")</f>
        <v>_</v>
      </c>
      <c r="BA192" s="314" t="str">
        <f>_xlfn.IFNA(VLOOKUP($AH192,Programma!$F$3:$Y$1107,20,0),"")</f>
        <v>_</v>
      </c>
      <c r="BB192" s="273"/>
      <c r="BC192" s="272" t="str">
        <f>IF(Ruimtestaat[[#This Row],[Frequentie weekend]]="","",_xlfn.CONCAT(Ruimtestaat[[#This Row],[Ruimte code]],"-",Ruimtestaat[[#This Row],[Frequentie weekend]]," ",Ruimtestaat[[#This Row],[Vloer code]]))</f>
        <v/>
      </c>
      <c r="BD192" s="314" t="str">
        <f>_xlfn.IFNA(VLOOKUP($BC192,Programma!$F$3:$G$1107,2,0),"")</f>
        <v/>
      </c>
      <c r="BE192" s="314" t="str">
        <f>_xlfn.IFNA(VLOOKUP($BC192,Programma!$F$3:$H$1107,3,0),"")</f>
        <v/>
      </c>
      <c r="BF192" s="314" t="str">
        <f>_xlfn.IFNA(VLOOKUP($BC192,Programma!$F$3:$I$1107,4,0),"")</f>
        <v/>
      </c>
      <c r="BG192" s="314" t="str">
        <f>_xlfn.IFNA(VLOOKUP($BC192,Programma!$F$3:$J$1107,5,0),"")</f>
        <v/>
      </c>
      <c r="BH192" s="314" t="str">
        <f>_xlfn.IFNA(VLOOKUP($BC192,Programma!$F$3:$K$1107,6,0),"")</f>
        <v/>
      </c>
      <c r="BI192" s="314" t="str">
        <f>_xlfn.IFNA(VLOOKUP($BC192,Programma!$F$3:$L$1107,7,0),"")</f>
        <v/>
      </c>
      <c r="BJ192" s="314" t="str">
        <f>_xlfn.IFNA(VLOOKUP($BC192,Programma!$F$3:$M$1107,8,0),"")</f>
        <v/>
      </c>
      <c r="BK192" s="314" t="str">
        <f>_xlfn.IFNA(VLOOKUP($BC192,Programma!$F$3:$N$1107,9,0),"")</f>
        <v/>
      </c>
      <c r="BL192" s="314" t="str">
        <f>_xlfn.IFNA(VLOOKUP($BC192,Programma!$F$3:$O$1107,10,0),"")</f>
        <v/>
      </c>
      <c r="BM192" s="314" t="str">
        <f>_xlfn.IFNA(VLOOKUP($BC192,Programma!$F$3:$P$1107,11,0),"")</f>
        <v/>
      </c>
      <c r="BN192" s="314" t="str">
        <f>_xlfn.IFNA(VLOOKUP($BC192,Programma!$F$3:$Q$1107,12,0),"")</f>
        <v/>
      </c>
      <c r="BO192" s="314" t="str">
        <f>_xlfn.IFNA(VLOOKUP($BC192,Programma!$F$3:$R$1107,13,0),"")</f>
        <v/>
      </c>
      <c r="BP192" s="314" t="str">
        <f>_xlfn.IFNA(VLOOKUP($BC192,Programma!$F$3:$S$1107,14,0),"")</f>
        <v/>
      </c>
      <c r="BQ192" s="314" t="str">
        <f>_xlfn.IFNA(VLOOKUP($BC192,Programma!$F$3:$T$1107,15,0),"")</f>
        <v/>
      </c>
      <c r="BR192" s="314" t="str">
        <f>_xlfn.IFNA(VLOOKUP($BC192,Programma!$F$3:$U$1107,16,0),"")</f>
        <v/>
      </c>
      <c r="BS192" s="314" t="str">
        <f>_xlfn.IFNA(VLOOKUP($BC192,Programma!$F$3:$V$1107,17,0),"")</f>
        <v/>
      </c>
      <c r="BT192" s="314" t="str">
        <f>_xlfn.IFNA(VLOOKUP($BC192,Programma!$F$3:$W$1107,18,0),"")</f>
        <v/>
      </c>
      <c r="BU192" s="314" t="str">
        <f>_xlfn.IFNA(VLOOKUP($BC192,Programma!$F$3:$X$1107,19,0),"")</f>
        <v/>
      </c>
      <c r="BV192" s="314" t="str">
        <f>_xlfn.IFNA(VLOOKUP($BC192,Programma!$F$3:$Y$1107,20,0),"")</f>
        <v/>
      </c>
    </row>
    <row r="193" spans="1:74" ht="15" customHeight="1">
      <c r="A193" s="33">
        <v>1</v>
      </c>
      <c r="B193" s="173" t="str">
        <f>VLOOKUP(Ruimtestaat[[#This Row],[Code]],Locaties[[Code]:[Locatie]],2,FALSE)</f>
        <v>CCNV</v>
      </c>
      <c r="C193" s="173" t="str">
        <f>VLOOKUP(Ruimtestaat[[#This Row],[Code]],Locaties[[#All],[Code]:[Adres]],4,FALSE)</f>
        <v>Stationslaan 26</v>
      </c>
      <c r="D193" s="173" t="str">
        <f>VLOOKUP(Ruimtestaat[[#This Row],[Code]],Locaties[[#All],[Code]:[Postcode]],5,FALSE)</f>
        <v>3842 LA</v>
      </c>
      <c r="E193" s="173" t="str">
        <f>VLOOKUP(Ruimtestaat[[#This Row],[Code]],Locaties[#All],6,FALSE)</f>
        <v>Harderwijk</v>
      </c>
      <c r="F193" s="21" t="s">
        <v>1631</v>
      </c>
      <c r="G193" s="33"/>
      <c r="H193" s="21" t="s">
        <v>1775</v>
      </c>
      <c r="I193" s="69" t="s">
        <v>1786</v>
      </c>
      <c r="J193" s="21">
        <v>11</v>
      </c>
      <c r="K193" s="69" t="str">
        <f>VLOOKUP(Ruimtestaat[[#This Row],[Ruimte code]],Ruimtegroepen[[#All],[Code]:[Ruimte omschrijving]],2,FALSE)</f>
        <v>Garderobes</v>
      </c>
      <c r="L193" s="33" t="s">
        <v>101</v>
      </c>
      <c r="M193" s="312" t="s">
        <v>1804</v>
      </c>
      <c r="N193" s="148">
        <v>13</v>
      </c>
      <c r="O193" s="150"/>
      <c r="P193" s="134" t="str">
        <f>VLOOKUP(Ruimtestaat[[#This Row],[Ruimte code]],Ruimtegroepen[],4,FALSE)</f>
        <v>Ve</v>
      </c>
      <c r="Q193" s="33">
        <v>40</v>
      </c>
      <c r="R193" s="33" t="s">
        <v>2</v>
      </c>
      <c r="S193" s="33">
        <f>IF(Q193&gt;0,IF(RIGHT(Ruimtestaat[[#This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3" s="33">
        <f>IF(S193&gt;0,VLOOKUP($J193,Ruimtegroepen[],3,FALSE)*VLOOKUP($L193,Vloersoorten[],3,FALSE)*VLOOKUP($R193,Frequenties[],3,FALSE)*VLOOKUP($A193,Locaties[],3,FALSE),0)</f>
        <v>0</v>
      </c>
      <c r="U193" s="33">
        <f>Ruimtestaat[[#This Row],[Uitvoeringen werkdagen]]*Ruimtestaat[[#This Row],[Oppervlak (netto)]]</f>
        <v>2600</v>
      </c>
      <c r="V193" s="170">
        <f>IF(T193&gt;0,Ruimtestaat[[#This Row],[Prest. (m2 /jaar) werkdagen]]/Ruimtestaat[[#This Row],[Norm (m2/uur) werkdagen]],0)</f>
        <v>0</v>
      </c>
      <c r="W193" s="171">
        <f>Ruimtestaat[[#This Row],[uren / jaar werkdagen]]*Tariefsopbouw!$E$35</f>
        <v>0</v>
      </c>
      <c r="X193" s="33"/>
      <c r="Y193" s="33">
        <f>IF(Ruimtestaat[[#This Row],[Frequentie weekend]]&gt;0,VALUE(LEFT(X193,1))*Q193,0)</f>
        <v>0</v>
      </c>
      <c r="Z193" s="104">
        <f>IF($Y193&gt;0,VLOOKUP($J193,Ruimtegroepen[],3,FALSE)*VLOOKUP($L193,Vloersoorten[],3,FALSE)*VLOOKUP($X193,Frequenties[],3,FALSE)*VLOOKUP(Ruimtestaat[[#This Row],[Code]],Locaties[],3,FALSE),0)</f>
        <v>0</v>
      </c>
      <c r="AA193" s="104">
        <f>Ruimtestaat[[#This Row],[Uitvoeringen weekend]]*Ruimtestaat[[#This Row],[Oppervlak (netto)]]</f>
        <v>0</v>
      </c>
      <c r="AB193" s="104">
        <f>IF(Z193&gt;0,Ruimtestaat[[#This Row],[Prest. (m2 /jaar) weekend]]/Ruimtestaat[[#This Row],[Norm (m2/uur) weekend]],0)</f>
        <v>0</v>
      </c>
      <c r="AC193" s="171">
        <f>Ruimtestaat[[#This Row],[uren / jaar weekend]]*Tariefsopbouw!$D$40</f>
        <v>0</v>
      </c>
      <c r="AD193" s="170">
        <f>Ruimtestaat[[#This Row],[Prest. (m2 /jaar) weekend]]+Ruimtestaat[[#This Row],[Prest. (m2 /jaar) werkdagen]]</f>
        <v>2600</v>
      </c>
      <c r="AE193" s="170">
        <f>Ruimtestaat[[#This Row],[uren / jaar weekend]]+Ruimtestaat[[#This Row],[uren / jaar werkdagen]]</f>
        <v>0</v>
      </c>
      <c r="AF193" s="76">
        <f>Ruimtestaat[[#This Row],[kosten / jaar weekend]]+Ruimtestaat[[#This Row],[kosten / jaar werkdagen]]</f>
        <v>0</v>
      </c>
      <c r="AG193" s="76"/>
      <c r="AH193" s="272" t="str">
        <f>IF(Ruimtestaat[[#This Row],[Frequentie werkdagen]]="","",_xlfn.CONCAT(Ruimtestaat[[#This Row],[Ruimte code]],"-",Ruimtestaat[[#This Row],[Frequentie werkdagen]]," ",Ruimtestaat[[#This Row],[Vloer code]]))</f>
        <v>11-5w L</v>
      </c>
      <c r="AI193" s="314" t="str">
        <f>_xlfn.IFNA(VLOOKUP($AH193,Programma!$F$3:$G$1107,2,0),"")</f>
        <v>_</v>
      </c>
      <c r="AJ193" s="314" t="str">
        <f>_xlfn.IFNA(VLOOKUP($AH193,Programma!$F$3:$H$1107,3,0),"")</f>
        <v>_</v>
      </c>
      <c r="AK193" s="314" t="str">
        <f>_xlfn.IFNA(VLOOKUP($AH193,Programma!$F$3:$I$1107,4,0),"")</f>
        <v>_</v>
      </c>
      <c r="AL193" s="314" t="str">
        <f>_xlfn.IFNA(VLOOKUP($AH193,Programma!$F$3:$J$1107,5,0),"")</f>
        <v>5w</v>
      </c>
      <c r="AM193" s="314" t="str">
        <f>_xlfn.IFNA(VLOOKUP($AH193,Programma!$F$3:$K$1107,6,0),"")</f>
        <v>_</v>
      </c>
      <c r="AN193" s="314" t="str">
        <f>_xlfn.IFNA(VLOOKUP($AH193,Programma!$F$3:$L$1107,7,0),"")</f>
        <v>_</v>
      </c>
      <c r="AO193" s="314" t="str">
        <f>_xlfn.IFNA(VLOOKUP($AH193,Programma!$F$3:$M$1107,8,0),"")</f>
        <v>_</v>
      </c>
      <c r="AP193" s="314" t="str">
        <f>_xlfn.IFNA(VLOOKUP($AH193,Programma!$F$3:$N$1107,9,0),"")</f>
        <v>_</v>
      </c>
      <c r="AQ193" s="314" t="str">
        <f>_xlfn.IFNA(VLOOKUP($AH193,Programma!$F$3:$O$1107,10,0),"")</f>
        <v>5w</v>
      </c>
      <c r="AR193" s="314" t="str">
        <f>_xlfn.IFNA(VLOOKUP($AH193,Programma!$F$3:$P$1107,11,0),"")</f>
        <v>5w</v>
      </c>
      <c r="AS193" s="314" t="str">
        <f>_xlfn.IFNA(VLOOKUP($AH193,Programma!$F$3:$Q$1107,12,0),"")</f>
        <v>1w</v>
      </c>
      <c r="AT193" s="314" t="str">
        <f>_xlfn.IFNA(VLOOKUP($AH193,Programma!$F$3:$R$1107,13,0),"")</f>
        <v>1w</v>
      </c>
      <c r="AU193" s="314" t="str">
        <f>_xlfn.IFNA(VLOOKUP($AH193,Programma!$F$3:$S$1107,14,0),"")</f>
        <v>1m</v>
      </c>
      <c r="AV193" s="314" t="str">
        <f>_xlfn.IFNA(VLOOKUP($AH193,Programma!$F$3:$T$1107,15,0),"")</f>
        <v>2j</v>
      </c>
      <c r="AW193" s="314" t="str">
        <f>_xlfn.IFNA(VLOOKUP($AH193,Programma!$F$3:$U$1107,16,0),"")</f>
        <v>1j</v>
      </c>
      <c r="AX193" s="314" t="str">
        <f>_xlfn.IFNA(VLOOKUP($AH193,Programma!$F$3:$V$1107,17,0),"")</f>
        <v>_</v>
      </c>
      <c r="AY193" s="314" t="str">
        <f>_xlfn.IFNA(VLOOKUP($AH193,Programma!$F$3:$W$1107,18,0),"")</f>
        <v>_</v>
      </c>
      <c r="AZ193" s="314" t="str">
        <f>_xlfn.IFNA(VLOOKUP($AH193,Programma!$F$3:$X$1107,19,0),"")</f>
        <v>_</v>
      </c>
      <c r="BA193" s="314" t="str">
        <f>_xlfn.IFNA(VLOOKUP($AH193,Programma!$F$3:$Y$1107,20,0),"")</f>
        <v>_</v>
      </c>
      <c r="BB193" s="273"/>
      <c r="BC193" s="272" t="str">
        <f>IF(Ruimtestaat[[#This Row],[Frequentie weekend]]="","",_xlfn.CONCAT(Ruimtestaat[[#This Row],[Ruimte code]],"-",Ruimtestaat[[#This Row],[Frequentie weekend]]," ",Ruimtestaat[[#This Row],[Vloer code]]))</f>
        <v/>
      </c>
      <c r="BD193" s="314" t="str">
        <f>_xlfn.IFNA(VLOOKUP($BC193,Programma!$F$3:$G$1107,2,0),"")</f>
        <v/>
      </c>
      <c r="BE193" s="314" t="str">
        <f>_xlfn.IFNA(VLOOKUP($BC193,Programma!$F$3:$H$1107,3,0),"")</f>
        <v/>
      </c>
      <c r="BF193" s="314" t="str">
        <f>_xlfn.IFNA(VLOOKUP($BC193,Programma!$F$3:$I$1107,4,0),"")</f>
        <v/>
      </c>
      <c r="BG193" s="314" t="str">
        <f>_xlfn.IFNA(VLOOKUP($BC193,Programma!$F$3:$J$1107,5,0),"")</f>
        <v/>
      </c>
      <c r="BH193" s="314" t="str">
        <f>_xlfn.IFNA(VLOOKUP($BC193,Programma!$F$3:$K$1107,6,0),"")</f>
        <v/>
      </c>
      <c r="BI193" s="314" t="str">
        <f>_xlfn.IFNA(VLOOKUP($BC193,Programma!$F$3:$L$1107,7,0),"")</f>
        <v/>
      </c>
      <c r="BJ193" s="314" t="str">
        <f>_xlfn.IFNA(VLOOKUP($BC193,Programma!$F$3:$M$1107,8,0),"")</f>
        <v/>
      </c>
      <c r="BK193" s="314" t="str">
        <f>_xlfn.IFNA(VLOOKUP($BC193,Programma!$F$3:$N$1107,9,0),"")</f>
        <v/>
      </c>
      <c r="BL193" s="314" t="str">
        <f>_xlfn.IFNA(VLOOKUP($BC193,Programma!$F$3:$O$1107,10,0),"")</f>
        <v/>
      </c>
      <c r="BM193" s="314" t="str">
        <f>_xlfn.IFNA(VLOOKUP($BC193,Programma!$F$3:$P$1107,11,0),"")</f>
        <v/>
      </c>
      <c r="BN193" s="314" t="str">
        <f>_xlfn.IFNA(VLOOKUP($BC193,Programma!$F$3:$Q$1107,12,0),"")</f>
        <v/>
      </c>
      <c r="BO193" s="314" t="str">
        <f>_xlfn.IFNA(VLOOKUP($BC193,Programma!$F$3:$R$1107,13,0),"")</f>
        <v/>
      </c>
      <c r="BP193" s="314" t="str">
        <f>_xlfn.IFNA(VLOOKUP($BC193,Programma!$F$3:$S$1107,14,0),"")</f>
        <v/>
      </c>
      <c r="BQ193" s="314" t="str">
        <f>_xlfn.IFNA(VLOOKUP($BC193,Programma!$F$3:$T$1107,15,0),"")</f>
        <v/>
      </c>
      <c r="BR193" s="314" t="str">
        <f>_xlfn.IFNA(VLOOKUP($BC193,Programma!$F$3:$U$1107,16,0),"")</f>
        <v/>
      </c>
      <c r="BS193" s="314" t="str">
        <f>_xlfn.IFNA(VLOOKUP($BC193,Programma!$F$3:$V$1107,17,0),"")</f>
        <v/>
      </c>
      <c r="BT193" s="314" t="str">
        <f>_xlfn.IFNA(VLOOKUP($BC193,Programma!$F$3:$W$1107,18,0),"")</f>
        <v/>
      </c>
      <c r="BU193" s="314" t="str">
        <f>_xlfn.IFNA(VLOOKUP($BC193,Programma!$F$3:$X$1107,19,0),"")</f>
        <v/>
      </c>
      <c r="BV193" s="314" t="str">
        <f>_xlfn.IFNA(VLOOKUP($BC193,Programma!$F$3:$Y$1107,20,0),"")</f>
        <v/>
      </c>
    </row>
    <row r="194" spans="1:74" ht="15" customHeight="1">
      <c r="A194" s="33">
        <v>1</v>
      </c>
      <c r="B194" s="173" t="str">
        <f>VLOOKUP(Ruimtestaat[[#This Row],[Code]],Locaties[[Code]:[Locatie]],2,FALSE)</f>
        <v>CCNV</v>
      </c>
      <c r="C194" s="173" t="str">
        <f>VLOOKUP(Ruimtestaat[[#This Row],[Code]],Locaties[[#All],[Code]:[Adres]],4,FALSE)</f>
        <v>Stationslaan 26</v>
      </c>
      <c r="D194" s="173" t="str">
        <f>VLOOKUP(Ruimtestaat[[#This Row],[Code]],Locaties[[#All],[Code]:[Postcode]],5,FALSE)</f>
        <v>3842 LA</v>
      </c>
      <c r="E194" s="173" t="str">
        <f>VLOOKUP(Ruimtestaat[[#This Row],[Code]],Locaties[#All],6,FALSE)</f>
        <v>Harderwijk</v>
      </c>
      <c r="F194" s="21" t="s">
        <v>1631</v>
      </c>
      <c r="G194" s="33"/>
      <c r="H194" s="21" t="s">
        <v>1776</v>
      </c>
      <c r="I194" s="69" t="s">
        <v>1783</v>
      </c>
      <c r="J194" s="21">
        <v>2</v>
      </c>
      <c r="K194" s="69" t="str">
        <f>VLOOKUP(Ruimtestaat[[#This Row],[Ruimte code]],Ruimtegroepen[[#All],[Code]:[Ruimte omschrijving]],2,FALSE)</f>
        <v>Kantoren</v>
      </c>
      <c r="L194" s="33" t="s">
        <v>100</v>
      </c>
      <c r="M194" s="312" t="s">
        <v>1803</v>
      </c>
      <c r="N194" s="148">
        <v>29</v>
      </c>
      <c r="O194" s="33"/>
      <c r="P194" s="134" t="str">
        <f>VLOOKUP(Ruimtestaat[[#This Row],[Ruimte code]],Ruimtegroepen[],4,FALSE)</f>
        <v>Bu</v>
      </c>
      <c r="Q194" s="33">
        <v>40</v>
      </c>
      <c r="R194" s="33" t="s">
        <v>15</v>
      </c>
      <c r="S194" s="33">
        <f>IF(Q194&gt;0,IF(RIGHT(Ruimtestaat[[#This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94" s="33">
        <f>IF(S194&gt;0,VLOOKUP($J194,Ruimtegroepen[],3,FALSE)*VLOOKUP($L194,Vloersoorten[],3,FALSE)*VLOOKUP($R194,Frequenties[],3,FALSE)*VLOOKUP($A194,Locaties[],3,FALSE),0)</f>
        <v>0</v>
      </c>
      <c r="U194" s="33">
        <f>Ruimtestaat[[#This Row],[Uitvoeringen werkdagen]]*Ruimtestaat[[#This Row],[Oppervlak (netto)]]</f>
        <v>1160</v>
      </c>
      <c r="V194" s="170">
        <f>IF(T194&gt;0,Ruimtestaat[[#This Row],[Prest. (m2 /jaar) werkdagen]]/Ruimtestaat[[#This Row],[Norm (m2/uur) werkdagen]],0)</f>
        <v>0</v>
      </c>
      <c r="W194" s="171">
        <f>Ruimtestaat[[#This Row],[uren / jaar werkdagen]]*Tariefsopbouw!$E$35</f>
        <v>0</v>
      </c>
      <c r="X194" s="33"/>
      <c r="Y194" s="33">
        <f>IF(Ruimtestaat[[#This Row],[Frequentie weekend]]&gt;0,VALUE(LEFT(X194,1))*Q194,0)</f>
        <v>0</v>
      </c>
      <c r="Z194" s="104">
        <f>IF($Y194&gt;0,VLOOKUP($J194,Ruimtegroepen[],3,FALSE)*VLOOKUP($L194,Vloersoorten[],3,FALSE)*VLOOKUP($X194,Frequenties[],3,FALSE)*VLOOKUP(Ruimtestaat[[#This Row],[Code]],Locaties[],3,FALSE),0)</f>
        <v>0</v>
      </c>
      <c r="AA194" s="104">
        <f>Ruimtestaat[[#This Row],[Uitvoeringen weekend]]*Ruimtestaat[[#This Row],[Oppervlak (netto)]]</f>
        <v>0</v>
      </c>
      <c r="AB194" s="104">
        <f>IF(Z194&gt;0,Ruimtestaat[[#This Row],[Prest. (m2 /jaar) weekend]]/Ruimtestaat[[#This Row],[Norm (m2/uur) weekend]],0)</f>
        <v>0</v>
      </c>
      <c r="AC194" s="171">
        <f>Ruimtestaat[[#This Row],[uren / jaar weekend]]*Tariefsopbouw!$D$40</f>
        <v>0</v>
      </c>
      <c r="AD194" s="170">
        <f>Ruimtestaat[[#This Row],[Prest. (m2 /jaar) weekend]]+Ruimtestaat[[#This Row],[Prest. (m2 /jaar) werkdagen]]</f>
        <v>1160</v>
      </c>
      <c r="AE194" s="170">
        <f>Ruimtestaat[[#This Row],[uren / jaar weekend]]+Ruimtestaat[[#This Row],[uren / jaar werkdagen]]</f>
        <v>0</v>
      </c>
      <c r="AF194" s="76">
        <f>Ruimtestaat[[#This Row],[kosten / jaar weekend]]+Ruimtestaat[[#This Row],[kosten / jaar werkdagen]]</f>
        <v>0</v>
      </c>
      <c r="AG194" s="76"/>
      <c r="AH194" s="272" t="str">
        <f>IF(Ruimtestaat[[#This Row],[Frequentie werkdagen]]="","",_xlfn.CONCAT(Ruimtestaat[[#This Row],[Ruimte code]],"-",Ruimtestaat[[#This Row],[Frequentie werkdagen]]," ",Ruimtestaat[[#This Row],[Vloer code]]))</f>
        <v>2-1w T</v>
      </c>
      <c r="AI194" s="314" t="str">
        <f>_xlfn.IFNA(VLOOKUP($AH194,Programma!$F$3:$G$1107,2,0),"")</f>
        <v>_</v>
      </c>
      <c r="AJ194" s="314" t="str">
        <f>_xlfn.IFNA(VLOOKUP($AH194,Programma!$F$3:$H$1107,3,0),"")</f>
        <v>1w</v>
      </c>
      <c r="AK194" s="314" t="str">
        <f>_xlfn.IFNA(VLOOKUP($AH194,Programma!$F$3:$I$1107,4,0),"")</f>
        <v>_</v>
      </c>
      <c r="AL194" s="314" t="str">
        <f>_xlfn.IFNA(VLOOKUP($AH194,Programma!$F$3:$J$1107,5,0),"")</f>
        <v>_</v>
      </c>
      <c r="AM194" s="314" t="str">
        <f>_xlfn.IFNA(VLOOKUP($AH194,Programma!$F$3:$K$1107,6,0),"")</f>
        <v>_</v>
      </c>
      <c r="AN194" s="314" t="str">
        <f>_xlfn.IFNA(VLOOKUP($AH194,Programma!$F$3:$L$1107,7,0),"")</f>
        <v>_</v>
      </c>
      <c r="AO194" s="314" t="str">
        <f>_xlfn.IFNA(VLOOKUP($AH194,Programma!$F$3:$M$1107,8,0),"")</f>
        <v>_</v>
      </c>
      <c r="AP194" s="314" t="str">
        <f>_xlfn.IFNA(VLOOKUP($AH194,Programma!$F$3:$N$1107,9,0),"")</f>
        <v>_</v>
      </c>
      <c r="AQ194" s="314" t="str">
        <f>_xlfn.IFNA(VLOOKUP($AH194,Programma!$F$3:$O$1107,10,0),"")</f>
        <v>1w</v>
      </c>
      <c r="AR194" s="314" t="str">
        <f>_xlfn.IFNA(VLOOKUP($AH194,Programma!$F$3:$P$1107,11,0),"")</f>
        <v>1w</v>
      </c>
      <c r="AS194" s="314" t="str">
        <f>_xlfn.IFNA(VLOOKUP($AH194,Programma!$F$3:$Q$1107,12,0),"")</f>
        <v>1w</v>
      </c>
      <c r="AT194" s="314" t="str">
        <f>_xlfn.IFNA(VLOOKUP($AH194,Programma!$F$3:$R$1107,13,0),"")</f>
        <v>1w</v>
      </c>
      <c r="AU194" s="314" t="str">
        <f>_xlfn.IFNA(VLOOKUP($AH194,Programma!$F$3:$S$1107,14,0),"")</f>
        <v>1m</v>
      </c>
      <c r="AV194" s="314" t="str">
        <f>_xlfn.IFNA(VLOOKUP($AH194,Programma!$F$3:$T$1107,15,0),"")</f>
        <v>2j</v>
      </c>
      <c r="AW194" s="314" t="str">
        <f>_xlfn.IFNA(VLOOKUP($AH194,Programma!$F$3:$U$1107,16,0),"")</f>
        <v>1j</v>
      </c>
      <c r="AX194" s="314" t="str">
        <f>_xlfn.IFNA(VLOOKUP($AH194,Programma!$F$3:$V$1107,17,0),"")</f>
        <v>_</v>
      </c>
      <c r="AY194" s="314" t="str">
        <f>_xlfn.IFNA(VLOOKUP($AH194,Programma!$F$3:$W$1107,18,0),"")</f>
        <v>_</v>
      </c>
      <c r="AZ194" s="314" t="str">
        <f>_xlfn.IFNA(VLOOKUP($AH194,Programma!$F$3:$X$1107,19,0),"")</f>
        <v>_</v>
      </c>
      <c r="BA194" s="314" t="str">
        <f>_xlfn.IFNA(VLOOKUP($AH194,Programma!$F$3:$Y$1107,20,0),"")</f>
        <v>_</v>
      </c>
      <c r="BB194" s="273"/>
      <c r="BC194" s="272" t="str">
        <f>IF(Ruimtestaat[[#This Row],[Frequentie weekend]]="","",_xlfn.CONCAT(Ruimtestaat[[#This Row],[Ruimte code]],"-",Ruimtestaat[[#This Row],[Frequentie weekend]]," ",Ruimtestaat[[#This Row],[Vloer code]]))</f>
        <v/>
      </c>
      <c r="BD194" s="314" t="str">
        <f>_xlfn.IFNA(VLOOKUP($BC194,Programma!$F$3:$G$1107,2,0),"")</f>
        <v/>
      </c>
      <c r="BE194" s="314" t="str">
        <f>_xlfn.IFNA(VLOOKUP($BC194,Programma!$F$3:$H$1107,3,0),"")</f>
        <v/>
      </c>
      <c r="BF194" s="314" t="str">
        <f>_xlfn.IFNA(VLOOKUP($BC194,Programma!$F$3:$I$1107,4,0),"")</f>
        <v/>
      </c>
      <c r="BG194" s="314" t="str">
        <f>_xlfn.IFNA(VLOOKUP($BC194,Programma!$F$3:$J$1107,5,0),"")</f>
        <v/>
      </c>
      <c r="BH194" s="314" t="str">
        <f>_xlfn.IFNA(VLOOKUP($BC194,Programma!$F$3:$K$1107,6,0),"")</f>
        <v/>
      </c>
      <c r="BI194" s="314" t="str">
        <f>_xlfn.IFNA(VLOOKUP($BC194,Programma!$F$3:$L$1107,7,0),"")</f>
        <v/>
      </c>
      <c r="BJ194" s="314" t="str">
        <f>_xlfn.IFNA(VLOOKUP($BC194,Programma!$F$3:$M$1107,8,0),"")</f>
        <v/>
      </c>
      <c r="BK194" s="314" t="str">
        <f>_xlfn.IFNA(VLOOKUP($BC194,Programma!$F$3:$N$1107,9,0),"")</f>
        <v/>
      </c>
      <c r="BL194" s="314" t="str">
        <f>_xlfn.IFNA(VLOOKUP($BC194,Programma!$F$3:$O$1107,10,0),"")</f>
        <v/>
      </c>
      <c r="BM194" s="314" t="str">
        <f>_xlfn.IFNA(VLOOKUP($BC194,Programma!$F$3:$P$1107,11,0),"")</f>
        <v/>
      </c>
      <c r="BN194" s="314" t="str">
        <f>_xlfn.IFNA(VLOOKUP($BC194,Programma!$F$3:$Q$1107,12,0),"")</f>
        <v/>
      </c>
      <c r="BO194" s="314" t="str">
        <f>_xlfn.IFNA(VLOOKUP($BC194,Programma!$F$3:$R$1107,13,0),"")</f>
        <v/>
      </c>
      <c r="BP194" s="314" t="str">
        <f>_xlfn.IFNA(VLOOKUP($BC194,Programma!$F$3:$S$1107,14,0),"")</f>
        <v/>
      </c>
      <c r="BQ194" s="314" t="str">
        <f>_xlfn.IFNA(VLOOKUP($BC194,Programma!$F$3:$T$1107,15,0),"")</f>
        <v/>
      </c>
      <c r="BR194" s="314" t="str">
        <f>_xlfn.IFNA(VLOOKUP($BC194,Programma!$F$3:$U$1107,16,0),"")</f>
        <v/>
      </c>
      <c r="BS194" s="314" t="str">
        <f>_xlfn.IFNA(VLOOKUP($BC194,Programma!$F$3:$V$1107,17,0),"")</f>
        <v/>
      </c>
      <c r="BT194" s="314" t="str">
        <f>_xlfn.IFNA(VLOOKUP($BC194,Programma!$F$3:$W$1107,18,0),"")</f>
        <v/>
      </c>
      <c r="BU194" s="314" t="str">
        <f>_xlfn.IFNA(VLOOKUP($BC194,Programma!$F$3:$X$1107,19,0),"")</f>
        <v/>
      </c>
      <c r="BV194" s="314" t="str">
        <f>_xlfn.IFNA(VLOOKUP($BC194,Programma!$F$3:$Y$1107,20,0),"")</f>
        <v/>
      </c>
    </row>
    <row r="195" spans="1:74" ht="15" customHeight="1">
      <c r="A195" s="33">
        <v>1</v>
      </c>
      <c r="B195" s="173" t="str">
        <f>VLOOKUP(Ruimtestaat[[#This Row],[Code]],Locaties[[Code]:[Locatie]],2,FALSE)</f>
        <v>CCNV</v>
      </c>
      <c r="C195" s="173" t="str">
        <f>VLOOKUP(Ruimtestaat[[#This Row],[Code]],Locaties[[#All],[Code]:[Adres]],4,FALSE)</f>
        <v>Stationslaan 26</v>
      </c>
      <c r="D195" s="173" t="str">
        <f>VLOOKUP(Ruimtestaat[[#This Row],[Code]],Locaties[[#All],[Code]:[Postcode]],5,FALSE)</f>
        <v>3842 LA</v>
      </c>
      <c r="E195" s="173" t="str">
        <f>VLOOKUP(Ruimtestaat[[#This Row],[Code]],Locaties[#All],6,FALSE)</f>
        <v>Harderwijk</v>
      </c>
      <c r="F195" s="21" t="s">
        <v>1631</v>
      </c>
      <c r="G195" s="33"/>
      <c r="H195" s="21" t="s">
        <v>1777</v>
      </c>
      <c r="I195" s="69" t="s">
        <v>1783</v>
      </c>
      <c r="J195" s="21">
        <v>2</v>
      </c>
      <c r="K195" s="69" t="str">
        <f>VLOOKUP(Ruimtestaat[[#This Row],[Ruimte code]],Ruimtegroepen[[#All],[Code]:[Ruimte omschrijving]],2,FALSE)</f>
        <v>Kantoren</v>
      </c>
      <c r="L195" s="33" t="s">
        <v>100</v>
      </c>
      <c r="M195" s="312" t="s">
        <v>1803</v>
      </c>
      <c r="N195" s="148">
        <v>13.5</v>
      </c>
      <c r="O195" s="150"/>
      <c r="P195" s="134" t="str">
        <f>VLOOKUP(Ruimtestaat[[#This Row],[Ruimte code]],Ruimtegroepen[],4,FALSE)</f>
        <v>Bu</v>
      </c>
      <c r="Q195" s="33">
        <v>40</v>
      </c>
      <c r="R195" s="33" t="s">
        <v>15</v>
      </c>
      <c r="S195" s="33">
        <f>IF(Q195&gt;0,IF(RIGHT(Ruimtestaat[[#This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95" s="33">
        <f>IF(S195&gt;0,VLOOKUP($J195,Ruimtegroepen[],3,FALSE)*VLOOKUP($L195,Vloersoorten[],3,FALSE)*VLOOKUP($R195,Frequenties[],3,FALSE)*VLOOKUP($A195,Locaties[],3,FALSE),0)</f>
        <v>0</v>
      </c>
      <c r="U195" s="33">
        <f>Ruimtestaat[[#This Row],[Uitvoeringen werkdagen]]*Ruimtestaat[[#This Row],[Oppervlak (netto)]]</f>
        <v>540</v>
      </c>
      <c r="V195" s="170">
        <f>IF(T195&gt;0,Ruimtestaat[[#This Row],[Prest. (m2 /jaar) werkdagen]]/Ruimtestaat[[#This Row],[Norm (m2/uur) werkdagen]],0)</f>
        <v>0</v>
      </c>
      <c r="W195" s="171">
        <f>Ruimtestaat[[#This Row],[uren / jaar werkdagen]]*Tariefsopbouw!$E$35</f>
        <v>0</v>
      </c>
      <c r="X195" s="33"/>
      <c r="Y195" s="33">
        <f>IF(Ruimtestaat[[#This Row],[Frequentie weekend]]&gt;0,VALUE(LEFT(X195,1))*Q195,0)</f>
        <v>0</v>
      </c>
      <c r="Z195" s="104">
        <f>IF($Y195&gt;0,VLOOKUP($J195,Ruimtegroepen[],3,FALSE)*VLOOKUP($L195,Vloersoorten[],3,FALSE)*VLOOKUP($X195,Frequenties[],3,FALSE)*VLOOKUP(Ruimtestaat[[#This Row],[Code]],Locaties[],3,FALSE),0)</f>
        <v>0</v>
      </c>
      <c r="AA195" s="104">
        <f>Ruimtestaat[[#This Row],[Uitvoeringen weekend]]*Ruimtestaat[[#This Row],[Oppervlak (netto)]]</f>
        <v>0</v>
      </c>
      <c r="AB195" s="104">
        <f>IF(Z195&gt;0,Ruimtestaat[[#This Row],[Prest. (m2 /jaar) weekend]]/Ruimtestaat[[#This Row],[Norm (m2/uur) weekend]],0)</f>
        <v>0</v>
      </c>
      <c r="AC195" s="171">
        <f>Ruimtestaat[[#This Row],[uren / jaar weekend]]*Tariefsopbouw!$D$40</f>
        <v>0</v>
      </c>
      <c r="AD195" s="170">
        <f>Ruimtestaat[[#This Row],[Prest. (m2 /jaar) weekend]]+Ruimtestaat[[#This Row],[Prest. (m2 /jaar) werkdagen]]</f>
        <v>540</v>
      </c>
      <c r="AE195" s="170">
        <f>Ruimtestaat[[#This Row],[uren / jaar weekend]]+Ruimtestaat[[#This Row],[uren / jaar werkdagen]]</f>
        <v>0</v>
      </c>
      <c r="AF195" s="76">
        <f>Ruimtestaat[[#This Row],[kosten / jaar weekend]]+Ruimtestaat[[#This Row],[kosten / jaar werkdagen]]</f>
        <v>0</v>
      </c>
      <c r="AG195" s="76"/>
      <c r="AH195" s="272" t="str">
        <f>IF(Ruimtestaat[[#This Row],[Frequentie werkdagen]]="","",_xlfn.CONCAT(Ruimtestaat[[#This Row],[Ruimte code]],"-",Ruimtestaat[[#This Row],[Frequentie werkdagen]]," ",Ruimtestaat[[#This Row],[Vloer code]]))</f>
        <v>2-1w T</v>
      </c>
      <c r="AI195" s="314" t="str">
        <f>_xlfn.IFNA(VLOOKUP($AH195,Programma!$F$3:$G$1107,2,0),"")</f>
        <v>_</v>
      </c>
      <c r="AJ195" s="314" t="str">
        <f>_xlfn.IFNA(VLOOKUP($AH195,Programma!$F$3:$H$1107,3,0),"")</f>
        <v>1w</v>
      </c>
      <c r="AK195" s="314" t="str">
        <f>_xlfn.IFNA(VLOOKUP($AH195,Programma!$F$3:$I$1107,4,0),"")</f>
        <v>_</v>
      </c>
      <c r="AL195" s="314" t="str">
        <f>_xlfn.IFNA(VLOOKUP($AH195,Programma!$F$3:$J$1107,5,0),"")</f>
        <v>_</v>
      </c>
      <c r="AM195" s="314" t="str">
        <f>_xlfn.IFNA(VLOOKUP($AH195,Programma!$F$3:$K$1107,6,0),"")</f>
        <v>_</v>
      </c>
      <c r="AN195" s="314" t="str">
        <f>_xlfn.IFNA(VLOOKUP($AH195,Programma!$F$3:$L$1107,7,0),"")</f>
        <v>_</v>
      </c>
      <c r="AO195" s="314" t="str">
        <f>_xlfn.IFNA(VLOOKUP($AH195,Programma!$F$3:$M$1107,8,0),"")</f>
        <v>_</v>
      </c>
      <c r="AP195" s="314" t="str">
        <f>_xlfn.IFNA(VLOOKUP($AH195,Programma!$F$3:$N$1107,9,0),"")</f>
        <v>_</v>
      </c>
      <c r="AQ195" s="314" t="str">
        <f>_xlfn.IFNA(VLOOKUP($AH195,Programma!$F$3:$O$1107,10,0),"")</f>
        <v>1w</v>
      </c>
      <c r="AR195" s="314" t="str">
        <f>_xlfn.IFNA(VLOOKUP($AH195,Programma!$F$3:$P$1107,11,0),"")</f>
        <v>1w</v>
      </c>
      <c r="AS195" s="314" t="str">
        <f>_xlfn.IFNA(VLOOKUP($AH195,Programma!$F$3:$Q$1107,12,0),"")</f>
        <v>1w</v>
      </c>
      <c r="AT195" s="314" t="str">
        <f>_xlfn.IFNA(VLOOKUP($AH195,Programma!$F$3:$R$1107,13,0),"")</f>
        <v>1w</v>
      </c>
      <c r="AU195" s="314" t="str">
        <f>_xlfn.IFNA(VLOOKUP($AH195,Programma!$F$3:$S$1107,14,0),"")</f>
        <v>1m</v>
      </c>
      <c r="AV195" s="314" t="str">
        <f>_xlfn.IFNA(VLOOKUP($AH195,Programma!$F$3:$T$1107,15,0),"")</f>
        <v>2j</v>
      </c>
      <c r="AW195" s="314" t="str">
        <f>_xlfn.IFNA(VLOOKUP($AH195,Programma!$F$3:$U$1107,16,0),"")</f>
        <v>1j</v>
      </c>
      <c r="AX195" s="314" t="str">
        <f>_xlfn.IFNA(VLOOKUP($AH195,Programma!$F$3:$V$1107,17,0),"")</f>
        <v>_</v>
      </c>
      <c r="AY195" s="314" t="str">
        <f>_xlfn.IFNA(VLOOKUP($AH195,Programma!$F$3:$W$1107,18,0),"")</f>
        <v>_</v>
      </c>
      <c r="AZ195" s="314" t="str">
        <f>_xlfn.IFNA(VLOOKUP($AH195,Programma!$F$3:$X$1107,19,0),"")</f>
        <v>_</v>
      </c>
      <c r="BA195" s="314" t="str">
        <f>_xlfn.IFNA(VLOOKUP($AH195,Programma!$F$3:$Y$1107,20,0),"")</f>
        <v>_</v>
      </c>
      <c r="BB195" s="273"/>
      <c r="BC195" s="272" t="str">
        <f>IF(Ruimtestaat[[#This Row],[Frequentie weekend]]="","",_xlfn.CONCAT(Ruimtestaat[[#This Row],[Ruimte code]],"-",Ruimtestaat[[#This Row],[Frequentie weekend]]," ",Ruimtestaat[[#This Row],[Vloer code]]))</f>
        <v/>
      </c>
      <c r="BD195" s="314" t="str">
        <f>_xlfn.IFNA(VLOOKUP($BC195,Programma!$F$3:$G$1107,2,0),"")</f>
        <v/>
      </c>
      <c r="BE195" s="314" t="str">
        <f>_xlfn.IFNA(VLOOKUP($BC195,Programma!$F$3:$H$1107,3,0),"")</f>
        <v/>
      </c>
      <c r="BF195" s="314" t="str">
        <f>_xlfn.IFNA(VLOOKUP($BC195,Programma!$F$3:$I$1107,4,0),"")</f>
        <v/>
      </c>
      <c r="BG195" s="314" t="str">
        <f>_xlfn.IFNA(VLOOKUP($BC195,Programma!$F$3:$J$1107,5,0),"")</f>
        <v/>
      </c>
      <c r="BH195" s="314" t="str">
        <f>_xlfn.IFNA(VLOOKUP($BC195,Programma!$F$3:$K$1107,6,0),"")</f>
        <v/>
      </c>
      <c r="BI195" s="314" t="str">
        <f>_xlfn.IFNA(VLOOKUP($BC195,Programma!$F$3:$L$1107,7,0),"")</f>
        <v/>
      </c>
      <c r="BJ195" s="314" t="str">
        <f>_xlfn.IFNA(VLOOKUP($BC195,Programma!$F$3:$M$1107,8,0),"")</f>
        <v/>
      </c>
      <c r="BK195" s="314" t="str">
        <f>_xlfn.IFNA(VLOOKUP($BC195,Programma!$F$3:$N$1107,9,0),"")</f>
        <v/>
      </c>
      <c r="BL195" s="314" t="str">
        <f>_xlfn.IFNA(VLOOKUP($BC195,Programma!$F$3:$O$1107,10,0),"")</f>
        <v/>
      </c>
      <c r="BM195" s="314" t="str">
        <f>_xlfn.IFNA(VLOOKUP($BC195,Programma!$F$3:$P$1107,11,0),"")</f>
        <v/>
      </c>
      <c r="BN195" s="314" t="str">
        <f>_xlfn.IFNA(VLOOKUP($BC195,Programma!$F$3:$Q$1107,12,0),"")</f>
        <v/>
      </c>
      <c r="BO195" s="314" t="str">
        <f>_xlfn.IFNA(VLOOKUP($BC195,Programma!$F$3:$R$1107,13,0),"")</f>
        <v/>
      </c>
      <c r="BP195" s="314" t="str">
        <f>_xlfn.IFNA(VLOOKUP($BC195,Programma!$F$3:$S$1107,14,0),"")</f>
        <v/>
      </c>
      <c r="BQ195" s="314" t="str">
        <f>_xlfn.IFNA(VLOOKUP($BC195,Programma!$F$3:$T$1107,15,0),"")</f>
        <v/>
      </c>
      <c r="BR195" s="314" t="str">
        <f>_xlfn.IFNA(VLOOKUP($BC195,Programma!$F$3:$U$1107,16,0),"")</f>
        <v/>
      </c>
      <c r="BS195" s="314" t="str">
        <f>_xlfn.IFNA(VLOOKUP($BC195,Programma!$F$3:$V$1107,17,0),"")</f>
        <v/>
      </c>
      <c r="BT195" s="314" t="str">
        <f>_xlfn.IFNA(VLOOKUP($BC195,Programma!$F$3:$W$1107,18,0),"")</f>
        <v/>
      </c>
      <c r="BU195" s="314" t="str">
        <f>_xlfn.IFNA(VLOOKUP($BC195,Programma!$F$3:$X$1107,19,0),"")</f>
        <v/>
      </c>
      <c r="BV195" s="314" t="str">
        <f>_xlfn.IFNA(VLOOKUP($BC195,Programma!$F$3:$Y$1107,20,0),"")</f>
        <v/>
      </c>
    </row>
    <row r="196" spans="1:74" ht="15" customHeight="1">
      <c r="A196" s="33">
        <v>1</v>
      </c>
      <c r="B196" s="173" t="str">
        <f>VLOOKUP(Ruimtestaat[[#This Row],[Code]],Locaties[[Code]:[Locatie]],2,FALSE)</f>
        <v>CCNV</v>
      </c>
      <c r="C196" s="173" t="str">
        <f>VLOOKUP(Ruimtestaat[[#This Row],[Code]],Locaties[[#All],[Code]:[Adres]],4,FALSE)</f>
        <v>Stationslaan 26</v>
      </c>
      <c r="D196" s="173" t="str">
        <f>VLOOKUP(Ruimtestaat[[#This Row],[Code]],Locaties[[#All],[Code]:[Postcode]],5,FALSE)</f>
        <v>3842 LA</v>
      </c>
      <c r="E196" s="173" t="str">
        <f>VLOOKUP(Ruimtestaat[[#This Row],[Code]],Locaties[#All],6,FALSE)</f>
        <v>Harderwijk</v>
      </c>
      <c r="F196" s="21" t="s">
        <v>1631</v>
      </c>
      <c r="G196" s="33"/>
      <c r="H196" s="21" t="s">
        <v>1778</v>
      </c>
      <c r="I196" s="69" t="s">
        <v>1783</v>
      </c>
      <c r="J196" s="21">
        <v>2</v>
      </c>
      <c r="K196" s="69" t="str">
        <f>VLOOKUP(Ruimtestaat[[#This Row],[Ruimte code]],Ruimtegroepen[[#All],[Code]:[Ruimte omschrijving]],2,FALSE)</f>
        <v>Kantoren</v>
      </c>
      <c r="L196" s="33" t="s">
        <v>100</v>
      </c>
      <c r="M196" s="312" t="s">
        <v>1803</v>
      </c>
      <c r="N196" s="148">
        <v>13.5</v>
      </c>
      <c r="O196" s="150"/>
      <c r="P196" s="134" t="str">
        <f>VLOOKUP(Ruimtestaat[[#This Row],[Ruimte code]],Ruimtegroepen[],4,FALSE)</f>
        <v>Bu</v>
      </c>
      <c r="Q196" s="33">
        <v>40</v>
      </c>
      <c r="R196" s="33" t="s">
        <v>15</v>
      </c>
      <c r="S196" s="33">
        <f>IF(Q196&gt;0,IF(RIGHT(Ruimtestaat[[#This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96" s="33">
        <f>IF(S196&gt;0,VLOOKUP($J196,Ruimtegroepen[],3,FALSE)*VLOOKUP($L196,Vloersoorten[],3,FALSE)*VLOOKUP($R196,Frequenties[],3,FALSE)*VLOOKUP($A196,Locaties[],3,FALSE),0)</f>
        <v>0</v>
      </c>
      <c r="U196" s="33">
        <f>Ruimtestaat[[#This Row],[Uitvoeringen werkdagen]]*Ruimtestaat[[#This Row],[Oppervlak (netto)]]</f>
        <v>540</v>
      </c>
      <c r="V196" s="170">
        <f>IF(T196&gt;0,Ruimtestaat[[#This Row],[Prest. (m2 /jaar) werkdagen]]/Ruimtestaat[[#This Row],[Norm (m2/uur) werkdagen]],0)</f>
        <v>0</v>
      </c>
      <c r="W196" s="171">
        <f>Ruimtestaat[[#This Row],[uren / jaar werkdagen]]*Tariefsopbouw!$E$35</f>
        <v>0</v>
      </c>
      <c r="X196" s="33"/>
      <c r="Y196" s="33">
        <f>IF(Ruimtestaat[[#This Row],[Frequentie weekend]]&gt;0,VALUE(LEFT(X196,1))*Q196,0)</f>
        <v>0</v>
      </c>
      <c r="Z196" s="104">
        <f>IF($Y196&gt;0,VLOOKUP($J196,Ruimtegroepen[],3,FALSE)*VLOOKUP($L196,Vloersoorten[],3,FALSE)*VLOOKUP($X196,Frequenties[],3,FALSE)*VLOOKUP(Ruimtestaat[[#This Row],[Code]],Locaties[],3,FALSE),0)</f>
        <v>0</v>
      </c>
      <c r="AA196" s="104">
        <f>Ruimtestaat[[#This Row],[Uitvoeringen weekend]]*Ruimtestaat[[#This Row],[Oppervlak (netto)]]</f>
        <v>0</v>
      </c>
      <c r="AB196" s="104">
        <f>IF(Z196&gt;0,Ruimtestaat[[#This Row],[Prest. (m2 /jaar) weekend]]/Ruimtestaat[[#This Row],[Norm (m2/uur) weekend]],0)</f>
        <v>0</v>
      </c>
      <c r="AC196" s="171">
        <f>Ruimtestaat[[#This Row],[uren / jaar weekend]]*Tariefsopbouw!$D$40</f>
        <v>0</v>
      </c>
      <c r="AD196" s="170">
        <f>Ruimtestaat[[#This Row],[Prest. (m2 /jaar) weekend]]+Ruimtestaat[[#This Row],[Prest. (m2 /jaar) werkdagen]]</f>
        <v>540</v>
      </c>
      <c r="AE196" s="170">
        <f>Ruimtestaat[[#This Row],[uren / jaar weekend]]+Ruimtestaat[[#This Row],[uren / jaar werkdagen]]</f>
        <v>0</v>
      </c>
      <c r="AF196" s="76">
        <f>Ruimtestaat[[#This Row],[kosten / jaar weekend]]+Ruimtestaat[[#This Row],[kosten / jaar werkdagen]]</f>
        <v>0</v>
      </c>
      <c r="AG196" s="76"/>
      <c r="AH196" s="272" t="str">
        <f>IF(Ruimtestaat[[#This Row],[Frequentie werkdagen]]="","",_xlfn.CONCAT(Ruimtestaat[[#This Row],[Ruimte code]],"-",Ruimtestaat[[#This Row],[Frequentie werkdagen]]," ",Ruimtestaat[[#This Row],[Vloer code]]))</f>
        <v>2-1w T</v>
      </c>
      <c r="AI196" s="314" t="str">
        <f>_xlfn.IFNA(VLOOKUP($AH196,Programma!$F$3:$G$1107,2,0),"")</f>
        <v>_</v>
      </c>
      <c r="AJ196" s="314" t="str">
        <f>_xlfn.IFNA(VLOOKUP($AH196,Programma!$F$3:$H$1107,3,0),"")</f>
        <v>1w</v>
      </c>
      <c r="AK196" s="314" t="str">
        <f>_xlfn.IFNA(VLOOKUP($AH196,Programma!$F$3:$I$1107,4,0),"")</f>
        <v>_</v>
      </c>
      <c r="AL196" s="314" t="str">
        <f>_xlfn.IFNA(VLOOKUP($AH196,Programma!$F$3:$J$1107,5,0),"")</f>
        <v>_</v>
      </c>
      <c r="AM196" s="314" t="str">
        <f>_xlfn.IFNA(VLOOKUP($AH196,Programma!$F$3:$K$1107,6,0),"")</f>
        <v>_</v>
      </c>
      <c r="AN196" s="314" t="str">
        <f>_xlfn.IFNA(VLOOKUP($AH196,Programma!$F$3:$L$1107,7,0),"")</f>
        <v>_</v>
      </c>
      <c r="AO196" s="314" t="str">
        <f>_xlfn.IFNA(VLOOKUP($AH196,Programma!$F$3:$M$1107,8,0),"")</f>
        <v>_</v>
      </c>
      <c r="AP196" s="314" t="str">
        <f>_xlfn.IFNA(VLOOKUP($AH196,Programma!$F$3:$N$1107,9,0),"")</f>
        <v>_</v>
      </c>
      <c r="AQ196" s="314" t="str">
        <f>_xlfn.IFNA(VLOOKUP($AH196,Programma!$F$3:$O$1107,10,0),"")</f>
        <v>1w</v>
      </c>
      <c r="AR196" s="314" t="str">
        <f>_xlfn.IFNA(VLOOKUP($AH196,Programma!$F$3:$P$1107,11,0),"")</f>
        <v>1w</v>
      </c>
      <c r="AS196" s="314" t="str">
        <f>_xlfn.IFNA(VLOOKUP($AH196,Programma!$F$3:$Q$1107,12,0),"")</f>
        <v>1w</v>
      </c>
      <c r="AT196" s="314" t="str">
        <f>_xlfn.IFNA(VLOOKUP($AH196,Programma!$F$3:$R$1107,13,0),"")</f>
        <v>1w</v>
      </c>
      <c r="AU196" s="314" t="str">
        <f>_xlfn.IFNA(VLOOKUP($AH196,Programma!$F$3:$S$1107,14,0),"")</f>
        <v>1m</v>
      </c>
      <c r="AV196" s="314" t="str">
        <f>_xlfn.IFNA(VLOOKUP($AH196,Programma!$F$3:$T$1107,15,0),"")</f>
        <v>2j</v>
      </c>
      <c r="AW196" s="314" t="str">
        <f>_xlfn.IFNA(VLOOKUP($AH196,Programma!$F$3:$U$1107,16,0),"")</f>
        <v>1j</v>
      </c>
      <c r="AX196" s="314" t="str">
        <f>_xlfn.IFNA(VLOOKUP($AH196,Programma!$F$3:$V$1107,17,0),"")</f>
        <v>_</v>
      </c>
      <c r="AY196" s="314" t="str">
        <f>_xlfn.IFNA(VLOOKUP($AH196,Programma!$F$3:$W$1107,18,0),"")</f>
        <v>_</v>
      </c>
      <c r="AZ196" s="314" t="str">
        <f>_xlfn.IFNA(VLOOKUP($AH196,Programma!$F$3:$X$1107,19,0),"")</f>
        <v>_</v>
      </c>
      <c r="BA196" s="314" t="str">
        <f>_xlfn.IFNA(VLOOKUP($AH196,Programma!$F$3:$Y$1107,20,0),"")</f>
        <v>_</v>
      </c>
      <c r="BB196" s="273"/>
      <c r="BC196" s="272" t="str">
        <f>IF(Ruimtestaat[[#This Row],[Frequentie weekend]]="","",_xlfn.CONCAT(Ruimtestaat[[#This Row],[Ruimte code]],"-",Ruimtestaat[[#This Row],[Frequentie weekend]]," ",Ruimtestaat[[#This Row],[Vloer code]]))</f>
        <v/>
      </c>
      <c r="BD196" s="314" t="str">
        <f>_xlfn.IFNA(VLOOKUP($BC196,Programma!$F$3:$G$1107,2,0),"")</f>
        <v/>
      </c>
      <c r="BE196" s="314" t="str">
        <f>_xlfn.IFNA(VLOOKUP($BC196,Programma!$F$3:$H$1107,3,0),"")</f>
        <v/>
      </c>
      <c r="BF196" s="314" t="str">
        <f>_xlfn.IFNA(VLOOKUP($BC196,Programma!$F$3:$I$1107,4,0),"")</f>
        <v/>
      </c>
      <c r="BG196" s="314" t="str">
        <f>_xlfn.IFNA(VLOOKUP($BC196,Programma!$F$3:$J$1107,5,0),"")</f>
        <v/>
      </c>
      <c r="BH196" s="314" t="str">
        <f>_xlfn.IFNA(VLOOKUP($BC196,Programma!$F$3:$K$1107,6,0),"")</f>
        <v/>
      </c>
      <c r="BI196" s="314" t="str">
        <f>_xlfn.IFNA(VLOOKUP($BC196,Programma!$F$3:$L$1107,7,0),"")</f>
        <v/>
      </c>
      <c r="BJ196" s="314" t="str">
        <f>_xlfn.IFNA(VLOOKUP($BC196,Programma!$F$3:$M$1107,8,0),"")</f>
        <v/>
      </c>
      <c r="BK196" s="314" t="str">
        <f>_xlfn.IFNA(VLOOKUP($BC196,Programma!$F$3:$N$1107,9,0),"")</f>
        <v/>
      </c>
      <c r="BL196" s="314" t="str">
        <f>_xlfn.IFNA(VLOOKUP($BC196,Programma!$F$3:$O$1107,10,0),"")</f>
        <v/>
      </c>
      <c r="BM196" s="314" t="str">
        <f>_xlfn.IFNA(VLOOKUP($BC196,Programma!$F$3:$P$1107,11,0),"")</f>
        <v/>
      </c>
      <c r="BN196" s="314" t="str">
        <f>_xlfn.IFNA(VLOOKUP($BC196,Programma!$F$3:$Q$1107,12,0),"")</f>
        <v/>
      </c>
      <c r="BO196" s="314" t="str">
        <f>_xlfn.IFNA(VLOOKUP($BC196,Programma!$F$3:$R$1107,13,0),"")</f>
        <v/>
      </c>
      <c r="BP196" s="314" t="str">
        <f>_xlfn.IFNA(VLOOKUP($BC196,Programma!$F$3:$S$1107,14,0),"")</f>
        <v/>
      </c>
      <c r="BQ196" s="314" t="str">
        <f>_xlfn.IFNA(VLOOKUP($BC196,Programma!$F$3:$T$1107,15,0),"")</f>
        <v/>
      </c>
      <c r="BR196" s="314" t="str">
        <f>_xlfn.IFNA(VLOOKUP($BC196,Programma!$F$3:$U$1107,16,0),"")</f>
        <v/>
      </c>
      <c r="BS196" s="314" t="str">
        <f>_xlfn.IFNA(VLOOKUP($BC196,Programma!$F$3:$V$1107,17,0),"")</f>
        <v/>
      </c>
      <c r="BT196" s="314" t="str">
        <f>_xlfn.IFNA(VLOOKUP($BC196,Programma!$F$3:$W$1107,18,0),"")</f>
        <v/>
      </c>
      <c r="BU196" s="314" t="str">
        <f>_xlfn.IFNA(VLOOKUP($BC196,Programma!$F$3:$X$1107,19,0),"")</f>
        <v/>
      </c>
      <c r="BV196" s="314" t="str">
        <f>_xlfn.IFNA(VLOOKUP($BC196,Programma!$F$3:$Y$1107,20,0),"")</f>
        <v/>
      </c>
    </row>
    <row r="197" spans="1:74" ht="15" customHeight="1">
      <c r="A197" s="33">
        <v>1</v>
      </c>
      <c r="B197" s="173" t="str">
        <f>VLOOKUP(Ruimtestaat[[#This Row],[Code]],Locaties[[Code]:[Locatie]],2,FALSE)</f>
        <v>CCNV</v>
      </c>
      <c r="C197" s="173" t="str">
        <f>VLOOKUP(Ruimtestaat[[#This Row],[Code]],Locaties[[#All],[Code]:[Adres]],4,FALSE)</f>
        <v>Stationslaan 26</v>
      </c>
      <c r="D197" s="173" t="str">
        <f>VLOOKUP(Ruimtestaat[[#This Row],[Code]],Locaties[[#All],[Code]:[Postcode]],5,FALSE)</f>
        <v>3842 LA</v>
      </c>
      <c r="E197" s="173" t="str">
        <f>VLOOKUP(Ruimtestaat[[#This Row],[Code]],Locaties[#All],6,FALSE)</f>
        <v>Harderwijk</v>
      </c>
      <c r="F197" s="21" t="s">
        <v>1631</v>
      </c>
      <c r="G197" s="33"/>
      <c r="H197" s="21" t="s">
        <v>1779</v>
      </c>
      <c r="I197" s="69" t="s">
        <v>1783</v>
      </c>
      <c r="J197" s="21">
        <v>2</v>
      </c>
      <c r="K197" s="69" t="str">
        <f>VLOOKUP(Ruimtestaat[[#This Row],[Ruimte code]],Ruimtegroepen[[#All],[Code]:[Ruimte omschrijving]],2,FALSE)</f>
        <v>Kantoren</v>
      </c>
      <c r="L197" s="33" t="s">
        <v>100</v>
      </c>
      <c r="M197" s="312" t="s">
        <v>1803</v>
      </c>
      <c r="N197" s="148">
        <v>19</v>
      </c>
      <c r="O197" s="33"/>
      <c r="P197" s="134" t="str">
        <f>VLOOKUP(Ruimtestaat[[#This Row],[Ruimte code]],Ruimtegroepen[],4,FALSE)</f>
        <v>Bu</v>
      </c>
      <c r="Q197" s="33">
        <v>40</v>
      </c>
      <c r="R197" s="33" t="s">
        <v>15</v>
      </c>
      <c r="S197" s="33">
        <f>IF(Q197&gt;0,IF(RIGHT(Ruimtestaat[[#This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97" s="33">
        <f>IF(S197&gt;0,VLOOKUP($J197,Ruimtegroepen[],3,FALSE)*VLOOKUP($L197,Vloersoorten[],3,FALSE)*VLOOKUP($R197,Frequenties[],3,FALSE)*VLOOKUP($A197,Locaties[],3,FALSE),0)</f>
        <v>0</v>
      </c>
      <c r="U197" s="33">
        <f>Ruimtestaat[[#This Row],[Uitvoeringen werkdagen]]*Ruimtestaat[[#This Row],[Oppervlak (netto)]]</f>
        <v>760</v>
      </c>
      <c r="V197" s="170">
        <f>IF(T197&gt;0,Ruimtestaat[[#This Row],[Prest. (m2 /jaar) werkdagen]]/Ruimtestaat[[#This Row],[Norm (m2/uur) werkdagen]],0)</f>
        <v>0</v>
      </c>
      <c r="W197" s="171">
        <f>Ruimtestaat[[#This Row],[uren / jaar werkdagen]]*Tariefsopbouw!$E$35</f>
        <v>0</v>
      </c>
      <c r="X197" s="33"/>
      <c r="Y197" s="33">
        <f>IF(Ruimtestaat[[#This Row],[Frequentie weekend]]&gt;0,VALUE(LEFT(X197,1))*Q197,0)</f>
        <v>0</v>
      </c>
      <c r="Z197" s="104">
        <f>IF($Y197&gt;0,VLOOKUP($J197,Ruimtegroepen[],3,FALSE)*VLOOKUP($L197,Vloersoorten[],3,FALSE)*VLOOKUP($X197,Frequenties[],3,FALSE)*VLOOKUP(Ruimtestaat[[#This Row],[Code]],Locaties[],3,FALSE),0)</f>
        <v>0</v>
      </c>
      <c r="AA197" s="104">
        <f>Ruimtestaat[[#This Row],[Uitvoeringen weekend]]*Ruimtestaat[[#This Row],[Oppervlak (netto)]]</f>
        <v>0</v>
      </c>
      <c r="AB197" s="104">
        <f>IF(Z197&gt;0,Ruimtestaat[[#This Row],[Prest. (m2 /jaar) weekend]]/Ruimtestaat[[#This Row],[Norm (m2/uur) weekend]],0)</f>
        <v>0</v>
      </c>
      <c r="AC197" s="171">
        <f>Ruimtestaat[[#This Row],[uren / jaar weekend]]*Tariefsopbouw!$D$40</f>
        <v>0</v>
      </c>
      <c r="AD197" s="170">
        <f>Ruimtestaat[[#This Row],[Prest. (m2 /jaar) weekend]]+Ruimtestaat[[#This Row],[Prest. (m2 /jaar) werkdagen]]</f>
        <v>760</v>
      </c>
      <c r="AE197" s="170">
        <f>Ruimtestaat[[#This Row],[uren / jaar weekend]]+Ruimtestaat[[#This Row],[uren / jaar werkdagen]]</f>
        <v>0</v>
      </c>
      <c r="AF197" s="76">
        <f>Ruimtestaat[[#This Row],[kosten / jaar weekend]]+Ruimtestaat[[#This Row],[kosten / jaar werkdagen]]</f>
        <v>0</v>
      </c>
      <c r="AG197" s="76"/>
      <c r="AH197" s="272" t="str">
        <f>IF(Ruimtestaat[[#This Row],[Frequentie werkdagen]]="","",_xlfn.CONCAT(Ruimtestaat[[#This Row],[Ruimte code]],"-",Ruimtestaat[[#This Row],[Frequentie werkdagen]]," ",Ruimtestaat[[#This Row],[Vloer code]]))</f>
        <v>2-1w T</v>
      </c>
      <c r="AI197" s="314" t="str">
        <f>_xlfn.IFNA(VLOOKUP($AH197,Programma!$F$3:$G$1107,2,0),"")</f>
        <v>_</v>
      </c>
      <c r="AJ197" s="314" t="str">
        <f>_xlfn.IFNA(VLOOKUP($AH197,Programma!$F$3:$H$1107,3,0),"")</f>
        <v>1w</v>
      </c>
      <c r="AK197" s="314" t="str">
        <f>_xlfn.IFNA(VLOOKUP($AH197,Programma!$F$3:$I$1107,4,0),"")</f>
        <v>_</v>
      </c>
      <c r="AL197" s="314" t="str">
        <f>_xlfn.IFNA(VLOOKUP($AH197,Programma!$F$3:$J$1107,5,0),"")</f>
        <v>_</v>
      </c>
      <c r="AM197" s="314" t="str">
        <f>_xlfn.IFNA(VLOOKUP($AH197,Programma!$F$3:$K$1107,6,0),"")</f>
        <v>_</v>
      </c>
      <c r="AN197" s="314" t="str">
        <f>_xlfn.IFNA(VLOOKUP($AH197,Programma!$F$3:$L$1107,7,0),"")</f>
        <v>_</v>
      </c>
      <c r="AO197" s="314" t="str">
        <f>_xlfn.IFNA(VLOOKUP($AH197,Programma!$F$3:$M$1107,8,0),"")</f>
        <v>_</v>
      </c>
      <c r="AP197" s="314" t="str">
        <f>_xlfn.IFNA(VLOOKUP($AH197,Programma!$F$3:$N$1107,9,0),"")</f>
        <v>_</v>
      </c>
      <c r="AQ197" s="314" t="str">
        <f>_xlfn.IFNA(VLOOKUP($AH197,Programma!$F$3:$O$1107,10,0),"")</f>
        <v>1w</v>
      </c>
      <c r="AR197" s="314" t="str">
        <f>_xlfn.IFNA(VLOOKUP($AH197,Programma!$F$3:$P$1107,11,0),"")</f>
        <v>1w</v>
      </c>
      <c r="AS197" s="314" t="str">
        <f>_xlfn.IFNA(VLOOKUP($AH197,Programma!$F$3:$Q$1107,12,0),"")</f>
        <v>1w</v>
      </c>
      <c r="AT197" s="314" t="str">
        <f>_xlfn.IFNA(VLOOKUP($AH197,Programma!$F$3:$R$1107,13,0),"")</f>
        <v>1w</v>
      </c>
      <c r="AU197" s="314" t="str">
        <f>_xlfn.IFNA(VLOOKUP($AH197,Programma!$F$3:$S$1107,14,0),"")</f>
        <v>1m</v>
      </c>
      <c r="AV197" s="314" t="str">
        <f>_xlfn.IFNA(VLOOKUP($AH197,Programma!$F$3:$T$1107,15,0),"")</f>
        <v>2j</v>
      </c>
      <c r="AW197" s="314" t="str">
        <f>_xlfn.IFNA(VLOOKUP($AH197,Programma!$F$3:$U$1107,16,0),"")</f>
        <v>1j</v>
      </c>
      <c r="AX197" s="314" t="str">
        <f>_xlfn.IFNA(VLOOKUP($AH197,Programma!$F$3:$V$1107,17,0),"")</f>
        <v>_</v>
      </c>
      <c r="AY197" s="314" t="str">
        <f>_xlfn.IFNA(VLOOKUP($AH197,Programma!$F$3:$W$1107,18,0),"")</f>
        <v>_</v>
      </c>
      <c r="AZ197" s="314" t="str">
        <f>_xlfn.IFNA(VLOOKUP($AH197,Programma!$F$3:$X$1107,19,0),"")</f>
        <v>_</v>
      </c>
      <c r="BA197" s="314" t="str">
        <f>_xlfn.IFNA(VLOOKUP($AH197,Programma!$F$3:$Y$1107,20,0),"")</f>
        <v>_</v>
      </c>
      <c r="BB197" s="273"/>
      <c r="BC197" s="272" t="str">
        <f>IF(Ruimtestaat[[#This Row],[Frequentie weekend]]="","",_xlfn.CONCAT(Ruimtestaat[[#This Row],[Ruimte code]],"-",Ruimtestaat[[#This Row],[Frequentie weekend]]," ",Ruimtestaat[[#This Row],[Vloer code]]))</f>
        <v/>
      </c>
      <c r="BD197" s="314" t="str">
        <f>_xlfn.IFNA(VLOOKUP($BC197,Programma!$F$3:$G$1107,2,0),"")</f>
        <v/>
      </c>
      <c r="BE197" s="314" t="str">
        <f>_xlfn.IFNA(VLOOKUP($BC197,Programma!$F$3:$H$1107,3,0),"")</f>
        <v/>
      </c>
      <c r="BF197" s="314" t="str">
        <f>_xlfn.IFNA(VLOOKUP($BC197,Programma!$F$3:$I$1107,4,0),"")</f>
        <v/>
      </c>
      <c r="BG197" s="314" t="str">
        <f>_xlfn.IFNA(VLOOKUP($BC197,Programma!$F$3:$J$1107,5,0),"")</f>
        <v/>
      </c>
      <c r="BH197" s="314" t="str">
        <f>_xlfn.IFNA(VLOOKUP($BC197,Programma!$F$3:$K$1107,6,0),"")</f>
        <v/>
      </c>
      <c r="BI197" s="314" t="str">
        <f>_xlfn.IFNA(VLOOKUP($BC197,Programma!$F$3:$L$1107,7,0),"")</f>
        <v/>
      </c>
      <c r="BJ197" s="314" t="str">
        <f>_xlfn.IFNA(VLOOKUP($BC197,Programma!$F$3:$M$1107,8,0),"")</f>
        <v/>
      </c>
      <c r="BK197" s="314" t="str">
        <f>_xlfn.IFNA(VLOOKUP($BC197,Programma!$F$3:$N$1107,9,0),"")</f>
        <v/>
      </c>
      <c r="BL197" s="314" t="str">
        <f>_xlfn.IFNA(VLOOKUP($BC197,Programma!$F$3:$O$1107,10,0),"")</f>
        <v/>
      </c>
      <c r="BM197" s="314" t="str">
        <f>_xlfn.IFNA(VLOOKUP($BC197,Programma!$F$3:$P$1107,11,0),"")</f>
        <v/>
      </c>
      <c r="BN197" s="314" t="str">
        <f>_xlfn.IFNA(VLOOKUP($BC197,Programma!$F$3:$Q$1107,12,0),"")</f>
        <v/>
      </c>
      <c r="BO197" s="314" t="str">
        <f>_xlfn.IFNA(VLOOKUP($BC197,Programma!$F$3:$R$1107,13,0),"")</f>
        <v/>
      </c>
      <c r="BP197" s="314" t="str">
        <f>_xlfn.IFNA(VLOOKUP($BC197,Programma!$F$3:$S$1107,14,0),"")</f>
        <v/>
      </c>
      <c r="BQ197" s="314" t="str">
        <f>_xlfn.IFNA(VLOOKUP($BC197,Programma!$F$3:$T$1107,15,0),"")</f>
        <v/>
      </c>
      <c r="BR197" s="314" t="str">
        <f>_xlfn.IFNA(VLOOKUP($BC197,Programma!$F$3:$U$1107,16,0),"")</f>
        <v/>
      </c>
      <c r="BS197" s="314" t="str">
        <f>_xlfn.IFNA(VLOOKUP($BC197,Programma!$F$3:$V$1107,17,0),"")</f>
        <v/>
      </c>
      <c r="BT197" s="314" t="str">
        <f>_xlfn.IFNA(VLOOKUP($BC197,Programma!$F$3:$W$1107,18,0),"")</f>
        <v/>
      </c>
      <c r="BU197" s="314" t="str">
        <f>_xlfn.IFNA(VLOOKUP($BC197,Programma!$F$3:$X$1107,19,0),"")</f>
        <v/>
      </c>
      <c r="BV197" s="314" t="str">
        <f>_xlfn.IFNA(VLOOKUP($BC197,Programma!$F$3:$Y$1107,20,0),"")</f>
        <v/>
      </c>
    </row>
    <row r="198" spans="1:74" ht="15" customHeight="1">
      <c r="A198" s="33">
        <v>1</v>
      </c>
      <c r="B198" s="173" t="str">
        <f>VLOOKUP(Ruimtestaat[[#This Row],[Code]],Locaties[[Code]:[Locatie]],2,FALSE)</f>
        <v>CCNV</v>
      </c>
      <c r="C198" s="173" t="str">
        <f>VLOOKUP(Ruimtestaat[[#This Row],[Code]],Locaties[[#All],[Code]:[Adres]],4,FALSE)</f>
        <v>Stationslaan 26</v>
      </c>
      <c r="D198" s="173" t="str">
        <f>VLOOKUP(Ruimtestaat[[#This Row],[Code]],Locaties[[#All],[Code]:[Postcode]],5,FALSE)</f>
        <v>3842 LA</v>
      </c>
      <c r="E198" s="173" t="str">
        <f>VLOOKUP(Ruimtestaat[[#This Row],[Code]],Locaties[#All],6,FALSE)</f>
        <v>Harderwijk</v>
      </c>
      <c r="F198" s="21" t="s">
        <v>1631</v>
      </c>
      <c r="G198" s="33"/>
      <c r="H198" s="21" t="s">
        <v>1780</v>
      </c>
      <c r="I198" s="69" t="s">
        <v>1783</v>
      </c>
      <c r="J198" s="21">
        <v>2</v>
      </c>
      <c r="K198" s="69" t="str">
        <f>VLOOKUP(Ruimtestaat[[#This Row],[Ruimte code]],Ruimtegroepen[[#All],[Code]:[Ruimte omschrijving]],2,FALSE)</f>
        <v>Kantoren</v>
      </c>
      <c r="L198" s="33" t="s">
        <v>100</v>
      </c>
      <c r="M198" s="312" t="s">
        <v>1803</v>
      </c>
      <c r="N198" s="148">
        <v>21</v>
      </c>
      <c r="O198" s="150"/>
      <c r="P198" s="134" t="str">
        <f>VLOOKUP(Ruimtestaat[[#This Row],[Ruimte code]],Ruimtegroepen[],4,FALSE)</f>
        <v>Bu</v>
      </c>
      <c r="Q198" s="33">
        <v>40</v>
      </c>
      <c r="R198" s="33" t="s">
        <v>15</v>
      </c>
      <c r="S198" s="33">
        <f>IF(Q198&gt;0,IF(RIGHT(Ruimtestaat[[#This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98" s="33">
        <f>IF(S198&gt;0,VLOOKUP($J198,Ruimtegroepen[],3,FALSE)*VLOOKUP($L198,Vloersoorten[],3,FALSE)*VLOOKUP($R198,Frequenties[],3,FALSE)*VLOOKUP($A198,Locaties[],3,FALSE),0)</f>
        <v>0</v>
      </c>
      <c r="U198" s="33">
        <f>Ruimtestaat[[#This Row],[Uitvoeringen werkdagen]]*Ruimtestaat[[#This Row],[Oppervlak (netto)]]</f>
        <v>840</v>
      </c>
      <c r="V198" s="170">
        <f>IF(T198&gt;0,Ruimtestaat[[#This Row],[Prest. (m2 /jaar) werkdagen]]/Ruimtestaat[[#This Row],[Norm (m2/uur) werkdagen]],0)</f>
        <v>0</v>
      </c>
      <c r="W198" s="171">
        <f>Ruimtestaat[[#This Row],[uren / jaar werkdagen]]*Tariefsopbouw!$E$35</f>
        <v>0</v>
      </c>
      <c r="X198" s="33"/>
      <c r="Y198" s="33">
        <f>IF(Ruimtestaat[[#This Row],[Frequentie weekend]]&gt;0,VALUE(LEFT(X198,1))*Q198,0)</f>
        <v>0</v>
      </c>
      <c r="Z198" s="104">
        <f>IF($Y198&gt;0,VLOOKUP($J198,Ruimtegroepen[],3,FALSE)*VLOOKUP($L198,Vloersoorten[],3,FALSE)*VLOOKUP($X198,Frequenties[],3,FALSE)*VLOOKUP(Ruimtestaat[[#This Row],[Code]],Locaties[],3,FALSE),0)</f>
        <v>0</v>
      </c>
      <c r="AA198" s="104">
        <f>Ruimtestaat[[#This Row],[Uitvoeringen weekend]]*Ruimtestaat[[#This Row],[Oppervlak (netto)]]</f>
        <v>0</v>
      </c>
      <c r="AB198" s="104">
        <f>IF(Z198&gt;0,Ruimtestaat[[#This Row],[Prest. (m2 /jaar) weekend]]/Ruimtestaat[[#This Row],[Norm (m2/uur) weekend]],0)</f>
        <v>0</v>
      </c>
      <c r="AC198" s="171">
        <f>Ruimtestaat[[#This Row],[uren / jaar weekend]]*Tariefsopbouw!$D$40</f>
        <v>0</v>
      </c>
      <c r="AD198" s="170">
        <f>Ruimtestaat[[#This Row],[Prest. (m2 /jaar) weekend]]+Ruimtestaat[[#This Row],[Prest. (m2 /jaar) werkdagen]]</f>
        <v>840</v>
      </c>
      <c r="AE198" s="170">
        <f>Ruimtestaat[[#This Row],[uren / jaar weekend]]+Ruimtestaat[[#This Row],[uren / jaar werkdagen]]</f>
        <v>0</v>
      </c>
      <c r="AF198" s="76">
        <f>Ruimtestaat[[#This Row],[kosten / jaar weekend]]+Ruimtestaat[[#This Row],[kosten / jaar werkdagen]]</f>
        <v>0</v>
      </c>
      <c r="AG198" s="76"/>
      <c r="AH198" s="272" t="str">
        <f>IF(Ruimtestaat[[#This Row],[Frequentie werkdagen]]="","",_xlfn.CONCAT(Ruimtestaat[[#This Row],[Ruimte code]],"-",Ruimtestaat[[#This Row],[Frequentie werkdagen]]," ",Ruimtestaat[[#This Row],[Vloer code]]))</f>
        <v>2-1w T</v>
      </c>
      <c r="AI198" s="314" t="str">
        <f>_xlfn.IFNA(VLOOKUP($AH198,Programma!$F$3:$G$1107,2,0),"")</f>
        <v>_</v>
      </c>
      <c r="AJ198" s="314" t="str">
        <f>_xlfn.IFNA(VLOOKUP($AH198,Programma!$F$3:$H$1107,3,0),"")</f>
        <v>1w</v>
      </c>
      <c r="AK198" s="314" t="str">
        <f>_xlfn.IFNA(VLOOKUP($AH198,Programma!$F$3:$I$1107,4,0),"")</f>
        <v>_</v>
      </c>
      <c r="AL198" s="314" t="str">
        <f>_xlfn.IFNA(VLOOKUP($AH198,Programma!$F$3:$J$1107,5,0),"")</f>
        <v>_</v>
      </c>
      <c r="AM198" s="314" t="str">
        <f>_xlfn.IFNA(VLOOKUP($AH198,Programma!$F$3:$K$1107,6,0),"")</f>
        <v>_</v>
      </c>
      <c r="AN198" s="314" t="str">
        <f>_xlfn.IFNA(VLOOKUP($AH198,Programma!$F$3:$L$1107,7,0),"")</f>
        <v>_</v>
      </c>
      <c r="AO198" s="314" t="str">
        <f>_xlfn.IFNA(VLOOKUP($AH198,Programma!$F$3:$M$1107,8,0),"")</f>
        <v>_</v>
      </c>
      <c r="AP198" s="314" t="str">
        <f>_xlfn.IFNA(VLOOKUP($AH198,Programma!$F$3:$N$1107,9,0),"")</f>
        <v>_</v>
      </c>
      <c r="AQ198" s="314" t="str">
        <f>_xlfn.IFNA(VLOOKUP($AH198,Programma!$F$3:$O$1107,10,0),"")</f>
        <v>1w</v>
      </c>
      <c r="AR198" s="314" t="str">
        <f>_xlfn.IFNA(VLOOKUP($AH198,Programma!$F$3:$P$1107,11,0),"")</f>
        <v>1w</v>
      </c>
      <c r="AS198" s="314" t="str">
        <f>_xlfn.IFNA(VLOOKUP($AH198,Programma!$F$3:$Q$1107,12,0),"")</f>
        <v>1w</v>
      </c>
      <c r="AT198" s="314" t="str">
        <f>_xlfn.IFNA(VLOOKUP($AH198,Programma!$F$3:$R$1107,13,0),"")</f>
        <v>1w</v>
      </c>
      <c r="AU198" s="314" t="str">
        <f>_xlfn.IFNA(VLOOKUP($AH198,Programma!$F$3:$S$1107,14,0),"")</f>
        <v>1m</v>
      </c>
      <c r="AV198" s="314" t="str">
        <f>_xlfn.IFNA(VLOOKUP($AH198,Programma!$F$3:$T$1107,15,0),"")</f>
        <v>2j</v>
      </c>
      <c r="AW198" s="314" t="str">
        <f>_xlfn.IFNA(VLOOKUP($AH198,Programma!$F$3:$U$1107,16,0),"")</f>
        <v>1j</v>
      </c>
      <c r="AX198" s="314" t="str">
        <f>_xlfn.IFNA(VLOOKUP($AH198,Programma!$F$3:$V$1107,17,0),"")</f>
        <v>_</v>
      </c>
      <c r="AY198" s="314" t="str">
        <f>_xlfn.IFNA(VLOOKUP($AH198,Programma!$F$3:$W$1107,18,0),"")</f>
        <v>_</v>
      </c>
      <c r="AZ198" s="314" t="str">
        <f>_xlfn.IFNA(VLOOKUP($AH198,Programma!$F$3:$X$1107,19,0),"")</f>
        <v>_</v>
      </c>
      <c r="BA198" s="314" t="str">
        <f>_xlfn.IFNA(VLOOKUP($AH198,Programma!$F$3:$Y$1107,20,0),"")</f>
        <v>_</v>
      </c>
      <c r="BB198" s="273"/>
      <c r="BC198" s="272" t="str">
        <f>IF(Ruimtestaat[[#This Row],[Frequentie weekend]]="","",_xlfn.CONCAT(Ruimtestaat[[#This Row],[Ruimte code]],"-",Ruimtestaat[[#This Row],[Frequentie weekend]]," ",Ruimtestaat[[#This Row],[Vloer code]]))</f>
        <v/>
      </c>
      <c r="BD198" s="314" t="str">
        <f>_xlfn.IFNA(VLOOKUP($BC198,Programma!$F$3:$G$1107,2,0),"")</f>
        <v/>
      </c>
      <c r="BE198" s="314" t="str">
        <f>_xlfn.IFNA(VLOOKUP($BC198,Programma!$F$3:$H$1107,3,0),"")</f>
        <v/>
      </c>
      <c r="BF198" s="314" t="str">
        <f>_xlfn.IFNA(VLOOKUP($BC198,Programma!$F$3:$I$1107,4,0),"")</f>
        <v/>
      </c>
      <c r="BG198" s="314" t="str">
        <f>_xlfn.IFNA(VLOOKUP($BC198,Programma!$F$3:$J$1107,5,0),"")</f>
        <v/>
      </c>
      <c r="BH198" s="314" t="str">
        <f>_xlfn.IFNA(VLOOKUP($BC198,Programma!$F$3:$K$1107,6,0),"")</f>
        <v/>
      </c>
      <c r="BI198" s="314" t="str">
        <f>_xlfn.IFNA(VLOOKUP($BC198,Programma!$F$3:$L$1107,7,0),"")</f>
        <v/>
      </c>
      <c r="BJ198" s="314" t="str">
        <f>_xlfn.IFNA(VLOOKUP($BC198,Programma!$F$3:$M$1107,8,0),"")</f>
        <v/>
      </c>
      <c r="BK198" s="314" t="str">
        <f>_xlfn.IFNA(VLOOKUP($BC198,Programma!$F$3:$N$1107,9,0),"")</f>
        <v/>
      </c>
      <c r="BL198" s="314" t="str">
        <f>_xlfn.IFNA(VLOOKUP($BC198,Programma!$F$3:$O$1107,10,0),"")</f>
        <v/>
      </c>
      <c r="BM198" s="314" t="str">
        <f>_xlfn.IFNA(VLOOKUP($BC198,Programma!$F$3:$P$1107,11,0),"")</f>
        <v/>
      </c>
      <c r="BN198" s="314" t="str">
        <f>_xlfn.IFNA(VLOOKUP($BC198,Programma!$F$3:$Q$1107,12,0),"")</f>
        <v/>
      </c>
      <c r="BO198" s="314" t="str">
        <f>_xlfn.IFNA(VLOOKUP($BC198,Programma!$F$3:$R$1107,13,0),"")</f>
        <v/>
      </c>
      <c r="BP198" s="314" t="str">
        <f>_xlfn.IFNA(VLOOKUP($BC198,Programma!$F$3:$S$1107,14,0),"")</f>
        <v/>
      </c>
      <c r="BQ198" s="314" t="str">
        <f>_xlfn.IFNA(VLOOKUP($BC198,Programma!$F$3:$T$1107,15,0),"")</f>
        <v/>
      </c>
      <c r="BR198" s="314" t="str">
        <f>_xlfn.IFNA(VLOOKUP($BC198,Programma!$F$3:$U$1107,16,0),"")</f>
        <v/>
      </c>
      <c r="BS198" s="314" t="str">
        <f>_xlfn.IFNA(VLOOKUP($BC198,Programma!$F$3:$V$1107,17,0),"")</f>
        <v/>
      </c>
      <c r="BT198" s="314" t="str">
        <f>_xlfn.IFNA(VLOOKUP($BC198,Programma!$F$3:$W$1107,18,0),"")</f>
        <v/>
      </c>
      <c r="BU198" s="314" t="str">
        <f>_xlfn.IFNA(VLOOKUP($BC198,Programma!$F$3:$X$1107,19,0),"")</f>
        <v/>
      </c>
      <c r="BV198" s="314" t="str">
        <f>_xlfn.IFNA(VLOOKUP($BC198,Programma!$F$3:$Y$1107,20,0),"")</f>
        <v/>
      </c>
    </row>
    <row r="199" spans="1:74" ht="15" customHeight="1">
      <c r="A199" s="33">
        <v>1</v>
      </c>
      <c r="B199" s="173" t="str">
        <f>VLOOKUP(Ruimtestaat[[#This Row],[Code]],Locaties[[Code]:[Locatie]],2,FALSE)</f>
        <v>CCNV</v>
      </c>
      <c r="C199" s="173" t="str">
        <f>VLOOKUP(Ruimtestaat[[#This Row],[Code]],Locaties[[#All],[Code]:[Adres]],4,FALSE)</f>
        <v>Stationslaan 26</v>
      </c>
      <c r="D199" s="173" t="str">
        <f>VLOOKUP(Ruimtestaat[[#This Row],[Code]],Locaties[[#All],[Code]:[Postcode]],5,FALSE)</f>
        <v>3842 LA</v>
      </c>
      <c r="E199" s="173" t="str">
        <f>VLOOKUP(Ruimtestaat[[#This Row],[Code]],Locaties[#All],6,FALSE)</f>
        <v>Harderwijk</v>
      </c>
      <c r="F199" s="21" t="s">
        <v>1631</v>
      </c>
      <c r="G199" s="33"/>
      <c r="I199" s="69" t="s">
        <v>1766</v>
      </c>
      <c r="J199" s="21">
        <v>6</v>
      </c>
      <c r="K199" s="69" t="str">
        <f>VLOOKUP(Ruimtestaat[[#This Row],[Ruimte code]],Ruimtegroepen[[#All],[Code]:[Ruimte omschrijving]],2,FALSE)</f>
        <v>Gangen/hallen</v>
      </c>
      <c r="L199" s="33" t="s">
        <v>100</v>
      </c>
      <c r="M199" s="312" t="s">
        <v>1803</v>
      </c>
      <c r="N199" s="148">
        <v>15</v>
      </c>
      <c r="O199" s="150"/>
      <c r="P199" s="134" t="str">
        <f>VLOOKUP(Ruimtestaat[[#This Row],[Ruimte code]],Ruimtegroepen[],4,FALSE)</f>
        <v>Ve</v>
      </c>
      <c r="Q199" s="33">
        <v>40</v>
      </c>
      <c r="R199" s="33" t="s">
        <v>2</v>
      </c>
      <c r="S199" s="33">
        <f>IF(Q199&gt;0,IF(RIGHT(Ruimtestaat[[#This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9" s="33">
        <f>IF(S199&gt;0,VLOOKUP($J199,Ruimtegroepen[],3,FALSE)*VLOOKUP($L199,Vloersoorten[],3,FALSE)*VLOOKUP($R199,Frequenties[],3,FALSE)*VLOOKUP($A199,Locaties[],3,FALSE),0)</f>
        <v>0</v>
      </c>
      <c r="U199" s="33">
        <f>Ruimtestaat[[#This Row],[Uitvoeringen werkdagen]]*Ruimtestaat[[#This Row],[Oppervlak (netto)]]</f>
        <v>3000</v>
      </c>
      <c r="V199" s="170">
        <f>IF(T199&gt;0,Ruimtestaat[[#This Row],[Prest. (m2 /jaar) werkdagen]]/Ruimtestaat[[#This Row],[Norm (m2/uur) werkdagen]],0)</f>
        <v>0</v>
      </c>
      <c r="W199" s="171">
        <f>Ruimtestaat[[#This Row],[uren / jaar werkdagen]]*Tariefsopbouw!$E$35</f>
        <v>0</v>
      </c>
      <c r="X199" s="33"/>
      <c r="Y199" s="33">
        <f>IF(Ruimtestaat[[#This Row],[Frequentie weekend]]&gt;0,VALUE(LEFT(X199,1))*Q199,0)</f>
        <v>0</v>
      </c>
      <c r="Z199" s="104">
        <f>IF($Y199&gt;0,VLOOKUP($J199,Ruimtegroepen[],3,FALSE)*VLOOKUP($L199,Vloersoorten[],3,FALSE)*VLOOKUP($X199,Frequenties[],3,FALSE)*VLOOKUP(Ruimtestaat[[#This Row],[Code]],Locaties[],3,FALSE),0)</f>
        <v>0</v>
      </c>
      <c r="AA199" s="104">
        <f>Ruimtestaat[[#This Row],[Uitvoeringen weekend]]*Ruimtestaat[[#This Row],[Oppervlak (netto)]]</f>
        <v>0</v>
      </c>
      <c r="AB199" s="104">
        <f>IF(Z199&gt;0,Ruimtestaat[[#This Row],[Prest. (m2 /jaar) weekend]]/Ruimtestaat[[#This Row],[Norm (m2/uur) weekend]],0)</f>
        <v>0</v>
      </c>
      <c r="AC199" s="171">
        <f>Ruimtestaat[[#This Row],[uren / jaar weekend]]*Tariefsopbouw!$D$40</f>
        <v>0</v>
      </c>
      <c r="AD199" s="170">
        <f>Ruimtestaat[[#This Row],[Prest. (m2 /jaar) weekend]]+Ruimtestaat[[#This Row],[Prest. (m2 /jaar) werkdagen]]</f>
        <v>3000</v>
      </c>
      <c r="AE199" s="170">
        <f>Ruimtestaat[[#This Row],[uren / jaar weekend]]+Ruimtestaat[[#This Row],[uren / jaar werkdagen]]</f>
        <v>0</v>
      </c>
      <c r="AF199" s="76">
        <f>Ruimtestaat[[#This Row],[kosten / jaar weekend]]+Ruimtestaat[[#This Row],[kosten / jaar werkdagen]]</f>
        <v>0</v>
      </c>
      <c r="AG199" s="76"/>
      <c r="AH199" s="272" t="str">
        <f>IF(Ruimtestaat[[#This Row],[Frequentie werkdagen]]="","",_xlfn.CONCAT(Ruimtestaat[[#This Row],[Ruimte code]],"-",Ruimtestaat[[#This Row],[Frequentie werkdagen]]," ",Ruimtestaat[[#This Row],[Vloer code]]))</f>
        <v>6-5w T</v>
      </c>
      <c r="AI199" s="314" t="str">
        <f>_xlfn.IFNA(VLOOKUP($AH199,Programma!$F$3:$G$1107,2,0),"")</f>
        <v>_</v>
      </c>
      <c r="AJ199" s="314" t="str">
        <f>_xlfn.IFNA(VLOOKUP($AH199,Programma!$F$3:$H$1107,3,0),"")</f>
        <v>5w</v>
      </c>
      <c r="AK199" s="314" t="str">
        <f>_xlfn.IFNA(VLOOKUP($AH199,Programma!$F$3:$I$1107,4,0),"")</f>
        <v>_</v>
      </c>
      <c r="AL199" s="314" t="str">
        <f>_xlfn.IFNA(VLOOKUP($AH199,Programma!$F$3:$J$1107,5,0),"")</f>
        <v>_</v>
      </c>
      <c r="AM199" s="314" t="str">
        <f>_xlfn.IFNA(VLOOKUP($AH199,Programma!$F$3:$K$1107,6,0),"")</f>
        <v>_</v>
      </c>
      <c r="AN199" s="314" t="str">
        <f>_xlfn.IFNA(VLOOKUP($AH199,Programma!$F$3:$L$1107,7,0),"")</f>
        <v>_</v>
      </c>
      <c r="AO199" s="314" t="str">
        <f>_xlfn.IFNA(VLOOKUP($AH199,Programma!$F$3:$M$1107,8,0),"")</f>
        <v>_</v>
      </c>
      <c r="AP199" s="314" t="str">
        <f>_xlfn.IFNA(VLOOKUP($AH199,Programma!$F$3:$N$1107,9,0),"")</f>
        <v>_</v>
      </c>
      <c r="AQ199" s="314" t="str">
        <f>_xlfn.IFNA(VLOOKUP($AH199,Programma!$F$3:$O$1107,10,0),"")</f>
        <v>5w</v>
      </c>
      <c r="AR199" s="314" t="str">
        <f>_xlfn.IFNA(VLOOKUP($AH199,Programma!$F$3:$P$1107,11,0),"")</f>
        <v>5w</v>
      </c>
      <c r="AS199" s="314" t="str">
        <f>_xlfn.IFNA(VLOOKUP($AH199,Programma!$F$3:$Q$1107,12,0),"")</f>
        <v>1w</v>
      </c>
      <c r="AT199" s="314" t="str">
        <f>_xlfn.IFNA(VLOOKUP($AH199,Programma!$F$3:$R$1107,13,0),"")</f>
        <v>1w</v>
      </c>
      <c r="AU199" s="314" t="str">
        <f>_xlfn.IFNA(VLOOKUP($AH199,Programma!$F$3:$S$1107,14,0),"")</f>
        <v>1m</v>
      </c>
      <c r="AV199" s="314" t="str">
        <f>_xlfn.IFNA(VLOOKUP($AH199,Programma!$F$3:$T$1107,15,0),"")</f>
        <v>2j</v>
      </c>
      <c r="AW199" s="314" t="str">
        <f>_xlfn.IFNA(VLOOKUP($AH199,Programma!$F$3:$U$1107,16,0),"")</f>
        <v>1j</v>
      </c>
      <c r="AX199" s="314" t="str">
        <f>_xlfn.IFNA(VLOOKUP($AH199,Programma!$F$3:$V$1107,17,0),"")</f>
        <v>_</v>
      </c>
      <c r="AY199" s="314" t="str">
        <f>_xlfn.IFNA(VLOOKUP($AH199,Programma!$F$3:$W$1107,18,0),"")</f>
        <v>_</v>
      </c>
      <c r="AZ199" s="314" t="str">
        <f>_xlfn.IFNA(VLOOKUP($AH199,Programma!$F$3:$X$1107,19,0),"")</f>
        <v>_</v>
      </c>
      <c r="BA199" s="314" t="str">
        <f>_xlfn.IFNA(VLOOKUP($AH199,Programma!$F$3:$Y$1107,20,0),"")</f>
        <v>_</v>
      </c>
      <c r="BB199" s="273"/>
      <c r="BC199" s="272" t="str">
        <f>IF(Ruimtestaat[[#This Row],[Frequentie weekend]]="","",_xlfn.CONCAT(Ruimtestaat[[#This Row],[Ruimte code]],"-",Ruimtestaat[[#This Row],[Frequentie weekend]]," ",Ruimtestaat[[#This Row],[Vloer code]]))</f>
        <v/>
      </c>
      <c r="BD199" s="314" t="str">
        <f>_xlfn.IFNA(VLOOKUP($BC199,Programma!$F$3:$G$1107,2,0),"")</f>
        <v/>
      </c>
      <c r="BE199" s="314" t="str">
        <f>_xlfn.IFNA(VLOOKUP($BC199,Programma!$F$3:$H$1107,3,0),"")</f>
        <v/>
      </c>
      <c r="BF199" s="314" t="str">
        <f>_xlfn.IFNA(VLOOKUP($BC199,Programma!$F$3:$I$1107,4,0),"")</f>
        <v/>
      </c>
      <c r="BG199" s="314" t="str">
        <f>_xlfn.IFNA(VLOOKUP($BC199,Programma!$F$3:$J$1107,5,0),"")</f>
        <v/>
      </c>
      <c r="BH199" s="314" t="str">
        <f>_xlfn.IFNA(VLOOKUP($BC199,Programma!$F$3:$K$1107,6,0),"")</f>
        <v/>
      </c>
      <c r="BI199" s="314" t="str">
        <f>_xlfn.IFNA(VLOOKUP($BC199,Programma!$F$3:$L$1107,7,0),"")</f>
        <v/>
      </c>
      <c r="BJ199" s="314" t="str">
        <f>_xlfn.IFNA(VLOOKUP($BC199,Programma!$F$3:$M$1107,8,0),"")</f>
        <v/>
      </c>
      <c r="BK199" s="314" t="str">
        <f>_xlfn.IFNA(VLOOKUP($BC199,Programma!$F$3:$N$1107,9,0),"")</f>
        <v/>
      </c>
      <c r="BL199" s="314" t="str">
        <f>_xlfn.IFNA(VLOOKUP($BC199,Programma!$F$3:$O$1107,10,0),"")</f>
        <v/>
      </c>
      <c r="BM199" s="314" t="str">
        <f>_xlfn.IFNA(VLOOKUP($BC199,Programma!$F$3:$P$1107,11,0),"")</f>
        <v/>
      </c>
      <c r="BN199" s="314" t="str">
        <f>_xlfn.IFNA(VLOOKUP($BC199,Programma!$F$3:$Q$1107,12,0),"")</f>
        <v/>
      </c>
      <c r="BO199" s="314" t="str">
        <f>_xlfn.IFNA(VLOOKUP($BC199,Programma!$F$3:$R$1107,13,0),"")</f>
        <v/>
      </c>
      <c r="BP199" s="314" t="str">
        <f>_xlfn.IFNA(VLOOKUP($BC199,Programma!$F$3:$S$1107,14,0),"")</f>
        <v/>
      </c>
      <c r="BQ199" s="314" t="str">
        <f>_xlfn.IFNA(VLOOKUP($BC199,Programma!$F$3:$T$1107,15,0),"")</f>
        <v/>
      </c>
      <c r="BR199" s="314" t="str">
        <f>_xlfn.IFNA(VLOOKUP($BC199,Programma!$F$3:$U$1107,16,0),"")</f>
        <v/>
      </c>
      <c r="BS199" s="314" t="str">
        <f>_xlfn.IFNA(VLOOKUP($BC199,Programma!$F$3:$V$1107,17,0),"")</f>
        <v/>
      </c>
      <c r="BT199" s="314" t="str">
        <f>_xlfn.IFNA(VLOOKUP($BC199,Programma!$F$3:$W$1107,18,0),"")</f>
        <v/>
      </c>
      <c r="BU199" s="314" t="str">
        <f>_xlfn.IFNA(VLOOKUP($BC199,Programma!$F$3:$X$1107,19,0),"")</f>
        <v/>
      </c>
      <c r="BV199" s="314" t="str">
        <f>_xlfn.IFNA(VLOOKUP($BC199,Programma!$F$3:$Y$1107,20,0),"")</f>
        <v/>
      </c>
    </row>
    <row r="200" spans="1:74" ht="15" customHeight="1">
      <c r="A200" s="33">
        <v>1</v>
      </c>
      <c r="B200" s="173" t="str">
        <f>VLOOKUP(Ruimtestaat[[#This Row],[Code]],Locaties[[Code]:[Locatie]],2,FALSE)</f>
        <v>CCNV</v>
      </c>
      <c r="C200" s="173" t="str">
        <f>VLOOKUP(Ruimtestaat[[#This Row],[Code]],Locaties[[#All],[Code]:[Adres]],4,FALSE)</f>
        <v>Stationslaan 26</v>
      </c>
      <c r="D200" s="173" t="str">
        <f>VLOOKUP(Ruimtestaat[[#This Row],[Code]],Locaties[[#All],[Code]:[Postcode]],5,FALSE)</f>
        <v>3842 LA</v>
      </c>
      <c r="E200" s="173" t="str">
        <f>VLOOKUP(Ruimtestaat[[#This Row],[Code]],Locaties[#All],6,FALSE)</f>
        <v>Harderwijk</v>
      </c>
      <c r="F200" s="21" t="s">
        <v>1631</v>
      </c>
      <c r="G200" s="33"/>
      <c r="I200" s="69" t="s">
        <v>1766</v>
      </c>
      <c r="J200" s="21">
        <v>6</v>
      </c>
      <c r="K200" s="69" t="str">
        <f>VLOOKUP(Ruimtestaat[[#This Row],[Ruimte code]],Ruimtegroepen[[#All],[Code]:[Ruimte omschrijving]],2,FALSE)</f>
        <v>Gangen/hallen</v>
      </c>
      <c r="L200" s="33" t="s">
        <v>102</v>
      </c>
      <c r="M200" s="312" t="s">
        <v>1805</v>
      </c>
      <c r="N200" s="148">
        <v>49</v>
      </c>
      <c r="O200" s="33"/>
      <c r="P200" s="134" t="str">
        <f>VLOOKUP(Ruimtestaat[[#This Row],[Ruimte code]],Ruimtegroepen[],4,FALSE)</f>
        <v>Ve</v>
      </c>
      <c r="Q200" s="33">
        <v>40</v>
      </c>
      <c r="R200" s="33" t="s">
        <v>2</v>
      </c>
      <c r="S200" s="33">
        <f>IF(Q200&gt;0,IF(RIGHT(Ruimtestaat[[#This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0" s="33">
        <f>IF(S200&gt;0,VLOOKUP($J200,Ruimtegroepen[],3,FALSE)*VLOOKUP($L200,Vloersoorten[],3,FALSE)*VLOOKUP($R200,Frequenties[],3,FALSE)*VLOOKUP($A200,Locaties[],3,FALSE),0)</f>
        <v>0</v>
      </c>
      <c r="U200" s="33">
        <f>Ruimtestaat[[#This Row],[Uitvoeringen werkdagen]]*Ruimtestaat[[#This Row],[Oppervlak (netto)]]</f>
        <v>9800</v>
      </c>
      <c r="V200" s="170">
        <f>IF(T200&gt;0,Ruimtestaat[[#This Row],[Prest. (m2 /jaar) werkdagen]]/Ruimtestaat[[#This Row],[Norm (m2/uur) werkdagen]],0)</f>
        <v>0</v>
      </c>
      <c r="W200" s="171">
        <f>Ruimtestaat[[#This Row],[uren / jaar werkdagen]]*Tariefsopbouw!$E$35</f>
        <v>0</v>
      </c>
      <c r="X200" s="33"/>
      <c r="Y200" s="33">
        <f>IF(Ruimtestaat[[#This Row],[Frequentie weekend]]&gt;0,VALUE(LEFT(X200,1))*Q200,0)</f>
        <v>0</v>
      </c>
      <c r="Z200" s="104">
        <f>IF($Y200&gt;0,VLOOKUP($J200,Ruimtegroepen[],3,FALSE)*VLOOKUP($L200,Vloersoorten[],3,FALSE)*VLOOKUP($X200,Frequenties[],3,FALSE)*VLOOKUP(Ruimtestaat[[#This Row],[Code]],Locaties[],3,FALSE),0)</f>
        <v>0</v>
      </c>
      <c r="AA200" s="104">
        <f>Ruimtestaat[[#This Row],[Uitvoeringen weekend]]*Ruimtestaat[[#This Row],[Oppervlak (netto)]]</f>
        <v>0</v>
      </c>
      <c r="AB200" s="104">
        <f>IF(Z200&gt;0,Ruimtestaat[[#This Row],[Prest. (m2 /jaar) weekend]]/Ruimtestaat[[#This Row],[Norm (m2/uur) weekend]],0)</f>
        <v>0</v>
      </c>
      <c r="AC200" s="171">
        <f>Ruimtestaat[[#This Row],[uren / jaar weekend]]*Tariefsopbouw!$D$40</f>
        <v>0</v>
      </c>
      <c r="AD200" s="170">
        <f>Ruimtestaat[[#This Row],[Prest. (m2 /jaar) weekend]]+Ruimtestaat[[#This Row],[Prest. (m2 /jaar) werkdagen]]</f>
        <v>9800</v>
      </c>
      <c r="AE200" s="170">
        <f>Ruimtestaat[[#This Row],[uren / jaar weekend]]+Ruimtestaat[[#This Row],[uren / jaar werkdagen]]</f>
        <v>0</v>
      </c>
      <c r="AF200" s="76">
        <f>Ruimtestaat[[#This Row],[kosten / jaar weekend]]+Ruimtestaat[[#This Row],[kosten / jaar werkdagen]]</f>
        <v>0</v>
      </c>
      <c r="AG200" s="76"/>
      <c r="AH200" s="272" t="str">
        <f>IF(Ruimtestaat[[#This Row],[Frequentie werkdagen]]="","",_xlfn.CONCAT(Ruimtestaat[[#This Row],[Ruimte code]],"-",Ruimtestaat[[#This Row],[Frequentie werkdagen]]," ",Ruimtestaat[[#This Row],[Vloer code]]))</f>
        <v>6-5w S</v>
      </c>
      <c r="AI200" s="314" t="str">
        <f>_xlfn.IFNA(VLOOKUP($AH200,Programma!$F$3:$G$1107,2,0),"")</f>
        <v>_</v>
      </c>
      <c r="AJ200" s="314" t="str">
        <f>_xlfn.IFNA(VLOOKUP($AH200,Programma!$F$3:$H$1107,3,0),"")</f>
        <v>_</v>
      </c>
      <c r="AK200" s="314" t="str">
        <f>_xlfn.IFNA(VLOOKUP($AH200,Programma!$F$3:$I$1107,4,0),"")</f>
        <v>5w</v>
      </c>
      <c r="AL200" s="314" t="str">
        <f>_xlfn.IFNA(VLOOKUP($AH200,Programma!$F$3:$J$1107,5,0),"")</f>
        <v>_</v>
      </c>
      <c r="AM200" s="314" t="str">
        <f>_xlfn.IFNA(VLOOKUP($AH200,Programma!$F$3:$K$1107,6,0),"")</f>
        <v>5w</v>
      </c>
      <c r="AN200" s="314" t="str">
        <f>_xlfn.IFNA(VLOOKUP($AH200,Programma!$F$3:$L$1107,7,0),"")</f>
        <v>_</v>
      </c>
      <c r="AO200" s="314" t="str">
        <f>_xlfn.IFNA(VLOOKUP($AH200,Programma!$F$3:$M$1107,8,0),"")</f>
        <v>_</v>
      </c>
      <c r="AP200" s="314" t="str">
        <f>_xlfn.IFNA(VLOOKUP($AH200,Programma!$F$3:$N$1107,9,0),"")</f>
        <v>_</v>
      </c>
      <c r="AQ200" s="314" t="str">
        <f>_xlfn.IFNA(VLOOKUP($AH200,Programma!$F$3:$O$1107,10,0),"")</f>
        <v>5w</v>
      </c>
      <c r="AR200" s="314" t="str">
        <f>_xlfn.IFNA(VLOOKUP($AH200,Programma!$F$3:$P$1107,11,0),"")</f>
        <v>5w</v>
      </c>
      <c r="AS200" s="314" t="str">
        <f>_xlfn.IFNA(VLOOKUP($AH200,Programma!$F$3:$Q$1107,12,0),"")</f>
        <v>1w</v>
      </c>
      <c r="AT200" s="314" t="str">
        <f>_xlfn.IFNA(VLOOKUP($AH200,Programma!$F$3:$R$1107,13,0),"")</f>
        <v>1w</v>
      </c>
      <c r="AU200" s="314" t="str">
        <f>_xlfn.IFNA(VLOOKUP($AH200,Programma!$F$3:$S$1107,14,0),"")</f>
        <v>1m</v>
      </c>
      <c r="AV200" s="314" t="str">
        <f>_xlfn.IFNA(VLOOKUP($AH200,Programma!$F$3:$T$1107,15,0),"")</f>
        <v>2j</v>
      </c>
      <c r="AW200" s="314" t="str">
        <f>_xlfn.IFNA(VLOOKUP($AH200,Programma!$F$3:$U$1107,16,0),"")</f>
        <v>1j</v>
      </c>
      <c r="AX200" s="314" t="str">
        <f>_xlfn.IFNA(VLOOKUP($AH200,Programma!$F$3:$V$1107,17,0),"")</f>
        <v>_</v>
      </c>
      <c r="AY200" s="314" t="str">
        <f>_xlfn.IFNA(VLOOKUP($AH200,Programma!$F$3:$W$1107,18,0),"")</f>
        <v>_</v>
      </c>
      <c r="AZ200" s="314" t="str">
        <f>_xlfn.IFNA(VLOOKUP($AH200,Programma!$F$3:$X$1107,19,0),"")</f>
        <v>_</v>
      </c>
      <c r="BA200" s="314" t="str">
        <f>_xlfn.IFNA(VLOOKUP($AH200,Programma!$F$3:$Y$1107,20,0),"")</f>
        <v>_</v>
      </c>
      <c r="BB200" s="273"/>
      <c r="BC200" s="272" t="str">
        <f>IF(Ruimtestaat[[#This Row],[Frequentie weekend]]="","",_xlfn.CONCAT(Ruimtestaat[[#This Row],[Ruimte code]],"-",Ruimtestaat[[#This Row],[Frequentie weekend]]," ",Ruimtestaat[[#This Row],[Vloer code]]))</f>
        <v/>
      </c>
      <c r="BD200" s="314" t="str">
        <f>_xlfn.IFNA(VLOOKUP($BC200,Programma!$F$3:$G$1107,2,0),"")</f>
        <v/>
      </c>
      <c r="BE200" s="314" t="str">
        <f>_xlfn.IFNA(VLOOKUP($BC200,Programma!$F$3:$H$1107,3,0),"")</f>
        <v/>
      </c>
      <c r="BF200" s="314" t="str">
        <f>_xlfn.IFNA(VLOOKUP($BC200,Programma!$F$3:$I$1107,4,0),"")</f>
        <v/>
      </c>
      <c r="BG200" s="314" t="str">
        <f>_xlfn.IFNA(VLOOKUP($BC200,Programma!$F$3:$J$1107,5,0),"")</f>
        <v/>
      </c>
      <c r="BH200" s="314" t="str">
        <f>_xlfn.IFNA(VLOOKUP($BC200,Programma!$F$3:$K$1107,6,0),"")</f>
        <v/>
      </c>
      <c r="BI200" s="314" t="str">
        <f>_xlfn.IFNA(VLOOKUP($BC200,Programma!$F$3:$L$1107,7,0),"")</f>
        <v/>
      </c>
      <c r="BJ200" s="314" t="str">
        <f>_xlfn.IFNA(VLOOKUP($BC200,Programma!$F$3:$M$1107,8,0),"")</f>
        <v/>
      </c>
      <c r="BK200" s="314" t="str">
        <f>_xlfn.IFNA(VLOOKUP($BC200,Programma!$F$3:$N$1107,9,0),"")</f>
        <v/>
      </c>
      <c r="BL200" s="314" t="str">
        <f>_xlfn.IFNA(VLOOKUP($BC200,Programma!$F$3:$O$1107,10,0),"")</f>
        <v/>
      </c>
      <c r="BM200" s="314" t="str">
        <f>_xlfn.IFNA(VLOOKUP($BC200,Programma!$F$3:$P$1107,11,0),"")</f>
        <v/>
      </c>
      <c r="BN200" s="314" t="str">
        <f>_xlfn.IFNA(VLOOKUP($BC200,Programma!$F$3:$Q$1107,12,0),"")</f>
        <v/>
      </c>
      <c r="BO200" s="314" t="str">
        <f>_xlfn.IFNA(VLOOKUP($BC200,Programma!$F$3:$R$1107,13,0),"")</f>
        <v/>
      </c>
      <c r="BP200" s="314" t="str">
        <f>_xlfn.IFNA(VLOOKUP($BC200,Programma!$F$3:$S$1107,14,0),"")</f>
        <v/>
      </c>
      <c r="BQ200" s="314" t="str">
        <f>_xlfn.IFNA(VLOOKUP($BC200,Programma!$F$3:$T$1107,15,0),"")</f>
        <v/>
      </c>
      <c r="BR200" s="314" t="str">
        <f>_xlfn.IFNA(VLOOKUP($BC200,Programma!$F$3:$U$1107,16,0),"")</f>
        <v/>
      </c>
      <c r="BS200" s="314" t="str">
        <f>_xlfn.IFNA(VLOOKUP($BC200,Programma!$F$3:$V$1107,17,0),"")</f>
        <v/>
      </c>
      <c r="BT200" s="314" t="str">
        <f>_xlfn.IFNA(VLOOKUP($BC200,Programma!$F$3:$W$1107,18,0),"")</f>
        <v/>
      </c>
      <c r="BU200" s="314" t="str">
        <f>_xlfn.IFNA(VLOOKUP($BC200,Programma!$F$3:$X$1107,19,0),"")</f>
        <v/>
      </c>
      <c r="BV200" s="314" t="str">
        <f>_xlfn.IFNA(VLOOKUP($BC200,Programma!$F$3:$Y$1107,20,0),"")</f>
        <v/>
      </c>
    </row>
    <row r="201" spans="1:74" ht="15" customHeight="1">
      <c r="A201" s="33">
        <v>1</v>
      </c>
      <c r="B201" s="173" t="str">
        <f>VLOOKUP(Ruimtestaat[[#This Row],[Code]],Locaties[[Code]:[Locatie]],2,FALSE)</f>
        <v>CCNV</v>
      </c>
      <c r="C201" s="173" t="str">
        <f>VLOOKUP(Ruimtestaat[[#This Row],[Code]],Locaties[[#All],[Code]:[Adres]],4,FALSE)</f>
        <v>Stationslaan 26</v>
      </c>
      <c r="D201" s="173" t="str">
        <f>VLOOKUP(Ruimtestaat[[#This Row],[Code]],Locaties[[#All],[Code]:[Postcode]],5,FALSE)</f>
        <v>3842 LA</v>
      </c>
      <c r="E201" s="173" t="str">
        <f>VLOOKUP(Ruimtestaat[[#This Row],[Code]],Locaties[#All],6,FALSE)</f>
        <v>Harderwijk</v>
      </c>
      <c r="F201" s="21" t="s">
        <v>1631</v>
      </c>
      <c r="G201" s="33"/>
      <c r="I201" s="69" t="s">
        <v>1766</v>
      </c>
      <c r="J201" s="21">
        <v>6</v>
      </c>
      <c r="K201" s="69" t="str">
        <f>VLOOKUP(Ruimtestaat[[#This Row],[Ruimte code]],Ruimtegroepen[[#All],[Code]:[Ruimte omschrijving]],2,FALSE)</f>
        <v>Gangen/hallen</v>
      </c>
      <c r="L201" s="33" t="s">
        <v>101</v>
      </c>
      <c r="M201" s="312" t="s">
        <v>1804</v>
      </c>
      <c r="N201" s="148">
        <v>39</v>
      </c>
      <c r="O201" s="150"/>
      <c r="P201" s="134" t="str">
        <f>VLOOKUP(Ruimtestaat[[#This Row],[Ruimte code]],Ruimtegroepen[],4,FALSE)</f>
        <v>Ve</v>
      </c>
      <c r="Q201" s="33">
        <v>40</v>
      </c>
      <c r="R201" s="33" t="s">
        <v>2</v>
      </c>
      <c r="S201" s="33">
        <f>IF(Q201&gt;0,IF(RIGHT(Ruimtestaat[[#This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1" s="33">
        <f>IF(S201&gt;0,VLOOKUP($J201,Ruimtegroepen[],3,FALSE)*VLOOKUP($L201,Vloersoorten[],3,FALSE)*VLOOKUP($R201,Frequenties[],3,FALSE)*VLOOKUP($A201,Locaties[],3,FALSE),0)</f>
        <v>0</v>
      </c>
      <c r="U201" s="33">
        <f>Ruimtestaat[[#This Row],[Uitvoeringen werkdagen]]*Ruimtestaat[[#This Row],[Oppervlak (netto)]]</f>
        <v>7800</v>
      </c>
      <c r="V201" s="170">
        <f>IF(T201&gt;0,Ruimtestaat[[#This Row],[Prest. (m2 /jaar) werkdagen]]/Ruimtestaat[[#This Row],[Norm (m2/uur) werkdagen]],0)</f>
        <v>0</v>
      </c>
      <c r="W201" s="171">
        <f>Ruimtestaat[[#This Row],[uren / jaar werkdagen]]*Tariefsopbouw!$E$35</f>
        <v>0</v>
      </c>
      <c r="X201" s="33"/>
      <c r="Y201" s="33">
        <f>IF(Ruimtestaat[[#This Row],[Frequentie weekend]]&gt;0,VALUE(LEFT(X201,1))*Q201,0)</f>
        <v>0</v>
      </c>
      <c r="Z201" s="104">
        <f>IF($Y201&gt;0,VLOOKUP($J201,Ruimtegroepen[],3,FALSE)*VLOOKUP($L201,Vloersoorten[],3,FALSE)*VLOOKUP($X201,Frequenties[],3,FALSE)*VLOOKUP(Ruimtestaat[[#This Row],[Code]],Locaties[],3,FALSE),0)</f>
        <v>0</v>
      </c>
      <c r="AA201" s="104">
        <f>Ruimtestaat[[#This Row],[Uitvoeringen weekend]]*Ruimtestaat[[#This Row],[Oppervlak (netto)]]</f>
        <v>0</v>
      </c>
      <c r="AB201" s="104">
        <f>IF(Z201&gt;0,Ruimtestaat[[#This Row],[Prest. (m2 /jaar) weekend]]/Ruimtestaat[[#This Row],[Norm (m2/uur) weekend]],0)</f>
        <v>0</v>
      </c>
      <c r="AC201" s="171">
        <f>Ruimtestaat[[#This Row],[uren / jaar weekend]]*Tariefsopbouw!$D$40</f>
        <v>0</v>
      </c>
      <c r="AD201" s="170">
        <f>Ruimtestaat[[#This Row],[Prest. (m2 /jaar) weekend]]+Ruimtestaat[[#This Row],[Prest. (m2 /jaar) werkdagen]]</f>
        <v>7800</v>
      </c>
      <c r="AE201" s="170">
        <f>Ruimtestaat[[#This Row],[uren / jaar weekend]]+Ruimtestaat[[#This Row],[uren / jaar werkdagen]]</f>
        <v>0</v>
      </c>
      <c r="AF201" s="76">
        <f>Ruimtestaat[[#This Row],[kosten / jaar weekend]]+Ruimtestaat[[#This Row],[kosten / jaar werkdagen]]</f>
        <v>0</v>
      </c>
      <c r="AG201" s="76"/>
      <c r="AH201" s="272" t="str">
        <f>IF(Ruimtestaat[[#This Row],[Frequentie werkdagen]]="","",_xlfn.CONCAT(Ruimtestaat[[#This Row],[Ruimte code]],"-",Ruimtestaat[[#This Row],[Frequentie werkdagen]]," ",Ruimtestaat[[#This Row],[Vloer code]]))</f>
        <v>6-5w L</v>
      </c>
      <c r="AI201" s="314" t="str">
        <f>_xlfn.IFNA(VLOOKUP($AH201,Programma!$F$3:$G$1107,2,0),"")</f>
        <v>_</v>
      </c>
      <c r="AJ201" s="314" t="str">
        <f>_xlfn.IFNA(VLOOKUP($AH201,Programma!$F$3:$H$1107,3,0),"")</f>
        <v>_</v>
      </c>
      <c r="AK201" s="314" t="str">
        <f>_xlfn.IFNA(VLOOKUP($AH201,Programma!$F$3:$I$1107,4,0),"")</f>
        <v>_</v>
      </c>
      <c r="AL201" s="314" t="str">
        <f>_xlfn.IFNA(VLOOKUP($AH201,Programma!$F$3:$J$1107,5,0),"")</f>
        <v>5w</v>
      </c>
      <c r="AM201" s="314" t="str">
        <f>_xlfn.IFNA(VLOOKUP($AH201,Programma!$F$3:$K$1107,6,0),"")</f>
        <v>_</v>
      </c>
      <c r="AN201" s="314" t="str">
        <f>_xlfn.IFNA(VLOOKUP($AH201,Programma!$F$3:$L$1107,7,0),"")</f>
        <v>_</v>
      </c>
      <c r="AO201" s="314" t="str">
        <f>_xlfn.IFNA(VLOOKUP($AH201,Programma!$F$3:$M$1107,8,0),"")</f>
        <v>_</v>
      </c>
      <c r="AP201" s="314" t="str">
        <f>_xlfn.IFNA(VLOOKUP($AH201,Programma!$F$3:$N$1107,9,0),"")</f>
        <v>_</v>
      </c>
      <c r="AQ201" s="314" t="str">
        <f>_xlfn.IFNA(VLOOKUP($AH201,Programma!$F$3:$O$1107,10,0),"")</f>
        <v>5w</v>
      </c>
      <c r="AR201" s="314" t="str">
        <f>_xlfn.IFNA(VLOOKUP($AH201,Programma!$F$3:$P$1107,11,0),"")</f>
        <v>5w</v>
      </c>
      <c r="AS201" s="314" t="str">
        <f>_xlfn.IFNA(VLOOKUP($AH201,Programma!$F$3:$Q$1107,12,0),"")</f>
        <v>1w</v>
      </c>
      <c r="AT201" s="314" t="str">
        <f>_xlfn.IFNA(VLOOKUP($AH201,Programma!$F$3:$R$1107,13,0),"")</f>
        <v>1w</v>
      </c>
      <c r="AU201" s="314" t="str">
        <f>_xlfn.IFNA(VLOOKUP($AH201,Programma!$F$3:$S$1107,14,0),"")</f>
        <v>1m</v>
      </c>
      <c r="AV201" s="314" t="str">
        <f>_xlfn.IFNA(VLOOKUP($AH201,Programma!$F$3:$T$1107,15,0),"")</f>
        <v>2j</v>
      </c>
      <c r="AW201" s="314" t="str">
        <f>_xlfn.IFNA(VLOOKUP($AH201,Programma!$F$3:$U$1107,16,0),"")</f>
        <v>1j</v>
      </c>
      <c r="AX201" s="314" t="str">
        <f>_xlfn.IFNA(VLOOKUP($AH201,Programma!$F$3:$V$1107,17,0),"")</f>
        <v>_</v>
      </c>
      <c r="AY201" s="314" t="str">
        <f>_xlfn.IFNA(VLOOKUP($AH201,Programma!$F$3:$W$1107,18,0),"")</f>
        <v>_</v>
      </c>
      <c r="AZ201" s="314" t="str">
        <f>_xlfn.IFNA(VLOOKUP($AH201,Programma!$F$3:$X$1107,19,0),"")</f>
        <v>_</v>
      </c>
      <c r="BA201" s="314" t="str">
        <f>_xlfn.IFNA(VLOOKUP($AH201,Programma!$F$3:$Y$1107,20,0),"")</f>
        <v>_</v>
      </c>
      <c r="BB201" s="273"/>
      <c r="BC201" s="272" t="str">
        <f>IF(Ruimtestaat[[#This Row],[Frequentie weekend]]="","",_xlfn.CONCAT(Ruimtestaat[[#This Row],[Ruimte code]],"-",Ruimtestaat[[#This Row],[Frequentie weekend]]," ",Ruimtestaat[[#This Row],[Vloer code]]))</f>
        <v/>
      </c>
      <c r="BD201" s="314" t="str">
        <f>_xlfn.IFNA(VLOOKUP($BC201,Programma!$F$3:$G$1107,2,0),"")</f>
        <v/>
      </c>
      <c r="BE201" s="314" t="str">
        <f>_xlfn.IFNA(VLOOKUP($BC201,Programma!$F$3:$H$1107,3,0),"")</f>
        <v/>
      </c>
      <c r="BF201" s="314" t="str">
        <f>_xlfn.IFNA(VLOOKUP($BC201,Programma!$F$3:$I$1107,4,0),"")</f>
        <v/>
      </c>
      <c r="BG201" s="314" t="str">
        <f>_xlfn.IFNA(VLOOKUP($BC201,Programma!$F$3:$J$1107,5,0),"")</f>
        <v/>
      </c>
      <c r="BH201" s="314" t="str">
        <f>_xlfn.IFNA(VLOOKUP($BC201,Programma!$F$3:$K$1107,6,0),"")</f>
        <v/>
      </c>
      <c r="BI201" s="314" t="str">
        <f>_xlfn.IFNA(VLOOKUP($BC201,Programma!$F$3:$L$1107,7,0),"")</f>
        <v/>
      </c>
      <c r="BJ201" s="314" t="str">
        <f>_xlfn.IFNA(VLOOKUP($BC201,Programma!$F$3:$M$1107,8,0),"")</f>
        <v/>
      </c>
      <c r="BK201" s="314" t="str">
        <f>_xlfn.IFNA(VLOOKUP($BC201,Programma!$F$3:$N$1107,9,0),"")</f>
        <v/>
      </c>
      <c r="BL201" s="314" t="str">
        <f>_xlfn.IFNA(VLOOKUP($BC201,Programma!$F$3:$O$1107,10,0),"")</f>
        <v/>
      </c>
      <c r="BM201" s="314" t="str">
        <f>_xlfn.IFNA(VLOOKUP($BC201,Programma!$F$3:$P$1107,11,0),"")</f>
        <v/>
      </c>
      <c r="BN201" s="314" t="str">
        <f>_xlfn.IFNA(VLOOKUP($BC201,Programma!$F$3:$Q$1107,12,0),"")</f>
        <v/>
      </c>
      <c r="BO201" s="314" t="str">
        <f>_xlfn.IFNA(VLOOKUP($BC201,Programma!$F$3:$R$1107,13,0),"")</f>
        <v/>
      </c>
      <c r="BP201" s="314" t="str">
        <f>_xlfn.IFNA(VLOOKUP($BC201,Programma!$F$3:$S$1107,14,0),"")</f>
        <v/>
      </c>
      <c r="BQ201" s="314" t="str">
        <f>_xlfn.IFNA(VLOOKUP($BC201,Programma!$F$3:$T$1107,15,0),"")</f>
        <v/>
      </c>
      <c r="BR201" s="314" t="str">
        <f>_xlfn.IFNA(VLOOKUP($BC201,Programma!$F$3:$U$1107,16,0),"")</f>
        <v/>
      </c>
      <c r="BS201" s="314" t="str">
        <f>_xlfn.IFNA(VLOOKUP($BC201,Programma!$F$3:$V$1107,17,0),"")</f>
        <v/>
      </c>
      <c r="BT201" s="314" t="str">
        <f>_xlfn.IFNA(VLOOKUP($BC201,Programma!$F$3:$W$1107,18,0),"")</f>
        <v/>
      </c>
      <c r="BU201" s="314" t="str">
        <f>_xlfn.IFNA(VLOOKUP($BC201,Programma!$F$3:$X$1107,19,0),"")</f>
        <v/>
      </c>
      <c r="BV201" s="314" t="str">
        <f>_xlfn.IFNA(VLOOKUP($BC201,Programma!$F$3:$Y$1107,20,0),"")</f>
        <v/>
      </c>
    </row>
    <row r="202" spans="1:74" ht="15" customHeight="1">
      <c r="A202" s="33">
        <v>1</v>
      </c>
      <c r="B202" s="173" t="str">
        <f>VLOOKUP(Ruimtestaat[[#This Row],[Code]],Locaties[[Code]:[Locatie]],2,FALSE)</f>
        <v>CCNV</v>
      </c>
      <c r="C202" s="173" t="str">
        <f>VLOOKUP(Ruimtestaat[[#This Row],[Code]],Locaties[[#All],[Code]:[Adres]],4,FALSE)</f>
        <v>Stationslaan 26</v>
      </c>
      <c r="D202" s="173" t="str">
        <f>VLOOKUP(Ruimtestaat[[#This Row],[Code]],Locaties[[#All],[Code]:[Postcode]],5,FALSE)</f>
        <v>3842 LA</v>
      </c>
      <c r="E202" s="173" t="str">
        <f>VLOOKUP(Ruimtestaat[[#This Row],[Code]],Locaties[#All],6,FALSE)</f>
        <v>Harderwijk</v>
      </c>
      <c r="F202" s="21" t="s">
        <v>1631</v>
      </c>
      <c r="G202" s="33"/>
      <c r="I202" s="69" t="s">
        <v>1801</v>
      </c>
      <c r="J202" s="21">
        <v>16</v>
      </c>
      <c r="K202" s="69" t="str">
        <f>VLOOKUP(Ruimtestaat[[#This Row],[Ruimte code]],Ruimtegroepen[[#All],[Code]:[Ruimte omschrijving]],2,FALSE)</f>
        <v>Leslokalen</v>
      </c>
      <c r="L202" s="33" t="s">
        <v>100</v>
      </c>
      <c r="M202" s="312" t="s">
        <v>1803</v>
      </c>
      <c r="N202" s="148">
        <v>27</v>
      </c>
      <c r="O202" s="150"/>
      <c r="P202" s="134" t="str">
        <f>VLOOKUP(Ruimtestaat[[#This Row],[Ruimte code]],Ruimtegroepen[],4,FALSE)</f>
        <v>Le</v>
      </c>
      <c r="Q202" s="33">
        <v>40</v>
      </c>
      <c r="R202" s="33" t="s">
        <v>2</v>
      </c>
      <c r="S202" s="33">
        <f>IF(Q202&gt;0,IF(RIGHT(Ruimtestaat[[#This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2" s="33">
        <f>IF(S202&gt;0,VLOOKUP($J202,Ruimtegroepen[],3,FALSE)*VLOOKUP($L202,Vloersoorten[],3,FALSE)*VLOOKUP($R202,Frequenties[],3,FALSE)*VLOOKUP($A202,Locaties[],3,FALSE),0)</f>
        <v>0</v>
      </c>
      <c r="U202" s="33">
        <f>Ruimtestaat[[#This Row],[Uitvoeringen werkdagen]]*Ruimtestaat[[#This Row],[Oppervlak (netto)]]</f>
        <v>5400</v>
      </c>
      <c r="V202" s="170">
        <f>IF(T202&gt;0,Ruimtestaat[[#This Row],[Prest. (m2 /jaar) werkdagen]]/Ruimtestaat[[#This Row],[Norm (m2/uur) werkdagen]],0)</f>
        <v>0</v>
      </c>
      <c r="W202" s="171">
        <f>Ruimtestaat[[#This Row],[uren / jaar werkdagen]]*Tariefsopbouw!$E$35</f>
        <v>0</v>
      </c>
      <c r="X202" s="33"/>
      <c r="Y202" s="33">
        <f>IF(Ruimtestaat[[#This Row],[Frequentie weekend]]&gt;0,VALUE(LEFT(X202,1))*Q202,0)</f>
        <v>0</v>
      </c>
      <c r="Z202" s="104">
        <f>IF($Y202&gt;0,VLOOKUP($J202,Ruimtegroepen[],3,FALSE)*VLOOKUP($L202,Vloersoorten[],3,FALSE)*VLOOKUP($X202,Frequenties[],3,FALSE)*VLOOKUP(Ruimtestaat[[#This Row],[Code]],Locaties[],3,FALSE),0)</f>
        <v>0</v>
      </c>
      <c r="AA202" s="104">
        <f>Ruimtestaat[[#This Row],[Uitvoeringen weekend]]*Ruimtestaat[[#This Row],[Oppervlak (netto)]]</f>
        <v>0</v>
      </c>
      <c r="AB202" s="104">
        <f>IF(Z202&gt;0,Ruimtestaat[[#This Row],[Prest. (m2 /jaar) weekend]]/Ruimtestaat[[#This Row],[Norm (m2/uur) weekend]],0)</f>
        <v>0</v>
      </c>
      <c r="AC202" s="171">
        <f>Ruimtestaat[[#This Row],[uren / jaar weekend]]*Tariefsopbouw!$D$40</f>
        <v>0</v>
      </c>
      <c r="AD202" s="170">
        <f>Ruimtestaat[[#This Row],[Prest. (m2 /jaar) weekend]]+Ruimtestaat[[#This Row],[Prest. (m2 /jaar) werkdagen]]</f>
        <v>5400</v>
      </c>
      <c r="AE202" s="170">
        <f>Ruimtestaat[[#This Row],[uren / jaar weekend]]+Ruimtestaat[[#This Row],[uren / jaar werkdagen]]</f>
        <v>0</v>
      </c>
      <c r="AF202" s="76">
        <f>Ruimtestaat[[#This Row],[kosten / jaar weekend]]+Ruimtestaat[[#This Row],[kosten / jaar werkdagen]]</f>
        <v>0</v>
      </c>
      <c r="AG202" s="76"/>
      <c r="AH202" s="272" t="str">
        <f>IF(Ruimtestaat[[#This Row],[Frequentie werkdagen]]="","",_xlfn.CONCAT(Ruimtestaat[[#This Row],[Ruimte code]],"-",Ruimtestaat[[#This Row],[Frequentie werkdagen]]," ",Ruimtestaat[[#This Row],[Vloer code]]))</f>
        <v>16-5w T</v>
      </c>
      <c r="AI202" s="314" t="str">
        <f>_xlfn.IFNA(VLOOKUP($AH202,Programma!$F$3:$G$1107,2,0),"")</f>
        <v>3w</v>
      </c>
      <c r="AJ202" s="314" t="str">
        <f>_xlfn.IFNA(VLOOKUP($AH202,Programma!$F$3:$H$1107,3,0),"")</f>
        <v>2w</v>
      </c>
      <c r="AK202" s="314" t="str">
        <f>_xlfn.IFNA(VLOOKUP($AH202,Programma!$F$3:$I$1107,4,0),"")</f>
        <v>_</v>
      </c>
      <c r="AL202" s="314" t="str">
        <f>_xlfn.IFNA(VLOOKUP($AH202,Programma!$F$3:$J$1107,5,0),"")</f>
        <v>_</v>
      </c>
      <c r="AM202" s="314" t="str">
        <f>_xlfn.IFNA(VLOOKUP($AH202,Programma!$F$3:$K$1107,6,0),"")</f>
        <v>_</v>
      </c>
      <c r="AN202" s="314" t="str">
        <f>_xlfn.IFNA(VLOOKUP($AH202,Programma!$F$3:$L$1107,7,0),"")</f>
        <v>_</v>
      </c>
      <c r="AO202" s="314" t="str">
        <f>_xlfn.IFNA(VLOOKUP($AH202,Programma!$F$3:$M$1107,8,0),"")</f>
        <v>_</v>
      </c>
      <c r="AP202" s="314" t="str">
        <f>_xlfn.IFNA(VLOOKUP($AH202,Programma!$F$3:$N$1107,9,0),"")</f>
        <v>_</v>
      </c>
      <c r="AQ202" s="314" t="str">
        <f>_xlfn.IFNA(VLOOKUP($AH202,Programma!$F$3:$O$1107,10,0),"")</f>
        <v>5w</v>
      </c>
      <c r="AR202" s="314" t="str">
        <f>_xlfn.IFNA(VLOOKUP($AH202,Programma!$F$3:$P$1107,11,0),"")</f>
        <v>5w</v>
      </c>
      <c r="AS202" s="314" t="str">
        <f>_xlfn.IFNA(VLOOKUP($AH202,Programma!$F$3:$Q$1107,12,0),"")</f>
        <v>1w</v>
      </c>
      <c r="AT202" s="314" t="str">
        <f>_xlfn.IFNA(VLOOKUP($AH202,Programma!$F$3:$R$1107,13,0),"")</f>
        <v>1w</v>
      </c>
      <c r="AU202" s="314" t="str">
        <f>_xlfn.IFNA(VLOOKUP($AH202,Programma!$F$3:$S$1107,14,0),"")</f>
        <v>1m</v>
      </c>
      <c r="AV202" s="314" t="str">
        <f>_xlfn.IFNA(VLOOKUP($AH202,Programma!$F$3:$T$1107,15,0),"")</f>
        <v>2j</v>
      </c>
      <c r="AW202" s="314" t="str">
        <f>_xlfn.IFNA(VLOOKUP($AH202,Programma!$F$3:$U$1107,16,0),"")</f>
        <v>1j</v>
      </c>
      <c r="AX202" s="314" t="str">
        <f>_xlfn.IFNA(VLOOKUP($AH202,Programma!$F$3:$V$1107,17,0),"")</f>
        <v>_</v>
      </c>
      <c r="AY202" s="314" t="str">
        <f>_xlfn.IFNA(VLOOKUP($AH202,Programma!$F$3:$W$1107,18,0),"")</f>
        <v>_</v>
      </c>
      <c r="AZ202" s="314" t="str">
        <f>_xlfn.IFNA(VLOOKUP($AH202,Programma!$F$3:$X$1107,19,0),"")</f>
        <v>_</v>
      </c>
      <c r="BA202" s="314" t="str">
        <f>_xlfn.IFNA(VLOOKUP($AH202,Programma!$F$3:$Y$1107,20,0),"")</f>
        <v>_</v>
      </c>
      <c r="BB202" s="273"/>
      <c r="BC202" s="272" t="str">
        <f>IF(Ruimtestaat[[#This Row],[Frequentie weekend]]="","",_xlfn.CONCAT(Ruimtestaat[[#This Row],[Ruimte code]],"-",Ruimtestaat[[#This Row],[Frequentie weekend]]," ",Ruimtestaat[[#This Row],[Vloer code]]))</f>
        <v/>
      </c>
      <c r="BD202" s="314" t="str">
        <f>_xlfn.IFNA(VLOOKUP($BC202,Programma!$F$3:$G$1107,2,0),"")</f>
        <v/>
      </c>
      <c r="BE202" s="314" t="str">
        <f>_xlfn.IFNA(VLOOKUP($BC202,Programma!$F$3:$H$1107,3,0),"")</f>
        <v/>
      </c>
      <c r="BF202" s="314" t="str">
        <f>_xlfn.IFNA(VLOOKUP($BC202,Programma!$F$3:$I$1107,4,0),"")</f>
        <v/>
      </c>
      <c r="BG202" s="314" t="str">
        <f>_xlfn.IFNA(VLOOKUP($BC202,Programma!$F$3:$J$1107,5,0),"")</f>
        <v/>
      </c>
      <c r="BH202" s="314" t="str">
        <f>_xlfn.IFNA(VLOOKUP($BC202,Programma!$F$3:$K$1107,6,0),"")</f>
        <v/>
      </c>
      <c r="BI202" s="314" t="str">
        <f>_xlfn.IFNA(VLOOKUP($BC202,Programma!$F$3:$L$1107,7,0),"")</f>
        <v/>
      </c>
      <c r="BJ202" s="314" t="str">
        <f>_xlfn.IFNA(VLOOKUP($BC202,Programma!$F$3:$M$1107,8,0),"")</f>
        <v/>
      </c>
      <c r="BK202" s="314" t="str">
        <f>_xlfn.IFNA(VLOOKUP($BC202,Programma!$F$3:$N$1107,9,0),"")</f>
        <v/>
      </c>
      <c r="BL202" s="314" t="str">
        <f>_xlfn.IFNA(VLOOKUP($BC202,Programma!$F$3:$O$1107,10,0),"")</f>
        <v/>
      </c>
      <c r="BM202" s="314" t="str">
        <f>_xlfn.IFNA(VLOOKUP($BC202,Programma!$F$3:$P$1107,11,0),"")</f>
        <v/>
      </c>
      <c r="BN202" s="314" t="str">
        <f>_xlfn.IFNA(VLOOKUP($BC202,Programma!$F$3:$Q$1107,12,0),"")</f>
        <v/>
      </c>
      <c r="BO202" s="314" t="str">
        <f>_xlfn.IFNA(VLOOKUP($BC202,Programma!$F$3:$R$1107,13,0),"")</f>
        <v/>
      </c>
      <c r="BP202" s="314" t="str">
        <f>_xlfn.IFNA(VLOOKUP($BC202,Programma!$F$3:$S$1107,14,0),"")</f>
        <v/>
      </c>
      <c r="BQ202" s="314" t="str">
        <f>_xlfn.IFNA(VLOOKUP($BC202,Programma!$F$3:$T$1107,15,0),"")</f>
        <v/>
      </c>
      <c r="BR202" s="314" t="str">
        <f>_xlfn.IFNA(VLOOKUP($BC202,Programma!$F$3:$U$1107,16,0),"")</f>
        <v/>
      </c>
      <c r="BS202" s="314" t="str">
        <f>_xlfn.IFNA(VLOOKUP($BC202,Programma!$F$3:$V$1107,17,0),"")</f>
        <v/>
      </c>
      <c r="BT202" s="314" t="str">
        <f>_xlfn.IFNA(VLOOKUP($BC202,Programma!$F$3:$W$1107,18,0),"")</f>
        <v/>
      </c>
      <c r="BU202" s="314" t="str">
        <f>_xlfn.IFNA(VLOOKUP($BC202,Programma!$F$3:$X$1107,19,0),"")</f>
        <v/>
      </c>
      <c r="BV202" s="314" t="str">
        <f>_xlfn.IFNA(VLOOKUP($BC202,Programma!$F$3:$Y$1107,20,0),"")</f>
        <v/>
      </c>
    </row>
    <row r="203" spans="1:74" ht="15" customHeight="1">
      <c r="A203" s="33">
        <v>1</v>
      </c>
      <c r="B203" s="173" t="str">
        <f>VLOOKUP(Ruimtestaat[[#This Row],[Code]],Locaties[[Code]:[Locatie]],2,FALSE)</f>
        <v>CCNV</v>
      </c>
      <c r="C203" s="173" t="str">
        <f>VLOOKUP(Ruimtestaat[[#This Row],[Code]],Locaties[[#All],[Code]:[Adres]],4,FALSE)</f>
        <v>Stationslaan 26</v>
      </c>
      <c r="D203" s="173" t="str">
        <f>VLOOKUP(Ruimtestaat[[#This Row],[Code]],Locaties[[#All],[Code]:[Postcode]],5,FALSE)</f>
        <v>3842 LA</v>
      </c>
      <c r="E203" s="173" t="str">
        <f>VLOOKUP(Ruimtestaat[[#This Row],[Code]],Locaties[#All],6,FALSE)</f>
        <v>Harderwijk</v>
      </c>
      <c r="F203" s="21" t="s">
        <v>1632</v>
      </c>
      <c r="G203" s="33"/>
      <c r="I203" s="69" t="s">
        <v>1632</v>
      </c>
      <c r="J203" s="21">
        <v>1</v>
      </c>
      <c r="K203" s="69" t="str">
        <f>VLOOKUP(Ruimtestaat[[#This Row],[Ruimte code]],Ruimtegroepen[[#All],[Code]:[Ruimte omschrijving]],2,FALSE)</f>
        <v>Magazijnen/bergingen</v>
      </c>
      <c r="L203" s="33" t="s">
        <v>102</v>
      </c>
      <c r="M203" s="312" t="s">
        <v>1810</v>
      </c>
      <c r="N203" s="148">
        <v>63</v>
      </c>
      <c r="O203" s="33"/>
      <c r="P203" s="134" t="str">
        <f>VLOOKUP(Ruimtestaat[[#This Row],[Ruimte code]],Ruimtegroepen[],4,FALSE)</f>
        <v>Ve</v>
      </c>
      <c r="Q203" s="33">
        <v>40</v>
      </c>
      <c r="R203" s="33" t="s">
        <v>2</v>
      </c>
      <c r="S203" s="33">
        <f>IF(Q203&gt;0,IF(RIGHT(Ruimtestaat[[#This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3" s="33">
        <f>IF(S203&gt;0,VLOOKUP($J203,Ruimtegroepen[],3,FALSE)*VLOOKUP($L203,Vloersoorten[],3,FALSE)*VLOOKUP($R203,Frequenties[],3,FALSE)*VLOOKUP($A203,Locaties[],3,FALSE),0)</f>
        <v>0</v>
      </c>
      <c r="U203" s="33">
        <f>Ruimtestaat[[#This Row],[Uitvoeringen werkdagen]]*Ruimtestaat[[#This Row],[Oppervlak (netto)]]</f>
        <v>12600</v>
      </c>
      <c r="V203" s="170">
        <f>IF(T203&gt;0,Ruimtestaat[[#This Row],[Prest. (m2 /jaar) werkdagen]]/Ruimtestaat[[#This Row],[Norm (m2/uur) werkdagen]],0)</f>
        <v>0</v>
      </c>
      <c r="W203" s="171">
        <f>Ruimtestaat[[#This Row],[uren / jaar werkdagen]]*Tariefsopbouw!$E$35</f>
        <v>0</v>
      </c>
      <c r="X203" s="33"/>
      <c r="Y203" s="33">
        <f>IF(Ruimtestaat[[#This Row],[Frequentie weekend]]&gt;0,VALUE(LEFT(X203,1))*Q203,0)</f>
        <v>0</v>
      </c>
      <c r="Z203" s="104">
        <f>IF($Y203&gt;0,VLOOKUP($J203,Ruimtegroepen[],3,FALSE)*VLOOKUP($L203,Vloersoorten[],3,FALSE)*VLOOKUP($X203,Frequenties[],3,FALSE)*VLOOKUP(Ruimtestaat[[#This Row],[Code]],Locaties[],3,FALSE),0)</f>
        <v>0</v>
      </c>
      <c r="AA203" s="104">
        <f>Ruimtestaat[[#This Row],[Uitvoeringen weekend]]*Ruimtestaat[[#This Row],[Oppervlak (netto)]]</f>
        <v>0</v>
      </c>
      <c r="AB203" s="104">
        <f>IF(Z203&gt;0,Ruimtestaat[[#This Row],[Prest. (m2 /jaar) weekend]]/Ruimtestaat[[#This Row],[Norm (m2/uur) weekend]],0)</f>
        <v>0</v>
      </c>
      <c r="AC203" s="171">
        <f>Ruimtestaat[[#This Row],[uren / jaar weekend]]*Tariefsopbouw!$D$40</f>
        <v>0</v>
      </c>
      <c r="AD203" s="170">
        <f>Ruimtestaat[[#This Row],[Prest. (m2 /jaar) weekend]]+Ruimtestaat[[#This Row],[Prest. (m2 /jaar) werkdagen]]</f>
        <v>12600</v>
      </c>
      <c r="AE203" s="170">
        <f>Ruimtestaat[[#This Row],[uren / jaar weekend]]+Ruimtestaat[[#This Row],[uren / jaar werkdagen]]</f>
        <v>0</v>
      </c>
      <c r="AF203" s="76">
        <f>Ruimtestaat[[#This Row],[kosten / jaar weekend]]+Ruimtestaat[[#This Row],[kosten / jaar werkdagen]]</f>
        <v>0</v>
      </c>
      <c r="AG203" s="76"/>
      <c r="AH203" s="272" t="str">
        <f>IF(Ruimtestaat[[#This Row],[Frequentie werkdagen]]="","",_xlfn.CONCAT(Ruimtestaat[[#This Row],[Ruimte code]],"-",Ruimtestaat[[#This Row],[Frequentie werkdagen]]," ",Ruimtestaat[[#This Row],[Vloer code]]))</f>
        <v>1-5w S</v>
      </c>
      <c r="AI203" s="310" t="str">
        <f>_xlfn.IFNA(VLOOKUP($AH203,Programma!$F$3:$G$1107,2,0),"")</f>
        <v>_</v>
      </c>
      <c r="AJ203" s="310" t="str">
        <f>_xlfn.IFNA(VLOOKUP($AH203,Programma!$F$3:$H$1107,3,0),"")</f>
        <v>_</v>
      </c>
      <c r="AK203" s="310" t="str">
        <f>_xlfn.IFNA(VLOOKUP($AH203,Programma!$F$3:$I$1107,4,0),"")</f>
        <v>4w</v>
      </c>
      <c r="AL203" s="310" t="str">
        <f>_xlfn.IFNA(VLOOKUP($AH203,Programma!$F$3:$J$1107,5,0),"")</f>
        <v>1w</v>
      </c>
      <c r="AM203" s="310" t="str">
        <f>_xlfn.IFNA(VLOOKUP($AH203,Programma!$F$3:$K$1107,6,0),"")</f>
        <v>1j</v>
      </c>
      <c r="AN203" s="310" t="str">
        <f>_xlfn.IFNA(VLOOKUP($AH203,Programma!$F$3:$L$1107,7,0),"")</f>
        <v>_</v>
      </c>
      <c r="AO203" s="310" t="str">
        <f>_xlfn.IFNA(VLOOKUP($AH203,Programma!$F$3:$M$1107,8,0),"")</f>
        <v>_</v>
      </c>
      <c r="AP203" s="310" t="str">
        <f>_xlfn.IFNA(VLOOKUP($AH203,Programma!$F$3:$N$1107,9,0),"")</f>
        <v>_</v>
      </c>
      <c r="AQ203" s="310" t="str">
        <f>_xlfn.IFNA(VLOOKUP($AH203,Programma!$F$3:$O$1107,10,0),"")</f>
        <v>_</v>
      </c>
      <c r="AR203" s="310" t="str">
        <f>_xlfn.IFNA(VLOOKUP($AH203,Programma!$F$3:$P$1107,11,0),"")</f>
        <v>_</v>
      </c>
      <c r="AS203" s="310" t="str">
        <f>_xlfn.IFNA(VLOOKUP($AH203,Programma!$F$3:$Q$1107,12,0),"")</f>
        <v>_</v>
      </c>
      <c r="AT203" s="310" t="str">
        <f>_xlfn.IFNA(VLOOKUP($AH203,Programma!$F$3:$R$1107,13,0),"")</f>
        <v>_</v>
      </c>
      <c r="AU203" s="310" t="str">
        <f>_xlfn.IFNA(VLOOKUP($AH203,Programma!$F$3:$S$1107,14,0),"")</f>
        <v>5w</v>
      </c>
      <c r="AV203" s="310" t="str">
        <f>_xlfn.IFNA(VLOOKUP($AH203,Programma!$F$3:$T$1107,15,0),"")</f>
        <v>4j</v>
      </c>
      <c r="AW203" s="310" t="str">
        <f>_xlfn.IFNA(VLOOKUP($AH203,Programma!$F$3:$U$1107,16,0),"")</f>
        <v>4j</v>
      </c>
      <c r="AX203" s="310" t="str">
        <f>_xlfn.IFNA(VLOOKUP($AH203,Programma!$F$3:$V$1107,17,0),"")</f>
        <v>_</v>
      </c>
      <c r="AY203" s="310" t="str">
        <f>_xlfn.IFNA(VLOOKUP($AH203,Programma!$F$3:$W$1107,18,0),"")</f>
        <v>_</v>
      </c>
      <c r="AZ203" s="310" t="str">
        <f>_xlfn.IFNA(VLOOKUP($AH203,Programma!$F$3:$X$1107,19,0),"")</f>
        <v>_</v>
      </c>
      <c r="BA203" s="310" t="str">
        <f>_xlfn.IFNA(VLOOKUP($AH203,Programma!$F$3:$Y$1107,20,0),"")</f>
        <v>_</v>
      </c>
      <c r="BB203" s="273"/>
      <c r="BC203" s="272" t="str">
        <f>IF(Ruimtestaat[[#This Row],[Frequentie weekend]]="","",_xlfn.CONCAT(Ruimtestaat[[#This Row],[Ruimte code]],"-",Ruimtestaat[[#This Row],[Frequentie weekend]]," ",Ruimtestaat[[#This Row],[Vloer code]]))</f>
        <v/>
      </c>
      <c r="BD203" s="310" t="str">
        <f>_xlfn.IFNA(VLOOKUP($BC203,Programma!$F$3:$G$1107,2,0),"")</f>
        <v/>
      </c>
      <c r="BE203" s="310" t="str">
        <f>_xlfn.IFNA(VLOOKUP($BC203,Programma!$F$3:$H$1107,3,0),"")</f>
        <v/>
      </c>
      <c r="BF203" s="310" t="str">
        <f>_xlfn.IFNA(VLOOKUP($BC203,Programma!$F$3:$I$1107,4,0),"")</f>
        <v/>
      </c>
      <c r="BG203" s="310" t="str">
        <f>_xlfn.IFNA(VLOOKUP($BC203,Programma!$F$3:$J$1107,5,0),"")</f>
        <v/>
      </c>
      <c r="BH203" s="310" t="str">
        <f>_xlfn.IFNA(VLOOKUP($BC203,Programma!$F$3:$K$1107,6,0),"")</f>
        <v/>
      </c>
      <c r="BI203" s="310" t="str">
        <f>_xlfn.IFNA(VLOOKUP($BC203,Programma!$F$3:$L$1107,7,0),"")</f>
        <v/>
      </c>
      <c r="BJ203" s="310" t="str">
        <f>_xlfn.IFNA(VLOOKUP($BC203,Programma!$F$3:$M$1107,8,0),"")</f>
        <v/>
      </c>
      <c r="BK203" s="310" t="str">
        <f>_xlfn.IFNA(VLOOKUP($BC203,Programma!$F$3:$N$1107,9,0),"")</f>
        <v/>
      </c>
      <c r="BL203" s="310" t="str">
        <f>_xlfn.IFNA(VLOOKUP($BC203,Programma!$F$3:$O$1107,10,0),"")</f>
        <v/>
      </c>
      <c r="BM203" s="310" t="str">
        <f>_xlfn.IFNA(VLOOKUP($BC203,Programma!$F$3:$P$1107,11,0),"")</f>
        <v/>
      </c>
      <c r="BN203" s="310" t="str">
        <f>_xlfn.IFNA(VLOOKUP($BC203,Programma!$F$3:$Q$1107,12,0),"")</f>
        <v/>
      </c>
      <c r="BO203" s="310" t="str">
        <f>_xlfn.IFNA(VLOOKUP($BC203,Programma!$F$3:$R$1107,13,0),"")</f>
        <v/>
      </c>
      <c r="BP203" s="310" t="str">
        <f>_xlfn.IFNA(VLOOKUP($BC203,Programma!$F$3:$S$1107,14,0),"")</f>
        <v/>
      </c>
      <c r="BQ203" s="310" t="str">
        <f>_xlfn.IFNA(VLOOKUP($BC203,Programma!$F$3:$T$1107,15,0),"")</f>
        <v/>
      </c>
      <c r="BR203" s="310" t="str">
        <f>_xlfn.IFNA(VLOOKUP($BC203,Programma!$F$3:$U$1107,16,0),"")</f>
        <v/>
      </c>
      <c r="BS203" s="310" t="str">
        <f>_xlfn.IFNA(VLOOKUP($BC203,Programma!$F$3:$V$1107,17,0),"")</f>
        <v/>
      </c>
      <c r="BT203" s="310" t="str">
        <f>_xlfn.IFNA(VLOOKUP($BC203,Programma!$F$3:$W$1107,18,0),"")</f>
        <v/>
      </c>
      <c r="BU203" s="310" t="str">
        <f>_xlfn.IFNA(VLOOKUP($BC203,Programma!$F$3:$X$1107,19,0),"")</f>
        <v/>
      </c>
      <c r="BV203" s="310" t="str">
        <f>_xlfn.IFNA(VLOOKUP($BC203,Programma!$F$3:$Y$1107,20,0),"")</f>
        <v/>
      </c>
    </row>
    <row r="204" spans="1:74" ht="15" customHeight="1">
      <c r="B204" s="173" t="e">
        <f>VLOOKUP(Ruimtestaat[[#This Row],[Code]],Locaties[[Code]:[Locatie]],2,FALSE)</f>
        <v>#N/A</v>
      </c>
      <c r="C204" s="173" t="e">
        <f>VLOOKUP(Ruimtestaat[[#This Row],[Code]],Locaties[[#All],[Code]:[Adres]],4,FALSE)</f>
        <v>#N/A</v>
      </c>
      <c r="D204" s="173" t="e">
        <f>VLOOKUP(Ruimtestaat[[#This Row],[Code]],Locaties[[#All],[Code]:[Postcode]],5,FALSE)</f>
        <v>#N/A</v>
      </c>
      <c r="E204" s="173" t="e">
        <f>VLOOKUP(Ruimtestaat[[#This Row],[Code]],Locaties[#All],6,FALSE)</f>
        <v>#N/A</v>
      </c>
      <c r="F204" s="33"/>
      <c r="G204" s="33"/>
      <c r="K204" s="69" t="e">
        <f>VLOOKUP(Ruimtestaat[[#This Row],[Ruimte code]],Ruimtegroepen[[#All],[Code]:[Ruimte omschrijving]],2,FALSE)</f>
        <v>#N/A</v>
      </c>
      <c r="L204" s="33"/>
      <c r="M204" s="312"/>
      <c r="N204" s="148"/>
      <c r="O204" s="150"/>
      <c r="P204" s="134" t="e">
        <f>VLOOKUP(Ruimtestaat[[#This Row],[Ruimte code]],Ruimtegroepen[],4,FALSE)</f>
        <v>#N/A</v>
      </c>
      <c r="Q204" s="33"/>
      <c r="R204" s="33"/>
      <c r="S204" s="33">
        <f>IF(Q204&gt;0,IF(RIGHT(Ruimtestaat[[#This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4" s="33">
        <f>IF(S204&gt;0,VLOOKUP($J204,Ruimtegroepen[],3,FALSE)*VLOOKUP($L204,Vloersoorten[],3,FALSE)*VLOOKUP($R204,Frequenties[],3,FALSE)*VLOOKUP($A204,Locaties[],3,FALSE),0)</f>
        <v>0</v>
      </c>
      <c r="U204" s="33">
        <f>Ruimtestaat[[#This Row],[Uitvoeringen werkdagen]]*Ruimtestaat[[#This Row],[Oppervlak (netto)]]</f>
        <v>0</v>
      </c>
      <c r="V204" s="170">
        <f>IF(T204&gt;0,Ruimtestaat[[#This Row],[Prest. (m2 /jaar) werkdagen]]/Ruimtestaat[[#This Row],[Norm (m2/uur) werkdagen]],0)</f>
        <v>0</v>
      </c>
      <c r="W204" s="171">
        <f>Ruimtestaat[[#This Row],[uren / jaar werkdagen]]*Tariefsopbouw!$E$35</f>
        <v>0</v>
      </c>
      <c r="X204" s="33"/>
      <c r="Y204" s="33">
        <f>IF(Ruimtestaat[[#This Row],[Frequentie weekend]]&gt;0,VALUE(LEFT(X204,1))*Q204,0)</f>
        <v>0</v>
      </c>
      <c r="Z204" s="104">
        <f>IF($Y204&gt;0,VLOOKUP($J204,Ruimtegroepen[],3,FALSE)*VLOOKUP($L204,Vloersoorten[],3,FALSE)*VLOOKUP($X204,Frequenties[],3,FALSE)*VLOOKUP(Ruimtestaat[[#This Row],[Code]],Locaties[],3,FALSE),0)</f>
        <v>0</v>
      </c>
      <c r="AA204" s="104">
        <f>Ruimtestaat[[#This Row],[Uitvoeringen weekend]]*Ruimtestaat[[#This Row],[Oppervlak (netto)]]</f>
        <v>0</v>
      </c>
      <c r="AB204" s="104">
        <f>IF(Z204&gt;0,Ruimtestaat[[#This Row],[Prest. (m2 /jaar) weekend]]/Ruimtestaat[[#This Row],[Norm (m2/uur) weekend]],0)</f>
        <v>0</v>
      </c>
      <c r="AC204" s="171">
        <f>Ruimtestaat[[#This Row],[uren / jaar weekend]]*Tariefsopbouw!$D$40</f>
        <v>0</v>
      </c>
      <c r="AD204" s="170">
        <f>Ruimtestaat[[#This Row],[Prest. (m2 /jaar) weekend]]+Ruimtestaat[[#This Row],[Prest. (m2 /jaar) werkdagen]]</f>
        <v>0</v>
      </c>
      <c r="AE204" s="170">
        <f>Ruimtestaat[[#This Row],[uren / jaar weekend]]+Ruimtestaat[[#This Row],[uren / jaar werkdagen]]</f>
        <v>0</v>
      </c>
      <c r="AF204" s="76">
        <f>Ruimtestaat[[#This Row],[kosten / jaar weekend]]+Ruimtestaat[[#This Row],[kosten / jaar werkdagen]]</f>
        <v>0</v>
      </c>
      <c r="AG204" s="76"/>
      <c r="AH204" s="272" t="str">
        <f>IF(Ruimtestaat[[#This Row],[Frequentie werkdagen]]="","",_xlfn.CONCAT(Ruimtestaat[[#This Row],[Ruimte code]],"-",Ruimtestaat[[#This Row],[Frequentie werkdagen]]," ",Ruimtestaat[[#This Row],[Vloer code]]))</f>
        <v/>
      </c>
      <c r="AI204" s="310" t="str">
        <f>_xlfn.IFNA(VLOOKUP($AH204,Programma!$F$3:$G$1107,2,0),"")</f>
        <v/>
      </c>
      <c r="AJ204" s="310" t="str">
        <f>_xlfn.IFNA(VLOOKUP($AH204,Programma!$F$3:$H$1107,3,0),"")</f>
        <v/>
      </c>
      <c r="AK204" s="310" t="str">
        <f>_xlfn.IFNA(VLOOKUP($AH204,Programma!$F$3:$I$1107,4,0),"")</f>
        <v/>
      </c>
      <c r="AL204" s="310" t="str">
        <f>_xlfn.IFNA(VLOOKUP($AH204,Programma!$F$3:$J$1107,5,0),"")</f>
        <v/>
      </c>
      <c r="AM204" s="310" t="str">
        <f>_xlfn.IFNA(VLOOKUP($AH204,Programma!$F$3:$K$1107,6,0),"")</f>
        <v/>
      </c>
      <c r="AN204" s="310" t="str">
        <f>_xlfn.IFNA(VLOOKUP($AH204,Programma!$F$3:$L$1107,7,0),"")</f>
        <v/>
      </c>
      <c r="AO204" s="310" t="str">
        <f>_xlfn.IFNA(VLOOKUP($AH204,Programma!$F$3:$M$1107,8,0),"")</f>
        <v/>
      </c>
      <c r="AP204" s="310" t="str">
        <f>_xlfn.IFNA(VLOOKUP($AH204,Programma!$F$3:$N$1107,9,0),"")</f>
        <v/>
      </c>
      <c r="AQ204" s="310" t="str">
        <f>_xlfn.IFNA(VLOOKUP($AH204,Programma!$F$3:$O$1107,10,0),"")</f>
        <v/>
      </c>
      <c r="AR204" s="310" t="str">
        <f>_xlfn.IFNA(VLOOKUP($AH204,Programma!$F$3:$P$1107,11,0),"")</f>
        <v/>
      </c>
      <c r="AS204" s="310" t="str">
        <f>_xlfn.IFNA(VLOOKUP($AH204,Programma!$F$3:$Q$1107,12,0),"")</f>
        <v/>
      </c>
      <c r="AT204" s="310" t="str">
        <f>_xlfn.IFNA(VLOOKUP($AH204,Programma!$F$3:$R$1107,13,0),"")</f>
        <v/>
      </c>
      <c r="AU204" s="310" t="str">
        <f>_xlfn.IFNA(VLOOKUP($AH204,Programma!$F$3:$S$1107,14,0),"")</f>
        <v/>
      </c>
      <c r="AV204" s="310" t="str">
        <f>_xlfn.IFNA(VLOOKUP($AH204,Programma!$F$3:$T$1107,15,0),"")</f>
        <v/>
      </c>
      <c r="AW204" s="310" t="str">
        <f>_xlfn.IFNA(VLOOKUP($AH204,Programma!$F$3:$U$1107,16,0),"")</f>
        <v/>
      </c>
      <c r="AX204" s="310" t="str">
        <f>_xlfn.IFNA(VLOOKUP($AH204,Programma!$F$3:$V$1107,17,0),"")</f>
        <v/>
      </c>
      <c r="AY204" s="310" t="str">
        <f>_xlfn.IFNA(VLOOKUP($AH204,Programma!$F$3:$W$1107,18,0),"")</f>
        <v/>
      </c>
      <c r="AZ204" s="310" t="str">
        <f>_xlfn.IFNA(VLOOKUP($AH204,Programma!$F$3:$X$1107,19,0),"")</f>
        <v/>
      </c>
      <c r="BA204" s="310" t="str">
        <f>_xlfn.IFNA(VLOOKUP($AH204,Programma!$F$3:$Y$1107,20,0),"")</f>
        <v/>
      </c>
      <c r="BB204" s="273"/>
      <c r="BC204" s="272" t="str">
        <f>IF(Ruimtestaat[[#This Row],[Frequentie weekend]]="","",_xlfn.CONCAT(Ruimtestaat[[#This Row],[Ruimte code]],"-",Ruimtestaat[[#This Row],[Frequentie weekend]]," ",Ruimtestaat[[#This Row],[Vloer code]]))</f>
        <v/>
      </c>
      <c r="BD204" s="310" t="str">
        <f>_xlfn.IFNA(VLOOKUP($BC204,Programma!$F$3:$G$1107,2,0),"")</f>
        <v/>
      </c>
      <c r="BE204" s="310" t="str">
        <f>_xlfn.IFNA(VLOOKUP($BC204,Programma!$F$3:$H$1107,3,0),"")</f>
        <v/>
      </c>
      <c r="BF204" s="310" t="str">
        <f>_xlfn.IFNA(VLOOKUP($BC204,Programma!$F$3:$I$1107,4,0),"")</f>
        <v/>
      </c>
      <c r="BG204" s="310" t="str">
        <f>_xlfn.IFNA(VLOOKUP($BC204,Programma!$F$3:$J$1107,5,0),"")</f>
        <v/>
      </c>
      <c r="BH204" s="310" t="str">
        <f>_xlfn.IFNA(VLOOKUP($BC204,Programma!$F$3:$K$1107,6,0),"")</f>
        <v/>
      </c>
      <c r="BI204" s="310" t="str">
        <f>_xlfn.IFNA(VLOOKUP($BC204,Programma!$F$3:$L$1107,7,0),"")</f>
        <v/>
      </c>
      <c r="BJ204" s="310" t="str">
        <f>_xlfn.IFNA(VLOOKUP($BC204,Programma!$F$3:$M$1107,8,0),"")</f>
        <v/>
      </c>
      <c r="BK204" s="310" t="str">
        <f>_xlfn.IFNA(VLOOKUP($BC204,Programma!$F$3:$N$1107,9,0),"")</f>
        <v/>
      </c>
      <c r="BL204" s="310" t="str">
        <f>_xlfn.IFNA(VLOOKUP($BC204,Programma!$F$3:$O$1107,10,0),"")</f>
        <v/>
      </c>
      <c r="BM204" s="310" t="str">
        <f>_xlfn.IFNA(VLOOKUP($BC204,Programma!$F$3:$P$1107,11,0),"")</f>
        <v/>
      </c>
      <c r="BN204" s="310" t="str">
        <f>_xlfn.IFNA(VLOOKUP($BC204,Programma!$F$3:$Q$1107,12,0),"")</f>
        <v/>
      </c>
      <c r="BO204" s="310" t="str">
        <f>_xlfn.IFNA(VLOOKUP($BC204,Programma!$F$3:$R$1107,13,0),"")</f>
        <v/>
      </c>
      <c r="BP204" s="310" t="str">
        <f>_xlfn.IFNA(VLOOKUP($BC204,Programma!$F$3:$S$1107,14,0),"")</f>
        <v/>
      </c>
      <c r="BQ204" s="310" t="str">
        <f>_xlfn.IFNA(VLOOKUP($BC204,Programma!$F$3:$T$1107,15,0),"")</f>
        <v/>
      </c>
      <c r="BR204" s="310" t="str">
        <f>_xlfn.IFNA(VLOOKUP($BC204,Programma!$F$3:$U$1107,16,0),"")</f>
        <v/>
      </c>
      <c r="BS204" s="310" t="str">
        <f>_xlfn.IFNA(VLOOKUP($BC204,Programma!$F$3:$V$1107,17,0),"")</f>
        <v/>
      </c>
      <c r="BT204" s="310" t="str">
        <f>_xlfn.IFNA(VLOOKUP($BC204,Programma!$F$3:$W$1107,18,0),"")</f>
        <v/>
      </c>
      <c r="BU204" s="310" t="str">
        <f>_xlfn.IFNA(VLOOKUP($BC204,Programma!$F$3:$X$1107,19,0),"")</f>
        <v/>
      </c>
      <c r="BV204" s="310" t="str">
        <f>_xlfn.IFNA(VLOOKUP($BC204,Programma!$F$3:$Y$1107,20,0),"")</f>
        <v/>
      </c>
    </row>
  </sheetData>
  <sortState xmlns:xlrd2="http://schemas.microsoft.com/office/spreadsheetml/2017/richdata2" ref="B17:R204">
    <sortCondition ref="F17:F204"/>
  </sortState>
  <mergeCells count="13">
    <mergeCell ref="A1:P1"/>
    <mergeCell ref="Q1:AF1"/>
    <mergeCell ref="R3:W3"/>
    <mergeCell ref="X3:AC3"/>
    <mergeCell ref="AD3:AF3"/>
    <mergeCell ref="AI2:BA2"/>
    <mergeCell ref="BD2:BV2"/>
    <mergeCell ref="AI3:AP3"/>
    <mergeCell ref="AQ3:AX3"/>
    <mergeCell ref="AY3:BA3"/>
    <mergeCell ref="BD3:BK3"/>
    <mergeCell ref="BL3:BS3"/>
    <mergeCell ref="BT3:BV3"/>
  </mergeCells>
  <phoneticPr fontId="11"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4" max="1048575" man="1"/>
  </colBreaks>
  <customProperties>
    <customPr name="EpmWorksheetKeyString_GUID" r:id="rId2"/>
  </customProperties>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24"/>
  <sheetViews>
    <sheetView showGridLines="0" view="pageBreakPreview" zoomScale="90" zoomScaleNormal="100" zoomScaleSheetLayoutView="90" workbookViewId="0">
      <selection sqref="A1:H1"/>
    </sheetView>
  </sheetViews>
  <sheetFormatPr defaultColWidth="9.140625" defaultRowHeight="15" customHeight="1"/>
  <cols>
    <col min="1" max="1" width="9.7109375" style="4" customWidth="1"/>
    <col min="2" max="2" width="56.28515625" style="4" customWidth="1"/>
    <col min="3" max="3" width="14.85546875" style="21" customWidth="1"/>
    <col min="4" max="4" width="62" style="4" customWidth="1"/>
    <col min="5" max="5" width="17.7109375" style="4" bestFit="1" customWidth="1"/>
    <col min="6" max="6" width="17.7109375" style="128" bestFit="1" customWidth="1"/>
    <col min="7" max="7" width="17.7109375" style="4" bestFit="1" customWidth="1"/>
    <col min="8" max="8" width="18" style="4" bestFit="1" customWidth="1"/>
    <col min="9" max="9" width="19" style="4" customWidth="1"/>
    <col min="10" max="10" width="6.42578125" style="4" customWidth="1"/>
    <col min="11" max="11" width="9.140625" style="4"/>
    <col min="12" max="12" width="35.7109375" style="4" customWidth="1"/>
    <col min="13" max="13" width="15.85546875" style="4" customWidth="1"/>
    <col min="14" max="16384" width="9.140625" style="4"/>
  </cols>
  <sheetData>
    <row r="1" spans="1:13" s="9" customFormat="1" ht="26.25" customHeight="1">
      <c r="A1" s="399" t="s">
        <v>161</v>
      </c>
      <c r="B1" s="399"/>
      <c r="C1" s="399"/>
      <c r="D1" s="399"/>
      <c r="E1" s="399"/>
      <c r="F1" s="399"/>
      <c r="G1" s="399"/>
      <c r="H1" s="399"/>
    </row>
    <row r="2" spans="1:13" s="9" customFormat="1" ht="15" customHeight="1">
      <c r="A2" s="422" t="s">
        <v>255</v>
      </c>
      <c r="B2" s="400"/>
      <c r="C2" s="400"/>
      <c r="D2" s="400"/>
      <c r="E2" s="400"/>
      <c r="F2" s="400"/>
      <c r="G2" s="400"/>
      <c r="H2" s="400"/>
    </row>
    <row r="3" spans="1:13" ht="15" customHeight="1">
      <c r="B3" s="21"/>
      <c r="C3" s="4"/>
      <c r="D3" s="293"/>
      <c r="E3" s="294"/>
    </row>
    <row r="4" spans="1:13" ht="15" customHeight="1">
      <c r="A4" s="4" t="s">
        <v>169</v>
      </c>
      <c r="B4" s="35"/>
      <c r="C4" s="35"/>
      <c r="D4" s="35"/>
      <c r="E4" s="35"/>
      <c r="F4" s="129"/>
      <c r="G4" s="36"/>
    </row>
    <row r="5" spans="1:13" ht="15" customHeight="1">
      <c r="A5" s="4" t="s">
        <v>228</v>
      </c>
      <c r="B5" s="35"/>
      <c r="C5" s="35"/>
      <c r="D5" s="35"/>
      <c r="E5" s="35"/>
      <c r="F5" s="129"/>
      <c r="G5" s="36"/>
    </row>
    <row r="6" spans="1:13" ht="15" customHeight="1">
      <c r="A6" s="4" t="s">
        <v>221</v>
      </c>
      <c r="B6" s="38"/>
      <c r="C6" s="39"/>
      <c r="D6" s="39"/>
      <c r="E6" s="39"/>
      <c r="F6" s="130"/>
    </row>
    <row r="7" spans="1:13" ht="15" customHeight="1">
      <c r="B7" s="38"/>
      <c r="C7" s="38"/>
      <c r="D7" s="34"/>
      <c r="E7" s="423" t="s">
        <v>238</v>
      </c>
      <c r="F7" s="423"/>
      <c r="G7" s="423"/>
      <c r="H7" s="423"/>
      <c r="I7" s="423"/>
      <c r="M7" s="180"/>
    </row>
    <row r="8" spans="1:13" s="8" customFormat="1" ht="26.25" customHeight="1">
      <c r="A8" s="47" t="s">
        <v>200</v>
      </c>
      <c r="B8" s="48" t="s">
        <v>151</v>
      </c>
      <c r="C8" s="49" t="s">
        <v>143</v>
      </c>
      <c r="D8" s="47" t="s">
        <v>1334</v>
      </c>
      <c r="E8" s="47" t="s">
        <v>257</v>
      </c>
      <c r="F8" s="47" t="s">
        <v>258</v>
      </c>
      <c r="G8" s="47" t="s">
        <v>259</v>
      </c>
      <c r="H8" s="47" t="s">
        <v>1259</v>
      </c>
      <c r="I8" s="47" t="s">
        <v>1335</v>
      </c>
      <c r="M8" s="187"/>
    </row>
    <row r="9" spans="1:13" ht="15" customHeight="1">
      <c r="A9" s="50">
        <v>1</v>
      </c>
      <c r="B9" s="51" t="s">
        <v>156</v>
      </c>
      <c r="C9" s="52">
        <v>0</v>
      </c>
      <c r="D9" s="55" t="s">
        <v>152</v>
      </c>
      <c r="E9" s="262">
        <f>InvulVloer19[[#This Row],[Prijs]]*Tariefsopbouw!$I$37+InvulVloer19[[#This Row],[Prijs]]</f>
        <v>0</v>
      </c>
      <c r="F9" s="158">
        <f>InvulVloer19[[#This Row],[2024]]*Tariefsopbouw!$K$37+InvulVloer19[[#This Row],[2024]]</f>
        <v>0</v>
      </c>
      <c r="G9" s="158">
        <f>InvulVloer19[[#This Row],[2025]]*Tariefsopbouw!$M$37+InvulVloer19[[#This Row],[2025]]</f>
        <v>0</v>
      </c>
      <c r="H9" s="158">
        <f>InvulVloer19[[#This Row],[2026]]*Tariefsopbouw!$O$37+InvulVloer19[[#This Row],[2026]]</f>
        <v>0</v>
      </c>
      <c r="I9" s="158">
        <f>InvulVloer19[[#This Row],[2027]]*Tariefsopbouw!$Q$37+InvulVloer19[[#This Row],[2027]]</f>
        <v>0</v>
      </c>
      <c r="M9" s="180"/>
    </row>
    <row r="10" spans="1:13" ht="15" customHeight="1">
      <c r="A10" s="53">
        <v>2</v>
      </c>
      <c r="B10" s="54" t="s">
        <v>239</v>
      </c>
      <c r="C10" s="52">
        <v>0</v>
      </c>
      <c r="D10" s="57" t="s">
        <v>152</v>
      </c>
      <c r="E10" s="262">
        <f>InvulVloer19[[#This Row],[Prijs]]*Tariefsopbouw!$I$37+InvulVloer19[[#This Row],[Prijs]]</f>
        <v>0</v>
      </c>
      <c r="F10" s="157">
        <f>InvulVloer19[[#This Row],[2024]]*Tariefsopbouw!$K$37+InvulVloer19[[#This Row],[2024]]</f>
        <v>0</v>
      </c>
      <c r="G10" s="157">
        <f>InvulVloer19[[#This Row],[2025]]*Tariefsopbouw!$M$37+InvulVloer19[[#This Row],[2025]]</f>
        <v>0</v>
      </c>
      <c r="H10" s="157">
        <f>InvulVloer19[[#This Row],[2026]]*Tariefsopbouw!$O$37+InvulVloer19[[#This Row],[2026]]</f>
        <v>0</v>
      </c>
      <c r="I10" s="157">
        <f>InvulVloer19[[#This Row],[2027]]*Tariefsopbouw!$Q$37+InvulVloer19[[#This Row],[2027]]</f>
        <v>0</v>
      </c>
      <c r="M10" s="186"/>
    </row>
    <row r="11" spans="1:13" ht="15" customHeight="1">
      <c r="A11" s="50">
        <v>3</v>
      </c>
      <c r="B11" s="51" t="s">
        <v>157</v>
      </c>
      <c r="C11" s="52">
        <v>0</v>
      </c>
      <c r="D11" s="55" t="s">
        <v>153</v>
      </c>
      <c r="E11" s="262">
        <f>InvulVloer19[[#This Row],[Prijs]]*Tariefsopbouw!$I$37+InvulVloer19[[#This Row],[Prijs]]</f>
        <v>0</v>
      </c>
      <c r="F11" s="156">
        <f>InvulVloer19[[#This Row],[2024]]*Tariefsopbouw!$K$37+InvulVloer19[[#This Row],[2024]]</f>
        <v>0</v>
      </c>
      <c r="G11" s="156">
        <f>InvulVloer19[[#This Row],[2025]]*Tariefsopbouw!$M$37+InvulVloer19[[#This Row],[2025]]</f>
        <v>0</v>
      </c>
      <c r="H11" s="156">
        <f>InvulVloer19[[#This Row],[2026]]*Tariefsopbouw!$O$37+InvulVloer19[[#This Row],[2026]]</f>
        <v>0</v>
      </c>
      <c r="I11" s="156">
        <f>InvulVloer19[[#This Row],[2027]]*Tariefsopbouw!$Q$37+InvulVloer19[[#This Row],[2027]]</f>
        <v>0</v>
      </c>
      <c r="M11" s="188"/>
    </row>
    <row r="12" spans="1:13" ht="15" customHeight="1">
      <c r="A12" s="53">
        <v>4</v>
      </c>
      <c r="B12" s="54" t="s">
        <v>240</v>
      </c>
      <c r="C12" s="52">
        <v>0</v>
      </c>
      <c r="D12" s="57" t="s">
        <v>152</v>
      </c>
      <c r="E12" s="262">
        <f>InvulVloer19[[#This Row],[Prijs]]*Tariefsopbouw!$I$37+InvulVloer19[[#This Row],[Prijs]]</f>
        <v>0</v>
      </c>
      <c r="F12" s="157">
        <f>InvulVloer19[[#This Row],[2024]]*Tariefsopbouw!$K$37+InvulVloer19[[#This Row],[2024]]</f>
        <v>0</v>
      </c>
      <c r="G12" s="157">
        <f>InvulVloer19[[#This Row],[2025]]*Tariefsopbouw!$M$37+InvulVloer19[[#This Row],[2025]]</f>
        <v>0</v>
      </c>
      <c r="H12" s="157">
        <f>InvulVloer19[[#This Row],[2026]]*Tariefsopbouw!$O$37+InvulVloer19[[#This Row],[2026]]</f>
        <v>0</v>
      </c>
      <c r="I12" s="157">
        <f>InvulVloer19[[#This Row],[2027]]*Tariefsopbouw!$Q$37+InvulVloer19[[#This Row],[2027]]</f>
        <v>0</v>
      </c>
    </row>
    <row r="13" spans="1:13" ht="15" customHeight="1">
      <c r="A13" s="50">
        <v>5</v>
      </c>
      <c r="B13" s="51" t="s">
        <v>241</v>
      </c>
      <c r="C13" s="52">
        <v>0</v>
      </c>
      <c r="D13" s="55" t="s">
        <v>152</v>
      </c>
      <c r="E13" s="262">
        <f>InvulVloer19[[#This Row],[Prijs]]*Tariefsopbouw!$I$37+InvulVloer19[[#This Row],[Prijs]]</f>
        <v>0</v>
      </c>
      <c r="F13" s="156">
        <f>InvulVloer19[[#This Row],[2024]]*Tariefsopbouw!$K$37+InvulVloer19[[#This Row],[2024]]</f>
        <v>0</v>
      </c>
      <c r="G13" s="156">
        <f>InvulVloer19[[#This Row],[2025]]*Tariefsopbouw!$M$37+InvulVloer19[[#This Row],[2025]]</f>
        <v>0</v>
      </c>
      <c r="H13" s="156">
        <f>InvulVloer19[[#This Row],[2026]]*Tariefsopbouw!$O$37+InvulVloer19[[#This Row],[2026]]</f>
        <v>0</v>
      </c>
      <c r="I13" s="156">
        <f>InvulVloer19[[#This Row],[2027]]*Tariefsopbouw!$Q$37+InvulVloer19[[#This Row],[2027]]</f>
        <v>0</v>
      </c>
    </row>
    <row r="14" spans="1:13" ht="15" customHeight="1">
      <c r="A14" s="53">
        <v>6</v>
      </c>
      <c r="B14" s="54" t="s">
        <v>158</v>
      </c>
      <c r="C14" s="52">
        <v>0</v>
      </c>
      <c r="D14" s="57" t="s">
        <v>152</v>
      </c>
      <c r="E14" s="262">
        <f>InvulVloer19[[#This Row],[Prijs]]*Tariefsopbouw!$I$37+InvulVloer19[[#This Row],[Prijs]]</f>
        <v>0</v>
      </c>
      <c r="F14" s="157">
        <f>InvulVloer19[[#This Row],[2024]]*Tariefsopbouw!$K$37+InvulVloer19[[#This Row],[2024]]</f>
        <v>0</v>
      </c>
      <c r="G14" s="157">
        <f>InvulVloer19[[#This Row],[2025]]*Tariefsopbouw!$M$37+InvulVloer19[[#This Row],[2025]]</f>
        <v>0</v>
      </c>
      <c r="H14" s="157">
        <f>InvulVloer19[[#This Row],[2026]]*Tariefsopbouw!$O$37+InvulVloer19[[#This Row],[2026]]</f>
        <v>0</v>
      </c>
      <c r="I14" s="157">
        <f>InvulVloer19[[#This Row],[2027]]*Tariefsopbouw!$Q$37+InvulVloer19[[#This Row],[2027]]</f>
        <v>0</v>
      </c>
    </row>
    <row r="15" spans="1:13" ht="15" customHeight="1">
      <c r="A15" s="50">
        <v>7</v>
      </c>
      <c r="B15" s="55" t="s">
        <v>160</v>
      </c>
      <c r="C15" s="52">
        <v>0</v>
      </c>
      <c r="D15" s="55" t="s">
        <v>152</v>
      </c>
      <c r="E15" s="262">
        <f>InvulVloer19[[#This Row],[Prijs]]*Tariefsopbouw!$I$37+InvulVloer19[[#This Row],[Prijs]]</f>
        <v>0</v>
      </c>
      <c r="F15" s="156">
        <f>InvulVloer19[[#This Row],[2024]]*Tariefsopbouw!$K$37+InvulVloer19[[#This Row],[2024]]</f>
        <v>0</v>
      </c>
      <c r="G15" s="156">
        <f>InvulVloer19[[#This Row],[2025]]*Tariefsopbouw!$M$37+InvulVloer19[[#This Row],[2025]]</f>
        <v>0</v>
      </c>
      <c r="H15" s="156">
        <f>InvulVloer19[[#This Row],[2026]]*Tariefsopbouw!$O$37+InvulVloer19[[#This Row],[2026]]</f>
        <v>0</v>
      </c>
      <c r="I15" s="156">
        <f>InvulVloer19[[#This Row],[2027]]*Tariefsopbouw!$Q$37+InvulVloer19[[#This Row],[2027]]</f>
        <v>0</v>
      </c>
    </row>
    <row r="16" spans="1:13" ht="15" customHeight="1">
      <c r="A16" s="53">
        <v>8</v>
      </c>
      <c r="B16" s="56" t="s">
        <v>188</v>
      </c>
      <c r="C16" s="52">
        <v>0</v>
      </c>
      <c r="D16" s="57" t="s">
        <v>152</v>
      </c>
      <c r="E16" s="262">
        <f>InvulVloer19[[#This Row],[Prijs]]*Tariefsopbouw!$I$37+InvulVloer19[[#This Row],[Prijs]]</f>
        <v>0</v>
      </c>
      <c r="F16" s="157">
        <f>InvulVloer19[[#This Row],[2024]]*Tariefsopbouw!$K$37+InvulVloer19[[#This Row],[2024]]</f>
        <v>0</v>
      </c>
      <c r="G16" s="157">
        <f>InvulVloer19[[#This Row],[2025]]*Tariefsopbouw!$M$37+InvulVloer19[[#This Row],[2025]]</f>
        <v>0</v>
      </c>
      <c r="H16" s="157">
        <f>InvulVloer19[[#This Row],[2026]]*Tariefsopbouw!$O$37+InvulVloer19[[#This Row],[2026]]</f>
        <v>0</v>
      </c>
      <c r="I16" s="157">
        <f>InvulVloer19[[#This Row],[2027]]*Tariefsopbouw!$Q$37+InvulVloer19[[#This Row],[2027]]</f>
        <v>0</v>
      </c>
    </row>
    <row r="17" spans="1:13" ht="15" customHeight="1">
      <c r="B17" s="21"/>
      <c r="E17" s="40"/>
      <c r="F17" s="131"/>
      <c r="G17" s="40"/>
      <c r="H17" s="40"/>
    </row>
    <row r="18" spans="1:13" s="33" customFormat="1" ht="26.25" customHeight="1">
      <c r="A18" s="47" t="s">
        <v>199</v>
      </c>
      <c r="B18" s="48" t="s">
        <v>136</v>
      </c>
      <c r="C18" s="47" t="s">
        <v>200</v>
      </c>
      <c r="D18" s="58" t="s">
        <v>233</v>
      </c>
      <c r="E18" s="58" t="s">
        <v>154</v>
      </c>
      <c r="F18" s="132" t="s">
        <v>155</v>
      </c>
      <c r="G18" s="58" t="s">
        <v>159</v>
      </c>
      <c r="H18" s="59" t="s">
        <v>138</v>
      </c>
      <c r="I18" s="59" t="s">
        <v>1297</v>
      </c>
    </row>
    <row r="19" spans="1:13" ht="15" customHeight="1">
      <c r="A19" s="212">
        <v>1</v>
      </c>
      <c r="B19" s="213" t="str">
        <f>VLOOKUP(OverzichtVloer20[[#This Row],[Code Locatie]],Locaties[],2,0)</f>
        <v>CCNV</v>
      </c>
      <c r="C19" s="212">
        <v>1</v>
      </c>
      <c r="D19" s="214" t="str">
        <f>IF(Vloeronderhoud!$C19&gt;0,VLOOKUP(Vloeronderhoud!$C19,$A$8:$B$16,2,FALSE),"")</f>
        <v>Sprayen/opblokken</v>
      </c>
      <c r="E19" s="215" t="s">
        <v>101</v>
      </c>
      <c r="F19" s="216">
        <f>SUMIFS('Ruimtestaat'!$N:$N,'Ruimtestaat'!L:L,Vloeronderhoud!E19,'Ruimtestaat'!A:A,Vloeronderhoud!A19)</f>
        <v>3755</v>
      </c>
      <c r="G19" s="35">
        <v>1</v>
      </c>
      <c r="H19" s="217">
        <f>VLOOKUP(OverzichtVloer20[[#This Row],[Code Taak]],InvulVloer19[],3,3)*F19*G19</f>
        <v>0</v>
      </c>
      <c r="I19" s="276">
        <f>OverzichtVloer20[[#This Row],[Kosten/jaar excl. BTW]]*1.21</f>
        <v>0</v>
      </c>
      <c r="M19" s="180"/>
    </row>
    <row r="20" spans="1:13" ht="15" customHeight="1">
      <c r="A20" s="212">
        <v>1</v>
      </c>
      <c r="B20" s="213" t="str">
        <f>VLOOKUP(OverzichtVloer20[[#This Row],[Code Locatie]],Locaties[],2,0)</f>
        <v>CCNV</v>
      </c>
      <c r="C20" s="212">
        <v>2</v>
      </c>
      <c r="D20" s="214" t="str">
        <f>IF(Vloeronderhoud!$C20&gt;0,VLOOKUP(Vloeronderhoud!$C20,$A$8:$B$16,2,FALSE),"")</f>
        <v>Topstrippen en conserveren</v>
      </c>
      <c r="E20" s="215" t="s">
        <v>101</v>
      </c>
      <c r="F20" s="216">
        <f>SUMIFS('Ruimtestaat'!$N:$N,'Ruimtestaat'!L:L,Vloeronderhoud!E20,'Ruimtestaat'!A:A,Vloeronderhoud!A20)</f>
        <v>3755</v>
      </c>
      <c r="G20" s="35">
        <v>1</v>
      </c>
      <c r="H20" s="217">
        <f>VLOOKUP(OverzichtVloer20[[#This Row],[Code Taak]],InvulVloer19[],3,3)*F20*G20</f>
        <v>0</v>
      </c>
      <c r="I20" s="276">
        <f>OverzichtVloer20[[#This Row],[Kosten/jaar excl. BTW]]*1.21</f>
        <v>0</v>
      </c>
      <c r="M20" s="180"/>
    </row>
    <row r="21" spans="1:13" ht="15" customHeight="1">
      <c r="A21" s="212">
        <v>1</v>
      </c>
      <c r="B21" s="213" t="str">
        <f>VLOOKUP(OverzichtVloer20[[#This Row],[Code Locatie]],Locaties[],2,0)</f>
        <v>CCNV</v>
      </c>
      <c r="C21" s="212">
        <v>3</v>
      </c>
      <c r="D21" s="214" t="str">
        <f>IF(Vloeronderhoud!$C21&gt;0,VLOOKUP(Vloeronderhoud!$C21,$A$8:$B$16,2,FALSE),"")</f>
        <v>Diepstrippen, sealen en conserveren</v>
      </c>
      <c r="E21" s="279" t="s">
        <v>101</v>
      </c>
      <c r="F21" s="216">
        <f>SUMIFS('Ruimtestaat'!$N:$N,'Ruimtestaat'!L:L,Vloeronderhoud!E21,'Ruimtestaat'!A:A,Vloeronderhoud!A21)</f>
        <v>3755</v>
      </c>
      <c r="G21" s="35">
        <v>0.25</v>
      </c>
      <c r="H21" s="217">
        <f>VLOOKUP(OverzichtVloer20[[#This Row],[Code Taak]],InvulVloer19[],3,3)*F21*G21</f>
        <v>0</v>
      </c>
      <c r="I21" s="276">
        <f>OverzichtVloer20[[#This Row],[Kosten/jaar excl. BTW]]*1.21</f>
        <v>0</v>
      </c>
      <c r="M21" s="180"/>
    </row>
    <row r="22" spans="1:13" ht="14.25" customHeight="1">
      <c r="A22" s="212">
        <v>1</v>
      </c>
      <c r="B22" s="213" t="str">
        <f>VLOOKUP(OverzichtVloer20[[#This Row],[Code Locatie]],Locaties[],2,0)</f>
        <v>CCNV</v>
      </c>
      <c r="C22" s="212">
        <v>4</v>
      </c>
      <c r="D22" s="214" t="str">
        <f>IF(Vloeronderhoud!$C22&gt;0,VLOOKUP(Vloeronderhoud!$C22,$A$8:$B$16,2,FALSE),"")</f>
        <v>Tapijtreinigen, sproei-extractiemethode</v>
      </c>
      <c r="E22" s="215" t="s">
        <v>100</v>
      </c>
      <c r="F22" s="216">
        <f>SUMIFS('Ruimtestaat'!$N:$N,'Ruimtestaat'!L:L,Vloeronderhoud!E22,'Ruimtestaat'!A:A,Vloeronderhoud!A22)</f>
        <v>1000</v>
      </c>
      <c r="G22" s="35">
        <v>1</v>
      </c>
      <c r="H22" s="217">
        <f>VLOOKUP(OverzichtVloer20[[#This Row],[Code Taak]],InvulVloer19[],3,3)*F22*G22</f>
        <v>0</v>
      </c>
      <c r="I22" s="276">
        <f>OverzichtVloer20[[#This Row],[Kosten/jaar excl. BTW]]*1.21</f>
        <v>0</v>
      </c>
      <c r="M22" s="180"/>
    </row>
    <row r="23" spans="1:13" ht="15" customHeight="1">
      <c r="A23" s="204"/>
      <c r="B23" s="205" t="s">
        <v>32</v>
      </c>
      <c r="C23" s="204"/>
      <c r="D23" s="206"/>
      <c r="E23" s="204"/>
      <c r="F23" s="207"/>
      <c r="G23" s="204"/>
      <c r="H23" s="208">
        <f>SUBTOTAL(109,OverzichtVloer20[Kosten/jaar excl. BTW])</f>
        <v>0</v>
      </c>
      <c r="I23" s="208">
        <f>SUBTOTAL(109,OverzichtVloer20[Kosten/jaar incl BTW])</f>
        <v>0</v>
      </c>
    </row>
    <row r="24" spans="1:13" ht="15" customHeight="1">
      <c r="A24" s="37"/>
      <c r="C24" s="35"/>
      <c r="D24" s="35"/>
      <c r="E24" s="35"/>
      <c r="F24" s="131"/>
      <c r="G24" s="41"/>
      <c r="H24" s="36"/>
    </row>
  </sheetData>
  <mergeCells count="3">
    <mergeCell ref="A1:H1"/>
    <mergeCell ref="A2:H2"/>
    <mergeCell ref="E7:I7"/>
  </mergeCells>
  <pageMargins left="0.70866141732283472" right="0.70866141732283472" top="0.35433070866141736" bottom="0.47244094488188981" header="0.31496062992125984" footer="0.31496062992125984"/>
  <pageSetup paperSize="9" scale="55" fitToHeight="0" orientation="landscape" r:id="rId1"/>
  <headerFooter alignWithMargins="0">
    <oddFooter>&amp;L&amp;F&amp;C&amp;D&amp;R&amp;A</oddFooter>
  </headerFooter>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0.14999847407452621"/>
    <pageSetUpPr fitToPage="1"/>
  </sheetPr>
  <dimension ref="A1:I90"/>
  <sheetViews>
    <sheetView showGridLines="0" view="pageBreakPreview" zoomScaleNormal="100" zoomScaleSheetLayoutView="100" workbookViewId="0">
      <selection sqref="A1:G1"/>
    </sheetView>
  </sheetViews>
  <sheetFormatPr defaultColWidth="9.140625" defaultRowHeight="15" customHeight="1"/>
  <cols>
    <col min="1" max="1" width="11.5703125" style="21" customWidth="1"/>
    <col min="2" max="2" width="47.42578125" style="4" bestFit="1" customWidth="1"/>
    <col min="3" max="3" width="12.5703125" style="4" customWidth="1"/>
    <col min="4" max="4" width="52.140625" style="21" bestFit="1" customWidth="1"/>
    <col min="5" max="5" width="19" style="4" customWidth="1"/>
    <col min="6" max="6" width="15.28515625" style="4" customWidth="1"/>
    <col min="7" max="7" width="21" style="4" customWidth="1"/>
    <col min="8" max="8" width="17.5703125" style="4" customWidth="1"/>
    <col min="9" max="9" width="17.7109375" style="4" bestFit="1" customWidth="1"/>
    <col min="10" max="16384" width="9.140625" style="4"/>
  </cols>
  <sheetData>
    <row r="1" spans="1:9" s="9" customFormat="1" ht="26.25" customHeight="1">
      <c r="A1" s="399" t="s">
        <v>39</v>
      </c>
      <c r="B1" s="399"/>
      <c r="C1" s="399"/>
      <c r="D1" s="399"/>
      <c r="E1" s="399"/>
      <c r="F1" s="399"/>
      <c r="G1" s="399"/>
      <c r="H1" s="68"/>
    </row>
    <row r="2" spans="1:9" s="9" customFormat="1" ht="15" customHeight="1">
      <c r="A2" s="406" t="s">
        <v>204</v>
      </c>
      <c r="B2" s="407"/>
      <c r="C2" s="407"/>
      <c r="D2" s="407"/>
      <c r="E2" s="407"/>
      <c r="F2" s="407"/>
      <c r="G2" s="424"/>
    </row>
    <row r="3" spans="1:9" ht="15" customHeight="1">
      <c r="B3" s="21"/>
      <c r="D3" s="293"/>
      <c r="E3" s="294"/>
    </row>
    <row r="4" spans="1:9" ht="15" customHeight="1">
      <c r="A4" s="4" t="s">
        <v>169</v>
      </c>
      <c r="B4" s="21"/>
      <c r="D4" s="293"/>
      <c r="E4" s="293"/>
    </row>
    <row r="5" spans="1:9" ht="15" customHeight="1">
      <c r="A5" s="4" t="s">
        <v>228</v>
      </c>
      <c r="B5" s="21"/>
      <c r="D5" s="4"/>
    </row>
    <row r="6" spans="1:9" ht="15" customHeight="1">
      <c r="A6" s="4" t="s">
        <v>187</v>
      </c>
      <c r="B6" s="38"/>
      <c r="C6" s="38"/>
      <c r="D6" s="34"/>
      <c r="E6" s="34"/>
      <c r="F6" s="39"/>
      <c r="G6" s="39"/>
    </row>
    <row r="7" spans="1:9" ht="15" customHeight="1">
      <c r="A7" s="4"/>
      <c r="B7" s="38"/>
      <c r="C7" s="38"/>
      <c r="D7" s="34"/>
      <c r="E7" s="423" t="s">
        <v>238</v>
      </c>
      <c r="F7" s="423"/>
      <c r="G7" s="423"/>
      <c r="H7" s="423"/>
      <c r="I7" s="423"/>
    </row>
    <row r="8" spans="1:9" s="8" customFormat="1" ht="26.25" customHeight="1">
      <c r="A8" s="47" t="s">
        <v>201</v>
      </c>
      <c r="B8" s="48" t="s">
        <v>137</v>
      </c>
      <c r="C8" s="49" t="s">
        <v>168</v>
      </c>
      <c r="D8" s="47" t="s">
        <v>142</v>
      </c>
      <c r="E8" s="47" t="s">
        <v>256</v>
      </c>
      <c r="F8" s="47" t="s">
        <v>257</v>
      </c>
      <c r="G8" s="47" t="s">
        <v>258</v>
      </c>
      <c r="H8" s="47" t="s">
        <v>259</v>
      </c>
      <c r="I8" s="47" t="s">
        <v>1259</v>
      </c>
    </row>
    <row r="9" spans="1:9" ht="15" customHeight="1">
      <c r="A9" s="212">
        <v>1</v>
      </c>
      <c r="B9" s="285" t="s">
        <v>220</v>
      </c>
      <c r="C9" s="52">
        <v>0</v>
      </c>
      <c r="D9" s="213" t="s">
        <v>140</v>
      </c>
      <c r="E9" s="262">
        <f>(InvulGlas[[#This Row],[Prijs excl. BTW]]*Tariefsopbouw!$H$42)+InvulGlas[[#This Row],[Prijs excl. BTW]]</f>
        <v>0</v>
      </c>
      <c r="F9" s="262">
        <f>E9*Tariefsopbouw!$J$42+Glasbewassing!E9</f>
        <v>0</v>
      </c>
      <c r="G9" s="262">
        <f>F9*Tariefsopbouw!$L$42+Glasbewassing!F9</f>
        <v>0</v>
      </c>
      <c r="H9" s="262">
        <f>G9*Tariefsopbouw!$N$42+Glasbewassing!G9</f>
        <v>0</v>
      </c>
      <c r="I9" s="262">
        <f>H9*Tariefsopbouw!$P$42+Glasbewassing!H9</f>
        <v>0</v>
      </c>
    </row>
    <row r="10" spans="1:9" ht="15" customHeight="1">
      <c r="A10" s="212">
        <v>2</v>
      </c>
      <c r="B10" s="285" t="s">
        <v>139</v>
      </c>
      <c r="C10" s="52">
        <v>0</v>
      </c>
      <c r="D10" s="213" t="s">
        <v>140</v>
      </c>
      <c r="E10" s="262">
        <f>(InvulGlas[[#This Row],[Prijs excl. BTW]]*Tariefsopbouw!$H$42)+InvulGlas[[#This Row],[Prijs excl. BTW]]</f>
        <v>0</v>
      </c>
      <c r="F10" s="262">
        <f>E10*Tariefsopbouw!$J$42+Glasbewassing!E10</f>
        <v>0</v>
      </c>
      <c r="G10" s="262">
        <f>F10*Tariefsopbouw!$L$42+Glasbewassing!F10</f>
        <v>0</v>
      </c>
      <c r="H10" s="262">
        <f>G10*Tariefsopbouw!$N$42+Glasbewassing!G10</f>
        <v>0</v>
      </c>
      <c r="I10" s="262">
        <f>H10*Tariefsopbouw!$P$42+Glasbewassing!H10</f>
        <v>0</v>
      </c>
    </row>
    <row r="11" spans="1:9" ht="15" customHeight="1">
      <c r="A11" s="212">
        <v>3</v>
      </c>
      <c r="B11" s="285" t="s">
        <v>141</v>
      </c>
      <c r="C11" s="52">
        <v>0</v>
      </c>
      <c r="D11" s="260" t="s">
        <v>140</v>
      </c>
      <c r="E11" s="262">
        <f>(InvulGlas[[#This Row],[Prijs excl. BTW]]*Tariefsopbouw!$H$42)+InvulGlas[[#This Row],[Prijs excl. BTW]]</f>
        <v>0</v>
      </c>
      <c r="F11" s="262">
        <f>E11*Tariefsopbouw!$J$42+Glasbewassing!E11</f>
        <v>0</v>
      </c>
      <c r="G11" s="262">
        <f>F11*Tariefsopbouw!$L$42+Glasbewassing!F11</f>
        <v>0</v>
      </c>
      <c r="H11" s="262">
        <f>G11*Tariefsopbouw!$N$42+Glasbewassing!G11</f>
        <v>0</v>
      </c>
      <c r="I11" s="262">
        <f>H11*Tariefsopbouw!$P$42+Glasbewassing!H11</f>
        <v>0</v>
      </c>
    </row>
    <row r="12" spans="1:9" ht="15" customHeight="1">
      <c r="A12" s="212">
        <v>4</v>
      </c>
      <c r="B12" s="286" t="s">
        <v>261</v>
      </c>
      <c r="C12" s="52">
        <v>0</v>
      </c>
      <c r="D12" s="213" t="s">
        <v>140</v>
      </c>
      <c r="E12" s="262">
        <f>(InvulGlas[[#This Row],[Prijs excl. BTW]]*Tariefsopbouw!$H$42)+InvulGlas[[#This Row],[Prijs excl. BTW]]</f>
        <v>0</v>
      </c>
      <c r="F12" s="262">
        <f>E12*Tariefsopbouw!$J$42+Glasbewassing!E12</f>
        <v>0</v>
      </c>
      <c r="G12" s="262">
        <f>F12*Tariefsopbouw!$L$42+Glasbewassing!F12</f>
        <v>0</v>
      </c>
      <c r="H12" s="262">
        <f>G12*Tariefsopbouw!$N$42+Glasbewassing!G12</f>
        <v>0</v>
      </c>
      <c r="I12" s="262">
        <f>H12*Tariefsopbouw!$P$42+Glasbewassing!H12</f>
        <v>0</v>
      </c>
    </row>
    <row r="13" spans="1:9" ht="15" customHeight="1">
      <c r="A13" s="212">
        <v>5</v>
      </c>
      <c r="B13" s="286" t="s">
        <v>1301</v>
      </c>
      <c r="C13" s="52">
        <v>0</v>
      </c>
      <c r="D13" s="213" t="s">
        <v>140</v>
      </c>
      <c r="E13" s="262">
        <f>(InvulGlas[[#This Row],[Prijs excl. BTW]]*Tariefsopbouw!$H$42)+InvulGlas[[#This Row],[Prijs excl. BTW]]</f>
        <v>0</v>
      </c>
      <c r="F13" s="262">
        <f>E13*Tariefsopbouw!$J$42+Glasbewassing!E13</f>
        <v>0</v>
      </c>
      <c r="G13" s="262">
        <f>F13*Tariefsopbouw!$L$42+Glasbewassing!F13</f>
        <v>0</v>
      </c>
      <c r="H13" s="262">
        <f>G13*Tariefsopbouw!$N$42+Glasbewassing!G13</f>
        <v>0</v>
      </c>
      <c r="I13" s="262">
        <f>H13*Tariefsopbouw!$P$42+Glasbewassing!H13</f>
        <v>0</v>
      </c>
    </row>
    <row r="14" spans="1:9" ht="15" customHeight="1">
      <c r="A14" s="212">
        <v>6</v>
      </c>
      <c r="B14" s="285" t="s">
        <v>219</v>
      </c>
      <c r="C14" s="52">
        <v>0</v>
      </c>
      <c r="D14" s="213" t="s">
        <v>140</v>
      </c>
      <c r="E14" s="262">
        <f>(InvulGlas[[#This Row],[Prijs excl. BTW]]*Tariefsopbouw!$H$42)+InvulGlas[[#This Row],[Prijs excl. BTW]]</f>
        <v>0</v>
      </c>
      <c r="F14" s="262">
        <f>E14*Tariefsopbouw!$J$42+Glasbewassing!E14</f>
        <v>0</v>
      </c>
      <c r="G14" s="262">
        <f>F14*Tariefsopbouw!$L$42+Glasbewassing!F14</f>
        <v>0</v>
      </c>
      <c r="H14" s="262">
        <f>G14*Tariefsopbouw!$N$42+Glasbewassing!G14</f>
        <v>0</v>
      </c>
      <c r="I14" s="262">
        <f>H14*Tariefsopbouw!$P$42+Glasbewassing!H14</f>
        <v>0</v>
      </c>
    </row>
    <row r="15" spans="1:9" ht="15" customHeight="1">
      <c r="A15" s="212">
        <v>7</v>
      </c>
      <c r="B15" s="286" t="s">
        <v>1300</v>
      </c>
      <c r="C15" s="52">
        <v>0</v>
      </c>
      <c r="D15" s="213" t="s">
        <v>140</v>
      </c>
      <c r="E15" s="262">
        <f>(InvulGlas[[#This Row],[Prijs excl. BTW]]*Tariefsopbouw!$H$42)+InvulGlas[[#This Row],[Prijs excl. BTW]]</f>
        <v>0</v>
      </c>
      <c r="F15" s="262">
        <f>E15*Tariefsopbouw!$J$42+Glasbewassing!E15</f>
        <v>0</v>
      </c>
      <c r="G15" s="262">
        <f>F15*Tariefsopbouw!$L$42+Glasbewassing!F15</f>
        <v>0</v>
      </c>
      <c r="H15" s="262">
        <f>G15*Tariefsopbouw!$N$42+Glasbewassing!G15</f>
        <v>0</v>
      </c>
      <c r="I15" s="262">
        <f>H15*Tariefsopbouw!$P$42+Glasbewassing!H15</f>
        <v>0</v>
      </c>
    </row>
    <row r="16" spans="1:9" ht="15" customHeight="1">
      <c r="A16" s="264">
        <v>8</v>
      </c>
      <c r="B16" s="286" t="s">
        <v>1812</v>
      </c>
      <c r="C16" s="284">
        <v>0</v>
      </c>
      <c r="D16" s="213" t="s">
        <v>140</v>
      </c>
      <c r="E16" s="262">
        <f>(InvulGlas[[#This Row],[Prijs excl. BTW]]*Tariefsopbouw!$H$42)+InvulGlas[[#This Row],[Prijs excl. BTW]]</f>
        <v>0</v>
      </c>
      <c r="F16" s="262">
        <f>E16*Tariefsopbouw!$J$42+Glasbewassing!E16</f>
        <v>0</v>
      </c>
      <c r="G16" s="262">
        <f>F16*Tariefsopbouw!$L$42+Glasbewassing!F16</f>
        <v>0</v>
      </c>
      <c r="H16" s="262">
        <f>G16*Tariefsopbouw!$N$42+Glasbewassing!G16</f>
        <v>0</v>
      </c>
      <c r="I16" s="262">
        <f>H16*Tariefsopbouw!$P$42+Glasbewassing!H16</f>
        <v>0</v>
      </c>
    </row>
    <row r="17" spans="1:9" ht="15" customHeight="1">
      <c r="A17" s="212">
        <v>9</v>
      </c>
      <c r="B17" s="286" t="s">
        <v>1302</v>
      </c>
      <c r="C17" s="52">
        <v>0</v>
      </c>
      <c r="D17" s="213" t="s">
        <v>140</v>
      </c>
      <c r="E17" s="262">
        <f>(InvulGlas[[#This Row],[Prijs excl. BTW]]*Tariefsopbouw!$H$42)+InvulGlas[[#This Row],[Prijs excl. BTW]]</f>
        <v>0</v>
      </c>
      <c r="F17" s="262">
        <f>E17*Tariefsopbouw!$J$42+Glasbewassing!E17</f>
        <v>0</v>
      </c>
      <c r="G17" s="262">
        <f>F17*Tariefsopbouw!$L$42+Glasbewassing!F17</f>
        <v>0</v>
      </c>
      <c r="H17" s="262">
        <f>G17*Tariefsopbouw!$N$42+Glasbewassing!G17</f>
        <v>0</v>
      </c>
      <c r="I17" s="262">
        <f>H17*Tariefsopbouw!$P$42+Glasbewassing!H17</f>
        <v>0</v>
      </c>
    </row>
    <row r="18" spans="1:9" ht="15" customHeight="1">
      <c r="A18" s="212" t="s">
        <v>148</v>
      </c>
      <c r="B18" s="285" t="s">
        <v>144</v>
      </c>
      <c r="C18" s="52">
        <v>0</v>
      </c>
      <c r="D18" s="213" t="s">
        <v>46</v>
      </c>
      <c r="E18" s="262">
        <f>(InvulGlas[[#This Row],[Prijs excl. BTW]]*Tariefsopbouw!$H$42)+InvulGlas[[#This Row],[Prijs excl. BTW]]</f>
        <v>0</v>
      </c>
      <c r="F18" s="262">
        <f>E18*Tariefsopbouw!$J$42+Glasbewassing!E18</f>
        <v>0</v>
      </c>
      <c r="G18" s="262">
        <f>F18*Tariefsopbouw!$L$42+Glasbewassing!F18</f>
        <v>0</v>
      </c>
      <c r="H18" s="262">
        <f>G18*Tariefsopbouw!$N$42+Glasbewassing!G18</f>
        <v>0</v>
      </c>
      <c r="I18" s="262">
        <f>H18*Tariefsopbouw!$P$42+Glasbewassing!H18</f>
        <v>0</v>
      </c>
    </row>
    <row r="19" spans="1:9" ht="15" customHeight="1">
      <c r="A19" s="212" t="s">
        <v>149</v>
      </c>
      <c r="B19" s="285" t="s">
        <v>145</v>
      </c>
      <c r="C19" s="52">
        <v>0</v>
      </c>
      <c r="D19" s="213" t="s">
        <v>46</v>
      </c>
      <c r="E19" s="262">
        <f>(InvulGlas[[#This Row],[Prijs excl. BTW]]*Tariefsopbouw!$H$42)+InvulGlas[[#This Row],[Prijs excl. BTW]]</f>
        <v>0</v>
      </c>
      <c r="F19" s="262">
        <f>E19*Tariefsopbouw!$J$42+Glasbewassing!E19</f>
        <v>0</v>
      </c>
      <c r="G19" s="262">
        <f>F19*Tariefsopbouw!$L$42+Glasbewassing!F19</f>
        <v>0</v>
      </c>
      <c r="H19" s="262">
        <f>G19*Tariefsopbouw!$N$42+Glasbewassing!G19</f>
        <v>0</v>
      </c>
      <c r="I19" s="262">
        <f>H19*Tariefsopbouw!$P$42+Glasbewassing!H19</f>
        <v>0</v>
      </c>
    </row>
    <row r="20" spans="1:9" ht="15" customHeight="1">
      <c r="A20" s="212" t="s">
        <v>150</v>
      </c>
      <c r="B20" s="285" t="s">
        <v>146</v>
      </c>
      <c r="C20" s="52">
        <v>0</v>
      </c>
      <c r="D20" s="213" t="s">
        <v>46</v>
      </c>
      <c r="E20" s="262">
        <f>(InvulGlas[[#This Row],[Prijs excl. BTW]]*Tariefsopbouw!$H$42)+InvulGlas[[#This Row],[Prijs excl. BTW]]</f>
        <v>0</v>
      </c>
      <c r="F20" s="262">
        <f>E20*Tariefsopbouw!$J$42+Glasbewassing!E20</f>
        <v>0</v>
      </c>
      <c r="G20" s="262">
        <f>F20*Tariefsopbouw!$L$42+Glasbewassing!F20</f>
        <v>0</v>
      </c>
      <c r="H20" s="262">
        <f>G20*Tariefsopbouw!$N$42+Glasbewassing!G20</f>
        <v>0</v>
      </c>
      <c r="I20" s="262">
        <f>H20*Tariefsopbouw!$P$42+Glasbewassing!H20</f>
        <v>0</v>
      </c>
    </row>
    <row r="21" spans="1:9" ht="15" customHeight="1">
      <c r="A21" s="212" t="s">
        <v>234</v>
      </c>
      <c r="B21" s="285" t="s">
        <v>235</v>
      </c>
      <c r="C21" s="52">
        <v>0</v>
      </c>
      <c r="D21" s="213" t="s">
        <v>46</v>
      </c>
      <c r="E21" s="278">
        <f>(InvulGlas[[#This Row],[Prijs excl. BTW]]*Tariefsopbouw!$H$42)+InvulGlas[[#This Row],[Prijs excl. BTW]]</f>
        <v>0</v>
      </c>
      <c r="F21" s="278">
        <f>E21*Tariefsopbouw!$J$42+Glasbewassing!E21</f>
        <v>0</v>
      </c>
      <c r="G21" s="278">
        <f>F21*Tariefsopbouw!$L$42+Glasbewassing!F21</f>
        <v>0</v>
      </c>
      <c r="H21" s="262">
        <f>G21*Tariefsopbouw!$N$42+Glasbewassing!G21</f>
        <v>0</v>
      </c>
      <c r="I21" s="278">
        <f>H21*Tariefsopbouw!$P$42+Glasbewassing!H21</f>
        <v>0</v>
      </c>
    </row>
    <row r="22" spans="1:9" ht="15" customHeight="1">
      <c r="C22" s="35"/>
      <c r="D22" s="35"/>
    </row>
    <row r="23" spans="1:9" s="63" customFormat="1" ht="26.25" customHeight="1">
      <c r="A23" s="64" t="s">
        <v>199</v>
      </c>
      <c r="B23" s="64" t="s">
        <v>136</v>
      </c>
      <c r="C23" s="64" t="s">
        <v>201</v>
      </c>
      <c r="D23" s="65" t="s">
        <v>137</v>
      </c>
      <c r="E23" s="65" t="s">
        <v>147</v>
      </c>
      <c r="F23" s="65" t="s">
        <v>118</v>
      </c>
      <c r="G23" s="66" t="s">
        <v>138</v>
      </c>
      <c r="H23" s="267" t="s">
        <v>1275</v>
      </c>
      <c r="I23" s="271" t="s">
        <v>167</v>
      </c>
    </row>
    <row r="24" spans="1:9" ht="15" customHeight="1">
      <c r="A24" s="212">
        <v>1</v>
      </c>
      <c r="B24" s="315" t="str">
        <f>VLOOKUP(OverzichtGlas[[#This Row],[Code Locatie]],Totalisatie!$A$7:$B$7,2,FALSE)</f>
        <v>CCNV</v>
      </c>
      <c r="C24" s="212">
        <v>1</v>
      </c>
      <c r="D24" s="214" t="str">
        <f>IF(Glasbewassing!$C24&gt;0,VLOOKUP(Glasbewassing!$C24,$A$8:$B$21,2,FALSE),"Hier vult u de inzet van eventuele hoogwerkers in")</f>
        <v>Gevelglas binnenzijde</v>
      </c>
      <c r="E24" s="21">
        <v>3658.2</v>
      </c>
      <c r="F24" s="215">
        <v>2</v>
      </c>
      <c r="G24" s="217">
        <f>IF(C24&gt;0,VLOOKUP(OverzichtGlas[[#This Row],[Code taak]],InvulGlas[],3,0)*E24*F24,0)</f>
        <v>0</v>
      </c>
      <c r="H24" s="265">
        <f>OverzichtGlas[[#This Row],[Kosten/jaar excl. BTW]]*1.21</f>
        <v>0</v>
      </c>
      <c r="I24" s="264"/>
    </row>
    <row r="25" spans="1:9" ht="15" customHeight="1">
      <c r="A25" s="212">
        <v>1</v>
      </c>
      <c r="B25" s="315" t="str">
        <f>VLOOKUP(OverzichtGlas[[#This Row],[Code Locatie]],Totalisatie!$A$7:$B$7,2,FALSE)</f>
        <v>CCNV</v>
      </c>
      <c r="C25" s="212">
        <v>2</v>
      </c>
      <c r="D25" s="214" t="str">
        <f>IF(Glasbewassing!$C25&gt;0,VLOOKUP(Glasbewassing!$C25,$A$8:$B$21,2,FALSE),"Hier vult u de inzet van eventuele hoogwerkers in")</f>
        <v>Gevelglas buitenzijde</v>
      </c>
      <c r="E25" s="21">
        <v>2741.2</v>
      </c>
      <c r="F25" s="215">
        <v>2</v>
      </c>
      <c r="G25" s="217">
        <f>IF(C25&gt;0,VLOOKUP(OverzichtGlas[[#This Row],[Code taak]],InvulGlas[],3,0)*E25*F25,0)</f>
        <v>0</v>
      </c>
      <c r="H25" s="265">
        <f>OverzichtGlas[[#This Row],[Kosten/jaar excl. BTW]]*1.21</f>
        <v>0</v>
      </c>
      <c r="I25" s="264"/>
    </row>
    <row r="26" spans="1:9" ht="15" customHeight="1">
      <c r="A26" s="212">
        <v>1</v>
      </c>
      <c r="B26" s="315" t="str">
        <f>VLOOKUP(OverzichtGlas[[#This Row],[Code Locatie]],Totalisatie!$A$7:$B$7,2,FALSE)</f>
        <v>CCNV</v>
      </c>
      <c r="C26" s="212">
        <v>3</v>
      </c>
      <c r="D26" s="214" t="str">
        <f>IF(Glasbewassing!$C26&gt;0,VLOOKUP(Glasbewassing!$C26,$A$8:$B$21,2,FALSE),"Hier vult u de inzet van eventuele hoogwerkers in")</f>
        <v>Separatieglas (enkel gemeten, dubbel te wassen)</v>
      </c>
      <c r="E26" s="21">
        <v>978.8</v>
      </c>
      <c r="F26" s="215">
        <v>2</v>
      </c>
      <c r="G26" s="217">
        <f>IF(C26&gt;0,VLOOKUP(OverzichtGlas[[#This Row],[Code taak]],InvulGlas[],3,0)*E26*F26,0)</f>
        <v>0</v>
      </c>
      <c r="H26" s="265">
        <f>OverzichtGlas[[#This Row],[Kosten/jaar excl. BTW]]*1.21</f>
        <v>0</v>
      </c>
      <c r="I26" s="264"/>
    </row>
    <row r="27" spans="1:9" ht="15" customHeight="1">
      <c r="A27" s="212">
        <v>1</v>
      </c>
      <c r="B27" s="315" t="str">
        <f>VLOOKUP(OverzichtGlas[[#This Row],[Code Locatie]],Totalisatie!$A$7:$B$7,2,FALSE)</f>
        <v>CCNV</v>
      </c>
      <c r="C27" s="264">
        <v>8</v>
      </c>
      <c r="D27" s="34" t="str">
        <f>IF(Glasbewassing!$C27&gt;0,VLOOKUP(Glasbewassing!$C27,$A$8:$B$21,2,FALSE),"Hier vult u de inzet van eventuele hoogwerkers in")</f>
        <v>trespabelating</v>
      </c>
      <c r="E27" s="21">
        <v>410.9</v>
      </c>
      <c r="F27" s="215">
        <v>2</v>
      </c>
      <c r="G27" s="217">
        <f>IF(C27&gt;0,VLOOKUP(OverzichtGlas[[#This Row],[Code taak]],InvulGlas[],3,0)*E27*F27,0)</f>
        <v>0</v>
      </c>
      <c r="H27" s="265">
        <f>OverzichtGlas[[#This Row],[Kosten/jaar excl. BTW]]*1.21</f>
        <v>0</v>
      </c>
      <c r="I27" s="264"/>
    </row>
    <row r="28" spans="1:9" ht="15" customHeight="1">
      <c r="A28" s="212">
        <v>1</v>
      </c>
      <c r="B28" s="315" t="str">
        <f>VLOOKUP(OverzichtGlas[[#This Row],[Code Locatie]],Totalisatie!$A$7:$B$7,2,FALSE)</f>
        <v>CCNV</v>
      </c>
      <c r="C28" s="292"/>
      <c r="D28" s="34" t="str">
        <f>IF(Glasbewassing!$C28&gt;0,VLOOKUP(Glasbewassing!$C28,$A$8:$B$21,2,FALSE),"Hier vult u de inzet van eventuele hoogwerkers in")</f>
        <v>Hier vult u de inzet van eventuele hoogwerkers in</v>
      </c>
      <c r="E28" s="292"/>
      <c r="F28" s="212">
        <v>2</v>
      </c>
      <c r="G28" s="217">
        <f>IF(C28&gt;0,VLOOKUP(OverzichtGlas[[#This Row],[Code taak]],InvulGlas[],3,0)*E28*F28,0)</f>
        <v>0</v>
      </c>
      <c r="H28" s="265">
        <f>OverzichtGlas[[#This Row],[Kosten/jaar excl. BTW]]*1.21</f>
        <v>0</v>
      </c>
      <c r="I28" s="264"/>
    </row>
    <row r="29" spans="1:9" ht="15" customHeight="1">
      <c r="A29" s="212">
        <v>1</v>
      </c>
      <c r="B29" s="315" t="str">
        <f>VLOOKUP(OverzichtGlas[[#This Row],[Code Locatie]],Totalisatie!$A$7:$B$7,2,FALSE)</f>
        <v>CCNV</v>
      </c>
      <c r="C29" s="292"/>
      <c r="D29" s="34" t="str">
        <f>IF(Glasbewassing!$C29&gt;0,VLOOKUP(Glasbewassing!$C29,$A$8:$B$21,2,FALSE),"Hier vult u de inzet van eventuele hoogwerkers in")</f>
        <v>Hier vult u de inzet van eventuele hoogwerkers in</v>
      </c>
      <c r="E29" s="292"/>
      <c r="F29" s="212">
        <v>2</v>
      </c>
      <c r="G29" s="217">
        <f>IF(C29&gt;0,VLOOKUP(OverzichtGlas[[#This Row],[Code taak]],InvulGlas[],3,0)*E29*F29,0)</f>
        <v>0</v>
      </c>
      <c r="H29" s="265">
        <f>OverzichtGlas[[#This Row],[Kosten/jaar excl. BTW]]*1.21</f>
        <v>0</v>
      </c>
      <c r="I29" s="264"/>
    </row>
    <row r="30" spans="1:9" ht="15" customHeight="1">
      <c r="A30" s="266" t="s">
        <v>32</v>
      </c>
      <c r="B30" s="268"/>
      <c r="C30" s="266"/>
      <c r="D30" s="269"/>
      <c r="E30" s="266"/>
      <c r="F30" s="266"/>
      <c r="G30" s="270">
        <f>SUBTOTAL(109,OverzichtGlas[Kosten/jaar excl. BTW])</f>
        <v>0</v>
      </c>
      <c r="H30" s="270">
        <f>SUBTOTAL(109,OverzichtGlas[Kosten/jaar incl. BTW])</f>
        <v>0</v>
      </c>
      <c r="I30" s="266"/>
    </row>
    <row r="31" spans="1:9" ht="15" customHeight="1">
      <c r="C31" s="21"/>
      <c r="D31" s="4"/>
    </row>
    <row r="32" spans="1:9" ht="15" customHeight="1">
      <c r="C32" s="21"/>
      <c r="D32" s="4"/>
    </row>
    <row r="33" spans="3:4" ht="15" customHeight="1">
      <c r="C33" s="21"/>
      <c r="D33" s="4"/>
    </row>
    <row r="34" spans="3:4" ht="15" customHeight="1">
      <c r="C34" s="21"/>
      <c r="D34" s="4"/>
    </row>
    <row r="35" spans="3:4" ht="15" customHeight="1">
      <c r="C35" s="21"/>
      <c r="D35" s="4"/>
    </row>
    <row r="36" spans="3:4" ht="15" customHeight="1">
      <c r="C36" s="21"/>
      <c r="D36" s="4"/>
    </row>
    <row r="37" spans="3:4" ht="15" customHeight="1">
      <c r="C37" s="21"/>
      <c r="D37" s="4"/>
    </row>
    <row r="38" spans="3:4" ht="15" customHeight="1">
      <c r="C38" s="21"/>
      <c r="D38" s="4"/>
    </row>
    <row r="39" spans="3:4" ht="15" customHeight="1">
      <c r="C39" s="21"/>
      <c r="D39" s="4"/>
    </row>
    <row r="40" spans="3:4" ht="15" customHeight="1">
      <c r="C40" s="21"/>
      <c r="D40" s="4"/>
    </row>
    <row r="41" spans="3:4" ht="15" customHeight="1">
      <c r="C41" s="21"/>
      <c r="D41" s="4"/>
    </row>
    <row r="42" spans="3:4" ht="15" customHeight="1">
      <c r="C42" s="21"/>
      <c r="D42" s="4"/>
    </row>
    <row r="43" spans="3:4" ht="15" customHeight="1">
      <c r="C43" s="21"/>
      <c r="D43" s="4"/>
    </row>
    <row r="44" spans="3:4" ht="15" customHeight="1">
      <c r="C44" s="21"/>
      <c r="D44" s="4"/>
    </row>
    <row r="45" spans="3:4" ht="15" customHeight="1">
      <c r="C45" s="21"/>
      <c r="D45" s="4"/>
    </row>
    <row r="46" spans="3:4" ht="15" customHeight="1">
      <c r="C46" s="21"/>
      <c r="D46" s="4"/>
    </row>
    <row r="47" spans="3:4" ht="15" customHeight="1">
      <c r="C47" s="21"/>
      <c r="D47" s="4"/>
    </row>
    <row r="48" spans="3:4" ht="15" customHeight="1">
      <c r="C48" s="21"/>
      <c r="D48" s="4"/>
    </row>
    <row r="49" spans="3:4" ht="15" customHeight="1">
      <c r="C49" s="21"/>
      <c r="D49" s="4"/>
    </row>
    <row r="50" spans="3:4" ht="15" customHeight="1">
      <c r="C50" s="21"/>
      <c r="D50" s="4"/>
    </row>
    <row r="51" spans="3:4" ht="15" customHeight="1">
      <c r="C51" s="21"/>
      <c r="D51" s="4"/>
    </row>
    <row r="52" spans="3:4" ht="15" customHeight="1">
      <c r="C52" s="21"/>
      <c r="D52" s="4"/>
    </row>
    <row r="53" spans="3:4" ht="15" customHeight="1">
      <c r="C53" s="21"/>
      <c r="D53" s="4"/>
    </row>
    <row r="54" spans="3:4" ht="15" customHeight="1">
      <c r="C54" s="21"/>
      <c r="D54" s="4"/>
    </row>
    <row r="55" spans="3:4" ht="15" customHeight="1">
      <c r="C55" s="21"/>
      <c r="D55" s="4"/>
    </row>
    <row r="56" spans="3:4" ht="15" customHeight="1">
      <c r="C56" s="21"/>
      <c r="D56" s="4"/>
    </row>
    <row r="57" spans="3:4" ht="15" customHeight="1">
      <c r="C57" s="21"/>
      <c r="D57" s="4"/>
    </row>
    <row r="58" spans="3:4" ht="15" customHeight="1">
      <c r="C58" s="21"/>
      <c r="D58" s="4"/>
    </row>
    <row r="59" spans="3:4" ht="15" customHeight="1">
      <c r="C59" s="21"/>
      <c r="D59" s="4"/>
    </row>
    <row r="60" spans="3:4" ht="15" customHeight="1">
      <c r="C60" s="21"/>
      <c r="D60" s="4"/>
    </row>
    <row r="61" spans="3:4" ht="15" customHeight="1">
      <c r="C61" s="21"/>
      <c r="D61" s="4"/>
    </row>
    <row r="62" spans="3:4" ht="15" customHeight="1">
      <c r="C62" s="21"/>
      <c r="D62" s="4"/>
    </row>
    <row r="63" spans="3:4" ht="15" customHeight="1">
      <c r="C63" s="21"/>
      <c r="D63" s="4"/>
    </row>
    <row r="64" spans="3:4" ht="15" customHeight="1">
      <c r="C64" s="21"/>
      <c r="D64" s="4"/>
    </row>
    <row r="65" spans="3:4" ht="15" customHeight="1">
      <c r="C65" s="21"/>
      <c r="D65" s="4"/>
    </row>
    <row r="66" spans="3:4" ht="15" customHeight="1">
      <c r="C66" s="21"/>
      <c r="D66" s="4"/>
    </row>
    <row r="67" spans="3:4" ht="15" customHeight="1">
      <c r="C67" s="21"/>
      <c r="D67" s="4"/>
    </row>
    <row r="68" spans="3:4" ht="15" customHeight="1">
      <c r="C68" s="21"/>
      <c r="D68" s="4"/>
    </row>
    <row r="69" spans="3:4" ht="15" customHeight="1">
      <c r="C69" s="21"/>
      <c r="D69" s="4"/>
    </row>
    <row r="70" spans="3:4" ht="15" customHeight="1">
      <c r="C70" s="21"/>
      <c r="D70" s="4"/>
    </row>
    <row r="71" spans="3:4" ht="15" customHeight="1">
      <c r="C71" s="21"/>
      <c r="D71" s="4"/>
    </row>
    <row r="72" spans="3:4" ht="15" customHeight="1">
      <c r="C72" s="21"/>
      <c r="D72" s="4"/>
    </row>
    <row r="73" spans="3:4" ht="15" customHeight="1">
      <c r="C73" s="21"/>
      <c r="D73" s="4"/>
    </row>
    <row r="74" spans="3:4" ht="15" customHeight="1">
      <c r="C74" s="21"/>
      <c r="D74" s="4"/>
    </row>
    <row r="75" spans="3:4" ht="15" customHeight="1">
      <c r="C75" s="21"/>
      <c r="D75" s="4"/>
    </row>
    <row r="76" spans="3:4" ht="15" customHeight="1">
      <c r="C76" s="21"/>
      <c r="D76" s="4"/>
    </row>
    <row r="77" spans="3:4" ht="15" customHeight="1">
      <c r="C77" s="21"/>
      <c r="D77" s="4"/>
    </row>
    <row r="78" spans="3:4" ht="15" customHeight="1">
      <c r="C78" s="21"/>
      <c r="D78" s="4"/>
    </row>
    <row r="79" spans="3:4" ht="15" customHeight="1">
      <c r="C79" s="21"/>
      <c r="D79" s="4"/>
    </row>
    <row r="80" spans="3:4" ht="15" customHeight="1">
      <c r="C80" s="21"/>
      <c r="D80" s="4"/>
    </row>
    <row r="81" spans="3:4" ht="15" customHeight="1">
      <c r="C81" s="21"/>
      <c r="D81" s="4"/>
    </row>
    <row r="82" spans="3:4" ht="15" customHeight="1">
      <c r="C82" s="21"/>
      <c r="D82" s="4"/>
    </row>
    <row r="83" spans="3:4" ht="15" customHeight="1">
      <c r="C83" s="21"/>
      <c r="D83" s="4"/>
    </row>
    <row r="84" spans="3:4" ht="15" customHeight="1">
      <c r="C84" s="21"/>
      <c r="D84" s="4"/>
    </row>
    <row r="85" spans="3:4" ht="15" customHeight="1">
      <c r="C85" s="21"/>
      <c r="D85" s="4"/>
    </row>
    <row r="86" spans="3:4" ht="15" customHeight="1">
      <c r="C86" s="21"/>
      <c r="D86" s="4"/>
    </row>
    <row r="87" spans="3:4" ht="15" customHeight="1">
      <c r="C87" s="21"/>
      <c r="D87" s="4"/>
    </row>
    <row r="88" spans="3:4" ht="15" customHeight="1">
      <c r="C88" s="21"/>
      <c r="D88" s="4"/>
    </row>
    <row r="89" spans="3:4" ht="15" customHeight="1">
      <c r="C89" s="21"/>
      <c r="D89" s="4"/>
    </row>
    <row r="90" spans="3:4" ht="15" customHeight="1">
      <c r="C90" s="21"/>
      <c r="D90" s="4"/>
    </row>
  </sheetData>
  <mergeCells count="3">
    <mergeCell ref="A2:G2"/>
    <mergeCell ref="A1:G1"/>
    <mergeCell ref="E7:I7"/>
  </mergeCells>
  <phoneticPr fontId="21" type="noConversion"/>
  <pageMargins left="0.70866141732283472" right="0.70866141732283472" top="0.35433070866141736" bottom="0.47244094488188981" header="0.31496062992125984" footer="0.31496062992125984"/>
  <pageSetup paperSize="9" scale="41" orientation="portrait" r:id="rId1"/>
  <headerFooter alignWithMargins="0">
    <oddFooter>&amp;L&amp;F&amp;C&amp;D&amp;R&amp;A</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F0DE-C800-4F2F-A8AE-571612A8957C}">
  <sheetPr codeName="Blad14">
    <tabColor theme="0" tint="-0.14999847407452621"/>
  </sheetPr>
  <dimension ref="A1:I17"/>
  <sheetViews>
    <sheetView workbookViewId="0">
      <selection sqref="A1:I1"/>
    </sheetView>
  </sheetViews>
  <sheetFormatPr defaultColWidth="9.140625" defaultRowHeight="11.25"/>
  <cols>
    <col min="1" max="1" width="15.42578125" style="4" customWidth="1"/>
    <col min="2" max="2" width="42.28515625" style="4" customWidth="1"/>
    <col min="3" max="3" width="13.28515625" style="21" customWidth="1"/>
    <col min="4" max="4" width="41.85546875" style="4" bestFit="1" customWidth="1"/>
    <col min="5" max="5" width="15" style="4" customWidth="1"/>
    <col min="6" max="6" width="15" style="128" customWidth="1"/>
    <col min="7" max="9" width="15" style="4" customWidth="1"/>
    <col min="10" max="10" width="9.140625" style="4"/>
    <col min="11" max="11" width="18" style="4" bestFit="1" customWidth="1"/>
    <col min="12" max="16384" width="9.140625" style="4"/>
  </cols>
  <sheetData>
    <row r="1" spans="1:9" s="9" customFormat="1" ht="26.25" customHeight="1">
      <c r="A1" s="408" t="s">
        <v>1336</v>
      </c>
      <c r="B1" s="408"/>
      <c r="C1" s="408"/>
      <c r="D1" s="408"/>
      <c r="E1" s="408"/>
      <c r="F1" s="408"/>
      <c r="G1" s="408"/>
      <c r="H1" s="408"/>
      <c r="I1" s="408"/>
    </row>
    <row r="2" spans="1:9" s="9" customFormat="1" ht="15" customHeight="1">
      <c r="A2" s="406" t="s">
        <v>255</v>
      </c>
      <c r="B2" s="425"/>
      <c r="C2" s="425"/>
      <c r="D2" s="425"/>
      <c r="E2" s="425"/>
      <c r="F2" s="425"/>
      <c r="G2" s="425"/>
      <c r="H2" s="425"/>
      <c r="I2" s="426"/>
    </row>
    <row r="3" spans="1:9" ht="15" customHeight="1">
      <c r="B3" s="21"/>
      <c r="C3" s="4"/>
      <c r="F3" s="4"/>
    </row>
    <row r="4" spans="1:9" ht="15" customHeight="1">
      <c r="A4" s="4" t="s">
        <v>169</v>
      </c>
      <c r="B4" s="35"/>
      <c r="C4" s="35"/>
      <c r="D4" s="35"/>
      <c r="E4" s="35"/>
      <c r="F4" s="129"/>
      <c r="G4" s="36"/>
    </row>
    <row r="5" spans="1:9" ht="15" customHeight="1">
      <c r="A5" s="4" t="s">
        <v>228</v>
      </c>
      <c r="B5" s="35"/>
      <c r="C5" s="35"/>
      <c r="D5" s="35"/>
      <c r="E5" s="35"/>
      <c r="F5" s="129"/>
      <c r="G5" s="36"/>
    </row>
    <row r="6" spans="1:9" ht="15" customHeight="1">
      <c r="A6" s="4" t="s">
        <v>221</v>
      </c>
      <c r="B6" s="38"/>
      <c r="C6" s="39"/>
      <c r="D6" s="39"/>
      <c r="E6" s="39"/>
      <c r="F6" s="130"/>
    </row>
    <row r="7" spans="1:9" ht="15" customHeight="1">
      <c r="B7" s="38"/>
      <c r="C7" s="38"/>
      <c r="D7" s="34"/>
      <c r="E7" s="423" t="s">
        <v>238</v>
      </c>
      <c r="F7" s="423"/>
      <c r="G7" s="423"/>
      <c r="H7" s="423"/>
      <c r="I7" s="423"/>
    </row>
    <row r="8" spans="1:9" s="8" customFormat="1" ht="26.25" customHeight="1">
      <c r="A8" s="47" t="s">
        <v>200</v>
      </c>
      <c r="B8" s="48" t="s">
        <v>151</v>
      </c>
      <c r="C8" s="49" t="s">
        <v>143</v>
      </c>
      <c r="D8" s="47" t="s">
        <v>202</v>
      </c>
      <c r="E8" s="47" t="s">
        <v>257</v>
      </c>
      <c r="F8" s="47" t="s">
        <v>258</v>
      </c>
      <c r="G8" s="47" t="s">
        <v>259</v>
      </c>
      <c r="H8" s="47" t="s">
        <v>1259</v>
      </c>
      <c r="I8" s="47" t="s">
        <v>1335</v>
      </c>
    </row>
    <row r="9" spans="1:9" s="8" customFormat="1" ht="191.25">
      <c r="A9" s="212">
        <v>1</v>
      </c>
      <c r="B9" s="70" t="s">
        <v>1819</v>
      </c>
      <c r="C9" s="305">
        <f>Tariefsopbouw!D38</f>
        <v>0</v>
      </c>
      <c r="D9" s="260" t="s">
        <v>1332</v>
      </c>
      <c r="E9" s="259">
        <f>(Invulextrawerkz[[#This Row],[Prijs]]*Tariefsopbouw!$I$37)+Invulextrawerkz[[#This Row],[Prijs]]</f>
        <v>0</v>
      </c>
      <c r="F9" s="261">
        <f>Invulextrawerkz[[#This Row],[2024]]*Tariefsopbouw!$K$37+Invulextrawerkz[[#This Row],[2024]]</f>
        <v>0</v>
      </c>
      <c r="G9" s="261">
        <f>Invulextrawerkz[[#This Row],[2025]]*Tariefsopbouw!$M$37+Invulextrawerkz[[#This Row],[2025]]</f>
        <v>0</v>
      </c>
      <c r="H9" s="261">
        <f>Invulextrawerkz[[#This Row],[2026]]*Tariefsopbouw!$O$37+Invulextrawerkz[[#This Row],[2026]]</f>
        <v>0</v>
      </c>
      <c r="I9" s="261">
        <f>Invulextrawerkz[[#This Row],[2027]]*Tariefsopbouw!$I$37+Invulextrawerkz[[#This Row],[2027]]</f>
        <v>0</v>
      </c>
    </row>
    <row r="10" spans="1:9" ht="15" customHeight="1">
      <c r="B10" s="21"/>
      <c r="E10" s="40"/>
      <c r="F10" s="131"/>
      <c r="G10" s="40"/>
      <c r="H10" s="40"/>
    </row>
    <row r="11" spans="1:9" ht="15" customHeight="1">
      <c r="B11" s="21"/>
      <c r="E11" s="40"/>
      <c r="F11" s="131"/>
      <c r="G11" s="40"/>
      <c r="H11" s="40"/>
    </row>
    <row r="12" spans="1:9" s="33" customFormat="1" ht="28.5" customHeight="1">
      <c r="A12" s="47" t="s">
        <v>199</v>
      </c>
      <c r="B12" s="48" t="s">
        <v>136</v>
      </c>
      <c r="C12" s="47" t="s">
        <v>200</v>
      </c>
      <c r="D12" s="58" t="s">
        <v>233</v>
      </c>
      <c r="E12" s="58" t="s">
        <v>1260</v>
      </c>
      <c r="F12" s="58" t="s">
        <v>1820</v>
      </c>
      <c r="G12" s="59" t="s">
        <v>138</v>
      </c>
      <c r="H12" s="277" t="s">
        <v>1275</v>
      </c>
    </row>
    <row r="13" spans="1:9" ht="216.75">
      <c r="A13" s="263">
        <v>1</v>
      </c>
      <c r="B13" s="213" t="str">
        <f>VLOOKUP(Overzichtextrawerkz.[[#This Row],[Code Locatie]],Locaties[[Code]:[Locatie]],2,FALSE)</f>
        <v>CCNV</v>
      </c>
      <c r="C13" s="212">
        <v>1</v>
      </c>
      <c r="D13" s="367" t="str">
        <f>IF(Overzichtextrawerkz.[[#This Row],[Code Taak]]&gt;0,VLOOKUP(Overzichtextrawerkz.[[#This Row],[Code Taak]],$A$8:$B$9,2,FALSE),"")</f>
        <v xml:space="preserve">Het reguliere onderhoud in de gymzalen is voor 30 weken per jaar in de planning en calculatie opgenomen. 
10 weken per jaar worden gymzalen gebruikt als examenzaal. 
Gedurende deze periode worden 5 of 6 lokalen leeggeruimd. Het meubilair wordt naar de gymzaal verplaatst.
Schoonmaak in de gymzalen tijdens deze periode van 10 weken;  dagelijks afvalbakken ledigen en wekelijks stofzuigen en tafels afnemen.
Inschrijver wordt hier in de gelegenheid gesteld een meerprijs op te nemen. 
Houdt rekening met 5 of 6 lokalen die gedurende dezelfde periode geen schoonmaakonderhoud behoeven. </v>
      </c>
      <c r="E13" s="307"/>
      <c r="F13" s="176">
        <v>10</v>
      </c>
      <c r="G13" s="217">
        <f>VLOOKUP(Overzichtextrawerkz.[[#This Row],[Code Taak]],Invulextrawerkz[],3,3)*E13*F13</f>
        <v>0</v>
      </c>
      <c r="H13" s="217">
        <f>Overzichtextrawerkz.[[#This Row],[Kosten/jaar excl. BTW]]*1.21</f>
        <v>0</v>
      </c>
    </row>
    <row r="14" spans="1:9" ht="15" customHeight="1">
      <c r="A14" s="204"/>
      <c r="B14" s="205" t="s">
        <v>32</v>
      </c>
      <c r="C14" s="204"/>
      <c r="D14" s="206"/>
      <c r="E14" s="207"/>
      <c r="F14" s="204"/>
      <c r="G14" s="208">
        <f>SUBTOTAL(109,Overzichtextrawerkz.[Kosten/jaar excl. BTW])</f>
        <v>0</v>
      </c>
      <c r="H14" s="208">
        <f>SUBTOTAL(109,Overzichtextrawerkz.[Kosten/jaar incl. BTW])</f>
        <v>0</v>
      </c>
    </row>
    <row r="15" spans="1:9" ht="15" customHeight="1">
      <c r="A15" s="37"/>
      <c r="C15" s="35"/>
      <c r="D15" s="35"/>
      <c r="E15" s="35"/>
      <c r="F15" s="131"/>
      <c r="G15" s="41"/>
      <c r="H15" s="36"/>
    </row>
    <row r="17" spans="5:5">
      <c r="E17" s="103"/>
    </row>
  </sheetData>
  <mergeCells count="3">
    <mergeCell ref="E7:I7"/>
    <mergeCell ref="A2:I2"/>
    <mergeCell ref="A1:I1"/>
  </mergeCells>
  <phoneticPr fontId="8" type="noConversion"/>
  <pageMargins left="0.7" right="0.7" top="0.75" bottom="0.75" header="0.3" footer="0.3"/>
  <pageSetup paperSize="9" orientation="portrait" horizontalDpi="1200" verticalDpi="12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6" ma:contentTypeDescription="Een nieuw document maken." ma:contentTypeScope="" ma:versionID="c6d9403666d96ba40324e184694503c2">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62d1ebe47228ed999d61fc3cbe4d7595"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807127-6dfe-4777-9fc9-8a2ccfc388c3">
      <Terms xmlns="http://schemas.microsoft.com/office/infopath/2007/PartnerControls"/>
    </lcf76f155ced4ddcb4097134ff3c332f>
    <TaxCatchAll xmlns="46c995e6-7f53-48aa-a5ad-a9d38912b46a" xsi:nil="true"/>
  </documentManagement>
</p:properties>
</file>

<file path=customXml/itemProps1.xml><?xml version="1.0" encoding="utf-8"?>
<ds:datastoreItem xmlns:ds="http://schemas.openxmlformats.org/officeDocument/2006/customXml" ds:itemID="{92D36DAE-196B-4873-8487-A0863F5301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952470-B124-415D-8014-2581EF55330A}">
  <ds:schemaRefs>
    <ds:schemaRef ds:uri="http://schemas.microsoft.com/sharepoint/v3/contenttype/forms"/>
  </ds:schemaRefs>
</ds:datastoreItem>
</file>

<file path=customXml/itemProps3.xml><?xml version="1.0" encoding="utf-8"?>
<ds:datastoreItem xmlns:ds="http://schemas.openxmlformats.org/officeDocument/2006/customXml" ds:itemID="{8101D780-3B97-493C-9478-2802C9533A1F}">
  <ds:schemaRefs>
    <ds:schemaRef ds:uri="http://purl.org/dc/elements/1.1/"/>
    <ds:schemaRef ds:uri="http://schemas.microsoft.com/office/2006/metadata/properties"/>
    <ds:schemaRef ds:uri="8a351851-b85b-4421-a4f3-4d825cd192a2"/>
    <ds:schemaRef ds:uri="http://purl.org/dc/terms/"/>
    <ds:schemaRef ds:uri="http://schemas.openxmlformats.org/package/2006/metadata/core-properties"/>
    <ds:schemaRef ds:uri="http://schemas.microsoft.com/office/2006/documentManagement/types"/>
    <ds:schemaRef ds:uri="ed866c54-a63f-439b-b1c2-0c5e18d4cf6c"/>
    <ds:schemaRef ds:uri="http://schemas.microsoft.com/office/infopath/2007/PartnerControls"/>
    <ds:schemaRef ds:uri="http://www.w3.org/XML/1998/namespace"/>
    <ds:schemaRef ds:uri="http://purl.org/dc/dcmitype/"/>
    <ds:schemaRef ds:uri="5d807127-6dfe-4777-9fc9-8a2ccfc388c3"/>
    <ds:schemaRef ds:uri="46c995e6-7f53-48aa-a5ad-a9d38912b46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28</vt:i4>
      </vt:variant>
    </vt:vector>
  </HeadingPairs>
  <TitlesOfParts>
    <vt:vector size="39" baseType="lpstr">
      <vt:lpstr>Legenda Handelingen</vt:lpstr>
      <vt:lpstr>Werkprogramma diepreinigen</vt:lpstr>
      <vt:lpstr>Programma</vt:lpstr>
      <vt:lpstr>Tariefsopbouw</vt:lpstr>
      <vt:lpstr>Prestatiefactoren</vt:lpstr>
      <vt:lpstr>Ruimtestaat</vt:lpstr>
      <vt:lpstr>Vloeronderhoud</vt:lpstr>
      <vt:lpstr>Glasbewassing</vt:lpstr>
      <vt:lpstr>Extra werkzaamheden</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Glasbewassing!Afdrukbereik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diepreinigen'!Afdrukbereik</vt:lpstr>
      <vt:lpstr>'Ruimtestaat'!Afdruktitels</vt:lpstr>
      <vt:lpstr>Invulglas1</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Mark Reichenfeld</dc:creator>
  <cp:lastModifiedBy>Ramon Nieuwenhuizen</cp:lastModifiedBy>
  <cp:lastPrinted>2021-12-20T08:38:13Z</cp:lastPrinted>
  <dcterms:created xsi:type="dcterms:W3CDTF">1999-03-23T11:24:21Z</dcterms:created>
  <dcterms:modified xsi:type="dcterms:W3CDTF">2023-02-09T19:41:17Z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MediaServiceImageTags">
    <vt:lpwstr/>
  </property>
</Properties>
</file>