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unitedqualitybv.sharepoint.com/klanten/Docs/ASL/EA verwerking restafval (1031 CM)/07. Nota van inlichtingen/NvI 4/"/>
    </mc:Choice>
  </mc:AlternateContent>
  <xr:revisionPtr revIDLastSave="16" documentId="8_{47910565-CD1E-435A-B1E6-E0441FC0C178}" xr6:coauthVersionLast="47" xr6:coauthVersionMax="47" xr10:uidLastSave="{D1F3FA77-333B-45CD-AAFC-EACA1F865DEA}"/>
  <bookViews>
    <workbookView xWindow="-108" yWindow="-108" windowWidth="23256" windowHeight="12576" xr2:uid="{82060E88-1CCB-4F33-98AF-01AE61D745DA}"/>
  </bookViews>
  <sheets>
    <sheet name="Voorblad" sheetId="1" r:id="rId1"/>
    <sheet name="1. Instructie" sheetId="5" r:id="rId2"/>
    <sheet name="2. Kwaliteit Perceel 2" sheetId="3" r:id="rId3"/>
    <sheet name="3. Prijs Perceel 2" sheetId="2" r:id="rId4"/>
    <sheet name="4. Fictieve inschrijfprijs P2" sheetId="4" r:id="rId5"/>
    <sheet name="5. Formulier logistiek" sheetId="6" r:id="rId6"/>
  </sheets>
  <externalReferences>
    <externalReference r:id="rId7"/>
    <externalReference r:id="rId8"/>
    <externalReference r:id="rId9"/>
    <externalReference r:id="rId10"/>
  </externalReferences>
  <definedNames>
    <definedName name="Activiteit">'[1]projecten en planning'!$A$122:$A$128</definedName>
    <definedName name="_xlnm.Print_Area" localSheetId="1">'1. Instructie'!$C$2:$C$10</definedName>
    <definedName name="_xlnm.Print_Area" localSheetId="2">'2. Kwaliteit Perceel 2'!$A$1:$H$413</definedName>
    <definedName name="_xlnm.Print_Area" localSheetId="3">'3. Prijs Perceel 2'!$A$1:$H$55</definedName>
    <definedName name="_xlnm.Print_Area" localSheetId="4">'4. Fictieve inschrijfprijs P2'!$A$1:$C$12</definedName>
    <definedName name="_xlnm.Print_Area" localSheetId="5">'5. Formulier logistiek'!$A$2:$I$32</definedName>
    <definedName name="_xlnm.Print_Area" localSheetId="0">Voorblad!$B$2:$H$12</definedName>
    <definedName name="AREA">'[2]Weeggegevens Overslag T1'!$B$40:$B$49</definedName>
    <definedName name="AVU">'[2]Weeggegevens Overslag T1'!$B$9:$B$36</definedName>
    <definedName name="CBM">'[2]Weeggegevens Overslag T1'!$B$53:$B$60</definedName>
    <definedName name="Dagen" localSheetId="1">{0,1,2,3,4,5,6} + {0;1;2;3;4;5}*7</definedName>
    <definedName name="Dagen" localSheetId="5">{0,1,2,3,4,5,6}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'[2]Weeggegevens Overslag T1'!$B$64:$B$64</definedName>
    <definedName name="Inzetcode_ZB">'[3]ZB uitgangs'!$B$5:$B$49</definedName>
    <definedName name="Kostenrubriekcode">[3]BEGR!$A$21:$A$38</definedName>
    <definedName name="Productcode">[3]BEGR!$A$4:$A$18</definedName>
    <definedName name="Projectnummer">'[1]projecten en planning'!$B$3:$B$107</definedName>
    <definedName name="ROVA">'[2]Weeggegevens Overslag T1'!$B$68:$B$86</definedName>
    <definedName name="sdfsdf">'[4]Weeggegevens Overslag T1'!$B$40:$B$49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7" i="2" l="1"/>
  <c r="F14" i="3"/>
  <c r="F261" i="3"/>
  <c r="F8" i="2" s="1"/>
  <c r="F12" i="2" s="1"/>
  <c r="F58" i="3"/>
  <c r="G20" i="6" l="1"/>
  <c r="G351" i="3" l="1"/>
  <c r="G311" i="3"/>
  <c r="G272" i="3"/>
  <c r="F9" i="2" l="1"/>
  <c r="G17" i="2"/>
  <c r="G16" i="2"/>
  <c r="G374" i="3"/>
  <c r="G371" i="3"/>
  <c r="G369" i="3"/>
  <c r="G368" i="3"/>
  <c r="G367" i="3"/>
  <c r="G365" i="3"/>
  <c r="G364" i="3"/>
  <c r="G363" i="3"/>
  <c r="G362" i="3"/>
  <c r="G361" i="3"/>
  <c r="G360" i="3"/>
  <c r="G359" i="3"/>
  <c r="G358" i="3"/>
  <c r="G357" i="3"/>
  <c r="G356" i="3"/>
  <c r="G355" i="3"/>
  <c r="G354" i="3"/>
  <c r="G353" i="3"/>
  <c r="G352" i="3"/>
  <c r="G375" i="3" s="1"/>
  <c r="G377" i="3" s="1"/>
  <c r="G378" i="3" s="1"/>
  <c r="G349" i="3"/>
  <c r="G348" i="3"/>
  <c r="G346" i="3"/>
  <c r="G345" i="3"/>
  <c r="G344" i="3"/>
  <c r="F300" i="3"/>
  <c r="D24" i="2" s="1"/>
  <c r="D177" i="3"/>
  <c r="C133" i="3"/>
  <c r="D243" i="3"/>
  <c r="D232" i="3"/>
  <c r="D221" i="3"/>
  <c r="D210" i="3"/>
  <c r="D199" i="3"/>
  <c r="D188" i="3"/>
  <c r="D155" i="3"/>
  <c r="F140" i="3"/>
  <c r="D133" i="3"/>
  <c r="F129" i="3"/>
  <c r="A143" i="3"/>
  <c r="D122" i="3"/>
  <c r="D111" i="3"/>
  <c r="D100" i="3"/>
  <c r="D89" i="3"/>
  <c r="D78" i="3"/>
  <c r="F68" i="3"/>
  <c r="F69" i="3"/>
  <c r="D51" i="3"/>
  <c r="D40" i="3"/>
  <c r="D29" i="3"/>
  <c r="D18" i="3"/>
  <c r="F13" i="2" l="1"/>
  <c r="D62" i="3"/>
  <c r="F16" i="3"/>
  <c r="A253" i="3"/>
  <c r="C62" i="3"/>
  <c r="C67" i="3" s="1"/>
  <c r="F70" i="3" l="1"/>
  <c r="H68" i="3" s="1"/>
  <c r="H69" i="3" s="1"/>
  <c r="F63" i="3"/>
  <c r="G38" i="2" l="1"/>
  <c r="G37" i="2"/>
  <c r="G13" i="2" l="1"/>
  <c r="G12" i="2"/>
  <c r="G8" i="2"/>
  <c r="G26" i="6"/>
  <c r="G27" i="6"/>
  <c r="G24" i="6"/>
  <c r="G19" i="6"/>
  <c r="G18" i="6"/>
  <c r="G15" i="6"/>
  <c r="G334" i="3"/>
  <c r="G331" i="3"/>
  <c r="G329" i="3"/>
  <c r="G328" i="3"/>
  <c r="G327" i="3"/>
  <c r="G325" i="3"/>
  <c r="G324" i="3"/>
  <c r="G323" i="3"/>
  <c r="G322" i="3"/>
  <c r="G321" i="3"/>
  <c r="G320" i="3"/>
  <c r="G319" i="3"/>
  <c r="G318" i="3"/>
  <c r="G317" i="3"/>
  <c r="G316" i="3"/>
  <c r="G315" i="3"/>
  <c r="G313" i="3"/>
  <c r="G312" i="3"/>
  <c r="G309" i="3"/>
  <c r="G308" i="3"/>
  <c r="G306" i="3"/>
  <c r="G305" i="3"/>
  <c r="G304" i="3"/>
  <c r="F255" i="3"/>
  <c r="F250" i="3"/>
  <c r="F257" i="3"/>
  <c r="F256" i="3"/>
  <c r="C254" i="3"/>
  <c r="F252" i="3"/>
  <c r="F251" i="3"/>
  <c r="F244" i="3"/>
  <c r="F239" i="3"/>
  <c r="F246" i="3"/>
  <c r="F245" i="3"/>
  <c r="C243" i="3"/>
  <c r="A242" i="3"/>
  <c r="F241" i="3"/>
  <c r="F240" i="3"/>
  <c r="F233" i="3"/>
  <c r="F228" i="3"/>
  <c r="F235" i="3"/>
  <c r="F234" i="3"/>
  <c r="C232" i="3"/>
  <c r="A231" i="3"/>
  <c r="F230" i="3"/>
  <c r="F229" i="3"/>
  <c r="F222" i="3"/>
  <c r="F217" i="3"/>
  <c r="F224" i="3"/>
  <c r="F223" i="3"/>
  <c r="C221" i="3"/>
  <c r="A220" i="3"/>
  <c r="F219" i="3"/>
  <c r="F218" i="3"/>
  <c r="F211" i="3"/>
  <c r="F206" i="3"/>
  <c r="F213" i="3"/>
  <c r="F212" i="3"/>
  <c r="C210" i="3"/>
  <c r="A209" i="3"/>
  <c r="F208" i="3"/>
  <c r="F207" i="3"/>
  <c r="F200" i="3"/>
  <c r="F195" i="3"/>
  <c r="F202" i="3"/>
  <c r="F201" i="3"/>
  <c r="C199" i="3"/>
  <c r="A198" i="3"/>
  <c r="F197" i="3"/>
  <c r="F196" i="3"/>
  <c r="F189" i="3"/>
  <c r="F184" i="3"/>
  <c r="F191" i="3"/>
  <c r="F190" i="3"/>
  <c r="C188" i="3"/>
  <c r="A187" i="3"/>
  <c r="F186" i="3"/>
  <c r="F185" i="3"/>
  <c r="C177" i="3"/>
  <c r="F178" i="3"/>
  <c r="F173" i="3"/>
  <c r="F180" i="3"/>
  <c r="F179" i="3"/>
  <c r="A176" i="3"/>
  <c r="F175" i="3"/>
  <c r="F174" i="3"/>
  <c r="A165" i="3"/>
  <c r="F145" i="3"/>
  <c r="F147" i="3"/>
  <c r="F146" i="3"/>
  <c r="C144" i="3"/>
  <c r="F142" i="3"/>
  <c r="F141" i="3"/>
  <c r="F134" i="3"/>
  <c r="A61" i="3"/>
  <c r="A66" i="3" s="1"/>
  <c r="F167" i="3"/>
  <c r="F162" i="3"/>
  <c r="F169" i="3"/>
  <c r="F168" i="3"/>
  <c r="C166" i="3"/>
  <c r="F164" i="3"/>
  <c r="F163" i="3"/>
  <c r="F156" i="3"/>
  <c r="F151" i="3"/>
  <c r="F158" i="3"/>
  <c r="F157" i="3"/>
  <c r="C155" i="3"/>
  <c r="A154" i="3"/>
  <c r="F153" i="3"/>
  <c r="F152" i="3"/>
  <c r="F136" i="3"/>
  <c r="F135" i="3"/>
  <c r="A132" i="3"/>
  <c r="F131" i="3"/>
  <c r="F130" i="3"/>
  <c r="F123" i="3"/>
  <c r="F118" i="3"/>
  <c r="F125" i="3"/>
  <c r="F124" i="3"/>
  <c r="C122" i="3"/>
  <c r="F120" i="3"/>
  <c r="F119" i="3"/>
  <c r="F112" i="3"/>
  <c r="F107" i="3"/>
  <c r="F114" i="3"/>
  <c r="F113" i="3"/>
  <c r="C111" i="3"/>
  <c r="A110" i="3"/>
  <c r="F109" i="3"/>
  <c r="F108" i="3"/>
  <c r="F101" i="3"/>
  <c r="F96" i="3"/>
  <c r="F103" i="3"/>
  <c r="F102" i="3"/>
  <c r="C100" i="3"/>
  <c r="A99" i="3"/>
  <c r="F98" i="3"/>
  <c r="F97" i="3"/>
  <c r="F90" i="3"/>
  <c r="F85" i="3"/>
  <c r="F92" i="3"/>
  <c r="F91" i="3"/>
  <c r="C89" i="3"/>
  <c r="A88" i="3"/>
  <c r="F87" i="3"/>
  <c r="F86" i="3"/>
  <c r="F79" i="3"/>
  <c r="F74" i="3"/>
  <c r="F81" i="3"/>
  <c r="F80" i="3"/>
  <c r="C78" i="3"/>
  <c r="A77" i="3"/>
  <c r="F76" i="3"/>
  <c r="F75" i="3"/>
  <c r="F65" i="3"/>
  <c r="F64" i="3"/>
  <c r="F60" i="3"/>
  <c r="F59" i="3"/>
  <c r="F52" i="3"/>
  <c r="F47" i="3"/>
  <c r="C51" i="3"/>
  <c r="F54" i="3"/>
  <c r="F53" i="3"/>
  <c r="F49" i="3"/>
  <c r="F48" i="3"/>
  <c r="F41" i="3"/>
  <c r="F36" i="3"/>
  <c r="F43" i="3"/>
  <c r="F42" i="3"/>
  <c r="A39" i="3"/>
  <c r="F38" i="3"/>
  <c r="F37" i="3"/>
  <c r="F30" i="3"/>
  <c r="F25" i="3"/>
  <c r="F32" i="3"/>
  <c r="F31" i="3"/>
  <c r="A28" i="3"/>
  <c r="F27" i="3"/>
  <c r="F26" i="3"/>
  <c r="A17" i="3"/>
  <c r="F19" i="3"/>
  <c r="G314" i="3" l="1"/>
  <c r="G335" i="3" s="1"/>
  <c r="G337" i="3" s="1"/>
  <c r="H250" i="3"/>
  <c r="H251" i="3" s="1"/>
  <c r="H206" i="3"/>
  <c r="H207" i="3" s="1"/>
  <c r="H228" i="3"/>
  <c r="H229" i="3" s="1"/>
  <c r="H255" i="3"/>
  <c r="H256" i="3" s="1"/>
  <c r="H244" i="3"/>
  <c r="H245" i="3" s="1"/>
  <c r="H239" i="3"/>
  <c r="H240" i="3" s="1"/>
  <c r="H233" i="3"/>
  <c r="H234" i="3" s="1"/>
  <c r="H200" i="3"/>
  <c r="H201" i="3" s="1"/>
  <c r="H217" i="3"/>
  <c r="H218" i="3" s="1"/>
  <c r="H222" i="3"/>
  <c r="H223" i="3" s="1"/>
  <c r="H195" i="3"/>
  <c r="H196" i="3" s="1"/>
  <c r="H211" i="3"/>
  <c r="H212" i="3" s="1"/>
  <c r="H189" i="3"/>
  <c r="H190" i="3" s="1"/>
  <c r="H184" i="3"/>
  <c r="H185" i="3" s="1"/>
  <c r="H178" i="3"/>
  <c r="H179" i="3" s="1"/>
  <c r="H173" i="3"/>
  <c r="H174" i="3" s="1"/>
  <c r="H145" i="3"/>
  <c r="H146" i="3" s="1"/>
  <c r="H140" i="3"/>
  <c r="H141" i="3" s="1"/>
  <c r="H162" i="3"/>
  <c r="H163" i="3" s="1"/>
  <c r="H167" i="3"/>
  <c r="H168" i="3" s="1"/>
  <c r="H156" i="3"/>
  <c r="H157" i="3" s="1"/>
  <c r="H151" i="3"/>
  <c r="H152" i="3" s="1"/>
  <c r="H134" i="3"/>
  <c r="H135" i="3" s="1"/>
  <c r="H129" i="3"/>
  <c r="H130" i="3" s="1"/>
  <c r="H118" i="3"/>
  <c r="H119" i="3" s="1"/>
  <c r="H123" i="3"/>
  <c r="H124" i="3" s="1"/>
  <c r="H107" i="3"/>
  <c r="H108" i="3" s="1"/>
  <c r="H112" i="3"/>
  <c r="H113" i="3" s="1"/>
  <c r="H96" i="3"/>
  <c r="H97" i="3" s="1"/>
  <c r="H101" i="3"/>
  <c r="H102" i="3" s="1"/>
  <c r="H90" i="3"/>
  <c r="H91" i="3" s="1"/>
  <c r="H85" i="3"/>
  <c r="H86" i="3" s="1"/>
  <c r="H58" i="3"/>
  <c r="H59" i="3" s="1"/>
  <c r="H79" i="3"/>
  <c r="H80" i="3" s="1"/>
  <c r="H74" i="3"/>
  <c r="H75" i="3" s="1"/>
  <c r="H63" i="3"/>
  <c r="H64" i="3" s="1"/>
  <c r="H52" i="3"/>
  <c r="H53" i="3" s="1"/>
  <c r="H47" i="3"/>
  <c r="H48" i="3" s="1"/>
  <c r="H36" i="3"/>
  <c r="H37" i="3" s="1"/>
  <c r="H41" i="3"/>
  <c r="H42" i="3" s="1"/>
  <c r="H30" i="3"/>
  <c r="H31" i="3" s="1"/>
  <c r="H25" i="3"/>
  <c r="H26" i="3" s="1"/>
  <c r="G338" i="3" l="1"/>
  <c r="I46" i="6"/>
  <c r="I45" i="6"/>
  <c r="I44" i="6"/>
  <c r="I43" i="6"/>
  <c r="I42" i="6"/>
  <c r="I41" i="6"/>
  <c r="I40" i="6"/>
  <c r="I39" i="6"/>
  <c r="I38" i="6"/>
  <c r="I37" i="6"/>
  <c r="I31" i="6"/>
  <c r="I30" i="6"/>
  <c r="I29" i="6"/>
  <c r="I28" i="6"/>
  <c r="I27" i="6"/>
  <c r="I26" i="6"/>
  <c r="I25" i="6"/>
  <c r="I24" i="6"/>
  <c r="I23" i="6"/>
  <c r="I22" i="6"/>
  <c r="I21" i="6"/>
  <c r="I20" i="6"/>
  <c r="I19" i="6"/>
  <c r="I18" i="6"/>
  <c r="I17" i="6"/>
  <c r="I16" i="6"/>
  <c r="I15" i="6"/>
  <c r="I14" i="6"/>
  <c r="I13" i="6"/>
  <c r="I12" i="6"/>
  <c r="E24" i="2" l="1"/>
  <c r="G23" i="2" s="1"/>
  <c r="G402" i="3"/>
  <c r="G295" i="3"/>
  <c r="G292" i="3"/>
  <c r="G290" i="3"/>
  <c r="G289" i="3"/>
  <c r="G288" i="3"/>
  <c r="G286" i="3"/>
  <c r="G285" i="3"/>
  <c r="G284" i="3"/>
  <c r="G283" i="3"/>
  <c r="G282" i="3"/>
  <c r="G281" i="3"/>
  <c r="G280" i="3"/>
  <c r="G279" i="3"/>
  <c r="G278" i="3"/>
  <c r="G277" i="3"/>
  <c r="G276" i="3"/>
  <c r="G275" i="3"/>
  <c r="G274" i="3"/>
  <c r="G273" i="3"/>
  <c r="G270" i="3"/>
  <c r="G269" i="3"/>
  <c r="G267" i="3"/>
  <c r="G266" i="3"/>
  <c r="G265" i="3"/>
  <c r="G296" i="3" l="1"/>
  <c r="G298" i="3" s="1"/>
  <c r="H379" i="3" s="1"/>
  <c r="F21" i="3"/>
  <c r="F20" i="3"/>
  <c r="F15" i="3"/>
  <c r="H14" i="3" s="1"/>
  <c r="G299" i="3" l="1"/>
  <c r="H19" i="3"/>
  <c r="H20" i="3" s="1"/>
  <c r="H258" i="3" l="1"/>
  <c r="H15" i="3"/>
  <c r="E27" i="2"/>
  <c r="E26" i="2"/>
  <c r="E25" i="2" l="1"/>
  <c r="G25" i="2" s="1"/>
  <c r="F383" i="3" l="1"/>
  <c r="F409" i="3" s="1"/>
  <c r="G9" i="2" l="1"/>
  <c r="G32" i="2" s="1"/>
  <c r="G33" i="2" l="1"/>
  <c r="C8" i="4"/>
  <c r="C9" i="4" l="1"/>
  <c r="C11" i="4" s="1"/>
  <c r="C12" i="4" l="1"/>
</calcChain>
</file>

<file path=xl/sharedStrings.xml><?xml version="1.0" encoding="utf-8"?>
<sst xmlns="http://schemas.openxmlformats.org/spreadsheetml/2006/main" count="1241" uniqueCount="444">
  <si>
    <t>Inhoud:</t>
  </si>
  <si>
    <t>T1.</t>
  </si>
  <si>
    <t>T2.</t>
  </si>
  <si>
    <t>T3.</t>
  </si>
  <si>
    <t>NR.</t>
  </si>
  <si>
    <t xml:space="preserve">Omschrijving </t>
  </si>
  <si>
    <t>Eenheid</t>
  </si>
  <si>
    <t>Subtotalen (AxB) excl. btw</t>
  </si>
  <si>
    <t>PR-1</t>
  </si>
  <si>
    <t>Ton</t>
  </si>
  <si>
    <t>Verwerking</t>
  </si>
  <si>
    <t>PR-2</t>
  </si>
  <si>
    <t>PR-3</t>
  </si>
  <si>
    <t>PR-5</t>
  </si>
  <si>
    <t>Totale inschrijfprijs (4)</t>
  </si>
  <si>
    <t>Naam</t>
  </si>
  <si>
    <t>Adres</t>
  </si>
  <si>
    <t>Postcode</t>
  </si>
  <si>
    <t>Plaats</t>
  </si>
  <si>
    <t>Eigenaar</t>
  </si>
  <si>
    <t>PR-7</t>
  </si>
  <si>
    <t>Stroom</t>
  </si>
  <si>
    <t>PR-9</t>
  </si>
  <si>
    <t>PR-10</t>
  </si>
  <si>
    <t xml:space="preserve">Voorwaarden </t>
  </si>
  <si>
    <t>Voorwaarde</t>
  </si>
  <si>
    <t>ALG</t>
  </si>
  <si>
    <t xml:space="preserve">De eenheidsprijzen zijn conform alle voorwaarden uit het programma van eisen en alle overige aanbestedingsdocumenten (waaronder de kwalitatieve gunningscriteria). </t>
  </si>
  <si>
    <t xml:space="preserve">Als opdrachtgever een afslag (kosten boven op de marktprijs) aanbiedt moet inschrijver een positief getal invullen. Als inschrijver een opslag (extra korting op de marktprijs) aanbiedt, moet inschrijver een negatief getal (incl. het minteken) invullen. Inschrijver is zelf volledig verantwoordelijk voor het correct invullen van de op- en/of afslag per prijsonderdeel.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</si>
  <si>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</si>
  <si>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</si>
  <si>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Vraag</t>
  </si>
  <si>
    <t>Vraagstelling</t>
  </si>
  <si>
    <t>Antwoord</t>
  </si>
  <si>
    <t>Maximale kwaliteitswaarde</t>
  </si>
  <si>
    <t>Behaalde fictieve korting</t>
  </si>
  <si>
    <t>Toekennen van de score</t>
  </si>
  <si>
    <t>A</t>
  </si>
  <si>
    <t>Naam:
Adres:
Type:
Eigenaar:</t>
  </si>
  <si>
    <t>Antwoord (meerkeuze)</t>
  </si>
  <si>
    <t>[Invullen door inschrijver]</t>
  </si>
  <si>
    <t>A) Nee.</t>
  </si>
  <si>
    <t>KG-3</t>
  </si>
  <si>
    <t>[invullen door inschrijver]</t>
  </si>
  <si>
    <t>Ja</t>
  </si>
  <si>
    <t>N.v.t. (antwoord op de vorige vraag was 'Nee')</t>
  </si>
  <si>
    <t>1 tot 10%</t>
  </si>
  <si>
    <t>Nee</t>
  </si>
  <si>
    <t>A) Conform afvalhiërarchie uit LAP3: stap b: voorbereiding voor hergebruik</t>
  </si>
  <si>
    <t>11 tot 15%</t>
  </si>
  <si>
    <t>B) Conform afvalhiërarchie uit LAP3: stap c1: recycling van het oorspronkelijke functionele materiaal in een gelijke of vergelijkbare toepassing</t>
  </si>
  <si>
    <t>16 tot 25%</t>
  </si>
  <si>
    <t>C) Conform afvalhiërarchie uit LAP3: stap c2: recycling van het oorspronkelijke functionele materiaal in een niet gelijke of vergelijkbare toepassing</t>
  </si>
  <si>
    <t>Meer dan 25%</t>
  </si>
  <si>
    <t>Maximaal te behalen fictieve korting</t>
  </si>
  <si>
    <t>Totaal</t>
  </si>
  <si>
    <t>KG</t>
  </si>
  <si>
    <t>PR</t>
  </si>
  <si>
    <t>Totale inschrijfprijs</t>
  </si>
  <si>
    <t>A) 0%</t>
  </si>
  <si>
    <t>B) 0% tot 2%</t>
  </si>
  <si>
    <t>C) 2% tot 4%</t>
  </si>
  <si>
    <t>D) 4% tot 6%</t>
  </si>
  <si>
    <t>E) 6% tot 8%</t>
  </si>
  <si>
    <t>F) meer dan 8%</t>
  </si>
  <si>
    <t>PR-4</t>
  </si>
  <si>
    <t>Totale fictieve inschrijfprijs
Deze prijs vermelden in TenderNed</t>
  </si>
  <si>
    <t>D) Ja, het HRA kan vanaf start overeenkomst worden nagescheiden</t>
  </si>
  <si>
    <t>Nr.</t>
  </si>
  <si>
    <t>Per ton</t>
  </si>
  <si>
    <t>Afvalstoffenbelasting, zijnde wet belastingen op milieugrondslag (WBM)</t>
  </si>
  <si>
    <t>Prijs per eenheid</t>
  </si>
  <si>
    <t>Wegingsfactor</t>
  </si>
  <si>
    <t>Gegevens verwerkingslocatie(s)</t>
  </si>
  <si>
    <t>Duurzaam aftransport</t>
  </si>
  <si>
    <t xml:space="preserve"> </t>
  </si>
  <si>
    <t>Aantal TKM:</t>
  </si>
  <si>
    <t>Over de weg, in trekker- oplegger &gt;20 ton</t>
  </si>
  <si>
    <t>Over de weg: Euro VI: CNG</t>
  </si>
  <si>
    <t>Hulp gegevens: Verbergen bij publicatie</t>
  </si>
  <si>
    <t xml:space="preserve">Transportmodaliteit </t>
  </si>
  <si>
    <t>CO2 (g/tkm) WTW</t>
  </si>
  <si>
    <t>N.v.t.</t>
  </si>
  <si>
    <t>Over de weg, in vrachtauto &lt;20 ton</t>
  </si>
  <si>
    <t>Over de weg, containertransport: ≥2 TEU</t>
  </si>
  <si>
    <t>Over het spoor, in wagons</t>
  </si>
  <si>
    <t>Over het spoor, containertransport: 90 TEU</t>
  </si>
  <si>
    <t>Via water, in binnenvaartschip</t>
  </si>
  <si>
    <t>Via water, containertransport met binnenvaartschip: 208 TEU</t>
  </si>
  <si>
    <t>Aandrijving/brandstof</t>
  </si>
  <si>
    <t>Vrachtauto %</t>
  </si>
  <si>
    <t>Trekker oplegger %</t>
  </si>
  <si>
    <t>n.v.t.</t>
  </si>
  <si>
    <t>Over de weg: Euro VI - Diesel</t>
  </si>
  <si>
    <t>Over de weg: Euro VI - Plug-in hybride</t>
  </si>
  <si>
    <t>Over de weg: Euro VI: Biodiesel (Fame 97%, HVO 3%)</t>
  </si>
  <si>
    <t>Over de weg: Euro VI: HVO</t>
  </si>
  <si>
    <t>Over de weg: Euro VI: BioCNG</t>
  </si>
  <si>
    <t>Over de weg: Euro VI: LNG</t>
  </si>
  <si>
    <t>Over de weg: Euro VI: Bio LNG</t>
  </si>
  <si>
    <t>Over de weg: Elektrisch (gemiddelde mix)</t>
  </si>
  <si>
    <t>Over de weg: Waterstof</t>
  </si>
  <si>
    <t>Over het spoor: elektrisch (73%) &amp; diesel (27%)</t>
  </si>
  <si>
    <t>Over het water: gemiddelde</t>
  </si>
  <si>
    <t>Maximaal aantal punten</t>
  </si>
  <si>
    <t>Systematiek toekennen punten</t>
  </si>
  <si>
    <t xml:space="preserve">Energielevering
</t>
  </si>
  <si>
    <t>Elektriciteit (netto) (1)</t>
  </si>
  <si>
    <t>kWh x</t>
  </si>
  <si>
    <t>Stoom(netto) (1)</t>
  </si>
  <si>
    <t>Overige warmte (netto) (1)</t>
  </si>
  <si>
    <t xml:space="preserve">Gaslevering
</t>
  </si>
  <si>
    <t>Biogas (netto)</t>
  </si>
  <si>
    <t>Groengas (netto)</t>
  </si>
  <si>
    <t xml:space="preserve">Materiaallevering
</t>
  </si>
  <si>
    <t>Kunststof (DKR) (3)</t>
  </si>
  <si>
    <t xml:space="preserve">kg x </t>
  </si>
  <si>
    <t>Drankenkarton (DKR)</t>
  </si>
  <si>
    <t>Ferrometaal</t>
  </si>
  <si>
    <t>Non-ferrometaal</t>
  </si>
  <si>
    <t>Papier (inzet als grondstof papier)</t>
  </si>
  <si>
    <t>Papier (inzet als bouwstof)</t>
  </si>
  <si>
    <t>Textiel (inzet als grondstof voor textiel)</t>
  </si>
  <si>
    <t>Textiel (inzet als grondstof andere nuttige toepassingen)</t>
  </si>
  <si>
    <t>Glas (inzet als glas)</t>
  </si>
  <si>
    <t>Glas (inzet als bouwmateriaal)</t>
  </si>
  <si>
    <t>Mineralen (inzet als bouwmateriaal)</t>
  </si>
  <si>
    <t>Bodemas (inzet als bouwmateriaal/mineralen)</t>
  </si>
  <si>
    <t>Bodemas (slib / gestort /immobilisatie)</t>
  </si>
  <si>
    <t>Gips (inzet als zandsteen)</t>
  </si>
  <si>
    <t>Luiers</t>
  </si>
  <si>
    <t>Transport</t>
  </si>
  <si>
    <t>Afstand in km</t>
  </si>
  <si>
    <t>Hoeveelheid 
per ton HRA-afval</t>
  </si>
  <si>
    <t>Weging</t>
  </si>
  <si>
    <t>Transport naar verwerking over de weg</t>
  </si>
  <si>
    <t>1  ton</t>
  </si>
  <si>
    <t>Transport naar verwerking over het water</t>
  </si>
  <si>
    <t>Overig transport</t>
  </si>
  <si>
    <t xml:space="preserve">1  ton </t>
  </si>
  <si>
    <t>Emissies uit verbranding residu</t>
  </si>
  <si>
    <t xml:space="preserve">biogeen  (klimaat neutraal) CO2-eq. bij emissie van alle broeikasgassen uit verbranding </t>
  </si>
  <si>
    <t xml:space="preserve">Fossiel CO2-eq. bij emissie van alle broeikasgassen uit verbranding </t>
  </si>
  <si>
    <t xml:space="preserve"> kwaliteitswaarde:</t>
  </si>
  <si>
    <t>Gebaseerd op CE Delft model</t>
  </si>
  <si>
    <t>C)  Ja, het HRA kan vanaf 1-1-2025 worden nagescheiden</t>
  </si>
  <si>
    <t>1. U dient het tabblad in te vullen van het perceel waarop u inschrijft. Deze dient u vervolgens te printen en rechtsgeldig te ondertekenen, en vervolgens gescand als pdf in te dienen.</t>
  </si>
  <si>
    <t>Instructie</t>
  </si>
  <si>
    <t>Aanbesteding verwerken HRA c.a. ASL-gemeenten: Instructies invullen invulformulier gunningscriteria en formulier logistiek</t>
  </si>
  <si>
    <t>Onderhavig document betreft het invulformulier gunningscriteria en formulier logistiek behorende bij de aanbesteding verwerken HRA c.a. afkomstig van de ASL gemeenten</t>
  </si>
  <si>
    <t>Inschrijver</t>
  </si>
  <si>
    <t>Naam inschrijver:</t>
  </si>
  <si>
    <t>&lt;NAAM INSCHRIJVER&gt;</t>
  </si>
  <si>
    <t>Naam en functie ondergetekende:</t>
  </si>
  <si>
    <t>&lt;NAAM EN FUNCTIE ONDERGETEKENDE&gt;</t>
  </si>
  <si>
    <t>Datum:</t>
  </si>
  <si>
    <t>&lt;DATUM&gt;</t>
  </si>
  <si>
    <t>Handtekening:</t>
  </si>
  <si>
    <t>&lt;HANDTEKENING&gt;</t>
  </si>
  <si>
    <t>Prijs voor aftransport</t>
  </si>
  <si>
    <t>Transportafstand</t>
  </si>
  <si>
    <t>Gemeente</t>
  </si>
  <si>
    <t>Bezoekadres</t>
  </si>
  <si>
    <t>Adres ontvangstlocatie inschrijver</t>
  </si>
  <si>
    <t xml:space="preserve">Transportafstand (enkele reis) </t>
  </si>
  <si>
    <t>Prijs per tonkm (enkele reis)</t>
  </si>
  <si>
    <t>Beek</t>
  </si>
  <si>
    <t>Raadhuisstraat 9</t>
  </si>
  <si>
    <t>6191 KA</t>
  </si>
  <si>
    <t>Beesel</t>
  </si>
  <si>
    <t>Raadhuisplein 1</t>
  </si>
  <si>
    <t>5953 AL</t>
  </si>
  <si>
    <t>Reuver</t>
  </si>
  <si>
    <t>Bergen</t>
  </si>
  <si>
    <t>Raadhuisstraat 2</t>
  </si>
  <si>
    <t>5854 AX</t>
  </si>
  <si>
    <t>Nieuw Bergen </t>
  </si>
  <si>
    <t>Echt-Susteren</t>
  </si>
  <si>
    <t>Nieuwe Markt 55</t>
  </si>
  <si>
    <t>6101 CV</t>
  </si>
  <si>
    <t>Echt</t>
  </si>
  <si>
    <t>Gennep</t>
  </si>
  <si>
    <t>Ellen Hoffmannplein 1</t>
  </si>
  <si>
    <t>6591 CP</t>
  </si>
  <si>
    <t>Horst aan de Maas</t>
  </si>
  <si>
    <t>Wilhelminaplein 6</t>
  </si>
  <si>
    <t xml:space="preserve">5961 ES </t>
  </si>
  <si>
    <t xml:space="preserve">Horst  </t>
  </si>
  <si>
    <t>Leudal</t>
  </si>
  <si>
    <t>Leudalplein 1</t>
  </si>
  <si>
    <t xml:space="preserve">6093 HE </t>
  </si>
  <si>
    <t>Heythuysen</t>
  </si>
  <si>
    <t>Maasgouw</t>
  </si>
  <si>
    <t xml:space="preserve">Markt 36 </t>
  </si>
  <si>
    <t>6051 DZ</t>
  </si>
  <si>
    <t>Maasbracht</t>
  </si>
  <si>
    <t>Maastricht</t>
  </si>
  <si>
    <t>Mosae Forum 10</t>
  </si>
  <si>
    <t>6211 DW</t>
  </si>
  <si>
    <t>Meerssen</t>
  </si>
  <si>
    <t>Beekstraat 51</t>
  </si>
  <si>
    <t>6231 LE</t>
  </si>
  <si>
    <t>Nederweert</t>
  </si>
  <si>
    <t>6031 VR</t>
  </si>
  <si>
    <t>Peel en Maas</t>
  </si>
  <si>
    <t>Wilhelminaplein 1</t>
  </si>
  <si>
    <t>5981 CC</t>
  </si>
  <si>
    <t>Panningen</t>
  </si>
  <si>
    <t>Roerdalen</t>
  </si>
  <si>
    <t>Schaapsweg 20</t>
  </si>
  <si>
    <t>6077 CG</t>
  </si>
  <si>
    <t>Sint Odiliënberg</t>
  </si>
  <si>
    <t>Roermond</t>
  </si>
  <si>
    <t>Markt 31</t>
  </si>
  <si>
    <t>6041 EM</t>
  </si>
  <si>
    <t>Sittard-Geleen</t>
  </si>
  <si>
    <t>Hub Dassenplein 1</t>
  </si>
  <si>
    <t>6131 LB</t>
  </si>
  <si>
    <t>Sittard</t>
  </si>
  <si>
    <t>Stein</t>
  </si>
  <si>
    <t>Stadhouderslaan 200</t>
  </si>
  <si>
    <t>6171 KP</t>
  </si>
  <si>
    <t>Valkenburg aan de Geul</t>
  </si>
  <si>
    <t>Geneindestraat 4</t>
  </si>
  <si>
    <t xml:space="preserve">6301 HC </t>
  </si>
  <si>
    <t>Venlo</t>
  </si>
  <si>
    <t>Venray</t>
  </si>
  <si>
    <t>Raadhuisstraat 1</t>
  </si>
  <si>
    <t>5801 MB</t>
  </si>
  <si>
    <t>Weert</t>
  </si>
  <si>
    <t>Wilhelminasingel 101</t>
  </si>
  <si>
    <t>6001 GS</t>
  </si>
  <si>
    <t>Gewogen gemiddelde transportafstand (enkele reis (in km's))</t>
  </si>
  <si>
    <t>Transportafstand Rd4-gemeenten</t>
  </si>
  <si>
    <t>Gemeenten</t>
  </si>
  <si>
    <t xml:space="preserve">Transportafstand enkele reis </t>
  </si>
  <si>
    <t>Beekdaelen</t>
  </si>
  <si>
    <t>Deweverplein 1</t>
  </si>
  <si>
    <t xml:space="preserve">6361 BZ </t>
  </si>
  <si>
    <t xml:space="preserve">Nuth </t>
  </si>
  <si>
    <t>Brunssum</t>
  </si>
  <si>
    <t>Lindeplein 1</t>
  </si>
  <si>
    <t xml:space="preserve">6444 AT </t>
  </si>
  <si>
    <t>Gulpen-Wittem</t>
  </si>
  <si>
    <t>Willem Vliegenstraat 12</t>
  </si>
  <si>
    <t xml:space="preserve">6271 DA </t>
  </si>
  <si>
    <t>Gulpen</t>
  </si>
  <si>
    <t>Heerlen</t>
  </si>
  <si>
    <t>Geleenstraat 25</t>
  </si>
  <si>
    <t xml:space="preserve">6411 HP </t>
  </si>
  <si>
    <t>Kerkrade</t>
  </si>
  <si>
    <t xml:space="preserve">Markt 33 </t>
  </si>
  <si>
    <t xml:space="preserve">6461 EC </t>
  </si>
  <si>
    <t>Landgraaf</t>
  </si>
  <si>
    <t xml:space="preserve">6371 LA </t>
  </si>
  <si>
    <t>Simpelveld</t>
  </si>
  <si>
    <t>Markt 1</t>
  </si>
  <si>
    <t>6369 AH</t>
  </si>
  <si>
    <t>Vaals</t>
  </si>
  <si>
    <t>Van Clermontplein 15</t>
  </si>
  <si>
    <t>6291 AT</t>
  </si>
  <si>
    <t>Voerendaal</t>
  </si>
  <si>
    <t>6367 ED</t>
  </si>
  <si>
    <t>Overslaglocatie Rd4</t>
  </si>
  <si>
    <t>Nijverheidsweg 17</t>
  </si>
  <si>
    <t xml:space="preserve">6422 PD </t>
  </si>
  <si>
    <t>Formulier Logistiek</t>
  </si>
  <si>
    <t>T4.</t>
  </si>
  <si>
    <t>T5.</t>
  </si>
  <si>
    <t>Hoeveelheid HRA</t>
  </si>
  <si>
    <t>KG-2 Verwerkingsproces en eindproducten</t>
  </si>
  <si>
    <t>KG-3 Nascheiding</t>
  </si>
  <si>
    <t>PR-6</t>
  </si>
  <si>
    <t>PR-8</t>
  </si>
  <si>
    <t>KG-2</t>
  </si>
  <si>
    <t>B) Ja, het HRA kan vanaf 1-1-2026 worden nagescheiden</t>
  </si>
  <si>
    <t>Antwoordoptie A = Geen fictieve korting
Antwoordoptie B = 33% van de maximale kwaliteitswaarde
Antwoordoptie C = 67% van de maximale kwaliteitswaarde
Antwoordoptie D = 100% van de maximale kwaliteitswaarde</t>
  </si>
  <si>
    <t>Prijs per ton</t>
  </si>
  <si>
    <t>per ton</t>
  </si>
  <si>
    <t>Kwalitatieve gunningscriteria perceel 2</t>
  </si>
  <si>
    <t>Prijsinvulformulier perceel 2</t>
  </si>
  <si>
    <t>Fictieve inschrijfprijs perceel 2</t>
  </si>
  <si>
    <t>Bijlage 04B - Invulformulier gunningscriteria perceel 2 
(HRA c.a. )
Behorende bij de Europese openbare aanbesteding 
"Overslag, transport en verwerking HRA en GFT/GFE ASL gemeenten"</t>
  </si>
  <si>
    <t xml:space="preserve">Bijlage 04B
Tab 2: Kwalitatieve gunningscriteria perceel 2 HRA c.a. </t>
  </si>
  <si>
    <t>KG-1 Verwerkingslocatie per gemeente</t>
  </si>
  <si>
    <t>Beesel
Verwerkingslocatie 1</t>
  </si>
  <si>
    <t>Beesel
Verwerkingslocatie 2</t>
  </si>
  <si>
    <t>Bergen
Verwerkingslocatie 1</t>
  </si>
  <si>
    <t>Bergen
Verwerkingslocatie 2</t>
  </si>
  <si>
    <t>Gennep
Verwerkingslocatie 1</t>
  </si>
  <si>
    <t>Gennep
Verwerkingslocatie 2</t>
  </si>
  <si>
    <t>Horst aan de Maas
Verwerkingslocatie 1</t>
  </si>
  <si>
    <t>Horst aan de Maas
Verwerkingslocatie 2</t>
  </si>
  <si>
    <t>Meerssen
Verwerkingslocatie 1</t>
  </si>
  <si>
    <t>Meerssen
Verwerkingslocatie 2</t>
  </si>
  <si>
    <t>Nederweert
Verwerkingslocatie 1</t>
  </si>
  <si>
    <t>Nederweert
Verwerkingslocatie 2</t>
  </si>
  <si>
    <t>Peel en Maas
Verwerkingslocatie 1</t>
  </si>
  <si>
    <t>Peel en Maas
Verwerkingslocatie 2</t>
  </si>
  <si>
    <t>Roermond
Verwerkingslocatie 1</t>
  </si>
  <si>
    <t>Roermond
Verwerkingslocatie 2</t>
  </si>
  <si>
    <t>Valkenburg aan de Geul
Verwerkingslocatie 1</t>
  </si>
  <si>
    <t>Valkenburg aan de Geul
Verwerkingslocatie 2</t>
  </si>
  <si>
    <t>Venray
Verwerkingslocatie 1</t>
  </si>
  <si>
    <t>Venray
Verwerkingslocatie 2</t>
  </si>
  <si>
    <t>Maastricht en GR Geul en Maas
Verwerkingslocatie 1</t>
  </si>
  <si>
    <t xml:space="preserve">Maastricht en GR Geul en Maas
</t>
  </si>
  <si>
    <t>Maastricht en GR Geul en Maas
Verwerkingslocatie 2</t>
  </si>
  <si>
    <t>Venlo brongescheiden HRA</t>
  </si>
  <si>
    <t>Venlo brongescheiden
Verwerkingslocatie 1</t>
  </si>
  <si>
    <t>Venlo brongescheiden 
Verwerkingslocatie 2</t>
  </si>
  <si>
    <t>Venlo na te scheiden HRA</t>
  </si>
  <si>
    <t>Venlo nascheiding
Verwerkingslocatie 2</t>
  </si>
  <si>
    <t>Weert (nascheiding)</t>
  </si>
  <si>
    <t>Weert nascheiding
Verwerkingslocatie 2</t>
  </si>
  <si>
    <t>Leudal 
Verwerkingslocatie 1</t>
  </si>
  <si>
    <t>Leudal
Verwerkingslocatie 2</t>
  </si>
  <si>
    <t>Leudal (RD Maasland)</t>
  </si>
  <si>
    <t>Maasgouw (RD Maasland)</t>
  </si>
  <si>
    <t>Maasgouw
Verwerkingslocatie 1</t>
  </si>
  <si>
    <t>Maasgouw
Verwerkingslocatie 2</t>
  </si>
  <si>
    <t>Roerdalen (RD Maasland)</t>
  </si>
  <si>
    <t>Roerdalen
Verwerkingslocatie 1</t>
  </si>
  <si>
    <t>Roerdalen
Verwerkingslocatie 2</t>
  </si>
  <si>
    <t>Echt-Susteren (RWM)</t>
  </si>
  <si>
    <t>Echt-Susteren
Verwerkingslocatie 1</t>
  </si>
  <si>
    <t>Stein (RWM)</t>
  </si>
  <si>
    <t>Stein
Verwerkingslocatie 1</t>
  </si>
  <si>
    <t>Stein
Verwerkingslocatie 2</t>
  </si>
  <si>
    <t>Echt-Susteren
Verwerkingslocatie 2</t>
  </si>
  <si>
    <t>Beek (RWM)</t>
  </si>
  <si>
    <t>Beek
Verwerkingslocatie 1</t>
  </si>
  <si>
    <t>Beek
Verwerkingslocatie 2</t>
  </si>
  <si>
    <t>Sittard Geleen (RWM)</t>
  </si>
  <si>
    <t>Sittard Geleen
Verwerkingslocatie 1</t>
  </si>
  <si>
    <t>Sittard Geleen
Verwerkingslocatie 2</t>
  </si>
  <si>
    <t>RWM Na te Scheiden HRA
Verwerkingslocatie 1</t>
  </si>
  <si>
    <t>Verwerkingslocatie  1 (bron gescheiden afval)</t>
  </si>
  <si>
    <t>Behaalde fictieve toeslag door transport</t>
  </si>
  <si>
    <t>Fictieve Prijs per ton</t>
  </si>
  <si>
    <t>Prijs voor ontvangst</t>
  </si>
  <si>
    <t>PR-11</t>
  </si>
  <si>
    <t>PR-12</t>
  </si>
  <si>
    <t>PR-13</t>
  </si>
  <si>
    <t xml:space="preserve">In PR-6 en  PR-9 wordt het maximale ppercentage bepaald waarover de WBM kan worden geheven. Dit percentage volgt automatisch door de produktstromen te sommeren die niet worden verbrand, of na verbranding worden terug gewonnen. Opdrachtgever betaalt geen WBM over de uitgesorteerde (of na verbranding teruggewonnen) deelstromen. </t>
  </si>
  <si>
    <t>Optionele meerprijs (wordt niet meegenomen in de gunning)</t>
  </si>
  <si>
    <t>Ontvangst en Transport na te scheiden HRA Maastricht</t>
  </si>
  <si>
    <t>Aangepast</t>
  </si>
  <si>
    <t>Behaalde fictieve korting door verwerking</t>
  </si>
  <si>
    <r>
      <t>CO</t>
    </r>
    <r>
      <rPr>
        <b/>
        <vertAlign val="subscript"/>
        <sz val="9"/>
        <color theme="1"/>
        <rFont val="Calibri  "/>
      </rPr>
      <t>2</t>
    </r>
    <r>
      <rPr>
        <b/>
        <sz val="9"/>
        <color theme="1"/>
        <rFont val="Calibri  "/>
      </rPr>
      <t xml:space="preserve"> WTW (in tonnen) voor transport naar verwerkingslocatie 1:</t>
    </r>
  </si>
  <si>
    <r>
      <t>CO</t>
    </r>
    <r>
      <rPr>
        <vertAlign val="subscript"/>
        <sz val="9"/>
        <color theme="1"/>
        <rFont val="Calibri  "/>
      </rPr>
      <t>2</t>
    </r>
    <r>
      <rPr>
        <sz val="9"/>
        <color theme="1"/>
        <rFont val="Calibri  "/>
      </rPr>
      <t xml:space="preserve"> (g/tkm) WTW van de modaliteit:</t>
    </r>
  </si>
  <si>
    <r>
      <t>Reductie CO</t>
    </r>
    <r>
      <rPr>
        <vertAlign val="subscript"/>
        <sz val="9"/>
        <color theme="1"/>
        <rFont val="Calibri  "/>
      </rPr>
      <t>2</t>
    </r>
    <r>
      <rPr>
        <sz val="9"/>
        <color theme="1"/>
        <rFont val="Calibri  "/>
      </rPr>
      <t xml:space="preserve"> (g/tkm) WTW door aandrijving/brandstof:</t>
    </r>
  </si>
  <si>
    <r>
      <t>CO</t>
    </r>
    <r>
      <rPr>
        <b/>
        <vertAlign val="subscript"/>
        <sz val="9"/>
        <color theme="1"/>
        <rFont val="Calibri  "/>
      </rPr>
      <t>2</t>
    </r>
    <r>
      <rPr>
        <b/>
        <sz val="9"/>
        <color theme="1"/>
        <rFont val="Calibri  "/>
      </rPr>
      <t xml:space="preserve"> WTW (in tonnen) voor transport naar verwerkingslocatie 2:</t>
    </r>
  </si>
  <si>
    <r>
      <t xml:space="preserve">Score
</t>
    </r>
    <r>
      <rPr>
        <sz val="9"/>
        <rFont val="Calibri  "/>
      </rPr>
      <t>Per ton verwerkt</t>
    </r>
  </si>
  <si>
    <r>
      <t xml:space="preserve">Weging
</t>
    </r>
    <r>
      <rPr>
        <sz val="9"/>
        <color rgb="FF000000"/>
        <rFont val="Calibri  "/>
      </rPr>
      <t>kg CO</t>
    </r>
    <r>
      <rPr>
        <vertAlign val="subscript"/>
        <sz val="9"/>
        <color rgb="FF000000"/>
        <rFont val="Calibri  "/>
      </rPr>
      <t>2</t>
    </r>
    <r>
      <rPr>
        <sz val="9"/>
        <color rgb="FF000000"/>
        <rFont val="Calibri  "/>
      </rPr>
      <t>-eq./kWh</t>
    </r>
  </si>
  <si>
    <r>
      <t xml:space="preserve">Weging
</t>
    </r>
    <r>
      <rPr>
        <sz val="9"/>
        <color rgb="FF000000"/>
        <rFont val="Calibri  "/>
      </rPr>
      <t>kg CO</t>
    </r>
    <r>
      <rPr>
        <vertAlign val="subscript"/>
        <sz val="9"/>
        <color rgb="FF000000"/>
        <rFont val="Calibri  "/>
      </rPr>
      <t>2</t>
    </r>
    <r>
      <rPr>
        <sz val="9"/>
        <color rgb="FF000000"/>
        <rFont val="Calibri  "/>
      </rPr>
      <t>-eq./Nm</t>
    </r>
    <r>
      <rPr>
        <vertAlign val="superscript"/>
        <sz val="9"/>
        <color rgb="FF000000"/>
        <rFont val="Calibri  "/>
      </rPr>
      <t>3</t>
    </r>
  </si>
  <si>
    <r>
      <t>Nm</t>
    </r>
    <r>
      <rPr>
        <vertAlign val="superscript"/>
        <sz val="9"/>
        <rFont val="Calibri  "/>
      </rPr>
      <t>3</t>
    </r>
    <r>
      <rPr>
        <sz val="9"/>
        <rFont val="Calibri  "/>
      </rPr>
      <t xml:space="preserve"> x</t>
    </r>
  </si>
  <si>
    <r>
      <t xml:space="preserve">Weging
</t>
    </r>
    <r>
      <rPr>
        <sz val="9"/>
        <color rgb="FF000000"/>
        <rFont val="Calibri  "/>
      </rPr>
      <t>kg CO</t>
    </r>
    <r>
      <rPr>
        <vertAlign val="subscript"/>
        <sz val="9"/>
        <color rgb="FF000000"/>
        <rFont val="Calibri  "/>
      </rPr>
      <t>2</t>
    </r>
    <r>
      <rPr>
        <sz val="9"/>
        <color rgb="FF000000"/>
        <rFont val="Calibri  "/>
      </rPr>
      <t>-eq./kg</t>
    </r>
  </si>
  <si>
    <r>
      <t>CO</t>
    </r>
    <r>
      <rPr>
        <vertAlign val="subscript"/>
        <sz val="9"/>
        <color rgb="FF000000"/>
        <rFont val="Calibri  "/>
      </rPr>
      <t>2</t>
    </r>
    <r>
      <rPr>
        <sz val="9"/>
        <color rgb="FF000000"/>
        <rFont val="Calibri  "/>
      </rPr>
      <t>-eq. bij emissie van alle broeikasgassen uit verbranding (2)</t>
    </r>
  </si>
  <si>
    <r>
      <t>Afgevangen CO</t>
    </r>
    <r>
      <rPr>
        <vertAlign val="subscript"/>
        <sz val="9"/>
        <color rgb="FF000000"/>
        <rFont val="Calibri  "/>
      </rPr>
      <t>2</t>
    </r>
  </si>
  <si>
    <r>
      <t>Toelichting: : een positieve CO2-score is een CO2-emissiebesparing en een negatieve een toename. 
(1) Voor energielevering en gaslevering kan een negatief getal worden ingevuld als meer energie of energiedragers gebruikt worden dan worden afgezet.
(2) In het geval dat CO2-afvang plaatsvindt, is dit de emissie die plaats zou vinden als CO2 niet afgevangen wordt.
(3) In deze aanbestedingsmethodiek worden verschillende soorten kunststoffen gelijk gewogen. In de praktijk komt de productie van mono-DKR-stromen beter uit als gekeken wordt naar de klimaatimpact. Omdat echter de afzet van een mix DKR-stroom (DKR-350) leidt tot een vergelijkbare milieu-impact als ook gekeken wordt naar landgebruik is er voor gekozen om in deze methodiek alle kunststoffen gelijk te stellen aan elkaar. Deze waarde is gekozen om biodiversiteit ook een plek te geven in de wegingsmethodiek.
(4) De toegepaste beprijzing per ton CO</t>
    </r>
    <r>
      <rPr>
        <vertAlign val="subscript"/>
        <sz val="9"/>
        <rFont val="Calibri  "/>
      </rPr>
      <t>2</t>
    </r>
    <r>
      <rPr>
        <sz val="9"/>
        <rFont val="Calibri  "/>
      </rPr>
      <t>-eq. is indicatief, de beprijzing wordt door beleidsmatig nog vastgesteld.</t>
    </r>
  </si>
  <si>
    <r>
      <t>CO</t>
    </r>
    <r>
      <rPr>
        <vertAlign val="subscript"/>
        <sz val="9"/>
        <rFont val="Calibri  "/>
      </rPr>
      <t>2</t>
    </r>
    <r>
      <rPr>
        <sz val="9"/>
        <rFont val="Calibri  "/>
      </rPr>
      <t xml:space="preserve"> -"weging" per ton CO</t>
    </r>
    <r>
      <rPr>
        <vertAlign val="subscript"/>
        <sz val="9"/>
        <rFont val="Calibri  "/>
      </rPr>
      <t>2</t>
    </r>
    <r>
      <rPr>
        <sz val="9"/>
        <rFont val="Calibri  "/>
      </rPr>
      <t>-eq. (4)</t>
    </r>
  </si>
  <si>
    <r>
      <t xml:space="preserve">Prijs per eenheid (A) excl. btw </t>
    </r>
    <r>
      <rPr>
        <b/>
        <sz val="9"/>
        <color theme="1"/>
        <rFont val="Calibri  "/>
      </rPr>
      <t>(1)</t>
    </r>
  </si>
  <si>
    <r>
      <t xml:space="preserve">Aantal (B) </t>
    </r>
    <r>
      <rPr>
        <b/>
        <sz val="9"/>
        <color theme="1"/>
        <rFont val="Calibri  "/>
      </rPr>
      <t>(3)</t>
    </r>
  </si>
  <si>
    <r>
      <rPr>
        <b/>
        <sz val="10"/>
        <color theme="1"/>
        <rFont val="Calibri  "/>
      </rPr>
      <t>B)</t>
    </r>
    <r>
      <rPr>
        <sz val="10"/>
        <color theme="1"/>
        <rFont val="Calibri  "/>
      </rPr>
      <t xml:space="preserve"> Wat is de afstand in kilometers vanaf deze ontvangstlocatie  tot deze verwerkingslocatie?</t>
    </r>
  </si>
  <si>
    <r>
      <rPr>
        <b/>
        <sz val="10"/>
        <color theme="1"/>
        <rFont val="Calibri  "/>
      </rPr>
      <t>C)</t>
    </r>
    <r>
      <rPr>
        <sz val="10"/>
        <color theme="1"/>
        <rFont val="Calibri  "/>
      </rPr>
      <t xml:space="preserve"> Wat is de transportmodaliteit voor tenminste 85% van de af te leggen afstand?</t>
    </r>
  </si>
  <si>
    <r>
      <rPr>
        <b/>
        <sz val="10"/>
        <color theme="1"/>
        <rFont val="Calibri  "/>
      </rPr>
      <t xml:space="preserve">D) </t>
    </r>
    <r>
      <rPr>
        <sz val="10"/>
        <color theme="1"/>
        <rFont val="Calibri  "/>
      </rPr>
      <t>Welke aandrijving/brandstof wordt voor tenminste 85% van de af te leggen afstand gebruikt?</t>
    </r>
  </si>
  <si>
    <r>
      <rPr>
        <b/>
        <sz val="10"/>
        <color theme="1"/>
        <rFont val="Calibri  "/>
      </rPr>
      <t>A)</t>
    </r>
    <r>
      <rPr>
        <sz val="10"/>
        <color theme="1"/>
        <rFont val="Calibri  "/>
      </rPr>
      <t xml:space="preserve"> Welk percentage van het HRA gaat er vanaf de ontvangstocatie voor Beesel naar deze verwerkingslocatie?</t>
    </r>
  </si>
  <si>
    <r>
      <rPr>
        <b/>
        <sz val="10"/>
        <color theme="1"/>
        <rFont val="Calibri  "/>
      </rPr>
      <t>B)</t>
    </r>
    <r>
      <rPr>
        <sz val="10"/>
        <color theme="1"/>
        <rFont val="Calibri  "/>
      </rPr>
      <t xml:space="preserve"> Wat is de afstand in kilometers vanaf de ontvangstlocatie tot deze verwerkingslocatie?</t>
    </r>
  </si>
  <si>
    <r>
      <rPr>
        <b/>
        <sz val="10"/>
        <color theme="1"/>
        <rFont val="Calibri  "/>
      </rPr>
      <t>A)</t>
    </r>
    <r>
      <rPr>
        <sz val="10"/>
        <color theme="1"/>
        <rFont val="Calibri  "/>
      </rPr>
      <t xml:space="preserve"> Welk percentage van het HRA gaat er vanaf de ontvangstocatie voor Bergen  naar deze verwerkingslocatie?</t>
    </r>
  </si>
  <si>
    <r>
      <rPr>
        <b/>
        <sz val="10"/>
        <color theme="1"/>
        <rFont val="Calibri  "/>
      </rPr>
      <t>A)</t>
    </r>
    <r>
      <rPr>
        <sz val="10"/>
        <color theme="1"/>
        <rFont val="Calibri  "/>
      </rPr>
      <t xml:space="preserve"> Welk percentage van het HRA gaat er vanaf de ontvangstocatie voor Gennep  naar deze verwerkingslocatie?</t>
    </r>
  </si>
  <si>
    <r>
      <rPr>
        <b/>
        <sz val="10"/>
        <color theme="1"/>
        <rFont val="Calibri  "/>
      </rPr>
      <t>A)</t>
    </r>
    <r>
      <rPr>
        <sz val="10"/>
        <color theme="1"/>
        <rFont val="Calibri  "/>
      </rPr>
      <t xml:space="preserve"> Welk percentage van het HRA gaat er vanaf de ontvangstlocatie voor Venlo naar deze verwerkingslocatie?</t>
    </r>
  </si>
  <si>
    <t>Verwerkingslocatie 1: verwerkingslocatie voor brongescheiden HRA c.a.</t>
  </si>
  <si>
    <r>
      <rPr>
        <b/>
        <sz val="10"/>
        <color theme="1"/>
        <rFont val="Calibri  "/>
      </rPr>
      <t>A)</t>
    </r>
    <r>
      <rPr>
        <sz val="10"/>
        <color theme="1"/>
        <rFont val="Calibri  "/>
      </rPr>
      <t xml:space="preserve"> Welk percentage van het HRA c.a. gaat er vanaf de ontvangstlocatie voor Maastricht naar deze verwerkingslocatie?</t>
    </r>
  </si>
  <si>
    <r>
      <rPr>
        <b/>
        <sz val="10"/>
        <color theme="0"/>
        <rFont val="Calibri  "/>
      </rPr>
      <t>A)</t>
    </r>
    <r>
      <rPr>
        <sz val="10"/>
        <color theme="0"/>
        <rFont val="Calibri  "/>
      </rPr>
      <t xml:space="preserve"> Welk percentage van het HRA gaat er vanaf de ontvangstlocatie voor Weert naar deze verwerkingslocatie?</t>
    </r>
  </si>
  <si>
    <r>
      <rPr>
        <b/>
        <sz val="10"/>
        <color theme="0"/>
        <rFont val="Calibri  "/>
      </rPr>
      <t>A)</t>
    </r>
    <r>
      <rPr>
        <sz val="10"/>
        <color theme="0"/>
        <rFont val="Calibri  "/>
      </rPr>
      <t xml:space="preserve"> Welk percentage van het HRA gaat er vanaf de ontvangstlocatie voor RWM naar deze verwerkingslocatie?</t>
    </r>
  </si>
  <si>
    <t xml:space="preserve">RWM Na te scheiden HRA c.a. </t>
  </si>
  <si>
    <t>Verwerkingslocatie 1 brongescheiden HRA c.a. – gedetailleerde methodiek</t>
  </si>
  <si>
    <r>
      <t xml:space="preserve">Hoeveelheid
</t>
    </r>
    <r>
      <rPr>
        <sz val="9"/>
        <color rgb="FF000000"/>
        <rFont val="Calibri  "/>
      </rPr>
      <t>per ton HRA c.a. afval verwerkt</t>
    </r>
  </si>
  <si>
    <r>
      <t xml:space="preserve">Totale CO2-equivalent impact HRA c.a.-verwerking:
</t>
    </r>
    <r>
      <rPr>
        <b/>
        <i/>
        <sz val="10"/>
        <rFont val="Calibri  "/>
      </rPr>
      <t>Positieve waarde = besparing</t>
    </r>
  </si>
  <si>
    <t>Bijlage 04B
Tab 3: Prijsinvulformulier perceel 2 HRA c.a.</t>
  </si>
  <si>
    <t>De prijs voor verwerking van HRA c.a. met nascheiding mag niet hoger zijn dan de prijs voor HRA c.a. zonder nascheiding, zoals opgegeven bij PR-5</t>
  </si>
  <si>
    <t>Verwerking van HRA c.a. zonder nascheiding</t>
  </si>
  <si>
    <t>Bijlage 04B
Tab 5: Formulier Logistiek perceel 2 HRA c.a.</t>
  </si>
  <si>
    <t>Hanzeplaats 1</t>
  </si>
  <si>
    <t>Bijlage 04B
Tab 4: Fictieve inschrijfprijs perceel 2 HRA.c.a.</t>
  </si>
  <si>
    <t xml:space="preserve">Inschrijver is verantwoordelijk voor een zorgvuldige invulling van alle relevante invulvelden (bruin gearceerd).  </t>
  </si>
  <si>
    <t>Instructies voor het invullen van invulformulier gunningscriteria en formulier logistiek:</t>
  </si>
  <si>
    <t xml:space="preserve">Inschrijver past, op straffe van uitsluiting, alleen de bruin gearceerde cellen aan. Inschrijver moet alle bruin gearceerde cellen correct en ondubbelzinnig invullen. </t>
  </si>
  <si>
    <r>
      <t xml:space="preserve">Prijs per eenheid (A) excl. btw </t>
    </r>
    <r>
      <rPr>
        <b/>
        <sz val="10"/>
        <color theme="1"/>
        <rFont val="Calibri  "/>
      </rPr>
      <t>(1)</t>
    </r>
  </si>
  <si>
    <r>
      <t xml:space="preserve">Aantal (B) </t>
    </r>
    <r>
      <rPr>
        <b/>
        <sz val="10"/>
        <color theme="1"/>
        <rFont val="Calibri  "/>
      </rPr>
      <t>(3)</t>
    </r>
  </si>
  <si>
    <r>
      <t xml:space="preserve">Prijs per eenheid voor verwerking(A) </t>
    </r>
    <r>
      <rPr>
        <b/>
        <sz val="10"/>
        <color theme="1"/>
        <rFont val="Calibri  "/>
      </rPr>
      <t>(1)</t>
    </r>
  </si>
  <si>
    <r>
      <t xml:space="preserve">Aandeel waarover WBM moet worden betaald </t>
    </r>
    <r>
      <rPr>
        <b/>
        <sz val="10"/>
        <color theme="1"/>
        <rFont val="Calibri  "/>
      </rPr>
      <t>(6)</t>
    </r>
  </si>
  <si>
    <r>
      <t>Verwerkingsprijs voor HRA c.a. inclusief nascheiding</t>
    </r>
    <r>
      <rPr>
        <b/>
        <sz val="10"/>
        <color theme="1"/>
        <rFont val="Calibri  "/>
      </rPr>
      <t xml:space="preserve"> (5)</t>
    </r>
    <r>
      <rPr>
        <sz val="10"/>
        <color theme="1"/>
        <rFont val="Calibri  "/>
      </rPr>
      <t xml:space="preserve"> </t>
    </r>
  </si>
  <si>
    <r>
      <t xml:space="preserve">Prijs voor verwerking (excl. WBM) </t>
    </r>
    <r>
      <rPr>
        <b/>
        <sz val="10"/>
        <color theme="1"/>
        <rFont val="Calibri  "/>
      </rPr>
      <t>(7)</t>
    </r>
  </si>
  <si>
    <t>Subtotalen 
Jaarlijkse kosten excl. btw</t>
  </si>
  <si>
    <r>
      <t xml:space="preserve">Prijs per eenheid </t>
    </r>
    <r>
      <rPr>
        <b/>
        <sz val="10"/>
        <color theme="1"/>
        <rFont val="Calibri  "/>
      </rPr>
      <t>(1)</t>
    </r>
    <r>
      <rPr>
        <sz val="10"/>
        <color theme="1"/>
        <rFont val="Calibri  "/>
      </rPr>
      <t xml:space="preserve"> excl. Btw</t>
    </r>
  </si>
  <si>
    <r>
      <t xml:space="preserve">Aantal </t>
    </r>
    <r>
      <rPr>
        <b/>
        <sz val="10"/>
        <color theme="1"/>
        <rFont val="Calibri  "/>
      </rPr>
      <t>(3)</t>
    </r>
  </si>
  <si>
    <t>Verwerking HRA c.a.</t>
  </si>
  <si>
    <r>
      <t xml:space="preserve">WBM d.d. 21-12-2022 </t>
    </r>
    <r>
      <rPr>
        <b/>
        <sz val="10"/>
        <color theme="1"/>
        <rFont val="Calibri  "/>
      </rPr>
      <t>(5)</t>
    </r>
  </si>
  <si>
    <t>PR-7 wordt door het formulier berekend a.d.h.v. in PR-6, PR-9 en PR-10 ingevulde waarden.</t>
  </si>
  <si>
    <t xml:space="preserve">2. Inschrijver vult in het inschrijfformulier een tarief voor het verwerken van HRA c.a. en de kosten inschrijver voor overslag en natransport in, zijnde bedragen per eenheid in euro's (€). De genoemde tarieven zijn exclusief BTW enmet automatische berekening van de WBM en alle overige kosten ten behoeve van de dienstverlening. </t>
  </si>
  <si>
    <t>Verwerkingslocatie 2: verwerkingslocatie voor brongescheiden HRA c.a.</t>
  </si>
  <si>
    <t>Verwerkingslocatie 3: verwerkingslocatie voor nascheiding HRA c.a.</t>
  </si>
  <si>
    <t>Wat is de aangeboden ontvangstlocatie? Minimaal de volgende gegevens moeten worden verstrekt:
- volledige naam van de ontvangstlocatie;
- volledig adres van de ontvangstlocatie;
- eigenaar van de ontvangstlocatie.</t>
  </si>
  <si>
    <t>Naam:
Adres:
Eigenaar:</t>
  </si>
  <si>
    <r>
      <rPr>
        <b/>
        <sz val="10"/>
        <rFont val="Calibri  "/>
      </rPr>
      <t>A)</t>
    </r>
    <r>
      <rPr>
        <sz val="10"/>
        <rFont val="Calibri  "/>
      </rPr>
      <t xml:space="preserve"> Welk percentage van het HRA gaat er vanaf de ontvangstlocatie voor Beesel naar deze verwerkingslocatie?</t>
    </r>
  </si>
  <si>
    <r>
      <rPr>
        <b/>
        <sz val="10"/>
        <rFont val="Calibri  "/>
      </rPr>
      <t>A)</t>
    </r>
    <r>
      <rPr>
        <sz val="10"/>
        <rFont val="Calibri  "/>
      </rPr>
      <t xml:space="preserve"> Welk percentage van het HRA gaat er vanaf de ontvangstlocatie voor Bergen naar deze verwerkingslocatie?</t>
    </r>
  </si>
  <si>
    <r>
      <rPr>
        <b/>
        <sz val="10"/>
        <rFont val="Calibri  "/>
      </rPr>
      <t>A)</t>
    </r>
    <r>
      <rPr>
        <sz val="10"/>
        <rFont val="Calibri  "/>
      </rPr>
      <t xml:space="preserve"> Welk percentage van het HRA gaat er vanaf de ontvangstlocatie voor Gennep naar deze verwerkingslocatie?</t>
    </r>
  </si>
  <si>
    <r>
      <rPr>
        <b/>
        <sz val="10"/>
        <rFont val="Calibri  "/>
      </rPr>
      <t>A)</t>
    </r>
    <r>
      <rPr>
        <sz val="10"/>
        <rFont val="Calibri  "/>
      </rPr>
      <t xml:space="preserve"> Welk percentage van het HRA gaat er vanaf de ontvangstlocatie voor Horst aan de Maas naar deze verwerkingslocatie?</t>
    </r>
  </si>
  <si>
    <t>Maastricht en GR Geul en Maas
Verwerkingslocatie 3</t>
  </si>
  <si>
    <r>
      <rPr>
        <b/>
        <sz val="10"/>
        <rFont val="Calibri  "/>
      </rPr>
      <t>A)</t>
    </r>
    <r>
      <rPr>
        <sz val="10"/>
        <rFont val="Calibri  "/>
      </rPr>
      <t xml:space="preserve"> Welk percentage van het HRA gaat er vanaf de ontvangstlocatie voor Meerssen naar deze verwerkingslocatie?</t>
    </r>
  </si>
  <si>
    <r>
      <rPr>
        <b/>
        <sz val="10"/>
        <rFont val="Calibri  "/>
      </rPr>
      <t>A)</t>
    </r>
    <r>
      <rPr>
        <sz val="10"/>
        <rFont val="Calibri  "/>
      </rPr>
      <t xml:space="preserve"> Welk percentage van het HRA gaat er vanaf de ontvangstlocatie voor Nederweert naar deze verwerkingslocatie?</t>
    </r>
  </si>
  <si>
    <r>
      <rPr>
        <b/>
        <sz val="10"/>
        <rFont val="Calibri  "/>
      </rPr>
      <t>A)</t>
    </r>
    <r>
      <rPr>
        <sz val="10"/>
        <rFont val="Calibri  "/>
      </rPr>
      <t xml:space="preserve"> Welk percentage van het HRA gaat er vanaf de ontvangstlocatie voor Peel en Maas naar deze verwerkingslocatie?</t>
    </r>
  </si>
  <si>
    <r>
      <rPr>
        <b/>
        <sz val="10"/>
        <rFont val="Calibri  "/>
      </rPr>
      <t>A)</t>
    </r>
    <r>
      <rPr>
        <sz val="10"/>
        <rFont val="Calibri  "/>
      </rPr>
      <t xml:space="preserve"> Welk percentage van het HRA gaat er vanaf de ontvangstlocatie voor Roermond naar deze verwerkingslocatie?</t>
    </r>
  </si>
  <si>
    <r>
      <rPr>
        <b/>
        <sz val="10"/>
        <rFont val="Calibri  "/>
      </rPr>
      <t>A)</t>
    </r>
    <r>
      <rPr>
        <sz val="10"/>
        <rFont val="Calibri  "/>
      </rPr>
      <t xml:space="preserve"> Welk percentage van het HRA gaat er vanaf de ontvangstlocatie voor Valkenburg aan de Geul naar deze verwerkingslocatie?</t>
    </r>
  </si>
  <si>
    <r>
      <t>CO</t>
    </r>
    <r>
      <rPr>
        <b/>
        <vertAlign val="subscript"/>
        <sz val="9"/>
        <color theme="1"/>
        <rFont val="Calibri  "/>
      </rPr>
      <t>2</t>
    </r>
    <r>
      <rPr>
        <b/>
        <sz val="9"/>
        <color theme="1"/>
        <rFont val="Calibri  "/>
      </rPr>
      <t xml:space="preserve"> WTW (in tonnen) voor transport naar verwerkingslocatie 3:</t>
    </r>
  </si>
  <si>
    <t>Venlo nascheiding
Verwerkingslocatie 3</t>
  </si>
  <si>
    <r>
      <rPr>
        <b/>
        <sz val="10"/>
        <rFont val="Calibri  "/>
      </rPr>
      <t>A)</t>
    </r>
    <r>
      <rPr>
        <sz val="10"/>
        <rFont val="Calibri  "/>
      </rPr>
      <t xml:space="preserve"> Welk percentage van het HRA gaat er vanaf de ontvangstlocatie voor Venray naar deze verwerkingslocatie?</t>
    </r>
  </si>
  <si>
    <t>Weert nascheiding
Verwerkingslocatie 3</t>
  </si>
  <si>
    <r>
      <rPr>
        <b/>
        <sz val="10"/>
        <rFont val="Calibri  "/>
      </rPr>
      <t>A)</t>
    </r>
    <r>
      <rPr>
        <sz val="10"/>
        <rFont val="Calibri  "/>
      </rPr>
      <t xml:space="preserve"> Welk percentage van het HRA gaat er vanaf de ontvangstlocatie voor Maasgouw naar deze verwerkingslocatie?</t>
    </r>
  </si>
  <si>
    <r>
      <rPr>
        <b/>
        <sz val="10"/>
        <rFont val="Calibri  "/>
      </rPr>
      <t>A)</t>
    </r>
    <r>
      <rPr>
        <sz val="10"/>
        <rFont val="Calibri  "/>
      </rPr>
      <t xml:space="preserve"> Welk percentage van het HRA gaat er vanaf de ontvangstlocatie voor Roerdalen naar deze verwerkingslocatie?</t>
    </r>
  </si>
  <si>
    <r>
      <rPr>
        <b/>
        <sz val="10"/>
        <rFont val="Calibri  "/>
      </rPr>
      <t>A)</t>
    </r>
    <r>
      <rPr>
        <sz val="10"/>
        <rFont val="Calibri  "/>
      </rPr>
      <t xml:space="preserve"> Welk percentage van het HRA gaat er vanaf de ontvangstlocatie voor Echt Susteren naar deze verwerkingslocatie?</t>
    </r>
  </si>
  <si>
    <r>
      <rPr>
        <b/>
        <sz val="10"/>
        <rFont val="Calibri  "/>
      </rPr>
      <t>A)</t>
    </r>
    <r>
      <rPr>
        <sz val="10"/>
        <rFont val="Calibri  "/>
      </rPr>
      <t xml:space="preserve"> Welk percentage van het HRA gaat er vanaf de ontvangstlocatie voor Stein naar deze verwerkingslocatie?</t>
    </r>
  </si>
  <si>
    <r>
      <rPr>
        <b/>
        <sz val="10"/>
        <rFont val="Calibri  "/>
      </rPr>
      <t>A)</t>
    </r>
    <r>
      <rPr>
        <sz val="10"/>
        <rFont val="Calibri  "/>
      </rPr>
      <t xml:space="preserve"> Welk percentage van het HRA gaat er vanaf de ontvangstlocatie voor Beek naar deze verwerkingslocatie?</t>
    </r>
  </si>
  <si>
    <r>
      <rPr>
        <b/>
        <sz val="10"/>
        <rFont val="Calibri  "/>
      </rPr>
      <t>A)</t>
    </r>
    <r>
      <rPr>
        <sz val="10"/>
        <rFont val="Calibri  "/>
      </rPr>
      <t xml:space="preserve"> Welk percentage van het HRA gaat er vanaf de ontvangstlocatie voor Sittard Geleen naar deze verwerkingslocatie?</t>
    </r>
  </si>
  <si>
    <t>Naam:
Adres:
Eigenaar:</t>
  </si>
  <si>
    <t>RWM Na te scheiden HRA c.a.
Verwerkingslocatie 3</t>
  </si>
  <si>
    <r>
      <rPr>
        <b/>
        <sz val="10"/>
        <rFont val="Calibri  "/>
      </rPr>
      <t>A)</t>
    </r>
    <r>
      <rPr>
        <sz val="10"/>
        <rFont val="Calibri  "/>
      </rPr>
      <t xml:space="preserve"> Welk percentage van het brongescheiden HRA gaat er vanaf de ontvangstlocatie voor Venlo naar deze verwerkingslocatie?</t>
    </r>
  </si>
  <si>
    <r>
      <rPr>
        <b/>
        <sz val="10"/>
        <rFont val="Calibri  "/>
      </rPr>
      <t>A)</t>
    </r>
    <r>
      <rPr>
        <sz val="10"/>
        <rFont val="Calibri  "/>
      </rPr>
      <t xml:space="preserve"> Welk percentage van het HRA gaat er vanaf de ontvangstlocatie voor Leudal naar deze verwerkingslocatie?</t>
    </r>
  </si>
  <si>
    <t>Verwerkingslocatie  2 (brongescheiden afval)</t>
  </si>
  <si>
    <t>Verwerkings locatie 2 bron gescheiden HRA c.a. – gedetailleerde methodiek</t>
  </si>
  <si>
    <t>Verwerkingslocatie  3 (na te scheiden afval)</t>
  </si>
  <si>
    <t>Verwerkings locatie 3 bron na te scheiden HRA c.a. – gedetailleerde methodiek</t>
  </si>
  <si>
    <t>Ontvangst en Transport brongescheiden HRA C.A. locatie 1</t>
  </si>
  <si>
    <t>Ontvangst en Transport na te scheiden HRA c.a. locatie 3</t>
  </si>
  <si>
    <t>Ontvangst en Transport brongescheiden HRA c.a. locatie 2</t>
  </si>
  <si>
    <t>Wat is de aangeboden verwerkingslocatie? Minimaal de volgende gegevens moeten worden verstrekt:
- volledige naam van de verwerkingslocatie;
- volledig adres van de verwerkingslocatie;
- eigenaar van de verwerkingslocatie.</t>
  </si>
  <si>
    <r>
      <t xml:space="preserve"> </t>
    </r>
    <r>
      <rPr>
        <sz val="9"/>
        <rFont val="Calibri  "/>
      </rPr>
      <t xml:space="preserve">% van het totale brongescheiden afval van dit perceel dat in deze verwerkingsinstallatie wordt verwerkt? </t>
    </r>
  </si>
  <si>
    <r>
      <t xml:space="preserve"> </t>
    </r>
    <r>
      <rPr>
        <sz val="9"/>
        <rFont val="Calibri  "/>
      </rPr>
      <t xml:space="preserve">% van het totale brongescheiden  afval van dit perceel dat in deze verwerkingsinstallatie wordt verwerkt? </t>
    </r>
  </si>
  <si>
    <t>5912 AT</t>
  </si>
  <si>
    <t>Wat is de aangeboden verwerkingslocatie? Minimaal de volgende gegevens moeten worden verstrekt:
- volledige naam van de ontvangstlocatie;
- volledig adres van de ontvangstlocatie;
- eigenaar van de ontvangstlocatie.</t>
  </si>
  <si>
    <t>3. Inschrijver dient in het invulformulier gunningscriteria en formulier logistiek het adres van de ontvangstlocatie(s) in te vullen en de afstand van het adres van de door aanbestedende dienst opgegegeven locatie van het betreffende perceel tot aan de ontvangstlocatie van inschrijver.
De transportafstanden voor transport over de weg dienen door de inschrijver te worden opgegeven op grond van de online routeplanner van Routenet (http://www.routenet.nl/default.aspx). Als instellingen dienen de volgende waarden te worden gehanteerd (voertuig: Truck 40T, optimalisatie: kortste; vermijden: veerpont) conform eis O-7. Zie ook BIJLAGE  	INSTRUCTIE REISTIJD BEREKENING - ROUTENET
De kilometerafstand dient afgerond te worden op hele getallen.</t>
  </si>
  <si>
    <t>Inschrijver scheidt het aangeboden HRA c.a. na conform eis VH-7.  Indien "ja" dan voert de inschrijver ook nascheiding uit op niet brongescheiden HRA c.a. conform de richtlijnen van het Afvalfonds."
Indien bij perceel 2 de inschrijver bij KG-3 "ja" invult dan hebben de individuele inschrijvers de mogelijkheid om gedurende de eerste initiële looptijd over te gaan van bron- naar nascheiding.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</si>
</sst>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0_ ;\-#,##0\ "/>
    <numFmt numFmtId="165" formatCode="&quot;€&quot;\ #,##0.00"/>
    <numFmt numFmtId="166" formatCode="0.0"/>
    <numFmt numFmtId="167" formatCode="0.0&quot; km&quot;"/>
    <numFmt numFmtId="168" formatCode="&quot;€&quot;\ #,##0.000"/>
    <numFmt numFmtId="169" formatCode="0.000"/>
    <numFmt numFmtId="170" formatCode="0.000000%"/>
  </numFmts>
  <fonts count="55">
    <font>
      <sz val="11"/>
      <color theme="1"/>
      <name val="Calibri"/>
      <family val="2"/>
      <scheme val="minor"/>
    </font>
    <font>
      <sz val="11"/>
      <color theme="1"/>
      <name val="Calibri"/>
      <family val="2"/>
      <scheme val="minor"/>
    </font>
    <font>
      <sz val="10"/>
      <name val="Arial"/>
      <family val="2"/>
    </font>
    <font>
      <sz val="9"/>
      <color theme="1"/>
      <name val="Century Gothic"/>
      <family val="2"/>
    </font>
    <font>
      <sz val="8"/>
      <name val="Calibri"/>
      <family val="2"/>
      <scheme val="minor"/>
    </font>
    <font>
      <sz val="10"/>
      <color theme="1"/>
      <name val="Calibri"/>
      <family val="2"/>
      <scheme val="minor"/>
    </font>
    <font>
      <i/>
      <sz val="10"/>
      <color theme="1"/>
      <name val="Calibri"/>
      <family val="2"/>
      <scheme val="minor"/>
    </font>
    <font>
      <sz val="10"/>
      <color indexed="8"/>
      <name val="Calibri"/>
      <family val="2"/>
      <scheme val="minor"/>
    </font>
    <font>
      <sz val="11"/>
      <name val="Calibri"/>
      <family val="2"/>
      <scheme val="minor"/>
    </font>
    <font>
      <u/>
      <sz val="11"/>
      <name val="Calibri"/>
      <family val="2"/>
      <scheme val="minor"/>
    </font>
    <font>
      <sz val="10"/>
      <color theme="1"/>
      <name val="Calibri  "/>
    </font>
    <font>
      <b/>
      <sz val="14"/>
      <color theme="0"/>
      <name val="Calibri  "/>
    </font>
    <font>
      <sz val="9"/>
      <color theme="1"/>
      <name val="Calibri  "/>
    </font>
    <font>
      <b/>
      <sz val="9"/>
      <color theme="1"/>
      <name val="Calibri  "/>
    </font>
    <font>
      <sz val="11"/>
      <color theme="1"/>
      <name val="Calibri  "/>
    </font>
    <font>
      <b/>
      <sz val="11"/>
      <color theme="0"/>
      <name val="Calibri  "/>
    </font>
    <font>
      <b/>
      <sz val="9"/>
      <name val="Calibri  "/>
    </font>
    <font>
      <b/>
      <vertAlign val="subscript"/>
      <sz val="9"/>
      <color theme="1"/>
      <name val="Calibri  "/>
    </font>
    <font>
      <vertAlign val="subscript"/>
      <sz val="9"/>
      <color theme="1"/>
      <name val="Calibri  "/>
    </font>
    <font>
      <sz val="11"/>
      <color rgb="FFFF0000"/>
      <name val="Calibri  "/>
    </font>
    <font>
      <b/>
      <sz val="10"/>
      <color indexed="9"/>
      <name val="Calibri  "/>
    </font>
    <font>
      <sz val="9"/>
      <name val="Calibri  "/>
    </font>
    <font>
      <b/>
      <sz val="9"/>
      <color rgb="FF000000"/>
      <name val="Calibri  "/>
    </font>
    <font>
      <sz val="9"/>
      <color rgb="FF000000"/>
      <name val="Calibri  "/>
    </font>
    <font>
      <vertAlign val="subscript"/>
      <sz val="9"/>
      <color rgb="FF000000"/>
      <name val="Calibri  "/>
    </font>
    <font>
      <vertAlign val="superscript"/>
      <sz val="9"/>
      <color rgb="FF000000"/>
      <name val="Calibri  "/>
    </font>
    <font>
      <vertAlign val="superscript"/>
      <sz val="9"/>
      <name val="Calibri  "/>
    </font>
    <font>
      <b/>
      <sz val="10"/>
      <name val="Calibri  "/>
    </font>
    <font>
      <b/>
      <i/>
      <sz val="10"/>
      <name val="Calibri  "/>
    </font>
    <font>
      <vertAlign val="subscript"/>
      <sz val="9"/>
      <name val="Calibri  "/>
    </font>
    <font>
      <b/>
      <sz val="9"/>
      <color theme="0"/>
      <name val="Calibri  "/>
    </font>
    <font>
      <b/>
      <sz val="11"/>
      <color theme="1"/>
      <name val="Calibri  "/>
    </font>
    <font>
      <b/>
      <sz val="9"/>
      <color rgb="FFFF0000"/>
      <name val="Calibri  "/>
    </font>
    <font>
      <sz val="9"/>
      <color rgb="FFFF0000"/>
      <name val="Calibri  "/>
    </font>
    <font>
      <sz val="9"/>
      <color theme="0" tint="-0.14999847407452621"/>
      <name val="Calibri  "/>
    </font>
    <font>
      <b/>
      <sz val="12"/>
      <color indexed="9"/>
      <name val="Calibri  "/>
    </font>
    <font>
      <b/>
      <sz val="10"/>
      <color theme="0"/>
      <name val="Calibri  "/>
    </font>
    <font>
      <b/>
      <sz val="10"/>
      <color theme="1"/>
      <name val="Calibri  "/>
    </font>
    <font>
      <b/>
      <sz val="14"/>
      <color theme="0"/>
      <name val="Calibri"/>
      <family val="2"/>
      <scheme val="minor"/>
    </font>
    <font>
      <sz val="9"/>
      <color theme="1"/>
      <name val="Calibri"/>
      <family val="2"/>
      <scheme val="minor"/>
    </font>
    <font>
      <b/>
      <sz val="10"/>
      <color theme="1"/>
      <name val="Calibri"/>
      <family val="2"/>
      <scheme val="minor"/>
    </font>
    <font>
      <sz val="9"/>
      <color rgb="FF000000"/>
      <name val="Calibri"/>
      <family val="2"/>
      <scheme val="minor"/>
    </font>
    <font>
      <i/>
      <sz val="9"/>
      <color theme="1"/>
      <name val="Calibri"/>
      <family val="2"/>
      <scheme val="minor"/>
    </font>
    <font>
      <sz val="10"/>
      <name val="Calibri  "/>
    </font>
    <font>
      <b/>
      <sz val="14"/>
      <name val="Calibri"/>
      <family val="2"/>
      <scheme val="minor"/>
    </font>
    <font>
      <sz val="10"/>
      <color theme="0"/>
      <name val="Calibri  "/>
    </font>
    <font>
      <b/>
      <sz val="12"/>
      <color theme="0"/>
      <name val="Calibri  "/>
    </font>
    <font>
      <sz val="10"/>
      <color theme="0" tint="-0.249977111117893"/>
      <name val="Calibri  "/>
    </font>
    <font>
      <sz val="10"/>
      <color theme="0" tint="-0.14999847407452621"/>
      <name val="Calibri  "/>
    </font>
    <font>
      <b/>
      <sz val="10"/>
      <color rgb="FFFF0000"/>
      <name val="Calibri  "/>
    </font>
    <font>
      <b/>
      <sz val="10"/>
      <color theme="0" tint="-0.249977111117893"/>
      <name val="Calibri  "/>
    </font>
    <font>
      <b/>
      <sz val="10"/>
      <color theme="0" tint="-0.14999847407452621"/>
      <name val="Calibri  "/>
    </font>
    <font>
      <i/>
      <sz val="10"/>
      <color theme="1"/>
      <name val="Calibri  "/>
    </font>
    <font>
      <b/>
      <sz val="10"/>
      <color theme="0"/>
      <name val="Calibri"/>
      <family val="2"/>
      <scheme val="minor"/>
    </font>
    <font>
      <b/>
      <sz val="12"/>
      <color theme="0"/>
      <name val="Calibri"/>
      <family val="2"/>
      <scheme val="minor"/>
    </font>
  </fonts>
  <fills count="13">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indexed="9"/>
        <bgColor indexed="64"/>
      </patternFill>
    </fill>
    <fill>
      <patternFill patternType="solid">
        <fgColor rgb="FF259E62"/>
        <bgColor indexed="64"/>
      </patternFill>
    </fill>
    <fill>
      <patternFill patternType="solid">
        <fgColor rgb="FF91D888"/>
        <bgColor indexed="64"/>
      </patternFill>
    </fill>
    <fill>
      <patternFill patternType="solid">
        <fgColor theme="5" tint="0.79998168889431442"/>
        <bgColor indexed="64"/>
      </patternFill>
    </fill>
  </fills>
  <borders count="6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auto="1"/>
      </right>
      <top/>
      <bottom style="medium">
        <color auto="1"/>
      </bottom>
      <diagonal/>
    </border>
    <border>
      <left style="thin">
        <color auto="1"/>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auto="1"/>
      </right>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medium">
        <color indexed="64"/>
      </bottom>
      <diagonal/>
    </border>
    <border>
      <left style="medium">
        <color indexed="64"/>
      </left>
      <right style="thin">
        <color indexed="64"/>
      </right>
      <top/>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auto="1"/>
      </bottom>
      <diagonal/>
    </border>
    <border>
      <left style="thin">
        <color auto="1"/>
      </left>
      <right/>
      <top style="medium">
        <color indexed="64"/>
      </top>
      <bottom style="thin">
        <color auto="1"/>
      </bottom>
      <diagonal/>
    </border>
  </borders>
  <cellStyleXfs count="11">
    <xf numFmtId="0" fontId="0" fillId="0" borderId="0"/>
    <xf numFmtId="0" fontId="2" fillId="0" borderId="0"/>
    <xf numFmtId="0" fontId="3" fillId="0" borderId="0"/>
    <xf numFmtId="0" fontId="2" fillId="0" borderId="0"/>
    <xf numFmtId="44"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511">
    <xf numFmtId="0" fontId="0" fillId="0" borderId="0" xfId="0"/>
    <xf numFmtId="0" fontId="5" fillId="0" borderId="0" xfId="0" applyFont="1"/>
    <xf numFmtId="0" fontId="5" fillId="0" borderId="0" xfId="0" applyFont="1" applyProtection="1">
      <protection locked="0"/>
    </xf>
    <xf numFmtId="0" fontId="5" fillId="0" borderId="0" xfId="0" applyFont="1" applyAlignment="1" applyProtection="1">
      <alignment vertical="center"/>
      <protection locked="0"/>
    </xf>
    <xf numFmtId="0" fontId="6" fillId="0" borderId="0" xfId="0" applyFont="1" applyProtection="1">
      <protection locked="0"/>
    </xf>
    <xf numFmtId="4" fontId="5" fillId="0" borderId="0" xfId="0" applyNumberFormat="1" applyFont="1"/>
    <xf numFmtId="4" fontId="7" fillId="0" borderId="0" xfId="0" applyNumberFormat="1" applyFont="1"/>
    <xf numFmtId="10" fontId="5" fillId="0" borderId="0" xfId="8" applyNumberFormat="1" applyFont="1"/>
    <xf numFmtId="0" fontId="5" fillId="9" borderId="0" xfId="0" applyFont="1" applyFill="1"/>
    <xf numFmtId="0" fontId="8" fillId="0" borderId="0" xfId="1" applyFont="1" applyAlignment="1">
      <alignment horizontal="center" vertical="center"/>
    </xf>
    <xf numFmtId="0" fontId="8" fillId="0" borderId="0" xfId="1" applyFont="1" applyAlignment="1">
      <alignment vertical="center"/>
    </xf>
    <xf numFmtId="0" fontId="8" fillId="0" borderId="1" xfId="1" applyFont="1" applyBorder="1" applyAlignment="1">
      <alignment horizontal="center" vertical="center"/>
    </xf>
    <xf numFmtId="0" fontId="8" fillId="0" borderId="2" xfId="1" applyFont="1" applyBorder="1" applyAlignment="1">
      <alignment vertical="center"/>
    </xf>
    <xf numFmtId="0" fontId="8" fillId="0" borderId="3" xfId="1" applyFont="1" applyBorder="1" applyAlignment="1">
      <alignment vertical="center"/>
    </xf>
    <xf numFmtId="0" fontId="8" fillId="0" borderId="4" xfId="1" applyFont="1" applyBorder="1" applyAlignment="1">
      <alignment horizontal="center" vertical="center"/>
    </xf>
    <xf numFmtId="0" fontId="8" fillId="0" borderId="5" xfId="1" applyFont="1" applyBorder="1" applyAlignment="1">
      <alignment vertical="center"/>
    </xf>
    <xf numFmtId="0" fontId="9" fillId="0" borderId="4" xfId="1" applyFont="1" applyBorder="1" applyAlignment="1">
      <alignment horizontal="right" vertical="center"/>
    </xf>
    <xf numFmtId="0" fontId="10" fillId="0" borderId="0" xfId="0" applyFont="1"/>
    <xf numFmtId="0" fontId="10" fillId="0" borderId="0" xfId="0" applyFont="1" applyProtection="1">
      <protection locked="0"/>
    </xf>
    <xf numFmtId="0" fontId="10" fillId="0" borderId="0" xfId="0" applyFont="1" applyAlignment="1" applyProtection="1">
      <alignment vertical="center"/>
      <protection locked="0"/>
    </xf>
    <xf numFmtId="0" fontId="10" fillId="0" borderId="0" xfId="2" applyFont="1" applyAlignment="1">
      <alignment vertical="center"/>
    </xf>
    <xf numFmtId="0" fontId="36" fillId="0" borderId="0" xfId="2" applyFont="1" applyAlignment="1">
      <alignment vertical="center"/>
    </xf>
    <xf numFmtId="9" fontId="10" fillId="0" borderId="0" xfId="9" applyNumberFormat="1" applyFont="1" applyAlignment="1">
      <alignment vertical="center"/>
    </xf>
    <xf numFmtId="9" fontId="10" fillId="0" borderId="0" xfId="8" applyFont="1" applyAlignment="1">
      <alignment vertical="center"/>
    </xf>
    <xf numFmtId="0" fontId="10" fillId="0" borderId="0" xfId="2" applyFont="1" applyAlignment="1">
      <alignment horizontal="center" vertical="center"/>
    </xf>
    <xf numFmtId="0" fontId="0" fillId="0" borderId="0" xfId="2" applyFont="1" applyAlignment="1">
      <alignment vertical="center"/>
    </xf>
    <xf numFmtId="0" fontId="40" fillId="3" borderId="11" xfId="3" applyFont="1" applyFill="1" applyBorder="1" applyAlignment="1">
      <alignment horizontal="left" vertical="center" wrapText="1"/>
    </xf>
    <xf numFmtId="0" fontId="40" fillId="3" borderId="11" xfId="3" applyFont="1" applyFill="1" applyBorder="1" applyAlignment="1">
      <alignment horizontal="right" vertical="center" wrapText="1"/>
    </xf>
    <xf numFmtId="0" fontId="39" fillId="0" borderId="21" xfId="0" applyFont="1" applyBorder="1"/>
    <xf numFmtId="0" fontId="39" fillId="0" borderId="36" xfId="0" applyFont="1" applyBorder="1"/>
    <xf numFmtId="0" fontId="39" fillId="4" borderId="21" xfId="0" applyFont="1" applyFill="1" applyBorder="1"/>
    <xf numFmtId="167" fontId="41" fillId="4" borderId="21" xfId="0" applyNumberFormat="1" applyFont="1" applyFill="1" applyBorder="1" applyAlignment="1" applyProtection="1">
      <alignment vertical="center" wrapText="1"/>
      <protection locked="0"/>
    </xf>
    <xf numFmtId="168" fontId="39" fillId="0" borderId="21" xfId="0" applyNumberFormat="1" applyFont="1" applyBorder="1"/>
    <xf numFmtId="165" fontId="39" fillId="0" borderId="21" xfId="0" applyNumberFormat="1" applyFont="1" applyBorder="1"/>
    <xf numFmtId="1" fontId="39" fillId="0" borderId="21" xfId="0" applyNumberFormat="1" applyFont="1" applyBorder="1"/>
    <xf numFmtId="0" fontId="42" fillId="0" borderId="0" xfId="0" applyFont="1" applyProtection="1">
      <protection locked="0"/>
    </xf>
    <xf numFmtId="0" fontId="39" fillId="0" borderId="0" xfId="0" applyFont="1" applyProtection="1">
      <protection locked="0"/>
    </xf>
    <xf numFmtId="0" fontId="40" fillId="11" borderId="11" xfId="3" applyFont="1" applyFill="1" applyBorder="1" applyAlignment="1">
      <alignment horizontal="left" vertical="center" wrapText="1"/>
    </xf>
    <xf numFmtId="0" fontId="5" fillId="0" borderId="4" xfId="0" applyFont="1" applyBorder="1" applyProtection="1">
      <protection locked="0"/>
    </xf>
    <xf numFmtId="0" fontId="5" fillId="0" borderId="5" xfId="0" applyFont="1" applyBorder="1" applyProtection="1">
      <protection locked="0"/>
    </xf>
    <xf numFmtId="0" fontId="5" fillId="0" borderId="34" xfId="0" applyFont="1" applyBorder="1"/>
    <xf numFmtId="0" fontId="5" fillId="0" borderId="48" xfId="0" applyFont="1" applyBorder="1"/>
    <xf numFmtId="0" fontId="10" fillId="0" borderId="33" xfId="2" applyFont="1" applyBorder="1" applyAlignment="1" applyProtection="1">
      <alignment vertical="center"/>
      <protection hidden="1"/>
    </xf>
    <xf numFmtId="0" fontId="10" fillId="0" borderId="34" xfId="5" applyFont="1" applyBorder="1" applyAlignment="1" applyProtection="1">
      <alignment horizontal="right" vertical="center"/>
      <protection hidden="1"/>
    </xf>
    <xf numFmtId="165" fontId="10" fillId="0" borderId="48" xfId="5" applyNumberFormat="1" applyFont="1" applyBorder="1" applyAlignment="1" applyProtection="1">
      <alignment horizontal="right" vertical="center" wrapText="1"/>
      <protection hidden="1"/>
    </xf>
    <xf numFmtId="167" fontId="41" fillId="12" borderId="21" xfId="0" applyNumberFormat="1" applyFont="1" applyFill="1" applyBorder="1" applyAlignment="1" applyProtection="1">
      <alignment vertical="center" wrapText="1"/>
      <protection locked="0"/>
    </xf>
    <xf numFmtId="0" fontId="10" fillId="12" borderId="30" xfId="0" applyFont="1" applyFill="1" applyBorder="1" applyAlignment="1" applyProtection="1">
      <alignment vertical="center"/>
      <protection locked="0"/>
    </xf>
    <xf numFmtId="0" fontId="10" fillId="12" borderId="4" xfId="0" applyFont="1" applyFill="1" applyBorder="1" applyAlignment="1" applyProtection="1">
      <alignment vertical="center"/>
      <protection locked="0"/>
    </xf>
    <xf numFmtId="0" fontId="10" fillId="12" borderId="0" xfId="0" applyFont="1" applyFill="1" applyAlignment="1" applyProtection="1">
      <alignment vertical="center"/>
      <protection locked="0"/>
    </xf>
    <xf numFmtId="0" fontId="10" fillId="12" borderId="13" xfId="0" applyFont="1" applyFill="1" applyBorder="1" applyAlignment="1" applyProtection="1">
      <alignment vertical="center"/>
      <protection locked="0"/>
    </xf>
    <xf numFmtId="0" fontId="10" fillId="12" borderId="46" xfId="0" applyFont="1" applyFill="1" applyBorder="1" applyAlignment="1" applyProtection="1">
      <alignment vertical="center"/>
      <protection locked="0"/>
    </xf>
    <xf numFmtId="0" fontId="10" fillId="11" borderId="42" xfId="3" applyFont="1" applyFill="1" applyBorder="1" applyAlignment="1">
      <alignment vertical="center" wrapText="1"/>
    </xf>
    <xf numFmtId="0" fontId="10" fillId="11" borderId="44" xfId="3" applyFont="1" applyFill="1" applyBorder="1" applyAlignment="1">
      <alignment vertical="center" wrapText="1"/>
    </xf>
    <xf numFmtId="0" fontId="10" fillId="11" borderId="26" xfId="3" applyFont="1" applyFill="1" applyBorder="1" applyAlignment="1">
      <alignment vertical="center" wrapText="1"/>
    </xf>
    <xf numFmtId="0" fontId="36" fillId="10" borderId="48" xfId="1" applyFont="1" applyFill="1" applyBorder="1" applyAlignment="1">
      <alignment horizontal="center" vertical="center" wrapText="1"/>
    </xf>
    <xf numFmtId="0" fontId="10" fillId="11" borderId="33" xfId="3" applyFont="1" applyFill="1" applyBorder="1" applyAlignment="1">
      <alignment horizontal="center" vertical="center" wrapText="1"/>
    </xf>
    <xf numFmtId="0" fontId="10" fillId="11" borderId="34" xfId="3" applyFont="1" applyFill="1" applyBorder="1" applyAlignment="1">
      <alignment vertical="center" wrapText="1"/>
    </xf>
    <xf numFmtId="0" fontId="10" fillId="11" borderId="48" xfId="3" applyFont="1" applyFill="1" applyBorder="1" applyAlignment="1">
      <alignment horizontal="center" vertical="center" wrapText="1"/>
    </xf>
    <xf numFmtId="0" fontId="10" fillId="0" borderId="52" xfId="2" applyFont="1" applyBorder="1" applyAlignment="1">
      <alignment horizontal="center" vertical="center"/>
    </xf>
    <xf numFmtId="0" fontId="10" fillId="0" borderId="18" xfId="5" applyFont="1" applyBorder="1" applyAlignment="1">
      <alignment horizontal="left" vertical="center" wrapText="1"/>
    </xf>
    <xf numFmtId="44" fontId="10" fillId="0" borderId="32" xfId="4" applyFont="1" applyFill="1" applyBorder="1" applyAlignment="1" applyProtection="1">
      <alignment horizontal="center" vertical="center" wrapText="1"/>
    </xf>
    <xf numFmtId="0" fontId="10" fillId="0" borderId="25" xfId="2" applyFont="1" applyBorder="1" applyAlignment="1">
      <alignment horizontal="center" vertical="center"/>
    </xf>
    <xf numFmtId="0" fontId="10" fillId="0" borderId="11" xfId="5" applyFont="1" applyBorder="1" applyAlignment="1">
      <alignment horizontal="left" vertical="center" wrapText="1"/>
    </xf>
    <xf numFmtId="44" fontId="10" fillId="0" borderId="53" xfId="4" applyFont="1" applyFill="1" applyBorder="1" applyAlignment="1" applyProtection="1">
      <alignment horizontal="center" vertical="center" wrapText="1"/>
    </xf>
    <xf numFmtId="0" fontId="10" fillId="0" borderId="4" xfId="2" applyFont="1" applyBorder="1" applyAlignment="1">
      <alignment horizontal="center" vertical="center"/>
    </xf>
    <xf numFmtId="0" fontId="10" fillId="0" borderId="0" xfId="5" applyFont="1" applyAlignment="1">
      <alignment horizontal="left" vertical="center" wrapText="1"/>
    </xf>
    <xf numFmtId="44" fontId="10" fillId="6" borderId="5" xfId="4" applyFont="1" applyFill="1" applyBorder="1" applyAlignment="1" applyProtection="1">
      <alignment horizontal="center" vertical="center" wrapText="1"/>
    </xf>
    <xf numFmtId="0" fontId="10" fillId="0" borderId="4" xfId="2" applyFont="1" applyBorder="1" applyAlignment="1">
      <alignment vertical="center"/>
    </xf>
    <xf numFmtId="0" fontId="36" fillId="10" borderId="22" xfId="1" applyFont="1" applyFill="1" applyBorder="1" applyAlignment="1">
      <alignment horizontal="right" vertical="center" wrapText="1"/>
    </xf>
    <xf numFmtId="165" fontId="37" fillId="5" borderId="29" xfId="5" applyNumberFormat="1" applyFont="1" applyFill="1" applyBorder="1" applyAlignment="1">
      <alignment horizontal="center" vertical="center" wrapText="1"/>
    </xf>
    <xf numFmtId="0" fontId="39" fillId="12" borderId="21" xfId="0" applyFont="1" applyFill="1" applyBorder="1" applyProtection="1">
      <protection locked="0"/>
    </xf>
    <xf numFmtId="0" fontId="39" fillId="12" borderId="21" xfId="0" applyFont="1" applyFill="1" applyBorder="1" applyAlignment="1" applyProtection="1">
      <alignment wrapText="1"/>
      <protection locked="0"/>
    </xf>
    <xf numFmtId="0" fontId="39" fillId="0" borderId="21" xfId="0" applyFont="1" applyBorder="1" applyAlignment="1">
      <alignment wrapText="1"/>
    </xf>
    <xf numFmtId="0" fontId="12" fillId="0" borderId="0" xfId="2" applyFont="1" applyAlignment="1" applyProtection="1">
      <alignment vertical="center"/>
      <protection hidden="1"/>
    </xf>
    <xf numFmtId="0" fontId="10" fillId="0" borderId="0" xfId="0" applyFont="1" applyProtection="1">
      <protection locked="0" hidden="1"/>
    </xf>
    <xf numFmtId="0" fontId="10" fillId="0" borderId="0" xfId="0" applyFont="1" applyProtection="1">
      <protection hidden="1"/>
    </xf>
    <xf numFmtId="0" fontId="10" fillId="0" borderId="0" xfId="0" applyFont="1" applyAlignment="1" applyProtection="1">
      <alignment vertical="center"/>
      <protection locked="0" hidden="1"/>
    </xf>
    <xf numFmtId="0" fontId="36" fillId="10" borderId="0" xfId="1" applyFont="1" applyFill="1" applyAlignment="1" applyProtection="1">
      <alignment horizontal="center" vertical="center" wrapText="1"/>
      <protection hidden="1"/>
    </xf>
    <xf numFmtId="0" fontId="36" fillId="10" borderId="10" xfId="1" applyFont="1" applyFill="1" applyBorder="1" applyAlignment="1" applyProtection="1">
      <alignment horizontal="center" vertical="center" wrapText="1"/>
      <protection hidden="1"/>
    </xf>
    <xf numFmtId="0" fontId="36" fillId="0" borderId="0" xfId="2" applyFont="1" applyAlignment="1" applyProtection="1">
      <alignment vertical="center"/>
      <protection hidden="1"/>
    </xf>
    <xf numFmtId="0" fontId="10" fillId="11" borderId="11" xfId="3" applyFont="1" applyFill="1" applyBorder="1" applyAlignment="1" applyProtection="1">
      <alignment horizontal="center" vertical="center" wrapText="1"/>
      <protection hidden="1"/>
    </xf>
    <xf numFmtId="0" fontId="10" fillId="11" borderId="0" xfId="3" applyFont="1" applyFill="1" applyAlignment="1" applyProtection="1">
      <alignment vertical="center" wrapText="1"/>
      <protection hidden="1"/>
    </xf>
    <xf numFmtId="0" fontId="10" fillId="11" borderId="0" xfId="3" applyFont="1" applyFill="1" applyAlignment="1" applyProtection="1">
      <alignment horizontal="center" vertical="center" wrapText="1"/>
      <protection hidden="1"/>
    </xf>
    <xf numFmtId="0" fontId="10" fillId="11" borderId="10" xfId="3" applyFont="1" applyFill="1" applyBorder="1" applyAlignment="1" applyProtection="1">
      <alignment horizontal="center" vertical="center" wrapText="1"/>
      <protection hidden="1"/>
    </xf>
    <xf numFmtId="0" fontId="47" fillId="0" borderId="0" xfId="2" applyFont="1" applyAlignment="1" applyProtection="1">
      <alignment vertical="center"/>
      <protection hidden="1"/>
    </xf>
    <xf numFmtId="0" fontId="48" fillId="0" borderId="0" xfId="2" applyFont="1" applyAlignment="1" applyProtection="1">
      <alignment vertical="center"/>
      <protection hidden="1"/>
    </xf>
    <xf numFmtId="0" fontId="10" fillId="0" borderId="0" xfId="2" applyFont="1" applyAlignment="1" applyProtection="1">
      <alignment vertical="center"/>
      <protection hidden="1"/>
    </xf>
    <xf numFmtId="0" fontId="10" fillId="0" borderId="11" xfId="2" applyFont="1" applyBorder="1" applyAlignment="1" applyProtection="1">
      <alignment horizontal="center" vertical="center"/>
      <protection hidden="1"/>
    </xf>
    <xf numFmtId="0" fontId="10" fillId="0" borderId="11" xfId="2" applyFont="1" applyBorder="1" applyAlignment="1" applyProtection="1">
      <alignment vertical="center"/>
      <protection hidden="1"/>
    </xf>
    <xf numFmtId="3" fontId="10" fillId="0" borderId="11" xfId="2" applyNumberFormat="1" applyFont="1" applyBorder="1" applyAlignment="1" applyProtection="1">
      <alignment horizontal="center" vertical="center"/>
      <protection hidden="1"/>
    </xf>
    <xf numFmtId="44" fontId="10" fillId="0" borderId="11" xfId="2" applyNumberFormat="1" applyFont="1" applyBorder="1" applyAlignment="1" applyProtection="1">
      <alignment horizontal="center" vertical="center"/>
      <protection hidden="1"/>
    </xf>
    <xf numFmtId="1" fontId="49" fillId="0" borderId="0" xfId="2" applyNumberFormat="1" applyFont="1" applyAlignment="1" applyProtection="1">
      <alignment horizontal="center" vertical="center"/>
      <protection hidden="1"/>
    </xf>
    <xf numFmtId="0" fontId="10" fillId="0" borderId="0" xfId="2" applyFont="1" applyAlignment="1" applyProtection="1">
      <alignment horizontal="center" vertical="center"/>
      <protection hidden="1"/>
    </xf>
    <xf numFmtId="1" fontId="47" fillId="0" borderId="0" xfId="2" applyNumberFormat="1" applyFont="1" applyAlignment="1" applyProtection="1">
      <alignment vertical="center"/>
      <protection hidden="1"/>
    </xf>
    <xf numFmtId="0" fontId="36" fillId="10" borderId="7" xfId="1" applyFont="1" applyFill="1" applyBorder="1" applyAlignment="1" applyProtection="1">
      <alignment horizontal="center" vertical="center" wrapText="1"/>
      <protection hidden="1"/>
    </xf>
    <xf numFmtId="0" fontId="36" fillId="10" borderId="8" xfId="1" applyFont="1" applyFill="1" applyBorder="1" applyAlignment="1" applyProtection="1">
      <alignment horizontal="center" vertical="center" wrapText="1"/>
      <protection hidden="1"/>
    </xf>
    <xf numFmtId="1" fontId="50" fillId="0" borderId="0" xfId="2" applyNumberFormat="1" applyFont="1" applyAlignment="1" applyProtection="1">
      <alignment vertical="center"/>
      <protection hidden="1"/>
    </xf>
    <xf numFmtId="0" fontId="51" fillId="0" borderId="0" xfId="2" applyFont="1" applyAlignment="1" applyProtection="1">
      <alignment vertical="center"/>
      <protection hidden="1"/>
    </xf>
    <xf numFmtId="0" fontId="10" fillId="11" borderId="9" xfId="3" applyFont="1" applyFill="1" applyBorder="1" applyAlignment="1" applyProtection="1">
      <alignment horizontal="center" vertical="center" wrapText="1"/>
      <protection hidden="1"/>
    </xf>
    <xf numFmtId="0" fontId="10" fillId="0" borderId="0" xfId="0" applyFont="1" applyAlignment="1" applyProtection="1">
      <alignment vertical="center" wrapText="1"/>
      <protection hidden="1"/>
    </xf>
    <xf numFmtId="0" fontId="10" fillId="0" borderId="11" xfId="6" applyFont="1" applyBorder="1" applyAlignment="1" applyProtection="1">
      <alignment vertical="center" wrapText="1"/>
      <protection hidden="1"/>
    </xf>
    <xf numFmtId="164" fontId="10" fillId="0" borderId="11" xfId="5" applyNumberFormat="1" applyFont="1" applyBorder="1" applyAlignment="1" applyProtection="1">
      <alignment horizontal="center" vertical="center"/>
      <protection hidden="1"/>
    </xf>
    <xf numFmtId="3" fontId="10" fillId="0" borderId="11" xfId="5" applyNumberFormat="1" applyFont="1" applyBorder="1" applyAlignment="1" applyProtection="1">
      <alignment horizontal="center" vertical="center" wrapText="1"/>
      <protection hidden="1"/>
    </xf>
    <xf numFmtId="44" fontId="10" fillId="0" borderId="11" xfId="9" applyFont="1" applyBorder="1" applyAlignment="1" applyProtection="1">
      <alignment horizontal="center" vertical="center" wrapText="1"/>
      <protection hidden="1"/>
    </xf>
    <xf numFmtId="166" fontId="43" fillId="0" borderId="0" xfId="2" applyNumberFormat="1" applyFont="1" applyAlignment="1" applyProtection="1">
      <alignment horizontal="center" vertical="center"/>
      <protection hidden="1"/>
    </xf>
    <xf numFmtId="0" fontId="52" fillId="0" borderId="11" xfId="6" applyFont="1" applyBorder="1" applyAlignment="1" applyProtection="1">
      <alignment horizontal="left" vertical="center"/>
      <protection hidden="1"/>
    </xf>
    <xf numFmtId="9" fontId="10" fillId="0" borderId="11" xfId="10" applyFont="1" applyFill="1" applyBorder="1" applyAlignment="1" applyProtection="1">
      <alignment horizontal="center" vertical="center"/>
      <protection locked="0" hidden="1"/>
    </xf>
    <xf numFmtId="165" fontId="10" fillId="6" borderId="11" xfId="3" applyNumberFormat="1" applyFont="1" applyFill="1" applyBorder="1" applyAlignment="1" applyProtection="1">
      <alignment horizontal="center" vertical="center" wrapText="1"/>
      <protection hidden="1"/>
    </xf>
    <xf numFmtId="0" fontId="10" fillId="6" borderId="11" xfId="3" applyFont="1" applyFill="1" applyBorder="1" applyAlignment="1" applyProtection="1">
      <alignment horizontal="center" vertical="center" wrapText="1"/>
      <protection hidden="1"/>
    </xf>
    <xf numFmtId="0" fontId="10" fillId="0" borderId="11" xfId="6" applyFont="1" applyBorder="1" applyAlignment="1" applyProtection="1">
      <alignment horizontal="left" vertical="center" wrapText="1"/>
      <protection hidden="1"/>
    </xf>
    <xf numFmtId="0" fontId="10" fillId="0" borderId="0" xfId="5" applyFont="1" applyAlignment="1" applyProtection="1">
      <alignment horizontal="left" vertical="center"/>
      <protection hidden="1"/>
    </xf>
    <xf numFmtId="44" fontId="10" fillId="0" borderId="0" xfId="5" applyNumberFormat="1" applyFont="1" applyAlignment="1" applyProtection="1">
      <alignment horizontal="center" vertical="center"/>
      <protection hidden="1"/>
    </xf>
    <xf numFmtId="0" fontId="10" fillId="0" borderId="0" xfId="5" applyFont="1" applyAlignment="1" applyProtection="1">
      <alignment horizontal="center" vertical="center" wrapText="1"/>
      <protection hidden="1"/>
    </xf>
    <xf numFmtId="0" fontId="43" fillId="0" borderId="0" xfId="2" applyFont="1" applyAlignment="1" applyProtection="1">
      <alignment vertical="center"/>
      <protection hidden="1"/>
    </xf>
    <xf numFmtId="0" fontId="43" fillId="11" borderId="18" xfId="3" applyFont="1" applyFill="1" applyBorder="1" applyAlignment="1" applyProtection="1">
      <alignment horizontal="center" vertical="center" wrapText="1"/>
      <protection hidden="1"/>
    </xf>
    <xf numFmtId="0" fontId="27" fillId="11" borderId="9" xfId="3" applyFont="1" applyFill="1" applyBorder="1" applyAlignment="1" applyProtection="1">
      <alignment horizontal="center" vertical="center" wrapText="1"/>
      <protection hidden="1"/>
    </xf>
    <xf numFmtId="0" fontId="27" fillId="11" borderId="0" xfId="3" applyFont="1" applyFill="1" applyAlignment="1" applyProtection="1">
      <alignment horizontal="center" vertical="center" wrapText="1"/>
      <protection hidden="1"/>
    </xf>
    <xf numFmtId="0" fontId="43" fillId="0" borderId="11" xfId="6" applyFont="1" applyBorder="1" applyAlignment="1" applyProtection="1">
      <alignment horizontal="center" vertical="center"/>
      <protection hidden="1"/>
    </xf>
    <xf numFmtId="0" fontId="10" fillId="0" borderId="11" xfId="6" applyFont="1" applyBorder="1" applyAlignment="1" applyProtection="1">
      <alignment horizontal="center" vertical="center" wrapText="1"/>
      <protection hidden="1"/>
    </xf>
    <xf numFmtId="165" fontId="52" fillId="0" borderId="11" xfId="6" applyNumberFormat="1" applyFont="1" applyBorder="1" applyAlignment="1" applyProtection="1">
      <alignment horizontal="center" vertical="center" wrapText="1"/>
      <protection hidden="1"/>
    </xf>
    <xf numFmtId="0" fontId="12" fillId="0" borderId="0" xfId="5" applyFont="1" applyAlignment="1" applyProtection="1">
      <alignment horizontal="left" vertical="center"/>
      <protection hidden="1"/>
    </xf>
    <xf numFmtId="44" fontId="12" fillId="0" borderId="0" xfId="5" applyNumberFormat="1" applyFont="1" applyAlignment="1" applyProtection="1">
      <alignment horizontal="center" vertical="center"/>
      <protection hidden="1"/>
    </xf>
    <xf numFmtId="0" fontId="12" fillId="0" borderId="0" xfId="5" applyFont="1" applyAlignment="1" applyProtection="1">
      <alignment horizontal="center" vertical="center" wrapText="1"/>
      <protection hidden="1"/>
    </xf>
    <xf numFmtId="0" fontId="30" fillId="10" borderId="22" xfId="1" applyFont="1" applyFill="1" applyBorder="1" applyAlignment="1" applyProtection="1">
      <alignment horizontal="center" vertical="center" wrapText="1"/>
      <protection hidden="1"/>
    </xf>
    <xf numFmtId="165" fontId="13" fillId="0" borderId="29" xfId="5" applyNumberFormat="1" applyFont="1" applyBorder="1" applyAlignment="1" applyProtection="1">
      <alignment horizontal="center" vertical="center" wrapText="1"/>
      <protection hidden="1"/>
    </xf>
    <xf numFmtId="0" fontId="12" fillId="0" borderId="0" xfId="1" applyFont="1" applyAlignment="1" applyProtection="1">
      <alignment horizontal="center" vertical="center" wrapText="1"/>
      <protection hidden="1"/>
    </xf>
    <xf numFmtId="165" fontId="12" fillId="0" borderId="0" xfId="5" applyNumberFormat="1" applyFont="1" applyAlignment="1" applyProtection="1">
      <alignment horizontal="center" vertical="center" wrapText="1"/>
      <protection hidden="1"/>
    </xf>
    <xf numFmtId="0" fontId="30" fillId="10" borderId="0" xfId="1" applyFont="1" applyFill="1" applyAlignment="1" applyProtection="1">
      <alignment horizontal="center" vertical="center" wrapText="1"/>
      <protection hidden="1"/>
    </xf>
    <xf numFmtId="0" fontId="30" fillId="10" borderId="10" xfId="1" applyFont="1" applyFill="1" applyBorder="1" applyAlignment="1" applyProtection="1">
      <alignment horizontal="center" vertical="center" wrapText="1"/>
      <protection hidden="1"/>
    </xf>
    <xf numFmtId="0" fontId="30" fillId="0" borderId="0" xfId="2" applyFont="1" applyAlignment="1" applyProtection="1">
      <alignment vertical="center"/>
      <protection hidden="1"/>
    </xf>
    <xf numFmtId="0" fontId="12" fillId="11" borderId="9" xfId="3" applyFont="1" applyFill="1" applyBorder="1" applyAlignment="1" applyProtection="1">
      <alignment horizontal="center" vertical="center" wrapText="1"/>
      <protection hidden="1"/>
    </xf>
    <xf numFmtId="0" fontId="12" fillId="11" borderId="0" xfId="3" applyFont="1" applyFill="1" applyAlignment="1" applyProtection="1">
      <alignment vertical="center" wrapText="1"/>
      <protection hidden="1"/>
    </xf>
    <xf numFmtId="0" fontId="12" fillId="11" borderId="0" xfId="3" applyFont="1" applyFill="1" applyAlignment="1" applyProtection="1">
      <alignment horizontal="center" vertical="center" wrapText="1"/>
      <protection hidden="1"/>
    </xf>
    <xf numFmtId="0" fontId="12" fillId="11" borderId="10" xfId="3" applyFont="1" applyFill="1" applyBorder="1" applyAlignment="1" applyProtection="1">
      <alignment horizontal="center" vertical="center" wrapText="1"/>
      <protection hidden="1"/>
    </xf>
    <xf numFmtId="0" fontId="34" fillId="0" borderId="0" xfId="2" applyFont="1" applyAlignment="1" applyProtection="1">
      <alignment vertical="center"/>
      <protection hidden="1"/>
    </xf>
    <xf numFmtId="0" fontId="12" fillId="0" borderId="11" xfId="2" applyFont="1" applyBorder="1" applyAlignment="1" applyProtection="1">
      <alignment horizontal="center" vertical="center"/>
      <protection hidden="1"/>
    </xf>
    <xf numFmtId="0" fontId="12" fillId="0" borderId="11" xfId="2" applyFont="1" applyBorder="1" applyAlignment="1" applyProtection="1">
      <alignment vertical="center"/>
      <protection hidden="1"/>
    </xf>
    <xf numFmtId="44" fontId="12" fillId="12" borderId="11" xfId="4" applyFont="1" applyFill="1" applyBorder="1" applyAlignment="1" applyProtection="1">
      <alignment horizontal="center" vertical="center"/>
      <protection locked="0" hidden="1"/>
    </xf>
    <xf numFmtId="3" fontId="12" fillId="0" borderId="11" xfId="2" applyNumberFormat="1" applyFont="1" applyBorder="1" applyAlignment="1" applyProtection="1">
      <alignment horizontal="center" vertical="center"/>
      <protection hidden="1"/>
    </xf>
    <xf numFmtId="44" fontId="12" fillId="0" borderId="11" xfId="2" applyNumberFormat="1" applyFont="1" applyBorder="1" applyAlignment="1" applyProtection="1">
      <alignment horizontal="center" vertical="center"/>
      <protection hidden="1"/>
    </xf>
    <xf numFmtId="0" fontId="12" fillId="10" borderId="7" xfId="1" applyFont="1" applyFill="1" applyBorder="1" applyAlignment="1" applyProtection="1">
      <alignment horizontal="center" vertical="center" wrapText="1"/>
      <protection hidden="1"/>
    </xf>
    <xf numFmtId="0" fontId="12" fillId="10" borderId="8" xfId="1" applyFont="1" applyFill="1" applyBorder="1" applyAlignment="1" applyProtection="1">
      <alignment horizontal="center" vertical="center" wrapText="1"/>
      <protection hidden="1"/>
    </xf>
    <xf numFmtId="0" fontId="12" fillId="0" borderId="0" xfId="1" applyFont="1" applyAlignment="1" applyProtection="1">
      <alignment vertical="center"/>
      <protection hidden="1"/>
    </xf>
    <xf numFmtId="0" fontId="12" fillId="0" borderId="11" xfId="1" applyFont="1" applyBorder="1" applyAlignment="1" applyProtection="1">
      <alignment horizontal="center" vertical="center"/>
      <protection hidden="1"/>
    </xf>
    <xf numFmtId="0" fontId="12" fillId="12" borderId="11" xfId="6" applyFont="1" applyFill="1" applyBorder="1" applyAlignment="1" applyProtection="1">
      <alignment horizontal="center" vertical="center"/>
      <protection locked="0" hidden="1"/>
    </xf>
    <xf numFmtId="0" fontId="12" fillId="10" borderId="0" xfId="1" applyFont="1" applyFill="1" applyAlignment="1" applyProtection="1">
      <alignment horizontal="center" vertical="center" wrapText="1"/>
      <protection hidden="1"/>
    </xf>
    <xf numFmtId="0" fontId="21" fillId="0" borderId="11" xfId="2" applyFont="1" applyBorder="1" applyAlignment="1" applyProtection="1">
      <alignment horizontal="center" vertical="center"/>
      <protection hidden="1"/>
    </xf>
    <xf numFmtId="0" fontId="12" fillId="0" borderId="0" xfId="2" applyFont="1" applyAlignment="1" applyProtection="1">
      <alignment horizontal="center" vertical="center"/>
      <protection hidden="1"/>
    </xf>
    <xf numFmtId="0" fontId="12" fillId="12" borderId="12" xfId="6" applyFont="1" applyFill="1" applyBorder="1" applyAlignment="1" applyProtection="1">
      <alignment vertical="center"/>
      <protection locked="0" hidden="1"/>
    </xf>
    <xf numFmtId="0" fontId="12" fillId="12" borderId="13" xfId="6" applyFont="1" applyFill="1" applyBorder="1" applyAlignment="1" applyProtection="1">
      <alignment vertical="center"/>
      <protection locked="0" hidden="1"/>
    </xf>
    <xf numFmtId="0" fontId="12" fillId="12" borderId="14" xfId="6" applyFont="1" applyFill="1" applyBorder="1" applyAlignment="1" applyProtection="1">
      <alignment vertical="center"/>
      <protection locked="0" hidden="1"/>
    </xf>
    <xf numFmtId="0" fontId="14" fillId="0" borderId="0" xfId="2" applyFont="1" applyAlignment="1" applyProtection="1">
      <alignment vertical="center"/>
      <protection hidden="1"/>
    </xf>
    <xf numFmtId="0" fontId="15" fillId="10" borderId="0" xfId="1" applyFont="1" applyFill="1" applyAlignment="1" applyProtection="1">
      <alignment horizontal="center" vertical="center" wrapText="1"/>
      <protection hidden="1"/>
    </xf>
    <xf numFmtId="0" fontId="15" fillId="10" borderId="10" xfId="1" applyFont="1" applyFill="1" applyBorder="1" applyAlignment="1" applyProtection="1">
      <alignment horizontal="center" vertical="center" wrapText="1"/>
      <protection hidden="1"/>
    </xf>
    <xf numFmtId="0" fontId="15" fillId="0" borderId="0" xfId="2" applyFont="1" applyAlignment="1" applyProtection="1">
      <alignment vertical="center"/>
      <protection hidden="1"/>
    </xf>
    <xf numFmtId="0" fontId="14" fillId="0" borderId="0" xfId="3" applyFont="1" applyAlignment="1" applyProtection="1">
      <alignment horizontal="left" vertical="center" wrapText="1"/>
      <protection hidden="1"/>
    </xf>
    <xf numFmtId="0" fontId="14" fillId="0" borderId="8" xfId="3" applyFont="1" applyBorder="1" applyAlignment="1" applyProtection="1">
      <alignment horizontal="left" vertical="center" wrapText="1"/>
      <protection hidden="1"/>
    </xf>
    <xf numFmtId="0" fontId="12" fillId="0" borderId="7" xfId="0" applyFont="1" applyBorder="1" applyAlignment="1" applyProtection="1">
      <alignment horizontal="left" vertical="center"/>
      <protection locked="0" hidden="1"/>
    </xf>
    <xf numFmtId="0" fontId="12" fillId="0" borderId="0" xfId="0" applyFont="1" applyAlignment="1" applyProtection="1">
      <alignment horizontal="left" vertical="center"/>
      <protection locked="0" hidden="1"/>
    </xf>
    <xf numFmtId="0" fontId="15" fillId="10" borderId="13" xfId="1" applyFont="1" applyFill="1" applyBorder="1" applyAlignment="1" applyProtection="1">
      <alignment horizontal="center" vertical="center" wrapText="1"/>
      <protection hidden="1"/>
    </xf>
    <xf numFmtId="0" fontId="15" fillId="10" borderId="14" xfId="1" applyFont="1" applyFill="1" applyBorder="1" applyAlignment="1" applyProtection="1">
      <alignment horizontal="center" vertical="center" wrapText="1"/>
      <protection hidden="1"/>
    </xf>
    <xf numFmtId="0" fontId="10" fillId="0" borderId="11" xfId="2" applyFont="1" applyBorder="1" applyAlignment="1" applyProtection="1">
      <alignment vertical="center" wrapText="1"/>
      <protection hidden="1"/>
    </xf>
    <xf numFmtId="0" fontId="43" fillId="12" borderId="11" xfId="1" applyFont="1" applyFill="1" applyBorder="1" applyAlignment="1" applyProtection="1">
      <alignment vertical="center" wrapText="1"/>
      <protection locked="0" hidden="1"/>
    </xf>
    <xf numFmtId="0" fontId="15" fillId="0" borderId="0" xfId="1" applyFont="1" applyAlignment="1" applyProtection="1">
      <alignment horizontal="center" vertical="center" wrapText="1"/>
      <protection hidden="1"/>
    </xf>
    <xf numFmtId="0" fontId="15" fillId="0" borderId="10" xfId="1" applyFont="1" applyBorder="1" applyAlignment="1" applyProtection="1">
      <alignment horizontal="center" vertical="center" wrapText="1"/>
      <protection hidden="1"/>
    </xf>
    <xf numFmtId="0" fontId="43" fillId="0" borderId="14" xfId="0" applyFont="1" applyBorder="1" applyAlignment="1" applyProtection="1">
      <alignment vertical="center" wrapText="1"/>
      <protection hidden="1"/>
    </xf>
    <xf numFmtId="0" fontId="12" fillId="0" borderId="0" xfId="0" applyFont="1" applyAlignment="1" applyProtection="1">
      <alignment horizontal="center" vertical="center" wrapText="1"/>
      <protection hidden="1"/>
    </xf>
    <xf numFmtId="0" fontId="12" fillId="0" borderId="0" xfId="0" applyFont="1" applyAlignment="1" applyProtection="1">
      <alignment vertical="center" wrapText="1"/>
      <protection hidden="1"/>
    </xf>
    <xf numFmtId="0" fontId="13" fillId="0" borderId="23" xfId="0" applyFont="1" applyBorder="1" applyAlignment="1" applyProtection="1">
      <alignment horizontal="left" vertical="center" wrapText="1"/>
      <protection hidden="1"/>
    </xf>
    <xf numFmtId="166" fontId="12" fillId="0" borderId="0" xfId="0" applyNumberFormat="1" applyFont="1" applyAlignment="1" applyProtection="1">
      <alignment horizontal="center" vertical="center" wrapText="1"/>
      <protection hidden="1"/>
    </xf>
    <xf numFmtId="9" fontId="12" fillId="0" borderId="0" xfId="8" applyFont="1" applyAlignment="1" applyProtection="1">
      <alignment vertical="center" wrapText="1"/>
      <protection hidden="1"/>
    </xf>
    <xf numFmtId="1" fontId="12" fillId="0" borderId="0" xfId="8" applyNumberFormat="1" applyFont="1" applyAlignment="1" applyProtection="1">
      <alignment horizontal="center" vertical="center" wrapText="1"/>
      <protection hidden="1"/>
    </xf>
    <xf numFmtId="0" fontId="10" fillId="0" borderId="14" xfId="0" applyFont="1" applyBorder="1" applyAlignment="1" applyProtection="1">
      <alignment vertical="center" wrapText="1"/>
      <protection hidden="1"/>
    </xf>
    <xf numFmtId="0" fontId="10" fillId="12" borderId="11" xfId="0" applyFont="1" applyFill="1" applyBorder="1" applyAlignment="1" applyProtection="1">
      <alignment vertical="center" wrapText="1"/>
      <protection locked="0" hidden="1"/>
    </xf>
    <xf numFmtId="0" fontId="12" fillId="0" borderId="0" xfId="0" applyFont="1" applyAlignment="1" applyProtection="1">
      <alignment horizontal="right" vertical="center" wrapText="1"/>
      <protection hidden="1"/>
    </xf>
    <xf numFmtId="3" fontId="12" fillId="0" borderId="0" xfId="0" applyNumberFormat="1" applyFont="1" applyAlignment="1" applyProtection="1">
      <alignment horizontal="center" vertical="center" wrapText="1"/>
      <protection hidden="1"/>
    </xf>
    <xf numFmtId="0" fontId="13" fillId="0" borderId="22" xfId="0" applyFont="1" applyBorder="1" applyAlignment="1" applyProtection="1">
      <alignment horizontal="left" vertical="center" wrapText="1"/>
      <protection hidden="1"/>
    </xf>
    <xf numFmtId="166" fontId="12" fillId="0" borderId="21" xfId="0" applyNumberFormat="1" applyFont="1" applyBorder="1" applyAlignment="1" applyProtection="1">
      <alignment horizontal="center" vertical="center" wrapText="1"/>
      <protection hidden="1"/>
    </xf>
    <xf numFmtId="0" fontId="13" fillId="0" borderId="24" xfId="0" applyFont="1" applyBorder="1" applyAlignment="1" applyProtection="1">
      <alignment horizontal="left" vertical="center" wrapText="1"/>
      <protection hidden="1"/>
    </xf>
    <xf numFmtId="44" fontId="12" fillId="0" borderId="0" xfId="9" applyFont="1" applyAlignment="1" applyProtection="1">
      <alignment horizontal="center" vertical="center" wrapText="1"/>
      <protection hidden="1"/>
    </xf>
    <xf numFmtId="9" fontId="12" fillId="0" borderId="0" xfId="8" applyFont="1" applyAlignment="1" applyProtection="1">
      <alignment horizontal="center" vertical="center" wrapText="1"/>
      <protection hidden="1"/>
    </xf>
    <xf numFmtId="0" fontId="13" fillId="0" borderId="17" xfId="0" applyFont="1" applyBorder="1" applyAlignment="1" applyProtection="1">
      <alignment horizontal="left" vertical="center" wrapText="1"/>
      <protection hidden="1"/>
    </xf>
    <xf numFmtId="9" fontId="10" fillId="0" borderId="11" xfId="0" applyNumberFormat="1" applyFont="1" applyBorder="1" applyAlignment="1" applyProtection="1">
      <alignment vertical="center" wrapText="1"/>
      <protection hidden="1"/>
    </xf>
    <xf numFmtId="0" fontId="10" fillId="12" borderId="11" xfId="0" applyFont="1" applyFill="1" applyBorder="1" applyAlignment="1" applyProtection="1">
      <alignment vertical="center" wrapText="1"/>
      <protection hidden="1"/>
    </xf>
    <xf numFmtId="0" fontId="12" fillId="0" borderId="24" xfId="0" applyFont="1" applyBorder="1" applyAlignment="1" applyProtection="1">
      <alignment vertical="center" wrapText="1"/>
      <protection hidden="1"/>
    </xf>
    <xf numFmtId="0" fontId="12" fillId="0" borderId="15" xfId="0" applyFont="1" applyBorder="1" applyAlignment="1" applyProtection="1">
      <alignment horizontal="right" vertical="center" wrapText="1"/>
      <protection hidden="1"/>
    </xf>
    <xf numFmtId="9" fontId="12" fillId="0" borderId="16" xfId="8" applyFont="1" applyBorder="1" applyAlignment="1" applyProtection="1">
      <alignment horizontal="center" vertical="center" wrapText="1"/>
      <protection hidden="1"/>
    </xf>
    <xf numFmtId="0" fontId="12" fillId="0" borderId="17" xfId="0" applyFont="1" applyBorder="1" applyAlignment="1" applyProtection="1">
      <alignment vertical="center" wrapText="1"/>
      <protection hidden="1"/>
    </xf>
    <xf numFmtId="0" fontId="36" fillId="0" borderId="9" xfId="1" applyFont="1" applyBorder="1" applyAlignment="1" applyProtection="1">
      <alignment horizontal="left" vertical="center" wrapText="1"/>
      <protection hidden="1"/>
    </xf>
    <xf numFmtId="0" fontId="36" fillId="0" borderId="8" xfId="1" applyFont="1" applyBorder="1" applyAlignment="1" applyProtection="1">
      <alignment horizontal="left" vertical="center" wrapText="1"/>
      <protection hidden="1"/>
    </xf>
    <xf numFmtId="0" fontId="36" fillId="0" borderId="0" xfId="1" applyFont="1" applyAlignment="1" applyProtection="1">
      <alignment horizontal="left" vertical="center" wrapText="1"/>
      <protection hidden="1"/>
    </xf>
    <xf numFmtId="0" fontId="36" fillId="0" borderId="0" xfId="1" applyFont="1" applyAlignment="1" applyProtection="1">
      <alignment horizontal="center" vertical="center" wrapText="1"/>
      <protection hidden="1"/>
    </xf>
    <xf numFmtId="0" fontId="15" fillId="0" borderId="13" xfId="1" applyFont="1" applyBorder="1" applyAlignment="1" applyProtection="1">
      <alignment horizontal="center" vertical="center" wrapText="1"/>
      <protection hidden="1"/>
    </xf>
    <xf numFmtId="0" fontId="36" fillId="0" borderId="13" xfId="1" applyFont="1" applyBorder="1" applyAlignment="1" applyProtection="1">
      <alignment horizontal="center" vertical="center" wrapText="1"/>
      <protection hidden="1"/>
    </xf>
    <xf numFmtId="9" fontId="10" fillId="12" borderId="11" xfId="0" applyNumberFormat="1" applyFont="1" applyFill="1" applyBorder="1" applyAlignment="1" applyProtection="1">
      <alignment vertical="center" wrapText="1"/>
      <protection hidden="1"/>
    </xf>
    <xf numFmtId="0" fontId="13" fillId="0" borderId="10" xfId="0" applyFont="1" applyBorder="1" applyAlignment="1" applyProtection="1">
      <alignment horizontal="left" vertical="center" wrapText="1"/>
      <protection hidden="1"/>
    </xf>
    <xf numFmtId="0" fontId="36" fillId="0" borderId="12" xfId="1" applyFont="1" applyBorder="1" applyAlignment="1" applyProtection="1">
      <alignment horizontal="left" vertical="center" wrapText="1"/>
      <protection hidden="1"/>
    </xf>
    <xf numFmtId="0" fontId="13" fillId="0" borderId="14" xfId="0" applyFont="1" applyBorder="1" applyAlignment="1" applyProtection="1">
      <alignment horizontal="left" vertical="center" wrapText="1"/>
      <protection hidden="1"/>
    </xf>
    <xf numFmtId="166" fontId="12" fillId="0" borderId="9" xfId="0" applyNumberFormat="1" applyFont="1" applyBorder="1" applyAlignment="1" applyProtection="1">
      <alignment horizontal="center" vertical="center" wrapText="1"/>
      <protection hidden="1"/>
    </xf>
    <xf numFmtId="9" fontId="10" fillId="12" borderId="11" xfId="0" applyNumberFormat="1" applyFont="1" applyFill="1" applyBorder="1" applyAlignment="1" applyProtection="1">
      <alignment vertical="center" wrapText="1"/>
      <protection locked="0" hidden="1"/>
    </xf>
    <xf numFmtId="0" fontId="45" fillId="0" borderId="14" xfId="0" applyFont="1" applyBorder="1" applyAlignment="1" applyProtection="1">
      <alignment vertical="center" wrapText="1"/>
      <protection hidden="1"/>
    </xf>
    <xf numFmtId="9" fontId="45" fillId="0" borderId="11" xfId="0" applyNumberFormat="1" applyFont="1" applyBorder="1" applyAlignment="1" applyProtection="1">
      <alignment vertical="center" wrapText="1"/>
      <protection hidden="1"/>
    </xf>
    <xf numFmtId="0" fontId="19" fillId="0" borderId="0" xfId="2" applyFont="1" applyAlignment="1" applyProtection="1">
      <alignment vertical="center" wrapText="1"/>
      <protection hidden="1"/>
    </xf>
    <xf numFmtId="0" fontId="10" fillId="0" borderId="8" xfId="0" applyFont="1" applyBorder="1" applyAlignment="1" applyProtection="1">
      <alignment vertical="center" wrapText="1"/>
      <protection hidden="1"/>
    </xf>
    <xf numFmtId="0" fontId="12" fillId="0" borderId="9" xfId="0" applyFont="1" applyBorder="1" applyAlignment="1" applyProtection="1">
      <alignment horizontal="right" vertical="center" wrapText="1"/>
      <protection hidden="1"/>
    </xf>
    <xf numFmtId="9" fontId="12" fillId="0" borderId="0" xfId="8" applyFont="1" applyBorder="1" applyAlignment="1" applyProtection="1">
      <alignment horizontal="center" vertical="center" wrapText="1"/>
      <protection hidden="1"/>
    </xf>
    <xf numFmtId="0" fontId="12" fillId="0" borderId="10" xfId="0" applyFont="1" applyBorder="1" applyAlignment="1" applyProtection="1">
      <alignment vertical="center" wrapText="1"/>
      <protection hidden="1"/>
    </xf>
    <xf numFmtId="9" fontId="43" fillId="0" borderId="11" xfId="0" applyNumberFormat="1" applyFont="1" applyBorder="1" applyAlignment="1" applyProtection="1">
      <alignment vertical="center" wrapText="1"/>
      <protection hidden="1"/>
    </xf>
    <xf numFmtId="0" fontId="27" fillId="0" borderId="9" xfId="1" applyFont="1" applyBorder="1" applyAlignment="1" applyProtection="1">
      <alignment horizontal="center" vertical="center" wrapText="1"/>
      <protection hidden="1"/>
    </xf>
    <xf numFmtId="0" fontId="27" fillId="0" borderId="0" xfId="1" applyFont="1" applyAlignment="1" applyProtection="1">
      <alignment horizontal="center" vertical="center" wrapText="1"/>
      <protection hidden="1"/>
    </xf>
    <xf numFmtId="9" fontId="12" fillId="0" borderId="0" xfId="8" applyFont="1" applyFill="1" applyBorder="1" applyAlignment="1" applyProtection="1">
      <alignment horizontal="center" vertical="center" wrapText="1"/>
      <protection hidden="1"/>
    </xf>
    <xf numFmtId="0" fontId="15" fillId="10" borderId="12" xfId="1" applyFont="1" applyFill="1" applyBorder="1" applyAlignment="1" applyProtection="1">
      <alignment horizontal="center" vertical="center" wrapText="1"/>
      <protection hidden="1"/>
    </xf>
    <xf numFmtId="44" fontId="12" fillId="0" borderId="21" xfId="9" applyFont="1" applyBorder="1" applyAlignment="1" applyProtection="1">
      <alignment horizontal="center" vertical="center" wrapText="1"/>
      <protection hidden="1"/>
    </xf>
    <xf numFmtId="9" fontId="12" fillId="0" borderId="0" xfId="8" applyFont="1" applyFill="1" applyAlignment="1" applyProtection="1">
      <alignment vertical="center" wrapText="1"/>
      <protection hidden="1"/>
    </xf>
    <xf numFmtId="1" fontId="12" fillId="0" borderId="0" xfId="8" applyNumberFormat="1" applyFont="1" applyFill="1" applyAlignment="1" applyProtection="1">
      <alignment horizontal="center" vertical="center" wrapText="1"/>
      <protection hidden="1"/>
    </xf>
    <xf numFmtId="0" fontId="15" fillId="0" borderId="8" xfId="1" applyFont="1" applyBorder="1" applyAlignment="1" applyProtection="1">
      <alignment horizontal="center" vertical="center" wrapText="1"/>
      <protection hidden="1"/>
    </xf>
    <xf numFmtId="0" fontId="15" fillId="10" borderId="7" xfId="1" applyFont="1" applyFill="1" applyBorder="1" applyAlignment="1" applyProtection="1">
      <alignment horizontal="center" vertical="center" wrapText="1"/>
      <protection hidden="1"/>
    </xf>
    <xf numFmtId="0" fontId="15" fillId="10" borderId="8" xfId="1" applyFont="1" applyFill="1" applyBorder="1" applyAlignment="1" applyProtection="1">
      <alignment horizontal="center" vertical="center" wrapText="1"/>
      <protection hidden="1"/>
    </xf>
    <xf numFmtId="0" fontId="10" fillId="0" borderId="19" xfId="2" applyFont="1" applyBorder="1" applyAlignment="1" applyProtection="1">
      <alignment vertical="center" wrapText="1"/>
      <protection hidden="1"/>
    </xf>
    <xf numFmtId="0" fontId="16" fillId="0" borderId="2" xfId="3" applyFont="1" applyBorder="1" applyAlignment="1" applyProtection="1">
      <alignment vertical="center" wrapText="1"/>
      <protection hidden="1"/>
    </xf>
    <xf numFmtId="170" fontId="16" fillId="0" borderId="19" xfId="8" applyNumberFormat="1" applyFont="1" applyFill="1" applyBorder="1" applyAlignment="1" applyProtection="1">
      <alignment horizontal="center" vertical="center" wrapText="1"/>
      <protection hidden="1"/>
    </xf>
    <xf numFmtId="0" fontId="14" fillId="0" borderId="8" xfId="0" applyFont="1" applyBorder="1" applyProtection="1">
      <protection hidden="1"/>
    </xf>
    <xf numFmtId="0" fontId="14" fillId="0" borderId="0" xfId="0" applyFont="1" applyProtection="1">
      <protection hidden="1"/>
    </xf>
    <xf numFmtId="0" fontId="20" fillId="10" borderId="21" xfId="3" applyFont="1" applyFill="1" applyBorder="1" applyAlignment="1" applyProtection="1">
      <alignment horizontal="left" vertical="center" wrapText="1"/>
      <protection hidden="1"/>
    </xf>
    <xf numFmtId="0" fontId="20" fillId="10" borderId="56" xfId="3" applyFont="1" applyFill="1" applyBorder="1" applyAlignment="1" applyProtection="1">
      <alignment horizontal="center" vertical="center" wrapText="1"/>
      <protection hidden="1"/>
    </xf>
    <xf numFmtId="0" fontId="20" fillId="10" borderId="57" xfId="3" applyFont="1" applyFill="1" applyBorder="1" applyAlignment="1" applyProtection="1">
      <alignment horizontal="center" vertical="center" wrapText="1"/>
      <protection hidden="1"/>
    </xf>
    <xf numFmtId="0" fontId="16" fillId="11" borderId="33" xfId="3" applyFont="1" applyFill="1" applyBorder="1" applyAlignment="1" applyProtection="1">
      <alignment vertical="center" wrapText="1"/>
      <protection hidden="1"/>
    </xf>
    <xf numFmtId="0" fontId="16" fillId="11" borderId="23" xfId="3" applyFont="1" applyFill="1" applyBorder="1" applyAlignment="1" applyProtection="1">
      <alignment vertical="center" wrapText="1"/>
      <protection hidden="1"/>
    </xf>
    <xf numFmtId="0" fontId="16" fillId="11" borderId="48" xfId="3" applyFont="1" applyFill="1" applyBorder="1" applyAlignment="1" applyProtection="1">
      <alignment horizontal="center" vertical="center" wrapText="1"/>
      <protection hidden="1"/>
    </xf>
    <xf numFmtId="0" fontId="14" fillId="0" borderId="55" xfId="0" applyFont="1" applyBorder="1" applyProtection="1">
      <protection hidden="1"/>
    </xf>
    <xf numFmtId="0" fontId="22" fillId="0" borderId="18" xfId="0" applyFont="1" applyBorder="1" applyAlignment="1" applyProtection="1">
      <alignment vertical="center" wrapText="1"/>
      <protection hidden="1"/>
    </xf>
    <xf numFmtId="0" fontId="21" fillId="0" borderId="32" xfId="1" applyFont="1" applyBorder="1" applyAlignment="1" applyProtection="1">
      <alignment vertical="center" wrapText="1"/>
      <protection hidden="1"/>
    </xf>
    <xf numFmtId="0" fontId="23" fillId="0" borderId="11" xfId="0" applyFont="1" applyBorder="1" applyAlignment="1" applyProtection="1">
      <alignment vertical="center" wrapText="1"/>
      <protection hidden="1"/>
    </xf>
    <xf numFmtId="0" fontId="21" fillId="12" borderId="11" xfId="3" applyFont="1" applyFill="1" applyBorder="1" applyAlignment="1" applyProtection="1">
      <alignment horizontal="center" vertical="center" wrapText="1"/>
      <protection locked="0" hidden="1"/>
    </xf>
    <xf numFmtId="0" fontId="21" fillId="0" borderId="11" xfId="3" applyFont="1" applyBorder="1" applyAlignment="1" applyProtection="1">
      <alignment horizontal="center" vertical="center" wrapText="1"/>
      <protection hidden="1"/>
    </xf>
    <xf numFmtId="0" fontId="21" fillId="0" borderId="11" xfId="3" applyFont="1" applyBorder="1" applyAlignment="1" applyProtection="1">
      <alignment horizontal="right" vertical="center" wrapText="1"/>
      <protection hidden="1"/>
    </xf>
    <xf numFmtId="169" fontId="21" fillId="0" borderId="32" xfId="1" applyNumberFormat="1" applyFont="1" applyBorder="1" applyAlignment="1" applyProtection="1">
      <alignment horizontal="center" vertical="center" wrapText="1"/>
      <protection hidden="1"/>
    </xf>
    <xf numFmtId="0" fontId="23" fillId="0" borderId="19" xfId="0" applyFont="1" applyBorder="1" applyAlignment="1" applyProtection="1">
      <alignment vertical="center" wrapText="1"/>
      <protection hidden="1"/>
    </xf>
    <xf numFmtId="0" fontId="21" fillId="12" borderId="19" xfId="3" applyFont="1" applyFill="1" applyBorder="1" applyAlignment="1" applyProtection="1">
      <alignment horizontal="center" vertical="center" wrapText="1"/>
      <protection locked="0" hidden="1"/>
    </xf>
    <xf numFmtId="0" fontId="21" fillId="0" borderId="19" xfId="3" applyFont="1" applyBorder="1" applyAlignment="1" applyProtection="1">
      <alignment horizontal="center" vertical="center" wrapText="1"/>
      <protection hidden="1"/>
    </xf>
    <xf numFmtId="0" fontId="21" fillId="0" borderId="19" xfId="3" applyFont="1" applyBorder="1" applyAlignment="1" applyProtection="1">
      <alignment horizontal="right" vertical="center" wrapText="1"/>
      <protection hidden="1"/>
    </xf>
    <xf numFmtId="169" fontId="21" fillId="0" borderId="58" xfId="1" applyNumberFormat="1" applyFont="1" applyBorder="1" applyAlignment="1" applyProtection="1">
      <alignment horizontal="center" vertical="center" wrapText="1"/>
      <protection hidden="1"/>
    </xf>
    <xf numFmtId="0" fontId="22" fillId="0" borderId="54" xfId="0" applyFont="1" applyBorder="1" applyAlignment="1" applyProtection="1">
      <alignment vertical="center" wrapText="1"/>
      <protection hidden="1"/>
    </xf>
    <xf numFmtId="0" fontId="22" fillId="0" borderId="56" xfId="0" applyFont="1" applyBorder="1" applyAlignment="1" applyProtection="1">
      <alignment vertical="center" wrapText="1"/>
      <protection hidden="1"/>
    </xf>
    <xf numFmtId="169" fontId="21" fillId="0" borderId="57" xfId="1" applyNumberFormat="1" applyFont="1" applyBorder="1" applyAlignment="1" applyProtection="1">
      <alignment vertical="center" wrapText="1"/>
      <protection hidden="1"/>
    </xf>
    <xf numFmtId="0" fontId="23" fillId="0" borderId="18" xfId="0" applyFont="1" applyBorder="1" applyAlignment="1" applyProtection="1">
      <alignment vertical="center" wrapText="1"/>
      <protection hidden="1"/>
    </xf>
    <xf numFmtId="0" fontId="21" fillId="12" borderId="18" xfId="3" applyFont="1" applyFill="1" applyBorder="1" applyAlignment="1" applyProtection="1">
      <alignment horizontal="center" vertical="center" wrapText="1"/>
      <protection locked="0" hidden="1"/>
    </xf>
    <xf numFmtId="0" fontId="21" fillId="0" borderId="18" xfId="3" applyFont="1" applyBorder="1" applyAlignment="1" applyProtection="1">
      <alignment horizontal="center" vertical="center" wrapText="1"/>
      <protection hidden="1"/>
    </xf>
    <xf numFmtId="0" fontId="21" fillId="0" borderId="18" xfId="3" applyFont="1" applyBorder="1" applyAlignment="1" applyProtection="1">
      <alignment horizontal="right" vertical="center" wrapText="1"/>
      <protection hidden="1"/>
    </xf>
    <xf numFmtId="166" fontId="21" fillId="0" borderId="19" xfId="3" applyNumberFormat="1" applyFont="1" applyBorder="1" applyAlignment="1" applyProtection="1">
      <alignment horizontal="right" vertical="center" wrapText="1"/>
      <protection hidden="1"/>
    </xf>
    <xf numFmtId="0" fontId="21" fillId="0" borderId="18" xfId="3" quotePrefix="1" applyFont="1" applyBorder="1" applyAlignment="1" applyProtection="1">
      <alignment horizontal="right" vertical="center" wrapText="1"/>
      <protection hidden="1"/>
    </xf>
    <xf numFmtId="166" fontId="21" fillId="0" borderId="11" xfId="3" applyNumberFormat="1" applyFont="1" applyBorder="1" applyAlignment="1" applyProtection="1">
      <alignment horizontal="right" vertical="center" wrapText="1"/>
      <protection hidden="1"/>
    </xf>
    <xf numFmtId="0" fontId="22" fillId="0" borderId="28" xfId="0" applyFont="1" applyBorder="1" applyAlignment="1" applyProtection="1">
      <alignment vertical="center" wrapText="1"/>
      <protection hidden="1"/>
    </xf>
    <xf numFmtId="0" fontId="22" fillId="0" borderId="39" xfId="0" applyFont="1" applyBorder="1" applyAlignment="1" applyProtection="1">
      <alignment vertical="center" wrapText="1"/>
      <protection hidden="1"/>
    </xf>
    <xf numFmtId="166" fontId="21" fillId="0" borderId="18" xfId="3" applyNumberFormat="1" applyFont="1" applyBorder="1" applyAlignment="1" applyProtection="1">
      <alignment horizontal="right" vertical="center" wrapText="1"/>
      <protection hidden="1"/>
    </xf>
    <xf numFmtId="0" fontId="21" fillId="0" borderId="19" xfId="3" applyFont="1" applyBorder="1" applyAlignment="1" applyProtection="1">
      <alignment vertical="center" wrapText="1"/>
      <protection hidden="1"/>
    </xf>
    <xf numFmtId="0" fontId="16" fillId="0" borderId="56" xfId="3" applyFont="1" applyBorder="1" applyAlignment="1" applyProtection="1">
      <alignment horizontal="right" vertical="center" wrapText="1"/>
      <protection hidden="1"/>
    </xf>
    <xf numFmtId="1" fontId="16" fillId="0" borderId="57" xfId="1" applyNumberFormat="1" applyFont="1" applyBorder="1" applyAlignment="1" applyProtection="1">
      <alignment horizontal="center" vertical="center" wrapText="1"/>
      <protection hidden="1"/>
    </xf>
    <xf numFmtId="0" fontId="21" fillId="0" borderId="20" xfId="3" applyFont="1" applyBorder="1" applyAlignment="1" applyProtection="1">
      <alignment vertical="center" wrapText="1"/>
      <protection hidden="1"/>
    </xf>
    <xf numFmtId="165" fontId="21" fillId="0" borderId="18" xfId="4" applyNumberFormat="1" applyFont="1" applyFill="1" applyBorder="1" applyAlignment="1" applyProtection="1">
      <alignment horizontal="center" vertical="center" wrapText="1"/>
      <protection hidden="1"/>
    </xf>
    <xf numFmtId="0" fontId="21" fillId="0" borderId="18" xfId="3" applyFont="1" applyBorder="1" applyAlignment="1" applyProtection="1">
      <alignment vertical="center" wrapText="1"/>
      <protection hidden="1"/>
    </xf>
    <xf numFmtId="44" fontId="16" fillId="0" borderId="11" xfId="4" applyFont="1" applyFill="1" applyBorder="1" applyAlignment="1" applyProtection="1">
      <alignment horizontal="center" vertical="center" wrapText="1"/>
      <protection hidden="1"/>
    </xf>
    <xf numFmtId="0" fontId="15" fillId="0" borderId="9" xfId="1" applyFont="1" applyBorder="1" applyAlignment="1" applyProtection="1">
      <alignment horizontal="left" vertical="center" wrapText="1"/>
      <protection hidden="1"/>
    </xf>
    <xf numFmtId="0" fontId="15" fillId="0" borderId="0" xfId="1" applyFont="1" applyAlignment="1" applyProtection="1">
      <alignment horizontal="left" vertical="center" wrapText="1"/>
      <protection hidden="1"/>
    </xf>
    <xf numFmtId="0" fontId="16" fillId="0" borderId="0" xfId="1" applyFont="1" applyAlignment="1" applyProtection="1">
      <alignment horizontal="right" vertical="center" wrapText="1"/>
      <protection hidden="1"/>
    </xf>
    <xf numFmtId="0" fontId="30" fillId="0" borderId="0" xfId="1" applyFont="1" applyAlignment="1" applyProtection="1">
      <alignment horizontal="center" vertical="center" wrapText="1"/>
      <protection hidden="1"/>
    </xf>
    <xf numFmtId="44" fontId="16" fillId="0" borderId="10" xfId="1" applyNumberFormat="1" applyFont="1" applyBorder="1" applyAlignment="1" applyProtection="1">
      <alignment horizontal="center" vertical="center" wrapText="1"/>
      <protection hidden="1"/>
    </xf>
    <xf numFmtId="9" fontId="16" fillId="0" borderId="56" xfId="8" applyFont="1" applyFill="1" applyBorder="1" applyAlignment="1" applyProtection="1">
      <alignment horizontal="center" vertical="center" wrapText="1"/>
      <protection hidden="1"/>
    </xf>
    <xf numFmtId="0" fontId="14" fillId="0" borderId="29" xfId="0" applyFont="1" applyBorder="1" applyProtection="1">
      <protection hidden="1"/>
    </xf>
    <xf numFmtId="0" fontId="20" fillId="10" borderId="52" xfId="3" applyFont="1" applyFill="1" applyBorder="1" applyAlignment="1" applyProtection="1">
      <alignment horizontal="left" vertical="center" wrapText="1"/>
      <protection hidden="1"/>
    </xf>
    <xf numFmtId="0" fontId="20" fillId="10" borderId="18" xfId="3" applyFont="1" applyFill="1" applyBorder="1" applyAlignment="1" applyProtection="1">
      <alignment horizontal="center" vertical="center" wrapText="1"/>
      <protection hidden="1"/>
    </xf>
    <xf numFmtId="0" fontId="16" fillId="11" borderId="28" xfId="3" applyFont="1" applyFill="1" applyBorder="1" applyAlignment="1" applyProtection="1">
      <alignment vertical="center" wrapText="1"/>
      <protection hidden="1"/>
    </xf>
    <xf numFmtId="0" fontId="16" fillId="11" borderId="29" xfId="3" applyFont="1" applyFill="1" applyBorder="1" applyAlignment="1" applyProtection="1">
      <alignment horizontal="center" vertical="center" wrapText="1"/>
      <protection hidden="1"/>
    </xf>
    <xf numFmtId="0" fontId="14" fillId="0" borderId="35" xfId="0" applyFont="1" applyBorder="1" applyProtection="1">
      <protection hidden="1"/>
    </xf>
    <xf numFmtId="0" fontId="21" fillId="0" borderId="51" xfId="1" applyFont="1" applyBorder="1" applyAlignment="1" applyProtection="1">
      <alignment vertical="center" wrapText="1"/>
      <protection hidden="1"/>
    </xf>
    <xf numFmtId="169" fontId="21" fillId="0" borderId="51" xfId="1" applyNumberFormat="1" applyFont="1" applyBorder="1" applyAlignment="1" applyProtection="1">
      <alignment vertical="center" wrapText="1"/>
      <protection hidden="1"/>
    </xf>
    <xf numFmtId="0" fontId="16" fillId="0" borderId="39" xfId="3" applyFont="1" applyBorder="1" applyAlignment="1" applyProtection="1">
      <alignment horizontal="right" vertical="center" wrapText="1"/>
      <protection hidden="1"/>
    </xf>
    <xf numFmtId="0" fontId="21" fillId="0" borderId="20" xfId="3" applyFont="1" applyBorder="1" applyAlignment="1" applyProtection="1">
      <alignment horizontal="right" vertical="center" wrapText="1"/>
      <protection hidden="1"/>
    </xf>
    <xf numFmtId="165" fontId="21" fillId="0" borderId="20" xfId="4" applyNumberFormat="1" applyFont="1" applyFill="1" applyBorder="1" applyAlignment="1" applyProtection="1">
      <alignment horizontal="center" vertical="center" wrapText="1"/>
      <protection hidden="1"/>
    </xf>
    <xf numFmtId="0" fontId="21" fillId="0" borderId="56" xfId="3" applyFont="1" applyBorder="1" applyAlignment="1" applyProtection="1">
      <alignment horizontal="center" vertical="center" wrapText="1"/>
      <protection hidden="1"/>
    </xf>
    <xf numFmtId="44" fontId="16" fillId="0" borderId="57" xfId="4" applyFont="1" applyFill="1" applyBorder="1" applyAlignment="1" applyProtection="1">
      <alignment horizontal="center" vertical="center" wrapText="1"/>
      <protection hidden="1"/>
    </xf>
    <xf numFmtId="44" fontId="16" fillId="0" borderId="59" xfId="1" applyNumberFormat="1" applyFont="1" applyBorder="1" applyAlignment="1" applyProtection="1">
      <alignment horizontal="center" vertical="center" wrapText="1"/>
      <protection hidden="1"/>
    </xf>
    <xf numFmtId="0" fontId="15" fillId="10" borderId="28" xfId="1" applyFont="1" applyFill="1" applyBorder="1" applyAlignment="1" applyProtection="1">
      <alignment horizontal="center" vertical="center" wrapText="1"/>
      <protection hidden="1"/>
    </xf>
    <xf numFmtId="0" fontId="15" fillId="10" borderId="29" xfId="1" applyFont="1" applyFill="1" applyBorder="1" applyAlignment="1" applyProtection="1">
      <alignment horizontal="center" vertical="center" wrapText="1"/>
      <protection hidden="1"/>
    </xf>
    <xf numFmtId="0" fontId="14" fillId="11" borderId="33" xfId="3" applyFont="1" applyFill="1" applyBorder="1" applyAlignment="1" applyProtection="1">
      <alignment horizontal="center" vertical="center" wrapText="1"/>
      <protection hidden="1"/>
    </xf>
    <xf numFmtId="0" fontId="14" fillId="11" borderId="34" xfId="3" applyFont="1" applyFill="1" applyBorder="1" applyAlignment="1" applyProtection="1">
      <alignment horizontal="center" vertical="center" wrapText="1"/>
      <protection hidden="1"/>
    </xf>
    <xf numFmtId="0" fontId="14" fillId="11" borderId="34" xfId="3" applyFont="1" applyFill="1" applyBorder="1" applyAlignment="1" applyProtection="1">
      <alignment vertical="center" wrapText="1"/>
      <protection hidden="1"/>
    </xf>
    <xf numFmtId="0" fontId="14" fillId="11" borderId="48" xfId="3" applyFont="1" applyFill="1" applyBorder="1" applyAlignment="1" applyProtection="1">
      <alignment horizontal="left" vertical="center" wrapText="1"/>
      <protection hidden="1"/>
    </xf>
    <xf numFmtId="0" fontId="14" fillId="0" borderId="18" xfId="2" applyFont="1" applyBorder="1" applyAlignment="1" applyProtection="1">
      <alignment horizontal="center" vertical="center"/>
      <protection hidden="1"/>
    </xf>
    <xf numFmtId="0" fontId="14" fillId="0" borderId="18" xfId="5" applyFont="1" applyBorder="1" applyAlignment="1" applyProtection="1">
      <alignment horizontal="left" vertical="center" wrapText="1"/>
      <protection hidden="1"/>
    </xf>
    <xf numFmtId="44" fontId="14" fillId="0" borderId="18" xfId="4" applyFont="1" applyFill="1" applyBorder="1" applyAlignment="1" applyProtection="1">
      <alignment horizontal="center" vertical="center" wrapText="1"/>
      <protection locked="0" hidden="1"/>
    </xf>
    <xf numFmtId="3" fontId="14" fillId="0" borderId="18" xfId="5" applyNumberFormat="1" applyFont="1" applyBorder="1" applyAlignment="1" applyProtection="1">
      <alignment horizontal="left" vertical="center" wrapText="1"/>
      <protection hidden="1"/>
    </xf>
    <xf numFmtId="0" fontId="14" fillId="0" borderId="0" xfId="5" applyFont="1" applyAlignment="1" applyProtection="1">
      <alignment horizontal="left" vertical="center"/>
      <protection hidden="1"/>
    </xf>
    <xf numFmtId="44" fontId="14" fillId="0" borderId="0" xfId="5" applyNumberFormat="1" applyFont="1" applyAlignment="1" applyProtection="1">
      <alignment horizontal="center" vertical="center"/>
      <protection hidden="1"/>
    </xf>
    <xf numFmtId="0" fontId="14" fillId="0" borderId="0" xfId="5" applyFont="1" applyAlignment="1" applyProtection="1">
      <alignment horizontal="center" vertical="center" wrapText="1"/>
      <protection hidden="1"/>
    </xf>
    <xf numFmtId="44" fontId="14" fillId="0" borderId="0" xfId="5" applyNumberFormat="1" applyFont="1" applyAlignment="1" applyProtection="1">
      <alignment horizontal="left" vertical="center"/>
      <protection hidden="1"/>
    </xf>
    <xf numFmtId="44" fontId="14" fillId="0" borderId="0" xfId="5" applyNumberFormat="1" applyFont="1" applyAlignment="1" applyProtection="1">
      <alignment horizontal="left" vertical="center" wrapText="1"/>
      <protection hidden="1"/>
    </xf>
    <xf numFmtId="0" fontId="14" fillId="0" borderId="0" xfId="1" applyFont="1" applyAlignment="1" applyProtection="1">
      <alignment horizontal="center" vertical="center" wrapText="1"/>
      <protection hidden="1"/>
    </xf>
    <xf numFmtId="44" fontId="14" fillId="0" borderId="0" xfId="1" applyNumberFormat="1" applyFont="1" applyAlignment="1" applyProtection="1">
      <alignment horizontal="center" vertical="center" wrapText="1"/>
      <protection hidden="1"/>
    </xf>
    <xf numFmtId="0" fontId="14" fillId="0" borderId="0" xfId="5" applyFont="1" applyAlignment="1" applyProtection="1">
      <alignment horizontal="center" vertical="center"/>
      <protection hidden="1"/>
    </xf>
    <xf numFmtId="9" fontId="14" fillId="0" borderId="0" xfId="7" applyFont="1" applyAlignment="1" applyProtection="1">
      <alignment horizontal="center" vertical="center"/>
      <protection hidden="1"/>
    </xf>
    <xf numFmtId="0" fontId="15" fillId="10" borderId="11" xfId="1" applyFont="1" applyFill="1" applyBorder="1" applyAlignment="1" applyProtection="1">
      <alignment horizontal="center" vertical="center" wrapText="1"/>
      <protection hidden="1"/>
    </xf>
    <xf numFmtId="44" fontId="31" fillId="0" borderId="17" xfId="5" applyNumberFormat="1" applyFont="1" applyBorder="1" applyAlignment="1" applyProtection="1">
      <alignment horizontal="center" vertical="center" wrapText="1"/>
      <protection hidden="1"/>
    </xf>
    <xf numFmtId="0" fontId="14" fillId="10" borderId="28" xfId="1" applyFont="1" applyFill="1" applyBorder="1" applyAlignment="1" applyProtection="1">
      <alignment horizontal="center" vertical="center" wrapText="1"/>
      <protection hidden="1"/>
    </xf>
    <xf numFmtId="0" fontId="14" fillId="10" borderId="29" xfId="1" applyFont="1" applyFill="1" applyBorder="1" applyAlignment="1" applyProtection="1">
      <alignment horizontal="center" vertical="center" wrapText="1"/>
      <protection hidden="1"/>
    </xf>
    <xf numFmtId="0" fontId="16" fillId="12" borderId="11" xfId="3" applyFont="1" applyFill="1" applyBorder="1" applyAlignment="1" applyProtection="1">
      <alignment horizontal="center" vertical="center" wrapText="1"/>
      <protection locked="0" hidden="1"/>
    </xf>
    <xf numFmtId="0" fontId="14" fillId="0" borderId="0" xfId="2" applyFont="1" applyAlignment="1" applyProtection="1">
      <alignment horizontal="center" vertical="center"/>
      <protection hidden="1"/>
    </xf>
    <xf numFmtId="0" fontId="13" fillId="0" borderId="11" xfId="0" applyFont="1" applyBorder="1" applyAlignment="1" applyProtection="1">
      <alignment horizontal="center" vertical="center" wrapText="1"/>
      <protection hidden="1"/>
    </xf>
    <xf numFmtId="1" fontId="13" fillId="0" borderId="0" xfId="8" applyNumberFormat="1" applyFont="1" applyFill="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9" fontId="12" fillId="0" borderId="11" xfId="8" applyFont="1" applyBorder="1" applyAlignment="1" applyProtection="1">
      <alignment horizontal="center" vertical="center" wrapText="1"/>
      <protection hidden="1"/>
    </xf>
    <xf numFmtId="0" fontId="12" fillId="0" borderId="11" xfId="0" applyFont="1" applyBorder="1" applyAlignment="1" applyProtection="1">
      <alignment vertical="center" wrapText="1"/>
      <protection hidden="1"/>
    </xf>
    <xf numFmtId="9" fontId="12" fillId="0" borderId="11" xfId="8" applyFont="1" applyBorder="1" applyAlignment="1" applyProtection="1">
      <alignment vertical="center" wrapText="1"/>
      <protection hidden="1"/>
    </xf>
    <xf numFmtId="1" fontId="12" fillId="0" borderId="0" xfId="8" applyNumberFormat="1" applyFont="1" applyFill="1" applyBorder="1" applyAlignment="1" applyProtection="1">
      <alignment horizontal="center" vertical="center" wrapText="1"/>
      <protection hidden="1"/>
    </xf>
    <xf numFmtId="0" fontId="32" fillId="0" borderId="11" xfId="0" applyFont="1" applyBorder="1" applyAlignment="1" applyProtection="1">
      <alignment horizontal="center" vertical="center" wrapText="1"/>
      <protection hidden="1"/>
    </xf>
    <xf numFmtId="9" fontId="33" fillId="0" borderId="11" xfId="8" applyFont="1" applyBorder="1" applyAlignment="1" applyProtection="1">
      <alignment horizontal="center" vertical="center" wrapText="1"/>
      <protection hidden="1"/>
    </xf>
    <xf numFmtId="9" fontId="33" fillId="8" borderId="11" xfId="8" applyFont="1" applyFill="1" applyBorder="1" applyAlignment="1" applyProtection="1">
      <alignment horizontal="center" vertical="center" wrapText="1"/>
      <protection hidden="1"/>
    </xf>
    <xf numFmtId="9" fontId="12" fillId="8" borderId="11" xfId="8" applyFont="1" applyFill="1" applyBorder="1" applyAlignment="1" applyProtection="1">
      <alignment horizontal="center" vertical="center" wrapText="1"/>
      <protection hidden="1"/>
    </xf>
    <xf numFmtId="0" fontId="46" fillId="10" borderId="21" xfId="1" applyFont="1" applyFill="1" applyBorder="1" applyAlignment="1" applyProtection="1">
      <alignment vertical="center" wrapText="1"/>
      <protection hidden="1"/>
    </xf>
    <xf numFmtId="0" fontId="11" fillId="0" borderId="0" xfId="1" applyFont="1" applyAlignment="1" applyProtection="1">
      <alignment vertical="center" wrapText="1"/>
      <protection hidden="1"/>
    </xf>
    <xf numFmtId="0" fontId="12" fillId="6" borderId="36" xfId="0" applyFont="1" applyFill="1" applyBorder="1" applyAlignment="1" applyProtection="1">
      <alignment vertical="top" wrapText="1"/>
      <protection hidden="1"/>
    </xf>
    <xf numFmtId="0" fontId="12" fillId="6" borderId="37" xfId="0" applyFont="1" applyFill="1" applyBorder="1" applyAlignment="1" applyProtection="1">
      <alignment vertical="center" wrapText="1"/>
      <protection hidden="1"/>
    </xf>
    <xf numFmtId="0" fontId="12" fillId="6" borderId="37" xfId="0" applyFont="1" applyFill="1" applyBorder="1" applyAlignment="1" applyProtection="1">
      <alignment vertical="center"/>
      <protection hidden="1"/>
    </xf>
    <xf numFmtId="0" fontId="13" fillId="6" borderId="37" xfId="0" applyFont="1" applyFill="1" applyBorder="1" applyAlignment="1" applyProtection="1">
      <alignment wrapText="1"/>
      <protection hidden="1"/>
    </xf>
    <xf numFmtId="0" fontId="12" fillId="6" borderId="37" xfId="0" applyFont="1" applyFill="1" applyBorder="1" applyAlignment="1" applyProtection="1">
      <alignment wrapText="1"/>
      <protection hidden="1"/>
    </xf>
    <xf numFmtId="0" fontId="12" fillId="0" borderId="38" xfId="0" applyFont="1" applyBorder="1" applyAlignment="1" applyProtection="1">
      <alignment wrapText="1"/>
      <protection hidden="1"/>
    </xf>
    <xf numFmtId="0" fontId="43" fillId="12" borderId="11" xfId="1" applyFont="1" applyFill="1" applyBorder="1" applyAlignment="1" applyProtection="1">
      <alignment vertical="center" wrapText="1"/>
      <protection locked="0"/>
    </xf>
    <xf numFmtId="9" fontId="43" fillId="12" borderId="11" xfId="0" applyNumberFormat="1" applyFont="1" applyFill="1" applyBorder="1" applyAlignment="1" applyProtection="1">
      <alignment vertical="center" wrapText="1"/>
      <protection locked="0"/>
    </xf>
    <xf numFmtId="0" fontId="10" fillId="12" borderId="11" xfId="0" applyFont="1" applyFill="1" applyBorder="1" applyAlignment="1" applyProtection="1">
      <alignment vertical="center" wrapText="1"/>
      <protection locked="0"/>
    </xf>
    <xf numFmtId="9" fontId="10" fillId="12" borderId="11" xfId="0" applyNumberFormat="1" applyFont="1" applyFill="1" applyBorder="1" applyAlignment="1" applyProtection="1">
      <alignment vertical="center" wrapText="1"/>
      <protection locked="0"/>
    </xf>
    <xf numFmtId="0" fontId="10" fillId="12" borderId="19" xfId="0" applyFont="1" applyFill="1" applyBorder="1" applyAlignment="1" applyProtection="1">
      <alignment vertical="center" wrapText="1"/>
      <protection locked="0"/>
    </xf>
    <xf numFmtId="0" fontId="43" fillId="12" borderId="19" xfId="1" applyFont="1" applyFill="1" applyBorder="1" applyAlignment="1" applyProtection="1">
      <alignment vertical="center" wrapText="1"/>
      <protection locked="0"/>
    </xf>
    <xf numFmtId="0" fontId="21" fillId="12" borderId="11" xfId="3" applyFont="1" applyFill="1" applyBorder="1" applyAlignment="1" applyProtection="1">
      <alignment horizontal="center" vertical="center" wrapText="1"/>
      <protection locked="0"/>
    </xf>
    <xf numFmtId="0" fontId="21" fillId="12" borderId="19" xfId="3" applyFont="1" applyFill="1" applyBorder="1" applyAlignment="1" applyProtection="1">
      <alignment horizontal="center" vertical="center" wrapText="1"/>
      <protection locked="0"/>
    </xf>
    <xf numFmtId="0" fontId="21" fillId="12" borderId="18" xfId="3" applyFont="1" applyFill="1" applyBorder="1" applyAlignment="1" applyProtection="1">
      <alignment horizontal="center" vertical="center" wrapText="1"/>
      <protection locked="0"/>
    </xf>
    <xf numFmtId="0" fontId="21" fillId="12" borderId="16" xfId="3" applyFont="1" applyFill="1" applyBorder="1" applyAlignment="1" applyProtection="1">
      <alignment horizontal="center" vertical="center" wrapText="1"/>
      <protection locked="0"/>
    </xf>
    <xf numFmtId="0" fontId="21" fillId="12" borderId="13" xfId="3" applyFont="1" applyFill="1" applyBorder="1" applyAlignment="1" applyProtection="1">
      <alignment horizontal="center" vertical="center" wrapText="1"/>
      <protection locked="0"/>
    </xf>
    <xf numFmtId="0" fontId="21" fillId="12" borderId="7" xfId="3" applyFont="1" applyFill="1" applyBorder="1" applyAlignment="1" applyProtection="1">
      <alignment horizontal="center" vertical="center" wrapText="1"/>
      <protection locked="0"/>
    </xf>
    <xf numFmtId="164" fontId="14" fillId="12" borderId="18" xfId="5" applyNumberFormat="1" applyFont="1" applyFill="1" applyBorder="1" applyAlignment="1" applyProtection="1">
      <alignment horizontal="center" vertical="center" wrapText="1"/>
      <protection locked="0"/>
    </xf>
    <xf numFmtId="0" fontId="12" fillId="12" borderId="11" xfId="6" applyFont="1" applyFill="1" applyBorder="1" applyAlignment="1" applyProtection="1">
      <alignment horizontal="left" vertical="center"/>
      <protection locked="0"/>
    </xf>
    <xf numFmtId="0" fontId="12" fillId="12" borderId="11" xfId="6" applyFont="1" applyFill="1" applyBorder="1" applyAlignment="1" applyProtection="1">
      <alignment horizontal="center" vertical="center"/>
      <protection locked="0"/>
    </xf>
    <xf numFmtId="0" fontId="12" fillId="12" borderId="11" xfId="6" applyFont="1" applyFill="1" applyBorder="1" applyAlignment="1" applyProtection="1">
      <alignment horizontal="center" vertical="center" wrapText="1"/>
      <protection locked="0"/>
    </xf>
    <xf numFmtId="165" fontId="10" fillId="12" borderId="11" xfId="6" applyNumberFormat="1" applyFont="1" applyFill="1" applyBorder="1" applyAlignment="1" applyProtection="1">
      <alignment horizontal="center" vertical="center" wrapText="1"/>
      <protection locked="0"/>
    </xf>
    <xf numFmtId="44" fontId="10" fillId="12" borderId="11" xfId="4" applyFont="1" applyFill="1" applyBorder="1" applyAlignment="1" applyProtection="1">
      <alignment horizontal="center" vertical="center"/>
      <protection locked="0"/>
    </xf>
    <xf numFmtId="0" fontId="8" fillId="0" borderId="0" xfId="1" applyFont="1" applyAlignment="1">
      <alignment horizontal="left" vertical="center" wrapText="1"/>
    </xf>
    <xf numFmtId="0" fontId="8" fillId="0" borderId="5" xfId="1" applyFont="1" applyBorder="1" applyAlignment="1">
      <alignment horizontal="left" vertical="center" wrapText="1"/>
    </xf>
    <xf numFmtId="0" fontId="44" fillId="0" borderId="4" xfId="1" applyFont="1" applyBorder="1" applyAlignment="1">
      <alignment horizontal="center" vertical="center" wrapText="1"/>
    </xf>
    <xf numFmtId="0" fontId="44" fillId="0" borderId="0" xfId="1" applyFont="1" applyAlignment="1">
      <alignment horizontal="center" vertical="center" wrapText="1"/>
    </xf>
    <xf numFmtId="0" fontId="44" fillId="0" borderId="5" xfId="1" applyFont="1" applyBorder="1" applyAlignment="1">
      <alignment horizontal="center" vertical="center" wrapText="1"/>
    </xf>
    <xf numFmtId="0" fontId="12" fillId="12" borderId="46" xfId="0" applyFont="1" applyFill="1" applyBorder="1" applyAlignment="1" applyProtection="1">
      <alignment horizontal="left" vertical="center"/>
      <protection locked="0"/>
    </xf>
    <xf numFmtId="0" fontId="12" fillId="12" borderId="47" xfId="0" applyFont="1" applyFill="1" applyBorder="1" applyAlignment="1" applyProtection="1">
      <alignment horizontal="left" vertical="center"/>
      <protection locked="0"/>
    </xf>
    <xf numFmtId="0" fontId="14" fillId="11" borderId="42" xfId="3" applyFont="1" applyFill="1" applyBorder="1" applyAlignment="1" applyProtection="1">
      <alignment horizontal="left" vertical="center" wrapText="1"/>
      <protection hidden="1"/>
    </xf>
    <xf numFmtId="0" fontId="14" fillId="11" borderId="30" xfId="3" applyFont="1" applyFill="1" applyBorder="1" applyAlignment="1" applyProtection="1">
      <alignment horizontal="left" vertical="center" wrapText="1"/>
      <protection hidden="1"/>
    </xf>
    <xf numFmtId="0" fontId="14" fillId="11" borderId="31" xfId="3" applyFont="1" applyFill="1" applyBorder="1" applyAlignment="1" applyProtection="1">
      <alignment horizontal="left" vertical="center" wrapText="1"/>
      <protection hidden="1"/>
    </xf>
    <xf numFmtId="0" fontId="14" fillId="11" borderId="44" xfId="3" applyFont="1" applyFill="1" applyBorder="1" applyAlignment="1" applyProtection="1">
      <alignment horizontal="left" vertical="center" wrapText="1"/>
      <protection hidden="1"/>
    </xf>
    <xf numFmtId="0" fontId="14" fillId="11" borderId="13" xfId="3" applyFont="1" applyFill="1" applyBorder="1" applyAlignment="1" applyProtection="1">
      <alignment horizontal="left" vertical="center" wrapText="1"/>
      <protection hidden="1"/>
    </xf>
    <xf numFmtId="0" fontId="14" fillId="11" borderId="14" xfId="3" applyFont="1" applyFill="1" applyBorder="1" applyAlignment="1" applyProtection="1">
      <alignment horizontal="left" vertical="center" wrapText="1"/>
      <protection hidden="1"/>
    </xf>
    <xf numFmtId="0" fontId="14" fillId="11" borderId="26" xfId="3" applyFont="1" applyFill="1" applyBorder="1" applyAlignment="1" applyProtection="1">
      <alignment horizontal="left" vertical="center" wrapText="1"/>
      <protection hidden="1"/>
    </xf>
    <xf numFmtId="0" fontId="14" fillId="11" borderId="46" xfId="3" applyFont="1" applyFill="1" applyBorder="1" applyAlignment="1" applyProtection="1">
      <alignment horizontal="left" vertical="center" wrapText="1"/>
      <protection hidden="1"/>
    </xf>
    <xf numFmtId="0" fontId="14" fillId="11" borderId="27" xfId="3" applyFont="1" applyFill="1" applyBorder="1" applyAlignment="1" applyProtection="1">
      <alignment horizontal="left" vertical="center" wrapText="1"/>
      <protection hidden="1"/>
    </xf>
    <xf numFmtId="0" fontId="27" fillId="0" borderId="15" xfId="1" applyFont="1" applyBorder="1" applyAlignment="1" applyProtection="1">
      <alignment horizontal="center" vertical="center" wrapText="1"/>
      <protection hidden="1"/>
    </xf>
    <xf numFmtId="0" fontId="27" fillId="0" borderId="17" xfId="1" applyFont="1" applyBorder="1" applyAlignment="1" applyProtection="1">
      <alignment horizontal="center" vertical="center" wrapText="1"/>
      <protection hidden="1"/>
    </xf>
    <xf numFmtId="0" fontId="27" fillId="0" borderId="12" xfId="1" applyFont="1" applyBorder="1" applyAlignment="1" applyProtection="1">
      <alignment horizontal="center" vertical="center" wrapText="1"/>
      <protection hidden="1"/>
    </xf>
    <xf numFmtId="0" fontId="27" fillId="0" borderId="14" xfId="1" applyFont="1" applyBorder="1" applyAlignment="1" applyProtection="1">
      <alignment horizontal="center" vertical="center" wrapText="1"/>
      <protection hidden="1"/>
    </xf>
    <xf numFmtId="0" fontId="27" fillId="11" borderId="6" xfId="1" applyFont="1" applyFill="1" applyBorder="1" applyAlignment="1" applyProtection="1">
      <alignment horizontal="center" vertical="center" wrapText="1"/>
      <protection hidden="1"/>
    </xf>
    <xf numFmtId="0" fontId="27" fillId="11" borderId="8" xfId="1" applyFont="1" applyFill="1" applyBorder="1" applyAlignment="1" applyProtection="1">
      <alignment horizontal="center" vertical="center" wrapText="1"/>
      <protection hidden="1"/>
    </xf>
    <xf numFmtId="0" fontId="27" fillId="11" borderId="9" xfId="1" applyFont="1" applyFill="1" applyBorder="1" applyAlignment="1" applyProtection="1">
      <alignment horizontal="center" vertical="center" wrapText="1"/>
      <protection hidden="1"/>
    </xf>
    <xf numFmtId="0" fontId="27" fillId="11" borderId="10" xfId="1" applyFont="1" applyFill="1" applyBorder="1" applyAlignment="1" applyProtection="1">
      <alignment horizontal="center" vertical="center" wrapText="1"/>
      <protection hidden="1"/>
    </xf>
    <xf numFmtId="0" fontId="27" fillId="11" borderId="15" xfId="1" applyFont="1" applyFill="1" applyBorder="1" applyAlignment="1" applyProtection="1">
      <alignment horizontal="center" vertical="center" wrapText="1"/>
      <protection hidden="1"/>
    </xf>
    <xf numFmtId="0" fontId="27" fillId="11" borderId="17" xfId="1" applyFont="1" applyFill="1" applyBorder="1" applyAlignment="1" applyProtection="1">
      <alignment horizontal="center" vertical="center" wrapText="1"/>
      <protection hidden="1"/>
    </xf>
    <xf numFmtId="0" fontId="31" fillId="0" borderId="11" xfId="3" applyFont="1" applyBorder="1" applyAlignment="1" applyProtection="1">
      <alignment horizontal="left" vertical="center" wrapText="1"/>
      <protection hidden="1"/>
    </xf>
    <xf numFmtId="0" fontId="13" fillId="7" borderId="0" xfId="0" applyFont="1" applyFill="1" applyAlignment="1" applyProtection="1">
      <alignment horizontal="center" vertical="center" wrapText="1"/>
      <protection hidden="1"/>
    </xf>
    <xf numFmtId="0" fontId="36" fillId="10" borderId="6" xfId="1" applyFont="1" applyFill="1" applyBorder="1" applyAlignment="1" applyProtection="1">
      <alignment horizontal="left" vertical="center" wrapText="1"/>
      <protection hidden="1"/>
    </xf>
    <xf numFmtId="0" fontId="36" fillId="10" borderId="7" xfId="1" applyFont="1" applyFill="1" applyBorder="1" applyAlignment="1" applyProtection="1">
      <alignment horizontal="left" vertical="center" wrapText="1"/>
      <protection hidden="1"/>
    </xf>
    <xf numFmtId="0" fontId="15" fillId="10" borderId="22" xfId="1" applyFont="1" applyFill="1" applyBorder="1" applyAlignment="1" applyProtection="1">
      <alignment horizontal="left" vertical="center" wrapText="1"/>
      <protection hidden="1"/>
    </xf>
    <xf numFmtId="0" fontId="15" fillId="10" borderId="28" xfId="1" applyFont="1" applyFill="1" applyBorder="1" applyAlignment="1" applyProtection="1">
      <alignment horizontal="left" vertical="center" wrapText="1"/>
      <protection hidden="1"/>
    </xf>
    <xf numFmtId="0" fontId="21" fillId="12" borderId="60" xfId="3" applyFont="1" applyFill="1" applyBorder="1" applyAlignment="1" applyProtection="1">
      <alignment horizontal="left" vertical="center" wrapText="1"/>
      <protection locked="0" hidden="1"/>
    </xf>
    <xf numFmtId="0" fontId="21" fillId="12" borderId="30" xfId="3" applyFont="1" applyFill="1" applyBorder="1" applyAlignment="1" applyProtection="1">
      <alignment horizontal="left" vertical="center" wrapText="1"/>
      <protection locked="0" hidden="1"/>
    </xf>
    <xf numFmtId="0" fontId="21" fillId="12" borderId="31" xfId="3" applyFont="1" applyFill="1" applyBorder="1" applyAlignment="1" applyProtection="1">
      <alignment horizontal="left" vertical="center" wrapText="1"/>
      <protection locked="0" hidden="1"/>
    </xf>
    <xf numFmtId="0" fontId="16" fillId="11" borderId="33" xfId="3" applyFont="1" applyFill="1" applyBorder="1" applyAlignment="1" applyProtection="1">
      <alignment horizontal="left" vertical="center" wrapText="1"/>
      <protection hidden="1"/>
    </xf>
    <xf numFmtId="0" fontId="16" fillId="11" borderId="34" xfId="3" applyFont="1" applyFill="1" applyBorder="1" applyAlignment="1" applyProtection="1">
      <alignment horizontal="left" vertical="center" wrapText="1"/>
      <protection hidden="1"/>
    </xf>
    <xf numFmtId="0" fontId="16" fillId="11" borderId="48" xfId="3" applyFont="1" applyFill="1" applyBorder="1" applyAlignment="1" applyProtection="1">
      <alignment horizontal="left" vertical="center" wrapText="1"/>
      <protection hidden="1"/>
    </xf>
    <xf numFmtId="0" fontId="16" fillId="0" borderId="33" xfId="3" applyFont="1" applyBorder="1" applyAlignment="1" applyProtection="1">
      <alignment horizontal="right" vertical="center" wrapText="1"/>
      <protection hidden="1"/>
    </xf>
    <xf numFmtId="0" fontId="16" fillId="0" borderId="34" xfId="3" applyFont="1" applyBorder="1" applyAlignment="1" applyProtection="1">
      <alignment horizontal="right" vertical="center" wrapText="1"/>
      <protection hidden="1"/>
    </xf>
    <xf numFmtId="0" fontId="20" fillId="10" borderId="33" xfId="3" applyFont="1" applyFill="1" applyBorder="1" applyAlignment="1" applyProtection="1">
      <alignment horizontal="left" vertical="center" wrapText="1"/>
      <protection hidden="1"/>
    </xf>
    <xf numFmtId="0" fontId="20" fillId="10" borderId="23" xfId="3" applyFont="1" applyFill="1" applyBorder="1" applyAlignment="1" applyProtection="1">
      <alignment horizontal="left" vertical="center" wrapText="1"/>
      <protection hidden="1"/>
    </xf>
    <xf numFmtId="0" fontId="16" fillId="11" borderId="22" xfId="3" applyFont="1" applyFill="1" applyBorder="1" applyAlignment="1" applyProtection="1">
      <alignment horizontal="left" vertical="center" wrapText="1"/>
      <protection hidden="1"/>
    </xf>
    <xf numFmtId="0" fontId="16" fillId="11" borderId="28" xfId="3" applyFont="1" applyFill="1" applyBorder="1" applyAlignment="1" applyProtection="1">
      <alignment horizontal="left" vertical="center" wrapText="1"/>
      <protection hidden="1"/>
    </xf>
    <xf numFmtId="0" fontId="16" fillId="11" borderId="29" xfId="3" applyFont="1" applyFill="1" applyBorder="1" applyAlignment="1" applyProtection="1">
      <alignment horizontal="left" vertical="center" wrapText="1"/>
      <protection hidden="1"/>
    </xf>
    <xf numFmtId="0" fontId="16" fillId="0" borderId="0" xfId="3" applyFont="1" applyAlignment="1" applyProtection="1">
      <alignment horizontal="center" vertical="center" wrapText="1"/>
      <protection hidden="1"/>
    </xf>
    <xf numFmtId="0" fontId="21" fillId="0" borderId="0" xfId="3" applyFont="1" applyAlignment="1" applyProtection="1">
      <alignment horizontal="center" vertical="center" wrapText="1"/>
      <protection hidden="1"/>
    </xf>
    <xf numFmtId="0" fontId="22" fillId="0" borderId="28" xfId="0" applyFont="1" applyBorder="1" applyAlignment="1" applyProtection="1">
      <alignment horizontal="right" vertical="center" wrapText="1"/>
      <protection hidden="1"/>
    </xf>
    <xf numFmtId="0" fontId="22" fillId="0" borderId="29" xfId="0" applyFont="1" applyBorder="1" applyAlignment="1" applyProtection="1">
      <alignment horizontal="right" vertical="center" wrapText="1"/>
      <protection hidden="1"/>
    </xf>
    <xf numFmtId="0" fontId="22" fillId="0" borderId="39" xfId="0" applyFont="1" applyBorder="1" applyAlignment="1" applyProtection="1">
      <alignment horizontal="right" vertical="center" wrapText="1"/>
      <protection hidden="1"/>
    </xf>
    <xf numFmtId="0" fontId="27" fillId="0" borderId="22" xfId="3" applyFont="1" applyBorder="1" applyAlignment="1" applyProtection="1">
      <alignment horizontal="right" vertical="center" wrapText="1"/>
      <protection hidden="1"/>
    </xf>
    <xf numFmtId="0" fontId="27" fillId="0" borderId="29" xfId="3" applyFont="1" applyBorder="1" applyAlignment="1" applyProtection="1">
      <alignment horizontal="right" vertical="center" wrapText="1"/>
      <protection hidden="1"/>
    </xf>
    <xf numFmtId="0" fontId="21" fillId="0" borderId="9" xfId="3" applyFont="1" applyBorder="1" applyAlignment="1" applyProtection="1">
      <alignment horizontal="right" vertical="center" wrapText="1"/>
      <protection hidden="1"/>
    </xf>
    <xf numFmtId="0" fontId="21" fillId="0" borderId="10" xfId="3" applyFont="1" applyBorder="1" applyAlignment="1" applyProtection="1">
      <alignment horizontal="right" vertical="center" wrapText="1"/>
      <protection hidden="1"/>
    </xf>
    <xf numFmtId="0" fontId="27" fillId="0" borderId="28" xfId="3" applyFont="1" applyBorder="1" applyAlignment="1" applyProtection="1">
      <alignment horizontal="right" vertical="center" wrapText="1"/>
      <protection hidden="1"/>
    </xf>
    <xf numFmtId="0" fontId="20" fillId="10" borderId="22" xfId="3" applyFont="1" applyFill="1" applyBorder="1" applyAlignment="1" applyProtection="1">
      <alignment horizontal="center" vertical="center" wrapText="1"/>
      <protection hidden="1"/>
    </xf>
    <xf numFmtId="0" fontId="20" fillId="10" borderId="29" xfId="3" applyFont="1" applyFill="1" applyBorder="1" applyAlignment="1" applyProtection="1">
      <alignment horizontal="center" vertical="center" wrapText="1"/>
      <protection hidden="1"/>
    </xf>
    <xf numFmtId="0" fontId="14" fillId="11" borderId="28" xfId="3" applyFont="1" applyFill="1" applyBorder="1" applyAlignment="1" applyProtection="1">
      <alignment vertical="center" wrapText="1"/>
      <protection hidden="1"/>
    </xf>
    <xf numFmtId="0" fontId="14" fillId="11" borderId="29" xfId="3" applyFont="1" applyFill="1" applyBorder="1" applyAlignment="1" applyProtection="1">
      <alignment vertical="center" wrapText="1"/>
      <protection hidden="1"/>
    </xf>
    <xf numFmtId="0" fontId="27" fillId="11" borderId="1" xfId="3" applyFont="1" applyFill="1" applyBorder="1" applyAlignment="1" applyProtection="1">
      <alignment horizontal="center" vertical="center" wrapText="1"/>
      <protection hidden="1"/>
    </xf>
    <xf numFmtId="0" fontId="27" fillId="11" borderId="24" xfId="3" applyFont="1" applyFill="1" applyBorder="1" applyAlignment="1" applyProtection="1">
      <alignment horizontal="center" vertical="center" wrapText="1"/>
      <protection hidden="1"/>
    </xf>
    <xf numFmtId="0" fontId="27" fillId="11" borderId="22" xfId="3" applyFont="1" applyFill="1" applyBorder="1" applyAlignment="1" applyProtection="1">
      <alignment horizontal="center" vertical="center" wrapText="1"/>
      <protection hidden="1"/>
    </xf>
    <xf numFmtId="0" fontId="27" fillId="11" borderId="28" xfId="3" applyFont="1" applyFill="1" applyBorder="1" applyAlignment="1" applyProtection="1">
      <alignment horizontal="center" vertical="center" wrapText="1"/>
      <protection hidden="1"/>
    </xf>
    <xf numFmtId="0" fontId="11" fillId="10" borderId="6" xfId="1" applyFont="1" applyFill="1" applyBorder="1" applyAlignment="1" applyProtection="1">
      <alignment horizontal="left" vertical="center" wrapText="1"/>
      <protection hidden="1"/>
    </xf>
    <xf numFmtId="0" fontId="11" fillId="10" borderId="7" xfId="1" applyFont="1" applyFill="1" applyBorder="1" applyAlignment="1" applyProtection="1">
      <alignment horizontal="left" vertical="center" wrapText="1"/>
      <protection hidden="1"/>
    </xf>
    <xf numFmtId="0" fontId="11" fillId="10" borderId="8" xfId="1" applyFont="1" applyFill="1" applyBorder="1" applyAlignment="1" applyProtection="1">
      <alignment horizontal="left" vertical="center" wrapText="1"/>
      <protection hidden="1"/>
    </xf>
    <xf numFmtId="0" fontId="11" fillId="10" borderId="9" xfId="1" applyFont="1" applyFill="1" applyBorder="1" applyAlignment="1" applyProtection="1">
      <alignment horizontal="left" vertical="center" wrapText="1"/>
      <protection hidden="1"/>
    </xf>
    <xf numFmtId="0" fontId="11" fillId="10" borderId="0" xfId="1" applyFont="1" applyFill="1" applyAlignment="1" applyProtection="1">
      <alignment horizontal="left" vertical="center" wrapText="1"/>
      <protection hidden="1"/>
    </xf>
    <xf numFmtId="0" fontId="20" fillId="10" borderId="22" xfId="3" applyFont="1" applyFill="1" applyBorder="1" applyAlignment="1" applyProtection="1">
      <alignment horizontal="left" vertical="center" wrapText="1"/>
      <protection hidden="1"/>
    </xf>
    <xf numFmtId="0" fontId="20" fillId="10" borderId="39" xfId="3" applyFont="1" applyFill="1" applyBorder="1" applyAlignment="1" applyProtection="1">
      <alignment horizontal="left" vertical="center" wrapText="1"/>
      <protection hidden="1"/>
    </xf>
    <xf numFmtId="0" fontId="21" fillId="0" borderId="15" xfId="3" applyFont="1" applyBorder="1" applyAlignment="1" applyProtection="1">
      <alignment horizontal="right" vertical="center" wrapText="1"/>
      <protection hidden="1"/>
    </xf>
    <xf numFmtId="0" fontId="21" fillId="0" borderId="17" xfId="3" applyFont="1" applyBorder="1" applyAlignment="1" applyProtection="1">
      <alignment horizontal="right" vertical="center" wrapText="1"/>
      <protection hidden="1"/>
    </xf>
    <xf numFmtId="0" fontId="12" fillId="12" borderId="30" xfId="0" applyFont="1" applyFill="1" applyBorder="1" applyAlignment="1" applyProtection="1">
      <alignment horizontal="left" vertical="center"/>
      <protection locked="0"/>
    </xf>
    <xf numFmtId="0" fontId="12" fillId="12" borderId="43" xfId="0" applyFont="1" applyFill="1" applyBorder="1" applyAlignment="1" applyProtection="1">
      <alignment horizontal="left" vertical="center"/>
      <protection locked="0"/>
    </xf>
    <xf numFmtId="0" fontId="12" fillId="12" borderId="13" xfId="0" applyFont="1" applyFill="1" applyBorder="1" applyAlignment="1" applyProtection="1">
      <alignment horizontal="left" vertical="center"/>
      <protection locked="0"/>
    </xf>
    <xf numFmtId="0" fontId="12" fillId="12" borderId="45" xfId="0" applyFont="1" applyFill="1" applyBorder="1" applyAlignment="1" applyProtection="1">
      <alignment horizontal="left" vertical="center"/>
      <protection locked="0"/>
    </xf>
    <xf numFmtId="0" fontId="22" fillId="0" borderId="16" xfId="0" applyFont="1" applyBorder="1" applyAlignment="1" applyProtection="1">
      <alignment horizontal="right" vertical="center" wrapText="1"/>
      <protection hidden="1"/>
    </xf>
    <xf numFmtId="0" fontId="22" fillId="0" borderId="17" xfId="0" applyFont="1" applyBorder="1" applyAlignment="1" applyProtection="1">
      <alignment horizontal="right" vertical="center" wrapText="1"/>
      <protection hidden="1"/>
    </xf>
    <xf numFmtId="0" fontId="46" fillId="10" borderId="6" xfId="1" applyFont="1" applyFill="1" applyBorder="1" applyAlignment="1" applyProtection="1">
      <alignment horizontal="left" vertical="center" wrapText="1"/>
      <protection hidden="1"/>
    </xf>
    <xf numFmtId="0" fontId="46" fillId="10" borderId="7" xfId="1" applyFont="1" applyFill="1" applyBorder="1" applyAlignment="1" applyProtection="1">
      <alignment horizontal="left" vertical="center" wrapText="1"/>
      <protection hidden="1"/>
    </xf>
    <xf numFmtId="0" fontId="46" fillId="10" borderId="8" xfId="1" applyFont="1" applyFill="1" applyBorder="1" applyAlignment="1" applyProtection="1">
      <alignment horizontal="left" vertical="center" wrapText="1"/>
      <protection hidden="1"/>
    </xf>
    <xf numFmtId="0" fontId="36" fillId="10" borderId="9" xfId="1" applyFont="1" applyFill="1" applyBorder="1" applyAlignment="1" applyProtection="1">
      <alignment horizontal="left" vertical="center" wrapText="1"/>
      <protection hidden="1"/>
    </xf>
    <xf numFmtId="0" fontId="36" fillId="10" borderId="0" xfId="1" applyFont="1" applyFill="1" applyAlignment="1" applyProtection="1">
      <alignment horizontal="left" vertical="center" wrapText="1"/>
      <protection hidden="1"/>
    </xf>
    <xf numFmtId="0" fontId="10" fillId="11" borderId="16" xfId="3" applyFont="1" applyFill="1" applyBorder="1" applyAlignment="1" applyProtection="1">
      <alignment horizontal="center" vertical="center" wrapText="1"/>
      <protection hidden="1"/>
    </xf>
    <xf numFmtId="44" fontId="10" fillId="12" borderId="12" xfId="4" applyFont="1" applyFill="1" applyBorder="1" applyAlignment="1" applyProtection="1">
      <alignment horizontal="center" vertical="center" wrapText="1"/>
      <protection locked="0"/>
    </xf>
    <xf numFmtId="44" fontId="10" fillId="12" borderId="14" xfId="4" applyFont="1" applyFill="1" applyBorder="1" applyAlignment="1" applyProtection="1">
      <alignment horizontal="center" vertical="center" wrapText="1"/>
      <protection locked="0"/>
    </xf>
    <xf numFmtId="0" fontId="20" fillId="10" borderId="11" xfId="1" applyFont="1" applyFill="1" applyBorder="1" applyAlignment="1" applyProtection="1">
      <alignment horizontal="left" vertical="center" wrapText="1"/>
      <protection hidden="1"/>
    </xf>
    <xf numFmtId="0" fontId="10" fillId="11" borderId="42" xfId="3" applyFont="1" applyFill="1" applyBorder="1" applyAlignment="1" applyProtection="1">
      <alignment horizontal="left" vertical="center" wrapText="1"/>
      <protection hidden="1"/>
    </xf>
    <xf numFmtId="0" fontId="10" fillId="11" borderId="30" xfId="3" applyFont="1" applyFill="1" applyBorder="1" applyAlignment="1" applyProtection="1">
      <alignment horizontal="left" vertical="center" wrapText="1"/>
      <protection hidden="1"/>
    </xf>
    <xf numFmtId="0" fontId="10" fillId="11" borderId="31" xfId="3" applyFont="1" applyFill="1" applyBorder="1" applyAlignment="1" applyProtection="1">
      <alignment horizontal="left" vertical="center" wrapText="1"/>
      <protection hidden="1"/>
    </xf>
    <xf numFmtId="0" fontId="10" fillId="12" borderId="30" xfId="0" applyFont="1" applyFill="1" applyBorder="1" applyAlignment="1" applyProtection="1">
      <alignment horizontal="left" vertical="center"/>
      <protection locked="0"/>
    </xf>
    <xf numFmtId="0" fontId="10" fillId="12" borderId="43" xfId="0" applyFont="1" applyFill="1" applyBorder="1" applyAlignment="1" applyProtection="1">
      <alignment horizontal="left" vertical="center"/>
      <protection locked="0"/>
    </xf>
    <xf numFmtId="0" fontId="10" fillId="11" borderId="44" xfId="3" applyFont="1" applyFill="1" applyBorder="1" applyAlignment="1" applyProtection="1">
      <alignment horizontal="left" vertical="center" wrapText="1"/>
      <protection hidden="1"/>
    </xf>
    <xf numFmtId="0" fontId="10" fillId="11" borderId="13" xfId="3" applyFont="1" applyFill="1" applyBorder="1" applyAlignment="1" applyProtection="1">
      <alignment horizontal="left" vertical="center" wrapText="1"/>
      <protection hidden="1"/>
    </xf>
    <xf numFmtId="0" fontId="10" fillId="11" borderId="14" xfId="3" applyFont="1" applyFill="1" applyBorder="1" applyAlignment="1" applyProtection="1">
      <alignment horizontal="left" vertical="center" wrapText="1"/>
      <protection hidden="1"/>
    </xf>
    <xf numFmtId="0" fontId="10" fillId="12" borderId="13" xfId="0" applyFont="1" applyFill="1" applyBorder="1" applyAlignment="1" applyProtection="1">
      <alignment horizontal="left" vertical="center"/>
      <protection locked="0"/>
    </xf>
    <xf numFmtId="0" fontId="10" fillId="12" borderId="45" xfId="0" applyFont="1" applyFill="1" applyBorder="1" applyAlignment="1" applyProtection="1">
      <alignment horizontal="left" vertical="center"/>
      <protection locked="0"/>
    </xf>
    <xf numFmtId="0" fontId="10" fillId="11" borderId="26" xfId="3" applyFont="1" applyFill="1" applyBorder="1" applyAlignment="1" applyProtection="1">
      <alignment horizontal="left" vertical="center" wrapText="1"/>
      <protection hidden="1"/>
    </xf>
    <xf numFmtId="0" fontId="10" fillId="11" borderId="46" xfId="3" applyFont="1" applyFill="1" applyBorder="1" applyAlignment="1" applyProtection="1">
      <alignment horizontal="left" vertical="center" wrapText="1"/>
      <protection hidden="1"/>
    </xf>
    <xf numFmtId="0" fontId="10" fillId="11" borderId="27" xfId="3" applyFont="1" applyFill="1" applyBorder="1" applyAlignment="1" applyProtection="1">
      <alignment horizontal="left" vertical="center" wrapText="1"/>
      <protection hidden="1"/>
    </xf>
    <xf numFmtId="0" fontId="10" fillId="12" borderId="46" xfId="0" applyFont="1" applyFill="1" applyBorder="1" applyAlignment="1" applyProtection="1">
      <alignment horizontal="left" vertical="center"/>
      <protection locked="0"/>
    </xf>
    <xf numFmtId="0" fontId="10" fillId="12" borderId="47" xfId="0" applyFont="1" applyFill="1" applyBorder="1" applyAlignment="1" applyProtection="1">
      <alignment horizontal="left" vertical="center"/>
      <protection locked="0"/>
    </xf>
    <xf numFmtId="0" fontId="21" fillId="0" borderId="11" xfId="6" applyFont="1" applyBorder="1" applyAlignment="1" applyProtection="1">
      <alignment horizontal="left" vertical="center" wrapText="1"/>
      <protection hidden="1"/>
    </xf>
    <xf numFmtId="0" fontId="20" fillId="10" borderId="12" xfId="1" applyFont="1" applyFill="1" applyBorder="1" applyAlignment="1" applyProtection="1">
      <alignment horizontal="left" vertical="center" wrapText="1"/>
      <protection hidden="1"/>
    </xf>
    <xf numFmtId="0" fontId="20" fillId="10" borderId="13" xfId="1" applyFont="1" applyFill="1" applyBorder="1" applyAlignment="1" applyProtection="1">
      <alignment horizontal="left" vertical="center" wrapText="1"/>
      <protection hidden="1"/>
    </xf>
    <xf numFmtId="0" fontId="43" fillId="11" borderId="18" xfId="3" applyFont="1" applyFill="1" applyBorder="1" applyAlignment="1" applyProtection="1">
      <alignment horizontal="center" vertical="center" wrapText="1"/>
      <protection hidden="1"/>
    </xf>
    <xf numFmtId="44" fontId="10" fillId="0" borderId="11" xfId="6" applyNumberFormat="1" applyFont="1" applyBorder="1" applyAlignment="1" applyProtection="1">
      <alignment horizontal="center" vertical="center"/>
      <protection hidden="1"/>
    </xf>
    <xf numFmtId="0" fontId="10" fillId="0" borderId="6" xfId="6" applyFont="1" applyBorder="1" applyAlignment="1" applyProtection="1">
      <alignment horizontal="center" vertical="center" wrapText="1"/>
      <protection hidden="1"/>
    </xf>
    <xf numFmtId="0" fontId="10" fillId="0" borderId="7" xfId="6" applyFont="1" applyBorder="1" applyAlignment="1" applyProtection="1">
      <alignment horizontal="center" vertical="center" wrapText="1"/>
      <protection hidden="1"/>
    </xf>
    <xf numFmtId="0" fontId="30" fillId="10" borderId="6" xfId="1" applyFont="1" applyFill="1" applyBorder="1" applyAlignment="1" applyProtection="1">
      <alignment horizontal="left" vertical="center" wrapText="1"/>
      <protection hidden="1"/>
    </xf>
    <xf numFmtId="0" fontId="30" fillId="10" borderId="7" xfId="1" applyFont="1" applyFill="1" applyBorder="1" applyAlignment="1" applyProtection="1">
      <alignment horizontal="left" vertical="center" wrapText="1"/>
      <protection hidden="1"/>
    </xf>
    <xf numFmtId="0" fontId="12" fillId="0" borderId="11" xfId="5" applyFont="1" applyBorder="1" applyAlignment="1" applyProtection="1">
      <alignment horizontal="left" vertical="center"/>
      <protection hidden="1"/>
    </xf>
    <xf numFmtId="0" fontId="30" fillId="10" borderId="0" xfId="1" applyFont="1" applyFill="1" applyAlignment="1" applyProtection="1">
      <alignment horizontal="left" vertical="center" wrapText="1"/>
      <protection hidden="1"/>
    </xf>
    <xf numFmtId="0" fontId="12" fillId="11" borderId="0" xfId="3" applyFont="1" applyFill="1" applyAlignment="1" applyProtection="1">
      <alignment horizontal="left" vertical="center" wrapText="1"/>
      <protection hidden="1"/>
    </xf>
    <xf numFmtId="0" fontId="12" fillId="0" borderId="11" xfId="6" applyFont="1" applyBorder="1" applyAlignment="1" applyProtection="1">
      <alignment horizontal="left" vertical="center" wrapText="1"/>
      <protection hidden="1"/>
    </xf>
    <xf numFmtId="0" fontId="12" fillId="0" borderId="11" xfId="5" applyFont="1" applyBorder="1" applyAlignment="1" applyProtection="1">
      <alignment horizontal="left" vertical="center" wrapText="1"/>
      <protection hidden="1"/>
    </xf>
    <xf numFmtId="1" fontId="49" fillId="0" borderId="9" xfId="2" applyNumberFormat="1" applyFont="1" applyBorder="1" applyAlignment="1" applyProtection="1">
      <alignment horizontal="center" vertical="center"/>
      <protection hidden="1"/>
    </xf>
    <xf numFmtId="0" fontId="30" fillId="10" borderId="9" xfId="1" applyFont="1" applyFill="1" applyBorder="1" applyAlignment="1" applyProtection="1">
      <alignment horizontal="left" vertical="center" wrapText="1"/>
      <protection hidden="1"/>
    </xf>
    <xf numFmtId="0" fontId="35" fillId="10" borderId="9" xfId="1" applyFont="1" applyFill="1" applyBorder="1" applyAlignment="1" applyProtection="1">
      <alignment horizontal="left" vertical="center" wrapText="1"/>
      <protection hidden="1"/>
    </xf>
    <xf numFmtId="0" fontId="35" fillId="10" borderId="0" xfId="1" applyFont="1" applyFill="1" applyAlignment="1" applyProtection="1">
      <alignment horizontal="left" vertical="center" wrapText="1"/>
      <protection hidden="1"/>
    </xf>
    <xf numFmtId="0" fontId="32" fillId="0" borderId="0" xfId="2" applyFont="1" applyAlignment="1" applyProtection="1">
      <alignment horizontal="center" vertical="center"/>
      <protection hidden="1"/>
    </xf>
    <xf numFmtId="166" fontId="10" fillId="0" borderId="9" xfId="0" applyNumberFormat="1" applyFont="1" applyBorder="1" applyAlignment="1" applyProtection="1">
      <alignment horizontal="center" vertical="center" wrapText="1"/>
      <protection hidden="1"/>
    </xf>
    <xf numFmtId="0" fontId="10" fillId="6" borderId="11" xfId="3" applyFont="1" applyFill="1" applyBorder="1" applyAlignment="1" applyProtection="1">
      <alignment horizontal="center" vertical="center" wrapText="1"/>
      <protection hidden="1"/>
    </xf>
    <xf numFmtId="44" fontId="10" fillId="0" borderId="11" xfId="0" applyNumberFormat="1" applyFont="1" applyBorder="1" applyAlignment="1" applyProtection="1">
      <alignment horizontal="center" vertical="center" wrapText="1"/>
      <protection hidden="1"/>
    </xf>
    <xf numFmtId="0" fontId="10" fillId="11" borderId="12" xfId="3" applyFont="1" applyFill="1" applyBorder="1" applyAlignment="1" applyProtection="1">
      <alignment horizontal="center" vertical="center" wrapText="1"/>
      <protection hidden="1"/>
    </xf>
    <xf numFmtId="0" fontId="10" fillId="11" borderId="14" xfId="3" applyFont="1" applyFill="1" applyBorder="1" applyAlignment="1" applyProtection="1">
      <alignment horizontal="center" vertical="center" wrapText="1"/>
      <protection hidden="1"/>
    </xf>
    <xf numFmtId="0" fontId="36" fillId="10" borderId="1" xfId="1" applyFont="1" applyFill="1" applyBorder="1" applyAlignment="1">
      <alignment horizontal="left" vertical="center" wrapText="1"/>
    </xf>
    <xf numFmtId="0" fontId="36" fillId="10" borderId="2" xfId="1" applyFont="1" applyFill="1" applyBorder="1" applyAlignment="1">
      <alignment horizontal="left" vertical="center" wrapText="1"/>
    </xf>
    <xf numFmtId="0" fontId="36" fillId="10" borderId="3" xfId="1" applyFont="1" applyFill="1" applyBorder="1" applyAlignment="1">
      <alignment horizontal="left" vertical="center" wrapText="1"/>
    </xf>
    <xf numFmtId="0" fontId="36" fillId="10" borderId="33" xfId="1" applyFont="1" applyFill="1" applyBorder="1" applyAlignment="1">
      <alignment horizontal="left" vertical="center" wrapText="1"/>
    </xf>
    <xf numFmtId="0" fontId="36" fillId="10" borderId="34" xfId="1" applyFont="1" applyFill="1" applyBorder="1" applyAlignment="1">
      <alignment horizontal="left" vertical="center" wrapText="1"/>
    </xf>
    <xf numFmtId="0" fontId="0" fillId="11" borderId="44" xfId="3" applyFont="1" applyFill="1" applyBorder="1" applyAlignment="1">
      <alignment horizontal="left" vertical="center" wrapText="1"/>
    </xf>
    <xf numFmtId="0" fontId="0" fillId="11" borderId="13" xfId="3" applyFont="1" applyFill="1" applyBorder="1" applyAlignment="1">
      <alignment horizontal="left" vertical="center" wrapText="1"/>
    </xf>
    <xf numFmtId="0" fontId="0" fillId="11" borderId="14" xfId="3" applyFont="1" applyFill="1" applyBorder="1" applyAlignment="1">
      <alignment horizontal="left" vertical="center" wrapText="1"/>
    </xf>
    <xf numFmtId="0" fontId="39" fillId="12" borderId="13" xfId="0" applyFont="1" applyFill="1" applyBorder="1" applyAlignment="1" applyProtection="1">
      <alignment horizontal="left" vertical="center"/>
      <protection locked="0"/>
    </xf>
    <xf numFmtId="0" fontId="39" fillId="12" borderId="45" xfId="0" applyFont="1" applyFill="1" applyBorder="1" applyAlignment="1" applyProtection="1">
      <alignment horizontal="left" vertical="center"/>
      <protection locked="0"/>
    </xf>
    <xf numFmtId="0" fontId="0" fillId="11" borderId="26" xfId="3" applyFont="1" applyFill="1" applyBorder="1" applyAlignment="1">
      <alignment horizontal="left" vertical="center" wrapText="1"/>
    </xf>
    <xf numFmtId="0" fontId="0" fillId="11" borderId="46" xfId="3" applyFont="1" applyFill="1" applyBorder="1" applyAlignment="1">
      <alignment horizontal="left" vertical="center" wrapText="1"/>
    </xf>
    <xf numFmtId="0" fontId="0" fillId="11" borderId="27" xfId="3" applyFont="1" applyFill="1" applyBorder="1" applyAlignment="1">
      <alignment horizontal="left" vertical="center" wrapText="1"/>
    </xf>
    <xf numFmtId="0" fontId="39" fillId="12" borderId="46" xfId="0" applyFont="1" applyFill="1" applyBorder="1" applyAlignment="1" applyProtection="1">
      <alignment horizontal="left" vertical="center"/>
      <protection locked="0"/>
    </xf>
    <xf numFmtId="0" fontId="39" fillId="12" borderId="47" xfId="0" applyFont="1" applyFill="1" applyBorder="1" applyAlignment="1" applyProtection="1">
      <alignment horizontal="left" vertical="center"/>
      <protection locked="0"/>
    </xf>
    <xf numFmtId="0" fontId="40" fillId="3" borderId="49" xfId="3" applyFont="1" applyFill="1" applyBorder="1" applyAlignment="1">
      <alignment horizontal="left" vertical="center" wrapText="1"/>
    </xf>
    <xf numFmtId="0" fontId="40" fillId="3" borderId="2" xfId="3" applyFont="1" applyFill="1" applyBorder="1" applyAlignment="1">
      <alignment horizontal="left" vertical="center" wrapText="1"/>
    </xf>
    <xf numFmtId="0" fontId="40" fillId="3" borderId="3" xfId="3" applyFont="1" applyFill="1" applyBorder="1" applyAlignment="1">
      <alignment horizontal="left" vertical="center" wrapText="1"/>
    </xf>
    <xf numFmtId="0" fontId="53" fillId="10" borderId="22" xfId="1" applyFont="1" applyFill="1" applyBorder="1" applyAlignment="1">
      <alignment horizontal="left" vertical="center" wrapText="1"/>
    </xf>
    <xf numFmtId="0" fontId="53" fillId="10" borderId="28" xfId="1" applyFont="1" applyFill="1" applyBorder="1" applyAlignment="1">
      <alignment horizontal="left" vertical="center" wrapText="1"/>
    </xf>
    <xf numFmtId="0" fontId="53" fillId="10" borderId="29" xfId="1" applyFont="1" applyFill="1" applyBorder="1" applyAlignment="1">
      <alignment horizontal="left" vertical="center" wrapText="1"/>
    </xf>
    <xf numFmtId="0" fontId="38" fillId="2" borderId="40" xfId="1" applyFont="1" applyFill="1" applyBorder="1" applyAlignment="1">
      <alignment horizontal="left" vertical="center" wrapText="1"/>
    </xf>
    <xf numFmtId="0" fontId="38" fillId="2" borderId="34" xfId="1" applyFont="1" applyFill="1" applyBorder="1" applyAlignment="1">
      <alignment horizontal="left" vertical="center" wrapText="1"/>
    </xf>
    <xf numFmtId="0" fontId="38" fillId="2" borderId="48" xfId="1" applyFont="1" applyFill="1" applyBorder="1" applyAlignment="1">
      <alignment horizontal="left" vertical="center" wrapText="1"/>
    </xf>
    <xf numFmtId="0" fontId="40" fillId="11" borderId="41" xfId="3" applyFont="1" applyFill="1" applyBorder="1" applyAlignment="1">
      <alignment horizontal="center" vertical="center" wrapText="1"/>
    </xf>
    <xf numFmtId="0" fontId="40" fillId="11" borderId="28" xfId="3" applyFont="1" applyFill="1" applyBorder="1" applyAlignment="1">
      <alignment horizontal="center" vertical="center" wrapText="1"/>
    </xf>
    <xf numFmtId="0" fontId="40" fillId="11" borderId="39" xfId="3" applyFont="1" applyFill="1" applyBorder="1" applyAlignment="1">
      <alignment horizontal="center" vertical="center" wrapText="1"/>
    </xf>
    <xf numFmtId="0" fontId="40" fillId="3" borderId="41" xfId="3" applyFont="1" applyFill="1" applyBorder="1" applyAlignment="1">
      <alignment horizontal="center" vertical="center" wrapText="1"/>
    </xf>
    <xf numFmtId="0" fontId="40" fillId="3" borderId="28" xfId="3" applyFont="1" applyFill="1" applyBorder="1" applyAlignment="1">
      <alignment horizontal="center" vertical="center" wrapText="1"/>
    </xf>
    <xf numFmtId="0" fontId="40" fillId="3" borderId="39" xfId="3" applyFont="1" applyFill="1" applyBorder="1" applyAlignment="1">
      <alignment horizontal="center" vertical="center" wrapText="1"/>
    </xf>
    <xf numFmtId="0" fontId="40" fillId="11" borderId="22" xfId="3" applyFont="1" applyFill="1" applyBorder="1" applyAlignment="1">
      <alignment horizontal="left" vertical="center" wrapText="1"/>
    </xf>
    <xf numFmtId="0" fontId="40" fillId="11" borderId="28" xfId="3" applyFont="1" applyFill="1" applyBorder="1" applyAlignment="1">
      <alignment horizontal="left" vertical="center" wrapText="1"/>
    </xf>
    <xf numFmtId="0" fontId="40" fillId="11" borderId="29" xfId="3" applyFont="1" applyFill="1" applyBorder="1" applyAlignment="1">
      <alignment horizontal="left" vertical="center" wrapText="1"/>
    </xf>
    <xf numFmtId="0" fontId="54" fillId="10" borderId="22" xfId="1" applyFont="1" applyFill="1" applyBorder="1" applyAlignment="1" applyProtection="1">
      <alignment horizontal="left" vertical="center" wrapText="1"/>
      <protection hidden="1"/>
    </xf>
    <xf numFmtId="0" fontId="54" fillId="10" borderId="28" xfId="1" applyFont="1" applyFill="1" applyBorder="1" applyAlignment="1" applyProtection="1">
      <alignment horizontal="left" vertical="center" wrapText="1"/>
      <protection hidden="1"/>
    </xf>
    <xf numFmtId="0" fontId="54" fillId="10" borderId="29" xfId="1" applyFont="1" applyFill="1" applyBorder="1" applyAlignment="1" applyProtection="1">
      <alignment horizontal="left" vertical="center" wrapText="1"/>
      <protection hidden="1"/>
    </xf>
    <xf numFmtId="0" fontId="0" fillId="11" borderId="50" xfId="3" applyFont="1" applyFill="1" applyBorder="1" applyAlignment="1">
      <alignment horizontal="left" vertical="center" wrapText="1"/>
    </xf>
    <xf numFmtId="0" fontId="0" fillId="11" borderId="16" xfId="3" applyFont="1" applyFill="1" applyBorder="1" applyAlignment="1">
      <alignment horizontal="left" vertical="center" wrapText="1"/>
    </xf>
    <xf numFmtId="0" fontId="0" fillId="11" borderId="17" xfId="3" applyFont="1" applyFill="1" applyBorder="1" applyAlignment="1">
      <alignment horizontal="left" vertical="center" wrapText="1"/>
    </xf>
    <xf numFmtId="0" fontId="39" fillId="12" borderId="16" xfId="0" applyFont="1" applyFill="1" applyBorder="1" applyAlignment="1" applyProtection="1">
      <alignment horizontal="left" vertical="center"/>
      <protection locked="0"/>
    </xf>
    <xf numFmtId="0" fontId="39" fillId="12" borderId="51" xfId="0" applyFont="1" applyFill="1" applyBorder="1" applyAlignment="1" applyProtection="1">
      <alignment horizontal="left" vertical="center"/>
      <protection locked="0"/>
    </xf>
  </cellXfs>
  <cellStyles count="11">
    <cellStyle name="Procent" xfId="8" builtinId="5"/>
    <cellStyle name="Procent 2" xfId="7" xr:uid="{B82A014D-E8CC-4F27-BE84-94CB0FED93D5}"/>
    <cellStyle name="Procent 3" xfId="10" xr:uid="{5F508BEB-2870-4094-BF50-C7C6CFA78D7F}"/>
    <cellStyle name="Standaard" xfId="0" builtinId="0"/>
    <cellStyle name="Standaard 10" xfId="1" xr:uid="{0C74B83F-1281-4FAF-9298-80D1534A6C09}"/>
    <cellStyle name="Standaard 11" xfId="3" xr:uid="{B6CA6E39-1876-4AFB-A2B0-FD9877F0FC87}"/>
    <cellStyle name="Standaard 2" xfId="2" xr:uid="{311B2D1B-AB42-476F-B90A-3E42AFA33F9C}"/>
    <cellStyle name="Standaard 27 2 2 2" xfId="6" xr:uid="{3B2A15D4-7B57-40CC-B251-0B3F5C4E3697}"/>
    <cellStyle name="Standaard 27 3 2" xfId="5" xr:uid="{A22A9785-6DB9-4528-B009-87BF063C6B4D}"/>
    <cellStyle name="Valuta" xfId="9" builtinId="4"/>
    <cellStyle name="Valuta 2" xfId="4" xr:uid="{2608EA12-10B7-4DCF-B6CC-33AA22DB699A}"/>
  </cellStyles>
  <dxfs count="0"/>
  <tableStyles count="0" defaultTableStyle="TableStyleMedium2" defaultPivotStyle="PivotStyleLight16"/>
  <colors>
    <mruColors>
      <color rgb="FF91D888"/>
      <color rgb="FF259E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22BF6FF7-5F54-4F55-B391-9A48DFDA0413}"/>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628650</xdr:colOff>
      <xdr:row>1</xdr:row>
      <xdr:rowOff>390525</xdr:rowOff>
    </xdr:from>
    <xdr:to>
      <xdr:col>7</xdr:col>
      <xdr:colOff>121500</xdr:colOff>
      <xdr:row>2</xdr:row>
      <xdr:rowOff>179933</xdr:rowOff>
    </xdr:to>
    <xdr:pic>
      <xdr:nvPicPr>
        <xdr:cNvPr id="4" name="Afbeelding 3">
          <a:extLst>
            <a:ext uri="{FF2B5EF4-FFF2-40B4-BE49-F238E27FC236}">
              <a16:creationId xmlns:a16="http://schemas.microsoft.com/office/drawing/2014/main" id="{CD3E76D5-B96D-092A-9667-C8A610C78011}"/>
            </a:ext>
          </a:extLst>
        </xdr:cNvPr>
        <xdr:cNvPicPr>
          <a:picLocks noChangeAspect="1"/>
        </xdr:cNvPicPr>
      </xdr:nvPicPr>
      <xdr:blipFill>
        <a:blip xmlns:r="http://schemas.openxmlformats.org/officeDocument/2006/relationships" r:embed="rId1"/>
        <a:stretch>
          <a:fillRect/>
        </a:stretch>
      </xdr:blipFill>
      <xdr:spPr>
        <a:xfrm>
          <a:off x="752475" y="504825"/>
          <a:ext cx="3950550" cy="11705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kpn1725003-my.sharepoint.com/Windows/Temp/Urenregistratieformulier%20Alexander%20Pluckel%20januari%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en en planning"/>
      <sheetName val="NEW urenformulier"/>
      <sheetName val="OUD urenformulier"/>
      <sheetName val="totale planning"/>
    </sheetNames>
    <sheetDataSet>
      <sheetData sheetId="0">
        <row r="2">
          <cell r="D2">
            <v>43132</v>
          </cell>
        </row>
        <row r="3">
          <cell r="B3" t="str">
            <v>Projectnummer</v>
          </cell>
        </row>
        <row r="5">
          <cell r="B5">
            <v>101059</v>
          </cell>
        </row>
        <row r="6">
          <cell r="B6">
            <v>101066</v>
          </cell>
        </row>
        <row r="7">
          <cell r="B7">
            <v>100925</v>
          </cell>
        </row>
        <row r="8">
          <cell r="B8">
            <v>101068</v>
          </cell>
        </row>
        <row r="9">
          <cell r="B9">
            <v>101011</v>
          </cell>
        </row>
        <row r="10">
          <cell r="B10">
            <v>101065</v>
          </cell>
        </row>
        <row r="11">
          <cell r="B11">
            <v>101052</v>
          </cell>
        </row>
        <row r="12">
          <cell r="B12">
            <v>101058</v>
          </cell>
        </row>
        <row r="13">
          <cell r="B13">
            <v>100955</v>
          </cell>
        </row>
        <row r="14">
          <cell r="B14">
            <v>101048</v>
          </cell>
        </row>
        <row r="15">
          <cell r="B15">
            <v>101067</v>
          </cell>
        </row>
        <row r="16">
          <cell r="B16">
            <v>100958</v>
          </cell>
        </row>
        <row r="17">
          <cell r="B17">
            <v>101017</v>
          </cell>
        </row>
        <row r="18">
          <cell r="B18">
            <v>101056</v>
          </cell>
        </row>
        <row r="19">
          <cell r="B19">
            <v>101046</v>
          </cell>
        </row>
        <row r="20">
          <cell r="B20">
            <v>101026</v>
          </cell>
        </row>
        <row r="21">
          <cell r="B21">
            <v>101035</v>
          </cell>
        </row>
        <row r="22">
          <cell r="B22">
            <v>101054</v>
          </cell>
        </row>
        <row r="23">
          <cell r="B23">
            <v>101028</v>
          </cell>
        </row>
        <row r="24">
          <cell r="B24">
            <v>100887</v>
          </cell>
        </row>
        <row r="25">
          <cell r="B25">
            <v>100960</v>
          </cell>
        </row>
        <row r="26">
          <cell r="B26">
            <v>101004</v>
          </cell>
        </row>
        <row r="27">
          <cell r="B27">
            <v>101008</v>
          </cell>
        </row>
        <row r="28">
          <cell r="B28">
            <v>101023</v>
          </cell>
        </row>
        <row r="29">
          <cell r="B29">
            <v>101036</v>
          </cell>
        </row>
        <row r="30">
          <cell r="B30">
            <v>101061</v>
          </cell>
        </row>
        <row r="31">
          <cell r="B31">
            <v>101062</v>
          </cell>
        </row>
        <row r="32">
          <cell r="B32">
            <v>101063</v>
          </cell>
        </row>
        <row r="33">
          <cell r="B33">
            <v>101037</v>
          </cell>
        </row>
        <row r="34">
          <cell r="B34">
            <v>101030</v>
          </cell>
        </row>
        <row r="35">
          <cell r="B35">
            <v>100956</v>
          </cell>
        </row>
        <row r="36">
          <cell r="B36">
            <v>101041</v>
          </cell>
        </row>
        <row r="37">
          <cell r="B37">
            <v>101040</v>
          </cell>
        </row>
        <row r="38">
          <cell r="B38">
            <v>100967</v>
          </cell>
        </row>
        <row r="39">
          <cell r="B39">
            <v>100970</v>
          </cell>
        </row>
        <row r="40">
          <cell r="B40">
            <v>101069</v>
          </cell>
        </row>
        <row r="41">
          <cell r="B41">
            <v>100966</v>
          </cell>
        </row>
        <row r="42">
          <cell r="B42">
            <v>101057</v>
          </cell>
        </row>
        <row r="43">
          <cell r="B43">
            <v>101015</v>
          </cell>
        </row>
        <row r="44">
          <cell r="B44">
            <v>101042</v>
          </cell>
        </row>
        <row r="45">
          <cell r="B45">
            <v>100929</v>
          </cell>
        </row>
        <row r="46">
          <cell r="B46">
            <v>101039</v>
          </cell>
        </row>
        <row r="47">
          <cell r="B47">
            <v>101045</v>
          </cell>
        </row>
        <row r="48">
          <cell r="B48">
            <v>101064</v>
          </cell>
        </row>
        <row r="49">
          <cell r="B49">
            <v>101014</v>
          </cell>
        </row>
        <row r="50">
          <cell r="B50">
            <v>101016</v>
          </cell>
        </row>
        <row r="51">
          <cell r="B51">
            <v>101034</v>
          </cell>
        </row>
        <row r="52">
          <cell r="B52">
            <v>101050</v>
          </cell>
        </row>
        <row r="53">
          <cell r="B53">
            <v>101018</v>
          </cell>
        </row>
        <row r="54">
          <cell r="B54">
            <v>101051</v>
          </cell>
        </row>
        <row r="55">
          <cell r="B55">
            <v>101047</v>
          </cell>
        </row>
        <row r="56">
          <cell r="B56">
            <v>101053</v>
          </cell>
        </row>
        <row r="57">
          <cell r="B57">
            <v>101055</v>
          </cell>
        </row>
        <row r="106">
          <cell r="B106" t="str">
            <v>intern</v>
          </cell>
        </row>
        <row r="122">
          <cell r="A122" t="str">
            <v>Acquisitie</v>
          </cell>
        </row>
        <row r="123">
          <cell r="A123" t="str">
            <v>Algemeen</v>
          </cell>
        </row>
        <row r="124">
          <cell r="A124" t="str">
            <v>Vrij/Vakantie</v>
          </cell>
        </row>
        <row r="125">
          <cell r="A125" t="str">
            <v>Ziek</v>
          </cell>
        </row>
        <row r="126">
          <cell r="A126" t="str">
            <v>Voorbereiding trainingen</v>
          </cell>
        </row>
        <row r="127">
          <cell r="A127" t="str">
            <v>Roostervrij</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AEE5A-8EB0-468F-8C28-9263A40E6246}">
  <sheetPr>
    <pageSetUpPr fitToPage="1"/>
  </sheetPr>
  <dimension ref="B1:H28"/>
  <sheetViews>
    <sheetView showGridLines="0" tabSelected="1" view="pageBreakPreview" zoomScale="80" zoomScaleNormal="100" zoomScaleSheetLayoutView="80" workbookViewId="0">
      <selection activeCell="K7" sqref="K7"/>
    </sheetView>
  </sheetViews>
  <sheetFormatPr defaultColWidth="9.109375" defaultRowHeight="14.4"/>
  <cols>
    <col min="1" max="1" width="1.88671875" style="10" customWidth="1"/>
    <col min="2" max="2" width="11.109375" style="9" customWidth="1"/>
    <col min="3" max="8" width="11.109375" style="10" customWidth="1"/>
    <col min="9" max="16384" width="9.109375" style="10"/>
  </cols>
  <sheetData>
    <row r="1" spans="2:8" ht="9" customHeight="1" thickBot="1"/>
    <row r="2" spans="2:8" ht="108.75" customHeight="1">
      <c r="B2" s="11"/>
      <c r="C2" s="12"/>
      <c r="D2" s="12"/>
      <c r="E2" s="12"/>
      <c r="F2" s="12"/>
      <c r="G2" s="12"/>
      <c r="H2" s="13"/>
    </row>
    <row r="3" spans="2:8" ht="40.5" customHeight="1">
      <c r="B3" s="14"/>
      <c r="H3" s="15"/>
    </row>
    <row r="4" spans="2:8" ht="117" customHeight="1">
      <c r="B4" s="346" t="s">
        <v>282</v>
      </c>
      <c r="C4" s="347"/>
      <c r="D4" s="347"/>
      <c r="E4" s="347"/>
      <c r="F4" s="347"/>
      <c r="G4" s="347"/>
      <c r="H4" s="348"/>
    </row>
    <row r="5" spans="2:8" ht="33.6" customHeight="1">
      <c r="B5" s="16" t="s">
        <v>0</v>
      </c>
      <c r="H5" s="15"/>
    </row>
    <row r="6" spans="2:8" ht="33.6" customHeight="1">
      <c r="B6" s="14" t="s">
        <v>1</v>
      </c>
      <c r="C6" s="10" t="s">
        <v>147</v>
      </c>
      <c r="H6" s="15"/>
    </row>
    <row r="7" spans="2:8" ht="39.75" customHeight="1">
      <c r="B7" s="14" t="s">
        <v>2</v>
      </c>
      <c r="C7" s="344" t="s">
        <v>279</v>
      </c>
      <c r="D7" s="344"/>
      <c r="E7" s="344"/>
      <c r="F7" s="344"/>
      <c r="G7" s="344"/>
      <c r="H7" s="345"/>
    </row>
    <row r="8" spans="2:8" ht="39.75" customHeight="1">
      <c r="B8" s="14" t="s">
        <v>3</v>
      </c>
      <c r="C8" s="344" t="s">
        <v>280</v>
      </c>
      <c r="D8" s="344"/>
      <c r="E8" s="344"/>
      <c r="F8" s="344"/>
      <c r="G8" s="344"/>
      <c r="H8" s="345"/>
    </row>
    <row r="9" spans="2:8" ht="39.75" customHeight="1">
      <c r="B9" s="14" t="s">
        <v>267</v>
      </c>
      <c r="C9" s="344" t="s">
        <v>281</v>
      </c>
      <c r="D9" s="344"/>
      <c r="E9" s="344"/>
      <c r="F9" s="344"/>
      <c r="G9" s="344"/>
      <c r="H9" s="345"/>
    </row>
    <row r="10" spans="2:8" ht="39.75" customHeight="1">
      <c r="B10" s="14" t="s">
        <v>268</v>
      </c>
      <c r="C10" s="344" t="s">
        <v>266</v>
      </c>
      <c r="D10" s="344"/>
      <c r="E10" s="344"/>
      <c r="F10" s="344"/>
      <c r="G10" s="344"/>
      <c r="H10" s="345"/>
    </row>
    <row r="11" spans="2:8" ht="39.75" customHeight="1">
      <c r="B11" s="14"/>
      <c r="C11" s="344"/>
      <c r="D11" s="344"/>
      <c r="E11" s="344"/>
      <c r="F11" s="344"/>
      <c r="G11" s="344"/>
      <c r="H11" s="345"/>
    </row>
    <row r="12" spans="2:8" ht="39.75" customHeight="1">
      <c r="B12" s="14"/>
      <c r="C12" s="344"/>
      <c r="D12" s="344"/>
      <c r="E12" s="344"/>
      <c r="F12" s="344"/>
      <c r="G12" s="344"/>
      <c r="H12" s="345"/>
    </row>
    <row r="13" spans="2:8" ht="14.4" customHeight="1"/>
    <row r="14" spans="2:8" ht="16.5" customHeight="1"/>
    <row r="15" spans="2:8" ht="16.5" customHeight="1"/>
    <row r="16" spans="2: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sheetData>
  <sheetProtection algorithmName="SHA-512" hashValue="1mZD7HLp0WDV0mU9kBNXBOaeQ66emM0pKbjSPA7LmGw0DoFFIpHfKZ7HxvkJ6L5IVQnl33DLeQYTlDRdTOsTZQ==" saltValue="hmESBLRDLqfD6YvxcFAWuA==" spinCount="100000" sheet="1" objects="1" scenarios="1"/>
  <mergeCells count="7">
    <mergeCell ref="C12:H12"/>
    <mergeCell ref="B4:H4"/>
    <mergeCell ref="C7:H7"/>
    <mergeCell ref="C8:H8"/>
    <mergeCell ref="C9:H9"/>
    <mergeCell ref="C10:H10"/>
    <mergeCell ref="C11:H11"/>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06CB3-1D68-4B94-83D8-69E3192EA9C8}">
  <sheetPr>
    <pageSetUpPr fitToPage="1"/>
  </sheetPr>
  <dimension ref="A1:I16"/>
  <sheetViews>
    <sheetView view="pageBreakPreview" zoomScaleNormal="100" zoomScaleSheetLayoutView="100" workbookViewId="0">
      <selection activeCell="C15" sqref="C15"/>
    </sheetView>
  </sheetViews>
  <sheetFormatPr defaultColWidth="9.109375" defaultRowHeight="13.8"/>
  <cols>
    <col min="1" max="2" width="2.6640625" style="222" customWidth="1"/>
    <col min="3" max="3" width="109.5546875" style="222" customWidth="1"/>
    <col min="4" max="6" width="2.6640625" style="222" customWidth="1"/>
    <col min="7" max="16384" width="9.109375" style="222"/>
  </cols>
  <sheetData>
    <row r="1" spans="1:9" s="75" customFormat="1" thickBot="1"/>
    <row r="2" spans="1:9" s="75" customFormat="1" ht="80.099999999999994" customHeight="1" thickBot="1">
      <c r="C2" s="318" t="s">
        <v>148</v>
      </c>
      <c r="D2" s="319"/>
      <c r="E2" s="319"/>
      <c r="F2" s="319"/>
      <c r="G2" s="319"/>
      <c r="H2" s="319"/>
      <c r="I2" s="319"/>
    </row>
    <row r="3" spans="1:9" s="75" customFormat="1" ht="15" customHeight="1" thickBot="1"/>
    <row r="4" spans="1:9" s="75" customFormat="1" ht="30" customHeight="1">
      <c r="C4" s="320" t="s">
        <v>149</v>
      </c>
    </row>
    <row r="5" spans="1:9" s="75" customFormat="1" ht="13.2">
      <c r="C5" s="321" t="s">
        <v>386</v>
      </c>
    </row>
    <row r="6" spans="1:9" s="75" customFormat="1" ht="13.2">
      <c r="C6" s="322"/>
    </row>
    <row r="7" spans="1:9" s="75" customFormat="1" ht="13.2">
      <c r="C7" s="323" t="s">
        <v>387</v>
      </c>
    </row>
    <row r="8" spans="1:9" s="75" customFormat="1" ht="23.4">
      <c r="C8" s="324" t="s">
        <v>146</v>
      </c>
    </row>
    <row r="9" spans="1:9" s="75" customFormat="1" ht="43.2" customHeight="1">
      <c r="C9" s="321" t="s">
        <v>401</v>
      </c>
    </row>
    <row r="10" spans="1:9" s="75" customFormat="1" ht="92.4" thickBot="1">
      <c r="C10" s="325" t="s">
        <v>442</v>
      </c>
    </row>
    <row r="11" spans="1:9">
      <c r="F11" s="75"/>
    </row>
    <row r="12" spans="1:9">
      <c r="F12" s="75"/>
    </row>
    <row r="13" spans="1:9">
      <c r="A13" s="75"/>
      <c r="B13" s="75"/>
      <c r="C13" s="75"/>
      <c r="D13" s="75"/>
      <c r="E13" s="75"/>
      <c r="F13" s="75"/>
    </row>
    <row r="16" spans="1:9">
      <c r="C16" s="75"/>
    </row>
  </sheetData>
  <sheetProtection algorithmName="SHA-512" hashValue="d1HSFw2uimU8XeBH+7EKoSYcVT12WeydsQ0ySJuu4L+LnYqlMT4qAEbuDOZi6y+xN8miSBl3hhr8JiXNXdkB5A==" saltValue="mtcbEPffueOi00T8kGFIqA==" spinCount="100000" sheet="1" objects="1" scenarios="1"/>
  <pageMargins left="0.7" right="0.7" top="0.75" bottom="0.75" header="0.3" footer="0.3"/>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C0C3-D188-43FC-B753-239D4C303313}">
  <sheetPr>
    <pageSetUpPr fitToPage="1"/>
  </sheetPr>
  <dimension ref="A1:S442"/>
  <sheetViews>
    <sheetView showGridLines="0" view="pageBreakPreview" zoomScale="70" zoomScaleNormal="80" zoomScaleSheetLayoutView="70" workbookViewId="0">
      <selection activeCell="F450" sqref="F450"/>
    </sheetView>
  </sheetViews>
  <sheetFormatPr defaultColWidth="9.109375" defaultRowHeight="13.8"/>
  <cols>
    <col min="1" max="1" width="6.6640625" style="151" customWidth="1"/>
    <col min="2" max="2" width="16.88671875" style="151" customWidth="1"/>
    <col min="3" max="3" width="57.33203125" style="151" customWidth="1"/>
    <col min="4" max="4" width="44.44140625" style="306" customWidth="1"/>
    <col min="5" max="5" width="38.44140625" style="306" customWidth="1"/>
    <col min="6" max="6" width="19.109375" style="306" bestFit="1" customWidth="1"/>
    <col min="7" max="7" width="52.5546875" style="306" customWidth="1"/>
    <col min="8" max="8" width="13.5546875" style="151" customWidth="1"/>
    <col min="9" max="9" width="9.109375" style="151"/>
    <col min="10" max="10" width="22" style="151" customWidth="1"/>
    <col min="11" max="16384" width="9.109375" style="151"/>
  </cols>
  <sheetData>
    <row r="1" spans="1:19" ht="36" customHeight="1">
      <c r="A1" s="407" t="s">
        <v>283</v>
      </c>
      <c r="B1" s="408"/>
      <c r="C1" s="408"/>
      <c r="D1" s="408"/>
      <c r="E1" s="408"/>
      <c r="F1" s="408"/>
      <c r="G1" s="409"/>
    </row>
    <row r="2" spans="1:19" s="154" customFormat="1" ht="15" customHeight="1" thickBot="1">
      <c r="A2" s="410" t="s">
        <v>74</v>
      </c>
      <c r="B2" s="411"/>
      <c r="C2" s="411"/>
      <c r="D2" s="152"/>
      <c r="E2" s="152"/>
      <c r="F2" s="152"/>
      <c r="G2" s="153"/>
    </row>
    <row r="3" spans="1:19" s="75" customFormat="1" ht="15" customHeight="1">
      <c r="A3" s="351" t="s">
        <v>151</v>
      </c>
      <c r="B3" s="352"/>
      <c r="C3" s="353"/>
      <c r="D3" s="416" t="s">
        <v>152</v>
      </c>
      <c r="E3" s="416"/>
      <c r="F3" s="416"/>
      <c r="G3" s="417"/>
      <c r="H3" s="74"/>
      <c r="I3" s="74"/>
    </row>
    <row r="4" spans="1:19" s="75" customFormat="1" ht="15" customHeight="1">
      <c r="A4" s="354" t="s">
        <v>153</v>
      </c>
      <c r="B4" s="355"/>
      <c r="C4" s="356"/>
      <c r="D4" s="418" t="s">
        <v>154</v>
      </c>
      <c r="E4" s="418"/>
      <c r="F4" s="418"/>
      <c r="G4" s="419"/>
      <c r="H4" s="76"/>
      <c r="I4" s="76"/>
    </row>
    <row r="5" spans="1:19" s="75" customFormat="1" ht="15" customHeight="1">
      <c r="A5" s="354" t="s">
        <v>155</v>
      </c>
      <c r="B5" s="355"/>
      <c r="C5" s="356"/>
      <c r="D5" s="418" t="s">
        <v>156</v>
      </c>
      <c r="E5" s="418"/>
      <c r="F5" s="418"/>
      <c r="G5" s="419"/>
      <c r="H5" s="76"/>
      <c r="I5" s="76"/>
    </row>
    <row r="6" spans="1:19" s="75" customFormat="1" ht="15" customHeight="1" thickBot="1">
      <c r="A6" s="357" t="s">
        <v>157</v>
      </c>
      <c r="B6" s="358"/>
      <c r="C6" s="359"/>
      <c r="D6" s="349" t="s">
        <v>158</v>
      </c>
      <c r="E6" s="349"/>
      <c r="F6" s="349"/>
      <c r="G6" s="350"/>
      <c r="H6" s="76"/>
      <c r="I6" s="76"/>
    </row>
    <row r="7" spans="1:19" s="75" customFormat="1" ht="24.9" customHeight="1">
      <c r="A7" s="155"/>
      <c r="B7" s="155"/>
      <c r="C7" s="156"/>
      <c r="D7" s="157"/>
      <c r="E7" s="158"/>
      <c r="F7" s="158"/>
      <c r="G7" s="158"/>
      <c r="H7" s="76"/>
      <c r="I7" s="76"/>
    </row>
    <row r="8" spans="1:19" s="75" customFormat="1" ht="24.9" customHeight="1">
      <c r="A8" s="155"/>
      <c r="B8" s="370" t="s">
        <v>372</v>
      </c>
      <c r="C8" s="370"/>
      <c r="D8" s="370"/>
      <c r="E8" s="158"/>
      <c r="F8" s="158"/>
      <c r="G8" s="158"/>
      <c r="H8" s="76"/>
      <c r="I8" s="76"/>
    </row>
    <row r="9" spans="1:19" s="75" customFormat="1" ht="24.9" customHeight="1">
      <c r="A9" s="155"/>
      <c r="B9" s="370" t="s">
        <v>402</v>
      </c>
      <c r="C9" s="370"/>
      <c r="D9" s="370"/>
      <c r="E9" s="158"/>
      <c r="F9" s="158"/>
      <c r="G9" s="158"/>
      <c r="H9" s="76"/>
      <c r="I9" s="76"/>
    </row>
    <row r="10" spans="1:19" s="75" customFormat="1" ht="24.9" customHeight="1">
      <c r="A10" s="155"/>
      <c r="B10" s="370" t="s">
        <v>403</v>
      </c>
      <c r="C10" s="370"/>
      <c r="D10" s="370"/>
      <c r="E10" s="158"/>
      <c r="F10" s="158"/>
      <c r="G10" s="158"/>
      <c r="H10" s="76"/>
      <c r="I10" s="76"/>
    </row>
    <row r="11" spans="1:19" s="154" customFormat="1" ht="15" customHeight="1">
      <c r="A11" s="372" t="s">
        <v>284</v>
      </c>
      <c r="B11" s="373"/>
      <c r="C11" s="373"/>
      <c r="D11" s="94"/>
      <c r="E11" s="159"/>
      <c r="F11" s="159"/>
      <c r="G11" s="160"/>
    </row>
    <row r="12" spans="1:19" s="154" customFormat="1" ht="66">
      <c r="A12" s="360" t="s">
        <v>169</v>
      </c>
      <c r="B12" s="361"/>
      <c r="C12" s="161" t="s">
        <v>404</v>
      </c>
      <c r="D12" s="326" t="s">
        <v>405</v>
      </c>
      <c r="E12" s="163"/>
      <c r="F12" s="163"/>
      <c r="G12" s="164"/>
    </row>
    <row r="13" spans="1:19" s="167" customFormat="1" ht="36.75" customHeight="1" thickBot="1">
      <c r="A13" s="364" t="s">
        <v>285</v>
      </c>
      <c r="B13" s="365"/>
      <c r="C13" s="165" t="s">
        <v>406</v>
      </c>
      <c r="D13" s="327">
        <v>1</v>
      </c>
      <c r="E13" s="166"/>
      <c r="G13" s="168"/>
      <c r="H13" s="169"/>
      <c r="J13" s="166"/>
      <c r="K13" s="166"/>
      <c r="L13" s="166"/>
      <c r="M13" s="170"/>
      <c r="N13" s="170"/>
      <c r="O13" s="171"/>
      <c r="P13" s="166"/>
      <c r="S13" s="170"/>
    </row>
    <row r="14" spans="1:19" s="167" customFormat="1" ht="27" thickBot="1">
      <c r="A14" s="366"/>
      <c r="B14" s="367"/>
      <c r="C14" s="172" t="s">
        <v>364</v>
      </c>
      <c r="D14" s="328"/>
      <c r="E14" s="174" t="s">
        <v>76</v>
      </c>
      <c r="F14" s="175">
        <f>D14*((800)*D13)</f>
        <v>0</v>
      </c>
      <c r="G14" s="176" t="s">
        <v>349</v>
      </c>
      <c r="H14" s="177">
        <f>((F15-(F15*F16))*F14)/1000000</f>
        <v>0</v>
      </c>
      <c r="J14" s="166"/>
      <c r="K14" s="166"/>
      <c r="L14" s="166"/>
      <c r="M14" s="170"/>
      <c r="N14" s="170"/>
      <c r="O14" s="171"/>
      <c r="P14" s="166"/>
      <c r="S14" s="170"/>
    </row>
    <row r="15" spans="1:19" s="167" customFormat="1" ht="26.4">
      <c r="A15" s="366"/>
      <c r="B15" s="367"/>
      <c r="C15" s="172" t="s">
        <v>365</v>
      </c>
      <c r="D15" s="328" t="s">
        <v>43</v>
      </c>
      <c r="E15" s="174" t="s">
        <v>350</v>
      </c>
      <c r="F15" s="166">
        <f>VLOOKUP(D15,$D$417:$E$425,2,FALSE)</f>
        <v>0</v>
      </c>
      <c r="G15" s="178"/>
      <c r="H15" s="179">
        <f>H14*$G$297</f>
        <v>0</v>
      </c>
      <c r="J15" s="166"/>
      <c r="K15" s="166"/>
      <c r="L15" s="166"/>
      <c r="M15" s="170"/>
      <c r="N15" s="170"/>
      <c r="O15" s="171"/>
      <c r="P15" s="166"/>
      <c r="S15" s="170"/>
    </row>
    <row r="16" spans="1:19" s="167" customFormat="1" ht="26.4">
      <c r="A16" s="368"/>
      <c r="B16" s="369"/>
      <c r="C16" s="172" t="s">
        <v>366</v>
      </c>
      <c r="D16" s="328" t="s">
        <v>43</v>
      </c>
      <c r="E16" s="174" t="s">
        <v>351</v>
      </c>
      <c r="F16" s="180">
        <f>IF(D13=0,0,(1-(VLOOKUP(D16,$D$428:$E$441,2,FALSE))))</f>
        <v>1</v>
      </c>
      <c r="G16" s="181"/>
      <c r="H16" s="169"/>
      <c r="J16" s="166"/>
      <c r="K16" s="166"/>
      <c r="L16" s="166"/>
      <c r="M16" s="170"/>
      <c r="N16" s="170"/>
      <c r="O16" s="171"/>
      <c r="P16" s="166"/>
      <c r="S16" s="170"/>
    </row>
    <row r="17" spans="1:19" s="154" customFormat="1" ht="66">
      <c r="A17" s="362" t="str">
        <f>A12</f>
        <v>Beesel</v>
      </c>
      <c r="B17" s="363"/>
      <c r="C17" s="161" t="s">
        <v>404</v>
      </c>
      <c r="D17" s="326" t="s">
        <v>405</v>
      </c>
      <c r="E17" s="163"/>
      <c r="F17" s="163"/>
      <c r="G17" s="164"/>
    </row>
    <row r="18" spans="1:19" s="167" customFormat="1" ht="36.75" customHeight="1" thickBot="1">
      <c r="A18" s="364" t="s">
        <v>286</v>
      </c>
      <c r="B18" s="365"/>
      <c r="C18" s="172" t="s">
        <v>367</v>
      </c>
      <c r="D18" s="182">
        <f>1-D13</f>
        <v>0</v>
      </c>
      <c r="E18" s="166"/>
      <c r="G18" s="168"/>
      <c r="H18" s="169"/>
      <c r="J18" s="166"/>
      <c r="K18" s="166"/>
      <c r="L18" s="166"/>
      <c r="M18" s="170"/>
      <c r="N18" s="170"/>
      <c r="O18" s="171"/>
      <c r="P18" s="166"/>
      <c r="S18" s="170"/>
    </row>
    <row r="19" spans="1:19" s="167" customFormat="1" ht="27" thickBot="1">
      <c r="A19" s="366"/>
      <c r="B19" s="367"/>
      <c r="C19" s="172" t="s">
        <v>368</v>
      </c>
      <c r="D19" s="328"/>
      <c r="E19" s="174" t="s">
        <v>76</v>
      </c>
      <c r="F19" s="175">
        <f>D19*((800)*D18)</f>
        <v>0</v>
      </c>
      <c r="G19" s="176" t="s">
        <v>352</v>
      </c>
      <c r="H19" s="177">
        <f>((F20-(F20*F21))*F19)/1000000</f>
        <v>0</v>
      </c>
      <c r="J19" s="166"/>
      <c r="K19" s="166"/>
      <c r="L19" s="166"/>
      <c r="M19" s="170"/>
      <c r="N19" s="170"/>
      <c r="O19" s="171"/>
      <c r="P19" s="166"/>
      <c r="S19" s="170"/>
    </row>
    <row r="20" spans="1:19" s="167" customFormat="1" ht="26.4">
      <c r="A20" s="366"/>
      <c r="B20" s="367"/>
      <c r="C20" s="172" t="s">
        <v>365</v>
      </c>
      <c r="D20" s="328" t="s">
        <v>43</v>
      </c>
      <c r="E20" s="174" t="s">
        <v>350</v>
      </c>
      <c r="F20" s="166">
        <f>VLOOKUP(D20,$D$417:$E$425,2,FALSE)</f>
        <v>0</v>
      </c>
      <c r="G20" s="184"/>
      <c r="H20" s="179">
        <f>H19*$G$297</f>
        <v>0</v>
      </c>
      <c r="J20" s="166"/>
      <c r="K20" s="166"/>
      <c r="L20" s="166"/>
      <c r="M20" s="170"/>
      <c r="N20" s="170"/>
      <c r="O20" s="171"/>
      <c r="P20" s="166"/>
      <c r="S20" s="170"/>
    </row>
    <row r="21" spans="1:19" s="167" customFormat="1" ht="26.4">
      <c r="A21" s="368"/>
      <c r="B21" s="369"/>
      <c r="C21" s="172" t="s">
        <v>366</v>
      </c>
      <c r="D21" s="328" t="s">
        <v>43</v>
      </c>
      <c r="E21" s="185" t="s">
        <v>351</v>
      </c>
      <c r="F21" s="186">
        <f>IF(D18=0,0,(1-(VLOOKUP(D21,$D$428:$E$441,2,FALSE))))</f>
        <v>0</v>
      </c>
      <c r="G21" s="187"/>
      <c r="H21" s="169"/>
      <c r="J21" s="166"/>
      <c r="K21" s="166"/>
      <c r="L21" s="166"/>
      <c r="M21" s="170"/>
      <c r="N21" s="170"/>
      <c r="O21" s="171"/>
      <c r="P21" s="166"/>
      <c r="S21" s="170"/>
    </row>
    <row r="22" spans="1:19" s="154" customFormat="1">
      <c r="A22" s="188"/>
      <c r="B22" s="189"/>
      <c r="C22" s="190"/>
      <c r="D22" s="191"/>
      <c r="E22" s="192"/>
      <c r="F22" s="192"/>
      <c r="G22" s="181"/>
    </row>
    <row r="23" spans="1:19" s="154" customFormat="1" ht="66">
      <c r="A23" s="362" t="s">
        <v>173</v>
      </c>
      <c r="B23" s="363"/>
      <c r="C23" s="161" t="s">
        <v>404</v>
      </c>
      <c r="D23" s="326" t="s">
        <v>405</v>
      </c>
      <c r="E23" s="163"/>
      <c r="F23" s="163"/>
      <c r="G23" s="164"/>
    </row>
    <row r="24" spans="1:19" s="167" customFormat="1" ht="36.75" customHeight="1" thickBot="1">
      <c r="A24" s="364" t="s">
        <v>287</v>
      </c>
      <c r="B24" s="365"/>
      <c r="C24" s="165" t="s">
        <v>407</v>
      </c>
      <c r="D24" s="327">
        <v>1</v>
      </c>
      <c r="E24" s="166"/>
      <c r="G24" s="168"/>
      <c r="H24" s="169"/>
      <c r="J24" s="166"/>
      <c r="K24" s="166"/>
      <c r="L24" s="166"/>
      <c r="M24" s="170"/>
      <c r="N24" s="170"/>
      <c r="O24" s="171"/>
      <c r="P24" s="166"/>
      <c r="S24" s="170"/>
    </row>
    <row r="25" spans="1:19" s="167" customFormat="1" ht="27" thickBot="1">
      <c r="A25" s="366"/>
      <c r="B25" s="367"/>
      <c r="C25" s="172" t="s">
        <v>364</v>
      </c>
      <c r="D25" s="328"/>
      <c r="E25" s="174" t="s">
        <v>76</v>
      </c>
      <c r="F25" s="175">
        <f>D25*((1400)*D24)</f>
        <v>0</v>
      </c>
      <c r="G25" s="176" t="s">
        <v>349</v>
      </c>
      <c r="H25" s="177">
        <f>((F26-(F26*F27))*F25)/1000000</f>
        <v>0</v>
      </c>
      <c r="J25" s="166"/>
      <c r="K25" s="166"/>
      <c r="L25" s="166"/>
      <c r="M25" s="170"/>
      <c r="N25" s="170"/>
      <c r="O25" s="171"/>
      <c r="P25" s="166"/>
      <c r="S25" s="170"/>
    </row>
    <row r="26" spans="1:19" s="167" customFormat="1" ht="26.4">
      <c r="A26" s="366"/>
      <c r="B26" s="367"/>
      <c r="C26" s="172" t="s">
        <v>365</v>
      </c>
      <c r="D26" s="328" t="s">
        <v>43</v>
      </c>
      <c r="E26" s="174" t="s">
        <v>350</v>
      </c>
      <c r="F26" s="166">
        <f>VLOOKUP(D26,$D$417:$E$425,2,FALSE)</f>
        <v>0</v>
      </c>
      <c r="G26" s="178"/>
      <c r="H26" s="179">
        <f>H25*$G$297</f>
        <v>0</v>
      </c>
      <c r="J26" s="166"/>
      <c r="K26" s="166"/>
      <c r="L26" s="166"/>
      <c r="M26" s="170"/>
      <c r="N26" s="170"/>
      <c r="O26" s="171"/>
      <c r="P26" s="166"/>
      <c r="S26" s="170"/>
    </row>
    <row r="27" spans="1:19" s="167" customFormat="1" ht="26.4">
      <c r="A27" s="368"/>
      <c r="B27" s="369"/>
      <c r="C27" s="172" t="s">
        <v>366</v>
      </c>
      <c r="D27" s="328" t="s">
        <v>43</v>
      </c>
      <c r="E27" s="174" t="s">
        <v>351</v>
      </c>
      <c r="F27" s="180">
        <f>IF(D24=0,0,(1-(VLOOKUP(D27,$D$428:$E$441,2,FALSE))))</f>
        <v>1</v>
      </c>
      <c r="G27" s="181"/>
      <c r="H27" s="169"/>
      <c r="J27" s="166"/>
      <c r="K27" s="166"/>
      <c r="L27" s="166"/>
      <c r="M27" s="170"/>
      <c r="N27" s="170"/>
      <c r="O27" s="171"/>
      <c r="P27" s="166"/>
      <c r="S27" s="170"/>
    </row>
    <row r="28" spans="1:19" s="154" customFormat="1" ht="66">
      <c r="A28" s="362" t="str">
        <f>A23</f>
        <v>Bergen</v>
      </c>
      <c r="B28" s="363"/>
      <c r="C28" s="161" t="s">
        <v>404</v>
      </c>
      <c r="D28" s="326" t="s">
        <v>38</v>
      </c>
      <c r="E28" s="163"/>
      <c r="F28" s="163"/>
      <c r="G28" s="164"/>
    </row>
    <row r="29" spans="1:19" s="167" customFormat="1" ht="36.75" customHeight="1" thickBot="1">
      <c r="A29" s="364" t="s">
        <v>288</v>
      </c>
      <c r="B29" s="365"/>
      <c r="C29" s="172" t="s">
        <v>369</v>
      </c>
      <c r="D29" s="182">
        <f>1-D24</f>
        <v>0</v>
      </c>
      <c r="E29" s="166"/>
      <c r="G29" s="168"/>
      <c r="H29" s="169"/>
      <c r="J29" s="166"/>
      <c r="K29" s="166"/>
      <c r="L29" s="166"/>
      <c r="M29" s="170"/>
      <c r="N29" s="170"/>
      <c r="O29" s="171"/>
      <c r="P29" s="166"/>
      <c r="S29" s="170"/>
    </row>
    <row r="30" spans="1:19" s="167" customFormat="1" ht="27" thickBot="1">
      <c r="A30" s="366"/>
      <c r="B30" s="367"/>
      <c r="C30" s="172" t="s">
        <v>368</v>
      </c>
      <c r="D30" s="328">
        <v>0</v>
      </c>
      <c r="E30" s="174" t="s">
        <v>76</v>
      </c>
      <c r="F30" s="175">
        <f>D30*((1400)*D29)</f>
        <v>0</v>
      </c>
      <c r="G30" s="176" t="s">
        <v>352</v>
      </c>
      <c r="H30" s="177">
        <f>((F31-(F31*F32))*F30)/1000000</f>
        <v>0</v>
      </c>
      <c r="J30" s="166"/>
      <c r="K30" s="166"/>
      <c r="L30" s="166"/>
      <c r="M30" s="170"/>
      <c r="N30" s="170"/>
      <c r="O30" s="171"/>
      <c r="P30" s="166"/>
      <c r="S30" s="170"/>
    </row>
    <row r="31" spans="1:19" s="167" customFormat="1" ht="26.4">
      <c r="A31" s="366"/>
      <c r="B31" s="367"/>
      <c r="C31" s="172" t="s">
        <v>365</v>
      </c>
      <c r="D31" s="328" t="s">
        <v>43</v>
      </c>
      <c r="E31" s="174" t="s">
        <v>350</v>
      </c>
      <c r="F31" s="166">
        <f>VLOOKUP(D31,$D$417:$E$425,2,FALSE)</f>
        <v>0</v>
      </c>
      <c r="G31" s="184"/>
      <c r="H31" s="179">
        <f>H30*$G$297</f>
        <v>0</v>
      </c>
      <c r="J31" s="166"/>
      <c r="K31" s="166"/>
      <c r="L31" s="166"/>
      <c r="M31" s="170"/>
      <c r="N31" s="170"/>
      <c r="O31" s="171"/>
      <c r="P31" s="166"/>
      <c r="S31" s="170"/>
    </row>
    <row r="32" spans="1:19" s="167" customFormat="1" ht="26.4">
      <c r="A32" s="368"/>
      <c r="B32" s="369"/>
      <c r="C32" s="172" t="s">
        <v>366</v>
      </c>
      <c r="D32" s="328" t="s">
        <v>43</v>
      </c>
      <c r="E32" s="185" t="s">
        <v>351</v>
      </c>
      <c r="F32" s="186">
        <f>IF(D29=0,0,(1-(VLOOKUP(D32,$D$428:$E$441,2,FALSE))))</f>
        <v>0</v>
      </c>
      <c r="G32" s="187"/>
      <c r="H32" s="169"/>
      <c r="J32" s="166"/>
      <c r="K32" s="166"/>
      <c r="L32" s="166"/>
      <c r="M32" s="170"/>
      <c r="N32" s="170"/>
      <c r="O32" s="171"/>
      <c r="P32" s="166"/>
      <c r="S32" s="170"/>
    </row>
    <row r="33" spans="1:19" s="154" customFormat="1">
      <c r="A33" s="188"/>
      <c r="B33" s="189"/>
      <c r="C33" s="190"/>
      <c r="D33" s="193"/>
      <c r="E33" s="192"/>
      <c r="F33" s="192"/>
      <c r="G33" s="181"/>
    </row>
    <row r="34" spans="1:19" s="154" customFormat="1" ht="66">
      <c r="A34" s="362" t="s">
        <v>181</v>
      </c>
      <c r="B34" s="363"/>
      <c r="C34" s="161" t="s">
        <v>404</v>
      </c>
      <c r="D34" s="326" t="s">
        <v>405</v>
      </c>
      <c r="E34" s="163"/>
      <c r="F34" s="163"/>
      <c r="G34" s="164"/>
    </row>
    <row r="35" spans="1:19" s="167" customFormat="1" ht="27" thickBot="1">
      <c r="A35" s="364" t="s">
        <v>289</v>
      </c>
      <c r="B35" s="365"/>
      <c r="C35" s="165" t="s">
        <v>408</v>
      </c>
      <c r="D35" s="327">
        <v>1</v>
      </c>
      <c r="E35" s="166"/>
      <c r="G35" s="168"/>
      <c r="H35" s="169"/>
      <c r="J35" s="166"/>
      <c r="K35" s="166"/>
      <c r="L35" s="166"/>
      <c r="M35" s="170"/>
      <c r="N35" s="170"/>
      <c r="O35" s="171"/>
      <c r="P35" s="166"/>
      <c r="S35" s="170"/>
    </row>
    <row r="36" spans="1:19" s="167" customFormat="1" ht="27" thickBot="1">
      <c r="A36" s="366"/>
      <c r="B36" s="367"/>
      <c r="C36" s="172" t="s">
        <v>364</v>
      </c>
      <c r="D36" s="328"/>
      <c r="E36" s="174" t="s">
        <v>76</v>
      </c>
      <c r="F36" s="175">
        <f>D36*((1800)*D35)</f>
        <v>0</v>
      </c>
      <c r="G36" s="176" t="s">
        <v>349</v>
      </c>
      <c r="H36" s="177">
        <f>((F37-(F37*F38))*F36)/1000000</f>
        <v>0</v>
      </c>
      <c r="J36" s="166"/>
      <c r="K36" s="166"/>
      <c r="L36" s="166"/>
      <c r="M36" s="170"/>
      <c r="N36" s="170"/>
      <c r="O36" s="171"/>
      <c r="P36" s="166"/>
      <c r="S36" s="170"/>
    </row>
    <row r="37" spans="1:19" s="167" customFormat="1" ht="26.4">
      <c r="A37" s="366"/>
      <c r="B37" s="367"/>
      <c r="C37" s="172" t="s">
        <v>365</v>
      </c>
      <c r="D37" s="328" t="s">
        <v>43</v>
      </c>
      <c r="E37" s="174" t="s">
        <v>350</v>
      </c>
      <c r="F37" s="166">
        <f>VLOOKUP(D37,$D$417:$E$425,2,FALSE)</f>
        <v>0</v>
      </c>
      <c r="G37" s="178"/>
      <c r="H37" s="179">
        <f>H36*$G$297</f>
        <v>0</v>
      </c>
      <c r="J37" s="166"/>
      <c r="K37" s="166"/>
      <c r="L37" s="166"/>
      <c r="M37" s="170"/>
      <c r="N37" s="170"/>
      <c r="O37" s="171"/>
      <c r="P37" s="166"/>
      <c r="S37" s="170"/>
    </row>
    <row r="38" spans="1:19" s="167" customFormat="1" ht="26.4">
      <c r="A38" s="368"/>
      <c r="B38" s="369"/>
      <c r="C38" s="172" t="s">
        <v>366</v>
      </c>
      <c r="D38" s="328" t="s">
        <v>43</v>
      </c>
      <c r="E38" s="174" t="s">
        <v>351</v>
      </c>
      <c r="F38" s="180">
        <f>IF(D35=0,0,(1-(VLOOKUP(D38,$D$428:$E$441,2,FALSE))))</f>
        <v>1</v>
      </c>
      <c r="G38" s="181"/>
      <c r="H38" s="169"/>
      <c r="J38" s="166"/>
      <c r="K38" s="166"/>
      <c r="L38" s="166"/>
      <c r="M38" s="170"/>
      <c r="N38" s="170"/>
      <c r="O38" s="171"/>
      <c r="P38" s="166"/>
      <c r="S38" s="170"/>
    </row>
    <row r="39" spans="1:19" s="154" customFormat="1" ht="66">
      <c r="A39" s="362" t="str">
        <f>A34</f>
        <v>Gennep</v>
      </c>
      <c r="B39" s="363"/>
      <c r="C39" s="161" t="s">
        <v>404</v>
      </c>
      <c r="D39" s="326" t="s">
        <v>405</v>
      </c>
      <c r="E39" s="163"/>
      <c r="F39" s="163"/>
      <c r="G39" s="164"/>
    </row>
    <row r="40" spans="1:19" s="167" customFormat="1" ht="36.75" customHeight="1" thickBot="1">
      <c r="A40" s="364" t="s">
        <v>290</v>
      </c>
      <c r="B40" s="365"/>
      <c r="C40" s="172" t="s">
        <v>370</v>
      </c>
      <c r="D40" s="182">
        <f>1-D35</f>
        <v>0</v>
      </c>
      <c r="E40" s="166"/>
      <c r="G40" s="168"/>
      <c r="H40" s="169"/>
      <c r="J40" s="166"/>
      <c r="K40" s="166"/>
      <c r="L40" s="166"/>
      <c r="M40" s="170"/>
      <c r="N40" s="170"/>
      <c r="O40" s="171"/>
      <c r="P40" s="166"/>
      <c r="S40" s="170"/>
    </row>
    <row r="41" spans="1:19" s="167" customFormat="1" ht="27" thickBot="1">
      <c r="A41" s="366"/>
      <c r="B41" s="367"/>
      <c r="C41" s="172" t="s">
        <v>368</v>
      </c>
      <c r="D41" s="328"/>
      <c r="E41" s="174" t="s">
        <v>76</v>
      </c>
      <c r="F41" s="175">
        <f>D41*((1800)*D40)</f>
        <v>0</v>
      </c>
      <c r="G41" s="176" t="s">
        <v>352</v>
      </c>
      <c r="H41" s="177">
        <f>((F42-(F42*F43))*F41)/1000000</f>
        <v>0</v>
      </c>
      <c r="J41" s="166"/>
      <c r="K41" s="166"/>
      <c r="L41" s="166"/>
      <c r="M41" s="170"/>
      <c r="N41" s="170"/>
      <c r="O41" s="171"/>
      <c r="P41" s="166"/>
      <c r="S41" s="170"/>
    </row>
    <row r="42" spans="1:19" s="167" customFormat="1" ht="26.4">
      <c r="A42" s="366"/>
      <c r="B42" s="367"/>
      <c r="C42" s="172" t="s">
        <v>365</v>
      </c>
      <c r="D42" s="328" t="s">
        <v>43</v>
      </c>
      <c r="E42" s="174" t="s">
        <v>350</v>
      </c>
      <c r="F42" s="166">
        <f>VLOOKUP(D42,$D$417:$E$425,2,FALSE)</f>
        <v>0</v>
      </c>
      <c r="G42" s="184"/>
      <c r="H42" s="179">
        <f>H41*$G$297</f>
        <v>0</v>
      </c>
      <c r="J42" s="166"/>
      <c r="K42" s="166"/>
      <c r="L42" s="166"/>
      <c r="M42" s="170"/>
      <c r="N42" s="170"/>
      <c r="O42" s="171"/>
      <c r="P42" s="166"/>
      <c r="S42" s="170"/>
    </row>
    <row r="43" spans="1:19" s="167" customFormat="1" ht="26.4">
      <c r="A43" s="368"/>
      <c r="B43" s="369"/>
      <c r="C43" s="172" t="s">
        <v>366</v>
      </c>
      <c r="D43" s="328" t="s">
        <v>43</v>
      </c>
      <c r="E43" s="185" t="s">
        <v>351</v>
      </c>
      <c r="F43" s="186">
        <f>IF(D40=0,0,(1-(VLOOKUP(D43,$D$428:$E$441,2,FALSE))))</f>
        <v>0</v>
      </c>
      <c r="G43" s="187"/>
      <c r="H43" s="169"/>
      <c r="J43" s="166"/>
      <c r="K43" s="166"/>
      <c r="L43" s="166"/>
      <c r="M43" s="170"/>
      <c r="N43" s="170"/>
      <c r="O43" s="171"/>
      <c r="P43" s="166"/>
      <c r="S43" s="170"/>
    </row>
    <row r="44" spans="1:19" s="154" customFormat="1">
      <c r="A44" s="188"/>
      <c r="B44" s="190"/>
      <c r="C44" s="190"/>
      <c r="D44" s="193"/>
      <c r="E44" s="192"/>
      <c r="F44" s="192"/>
      <c r="G44" s="181"/>
    </row>
    <row r="45" spans="1:19" s="154" customFormat="1" ht="66">
      <c r="A45" s="362" t="s">
        <v>184</v>
      </c>
      <c r="B45" s="363"/>
      <c r="C45" s="161" t="s">
        <v>404</v>
      </c>
      <c r="D45" s="326" t="s">
        <v>405</v>
      </c>
      <c r="E45" s="163"/>
      <c r="F45" s="163"/>
      <c r="G45" s="164"/>
    </row>
    <row r="46" spans="1:19" s="167" customFormat="1" ht="43.2" customHeight="1" thickBot="1">
      <c r="A46" s="364" t="s">
        <v>291</v>
      </c>
      <c r="B46" s="365"/>
      <c r="C46" s="165" t="s">
        <v>409</v>
      </c>
      <c r="D46" s="327">
        <v>1</v>
      </c>
      <c r="E46" s="166"/>
      <c r="G46" s="168"/>
      <c r="H46" s="169"/>
      <c r="J46" s="166"/>
      <c r="K46" s="166"/>
      <c r="L46" s="166"/>
      <c r="M46" s="170"/>
      <c r="N46" s="170"/>
      <c r="O46" s="171"/>
      <c r="P46" s="166"/>
      <c r="S46" s="170"/>
    </row>
    <row r="47" spans="1:19" s="167" customFormat="1" ht="27" thickBot="1">
      <c r="A47" s="366"/>
      <c r="B47" s="367"/>
      <c r="C47" s="172" t="s">
        <v>364</v>
      </c>
      <c r="D47" s="328"/>
      <c r="E47" s="174" t="s">
        <v>76</v>
      </c>
      <c r="F47" s="175">
        <f>D47*((1100)*D46)</f>
        <v>0</v>
      </c>
      <c r="G47" s="176" t="s">
        <v>349</v>
      </c>
      <c r="H47" s="177">
        <f>((F48-(F48*F49))*F47)/1000000</f>
        <v>0</v>
      </c>
      <c r="J47" s="166"/>
      <c r="K47" s="166"/>
      <c r="L47" s="166"/>
      <c r="M47" s="170"/>
      <c r="N47" s="170"/>
      <c r="O47" s="171"/>
      <c r="P47" s="166"/>
      <c r="S47" s="170"/>
    </row>
    <row r="48" spans="1:19" s="167" customFormat="1" ht="26.4">
      <c r="A48" s="366"/>
      <c r="B48" s="367"/>
      <c r="C48" s="172" t="s">
        <v>365</v>
      </c>
      <c r="D48" s="328" t="s">
        <v>43</v>
      </c>
      <c r="E48" s="174" t="s">
        <v>350</v>
      </c>
      <c r="F48" s="166">
        <f>VLOOKUP(D48,$D$417:$E$425,2,FALSE)</f>
        <v>0</v>
      </c>
      <c r="G48" s="178"/>
      <c r="H48" s="179">
        <f>H47*$G$297</f>
        <v>0</v>
      </c>
      <c r="J48" s="166"/>
      <c r="K48" s="166"/>
      <c r="L48" s="166"/>
      <c r="M48" s="170"/>
      <c r="N48" s="170"/>
      <c r="O48" s="171"/>
      <c r="P48" s="166"/>
      <c r="S48" s="170"/>
    </row>
    <row r="49" spans="1:19" s="167" customFormat="1" ht="26.4">
      <c r="A49" s="368"/>
      <c r="B49" s="369"/>
      <c r="C49" s="172" t="s">
        <v>366</v>
      </c>
      <c r="D49" s="328" t="s">
        <v>43</v>
      </c>
      <c r="E49" s="174" t="s">
        <v>351</v>
      </c>
      <c r="F49" s="180">
        <f>IF(D46=0,0,(1-(VLOOKUP(D49,$D$428:$E$441,2,FALSE))))</f>
        <v>1</v>
      </c>
      <c r="G49" s="181"/>
      <c r="H49" s="169"/>
      <c r="J49" s="166"/>
      <c r="K49" s="166"/>
      <c r="L49" s="166"/>
      <c r="M49" s="170"/>
      <c r="N49" s="170"/>
      <c r="O49" s="171"/>
      <c r="P49" s="166"/>
      <c r="S49" s="170"/>
    </row>
    <row r="50" spans="1:19" s="154" customFormat="1" ht="66">
      <c r="A50" s="362" t="s">
        <v>184</v>
      </c>
      <c r="B50" s="363"/>
      <c r="C50" s="161" t="s">
        <v>404</v>
      </c>
      <c r="D50" s="326" t="s">
        <v>405</v>
      </c>
      <c r="E50" s="163"/>
      <c r="F50" s="163"/>
      <c r="G50" s="164"/>
    </row>
    <row r="51" spans="1:19" s="167" customFormat="1" ht="43.2" customHeight="1" thickBot="1">
      <c r="A51" s="364" t="s">
        <v>292</v>
      </c>
      <c r="B51" s="365"/>
      <c r="C51" s="172" t="str">
        <f>C46</f>
        <v>A) Welk percentage van het HRA gaat er vanaf de ontvangstlocatie voor Horst aan de Maas naar deze verwerkingslocatie?</v>
      </c>
      <c r="D51" s="329">
        <f>1-D46</f>
        <v>0</v>
      </c>
      <c r="E51" s="166"/>
      <c r="G51" s="168"/>
      <c r="H51" s="169"/>
      <c r="J51" s="166"/>
      <c r="K51" s="166"/>
      <c r="L51" s="166"/>
      <c r="M51" s="170"/>
      <c r="N51" s="170"/>
      <c r="O51" s="171"/>
      <c r="P51" s="166"/>
      <c r="S51" s="170"/>
    </row>
    <row r="52" spans="1:19" s="167" customFormat="1" ht="27" thickBot="1">
      <c r="A52" s="366"/>
      <c r="B52" s="367"/>
      <c r="C52" s="172" t="s">
        <v>368</v>
      </c>
      <c r="D52" s="328"/>
      <c r="E52" s="174" t="s">
        <v>76</v>
      </c>
      <c r="F52" s="175">
        <f>D52*((1100)*D51)</f>
        <v>0</v>
      </c>
      <c r="G52" s="176" t="s">
        <v>352</v>
      </c>
      <c r="H52" s="177">
        <f>((F53-(F53*F54))*F52)/1000000</f>
        <v>0</v>
      </c>
      <c r="J52" s="166"/>
      <c r="K52" s="166"/>
      <c r="L52" s="166"/>
      <c r="M52" s="170"/>
      <c r="N52" s="170"/>
      <c r="O52" s="171"/>
      <c r="P52" s="166"/>
      <c r="S52" s="170"/>
    </row>
    <row r="53" spans="1:19" s="167" customFormat="1" ht="26.4">
      <c r="A53" s="366"/>
      <c r="B53" s="367"/>
      <c r="C53" s="172" t="s">
        <v>365</v>
      </c>
      <c r="D53" s="328" t="s">
        <v>43</v>
      </c>
      <c r="E53" s="174" t="s">
        <v>350</v>
      </c>
      <c r="F53" s="166">
        <f>VLOOKUP(D53,$D$417:$E$425,2,FALSE)</f>
        <v>0</v>
      </c>
      <c r="G53" s="184"/>
      <c r="H53" s="179">
        <f>H52*$G$297</f>
        <v>0</v>
      </c>
      <c r="J53" s="166"/>
      <c r="K53" s="166"/>
      <c r="L53" s="166"/>
      <c r="M53" s="170"/>
      <c r="N53" s="170"/>
      <c r="O53" s="171"/>
      <c r="P53" s="166"/>
      <c r="S53" s="170"/>
    </row>
    <row r="54" spans="1:19" s="167" customFormat="1" ht="26.4">
      <c r="A54" s="368"/>
      <c r="B54" s="369"/>
      <c r="C54" s="172" t="s">
        <v>366</v>
      </c>
      <c r="D54" s="328" t="s">
        <v>43</v>
      </c>
      <c r="E54" s="185" t="s">
        <v>351</v>
      </c>
      <c r="F54" s="186">
        <f>IF(D51=0,0,(1-(VLOOKUP(D54,$D$428:$E$441,2,FALSE))))</f>
        <v>0</v>
      </c>
      <c r="G54" s="187"/>
      <c r="H54" s="169"/>
      <c r="J54" s="166"/>
      <c r="K54" s="166"/>
      <c r="L54" s="166"/>
      <c r="M54" s="170"/>
      <c r="N54" s="170"/>
      <c r="O54" s="171"/>
      <c r="P54" s="166"/>
      <c r="S54" s="170"/>
    </row>
    <row r="55" spans="1:19" s="154" customFormat="1">
      <c r="A55" s="188"/>
      <c r="B55" s="189"/>
      <c r="C55" s="190"/>
      <c r="D55" s="193"/>
      <c r="E55" s="192"/>
      <c r="F55" s="192"/>
      <c r="G55" s="181"/>
    </row>
    <row r="56" spans="1:19" s="154" customFormat="1" ht="66">
      <c r="A56" s="362" t="s">
        <v>306</v>
      </c>
      <c r="B56" s="363"/>
      <c r="C56" s="161" t="s">
        <v>404</v>
      </c>
      <c r="D56" s="326" t="s">
        <v>405</v>
      </c>
      <c r="E56" s="163"/>
      <c r="F56" s="163"/>
      <c r="G56" s="164"/>
    </row>
    <row r="57" spans="1:19" s="167" customFormat="1" ht="27" thickBot="1">
      <c r="A57" s="364" t="s">
        <v>305</v>
      </c>
      <c r="B57" s="365"/>
      <c r="C57" s="172" t="s">
        <v>373</v>
      </c>
      <c r="D57" s="329">
        <v>0.78</v>
      </c>
      <c r="E57" s="166"/>
      <c r="G57" s="168"/>
      <c r="H57" s="169"/>
      <c r="J57" s="166"/>
      <c r="K57" s="166"/>
      <c r="L57" s="166"/>
      <c r="M57" s="170"/>
      <c r="N57" s="170"/>
      <c r="O57" s="171"/>
      <c r="P57" s="166"/>
      <c r="S57" s="170"/>
    </row>
    <row r="58" spans="1:19" s="167" customFormat="1" ht="27" thickBot="1">
      <c r="A58" s="366"/>
      <c r="B58" s="367"/>
      <c r="C58" s="172" t="s">
        <v>364</v>
      </c>
      <c r="D58" s="328"/>
      <c r="E58" s="174" t="s">
        <v>76</v>
      </c>
      <c r="F58" s="175">
        <f>D58*((11500+1750)*D57)</f>
        <v>0</v>
      </c>
      <c r="G58" s="176" t="s">
        <v>349</v>
      </c>
      <c r="H58" s="177">
        <f>((F59-(F59*F60))*F58)/1000000</f>
        <v>0</v>
      </c>
      <c r="J58" s="166"/>
      <c r="K58" s="166"/>
      <c r="L58" s="166"/>
      <c r="M58" s="170"/>
      <c r="N58" s="170"/>
      <c r="O58" s="171"/>
      <c r="P58" s="166"/>
      <c r="S58" s="170"/>
    </row>
    <row r="59" spans="1:19" s="167" customFormat="1" ht="26.4">
      <c r="A59" s="366"/>
      <c r="B59" s="367"/>
      <c r="C59" s="172" t="s">
        <v>365</v>
      </c>
      <c r="D59" s="328" t="s">
        <v>43</v>
      </c>
      <c r="E59" s="174" t="s">
        <v>350</v>
      </c>
      <c r="F59" s="166">
        <f>VLOOKUP(D59,$D$417:$E$425,2,FALSE)</f>
        <v>0</v>
      </c>
      <c r="G59" s="178"/>
      <c r="H59" s="179">
        <f>H58*$G$297</f>
        <v>0</v>
      </c>
      <c r="J59" s="166"/>
      <c r="K59" s="166"/>
      <c r="L59" s="166"/>
      <c r="M59" s="170"/>
      <c r="N59" s="170"/>
      <c r="O59" s="171"/>
      <c r="P59" s="166"/>
      <c r="S59" s="170"/>
    </row>
    <row r="60" spans="1:19" s="167" customFormat="1" ht="26.4">
      <c r="A60" s="368"/>
      <c r="B60" s="369"/>
      <c r="C60" s="172" t="s">
        <v>366</v>
      </c>
      <c r="D60" s="328" t="s">
        <v>43</v>
      </c>
      <c r="E60" s="174" t="s">
        <v>351</v>
      </c>
      <c r="F60" s="180">
        <f>IF(D57=0,0,(1-(VLOOKUP(D60,$D$428:$E$441,2,FALSE))))</f>
        <v>1</v>
      </c>
      <c r="G60" s="195"/>
      <c r="H60" s="169"/>
      <c r="J60" s="166"/>
      <c r="K60" s="166"/>
      <c r="L60" s="166"/>
      <c r="M60" s="170"/>
      <c r="N60" s="170"/>
      <c r="O60" s="171"/>
      <c r="P60" s="166"/>
      <c r="S60" s="170"/>
    </row>
    <row r="61" spans="1:19" s="154" customFormat="1" ht="66">
      <c r="A61" s="362" t="str">
        <f>A56</f>
        <v xml:space="preserve">Maastricht en GR Geul en Maas
</v>
      </c>
      <c r="B61" s="363"/>
      <c r="C61" s="161" t="s">
        <v>404</v>
      </c>
      <c r="D61" s="326" t="s">
        <v>405</v>
      </c>
      <c r="E61" s="163"/>
      <c r="F61" s="163"/>
      <c r="G61" s="164"/>
    </row>
    <row r="62" spans="1:19" s="167" customFormat="1" ht="27" thickBot="1">
      <c r="A62" s="364" t="s">
        <v>307</v>
      </c>
      <c r="B62" s="365"/>
      <c r="C62" s="172" t="str">
        <f>C57</f>
        <v>A) Welk percentage van het HRA c.a. gaat er vanaf de ontvangstlocatie voor Maastricht naar deze verwerkingslocatie?</v>
      </c>
      <c r="D62" s="182">
        <f>78%-D57</f>
        <v>0</v>
      </c>
      <c r="E62" s="166"/>
      <c r="G62" s="168"/>
      <c r="H62" s="169"/>
      <c r="J62" s="166"/>
      <c r="K62" s="166"/>
      <c r="L62" s="166"/>
      <c r="M62" s="170"/>
      <c r="N62" s="170"/>
      <c r="O62" s="171"/>
      <c r="P62" s="166"/>
      <c r="S62" s="170"/>
    </row>
    <row r="63" spans="1:19" s="167" customFormat="1" ht="27" thickBot="1">
      <c r="A63" s="366"/>
      <c r="B63" s="367"/>
      <c r="C63" s="172" t="s">
        <v>368</v>
      </c>
      <c r="D63" s="328"/>
      <c r="E63" s="174" t="s">
        <v>76</v>
      </c>
      <c r="F63" s="175">
        <f>D63*((11500+1750)*D62)</f>
        <v>0</v>
      </c>
      <c r="G63" s="176" t="s">
        <v>352</v>
      </c>
      <c r="H63" s="177">
        <f>((F64-(F64*F65))*F63)/1000000</f>
        <v>0</v>
      </c>
      <c r="J63" s="166"/>
      <c r="K63" s="166"/>
      <c r="L63" s="166"/>
      <c r="M63" s="170"/>
      <c r="N63" s="170"/>
      <c r="O63" s="171"/>
      <c r="P63" s="166"/>
      <c r="S63" s="170"/>
    </row>
    <row r="64" spans="1:19" s="167" customFormat="1" ht="26.4">
      <c r="A64" s="366"/>
      <c r="B64" s="367"/>
      <c r="C64" s="172" t="s">
        <v>365</v>
      </c>
      <c r="D64" s="328" t="s">
        <v>43</v>
      </c>
      <c r="E64" s="174" t="s">
        <v>350</v>
      </c>
      <c r="F64" s="166">
        <f>VLOOKUP(D64,$D$417:$E$425,2,FALSE)</f>
        <v>0</v>
      </c>
      <c r="G64" s="184"/>
      <c r="H64" s="179">
        <f>H63*$G$297</f>
        <v>0</v>
      </c>
      <c r="J64" s="166"/>
      <c r="K64" s="166"/>
      <c r="L64" s="166"/>
      <c r="M64" s="170"/>
      <c r="N64" s="170"/>
      <c r="O64" s="171"/>
      <c r="P64" s="166"/>
      <c r="S64" s="170"/>
    </row>
    <row r="65" spans="1:19" s="167" customFormat="1" ht="26.4">
      <c r="A65" s="368"/>
      <c r="B65" s="369"/>
      <c r="C65" s="172" t="s">
        <v>366</v>
      </c>
      <c r="D65" s="328" t="s">
        <v>43</v>
      </c>
      <c r="E65" s="185" t="s">
        <v>351</v>
      </c>
      <c r="F65" s="186">
        <f>IF(D62=0,0,(1-(VLOOKUP(D65,$D$428:$E$441,2,FALSE))))</f>
        <v>0</v>
      </c>
      <c r="G65" s="187"/>
      <c r="H65" s="169"/>
      <c r="J65" s="166"/>
      <c r="K65" s="166"/>
      <c r="L65" s="166"/>
      <c r="M65" s="170"/>
      <c r="N65" s="170"/>
      <c r="O65" s="171"/>
      <c r="P65" s="166"/>
      <c r="S65" s="170"/>
    </row>
    <row r="66" spans="1:19" s="154" customFormat="1" ht="66">
      <c r="A66" s="362" t="str">
        <f>A61</f>
        <v xml:space="preserve">Maastricht en GR Geul en Maas
</v>
      </c>
      <c r="B66" s="363"/>
      <c r="C66" s="161" t="s">
        <v>404</v>
      </c>
      <c r="D66" s="326" t="s">
        <v>405</v>
      </c>
      <c r="E66" s="163"/>
      <c r="F66" s="163"/>
      <c r="G66" s="164"/>
    </row>
    <row r="67" spans="1:19" s="167" customFormat="1" ht="27" thickBot="1">
      <c r="A67" s="364" t="s">
        <v>410</v>
      </c>
      <c r="B67" s="365"/>
      <c r="C67" s="172" t="str">
        <f>C62</f>
        <v>A) Welk percentage van het HRA c.a. gaat er vanaf de ontvangstlocatie voor Maastricht naar deze verwerkingslocatie?</v>
      </c>
      <c r="D67" s="182">
        <v>0.22</v>
      </c>
      <c r="E67" s="166"/>
      <c r="G67" s="168"/>
      <c r="H67" s="169"/>
      <c r="J67" s="166"/>
      <c r="K67" s="166"/>
      <c r="L67" s="166"/>
      <c r="M67" s="170"/>
      <c r="N67" s="170"/>
      <c r="O67" s="171"/>
      <c r="P67" s="166"/>
      <c r="S67" s="170"/>
    </row>
    <row r="68" spans="1:19" s="167" customFormat="1" ht="27" thickBot="1">
      <c r="A68" s="366"/>
      <c r="B68" s="367"/>
      <c r="C68" s="172" t="s">
        <v>368</v>
      </c>
      <c r="D68" s="328"/>
      <c r="E68" s="174" t="s">
        <v>76</v>
      </c>
      <c r="F68" s="175">
        <f>D68*((11500+1750)*D67)</f>
        <v>0</v>
      </c>
      <c r="G68" s="176" t="s">
        <v>416</v>
      </c>
      <c r="H68" s="177">
        <f>((F69-(F69*F70))*F68)/1000000</f>
        <v>0</v>
      </c>
      <c r="J68" s="166"/>
      <c r="K68" s="166"/>
      <c r="L68" s="166"/>
      <c r="M68" s="170"/>
      <c r="N68" s="170"/>
      <c r="O68" s="171"/>
      <c r="P68" s="166"/>
      <c r="S68" s="170"/>
    </row>
    <row r="69" spans="1:19" s="167" customFormat="1" ht="26.4">
      <c r="A69" s="366"/>
      <c r="B69" s="367"/>
      <c r="C69" s="172" t="s">
        <v>365</v>
      </c>
      <c r="D69" s="328" t="s">
        <v>43</v>
      </c>
      <c r="E69" s="174" t="s">
        <v>350</v>
      </c>
      <c r="F69" s="166">
        <f>VLOOKUP(D69,$D$417:$E$425,2,FALSE)</f>
        <v>0</v>
      </c>
      <c r="G69" s="184"/>
      <c r="H69" s="179">
        <f>H68*$G$297</f>
        <v>0</v>
      </c>
      <c r="J69" s="166"/>
      <c r="K69" s="166"/>
      <c r="L69" s="166"/>
      <c r="M69" s="170"/>
      <c r="N69" s="170"/>
      <c r="O69" s="171"/>
      <c r="P69" s="166"/>
      <c r="S69" s="170"/>
    </row>
    <row r="70" spans="1:19" s="167" customFormat="1" ht="26.4">
      <c r="A70" s="368"/>
      <c r="B70" s="369"/>
      <c r="C70" s="172" t="s">
        <v>366</v>
      </c>
      <c r="D70" s="328" t="s">
        <v>43</v>
      </c>
      <c r="E70" s="185" t="s">
        <v>351</v>
      </c>
      <c r="F70" s="186">
        <f>IF(D67=0,0,(1-(VLOOKUP(D70,$D$428:$E$441,2,FALSE))))</f>
        <v>1</v>
      </c>
      <c r="G70" s="187"/>
      <c r="H70" s="169"/>
      <c r="J70" s="166"/>
      <c r="K70" s="166"/>
      <c r="L70" s="166"/>
      <c r="M70" s="170"/>
      <c r="N70" s="170"/>
      <c r="O70" s="171"/>
      <c r="P70" s="166"/>
      <c r="S70" s="170"/>
    </row>
    <row r="71" spans="1:19" s="154" customFormat="1">
      <c r="A71" s="188"/>
      <c r="B71" s="189"/>
      <c r="C71" s="196"/>
      <c r="D71" s="193"/>
      <c r="E71" s="192"/>
      <c r="F71" s="192"/>
      <c r="G71" s="197"/>
    </row>
    <row r="72" spans="1:19" s="154" customFormat="1" ht="66">
      <c r="A72" s="362" t="s">
        <v>199</v>
      </c>
      <c r="B72" s="363"/>
      <c r="C72" s="161" t="s">
        <v>404</v>
      </c>
      <c r="D72" s="326" t="s">
        <v>405</v>
      </c>
      <c r="E72" s="163"/>
      <c r="F72" s="163"/>
      <c r="G72" s="164"/>
    </row>
    <row r="73" spans="1:19" s="167" customFormat="1" ht="27" thickBot="1">
      <c r="A73" s="364" t="s">
        <v>293</v>
      </c>
      <c r="B73" s="365"/>
      <c r="C73" s="165" t="s">
        <v>411</v>
      </c>
      <c r="D73" s="327">
        <v>1</v>
      </c>
      <c r="E73" s="166"/>
      <c r="G73" s="168"/>
      <c r="H73" s="169"/>
      <c r="J73" s="166"/>
      <c r="K73" s="166"/>
      <c r="L73" s="166"/>
      <c r="M73" s="170"/>
      <c r="N73" s="170"/>
      <c r="O73" s="171"/>
      <c r="P73" s="166"/>
      <c r="S73" s="170"/>
    </row>
    <row r="74" spans="1:19" s="167" customFormat="1" ht="27" thickBot="1">
      <c r="A74" s="366"/>
      <c r="B74" s="367"/>
      <c r="C74" s="172" t="s">
        <v>364</v>
      </c>
      <c r="D74" s="328"/>
      <c r="E74" s="174" t="s">
        <v>76</v>
      </c>
      <c r="F74" s="175">
        <f>D74*((1400)*D73)</f>
        <v>0</v>
      </c>
      <c r="G74" s="176" t="s">
        <v>349</v>
      </c>
      <c r="H74" s="177">
        <f>((F75-(F75*F76))*F74)/1000000</f>
        <v>0</v>
      </c>
      <c r="J74" s="166"/>
      <c r="K74" s="166"/>
      <c r="L74" s="166"/>
      <c r="M74" s="170"/>
      <c r="N74" s="170"/>
      <c r="O74" s="171"/>
      <c r="P74" s="166"/>
      <c r="S74" s="170"/>
    </row>
    <row r="75" spans="1:19" s="167" customFormat="1" ht="26.4">
      <c r="A75" s="366"/>
      <c r="B75" s="367"/>
      <c r="C75" s="172" t="s">
        <v>365</v>
      </c>
      <c r="D75" s="328" t="s">
        <v>43</v>
      </c>
      <c r="E75" s="174" t="s">
        <v>350</v>
      </c>
      <c r="F75" s="166">
        <f>VLOOKUP(D75,$D$417:$E$425,2,FALSE)</f>
        <v>0</v>
      </c>
      <c r="G75" s="178"/>
      <c r="H75" s="179">
        <f>H74*$G$297</f>
        <v>0</v>
      </c>
      <c r="J75" s="166"/>
      <c r="K75" s="166"/>
      <c r="L75" s="166"/>
      <c r="M75" s="170"/>
      <c r="N75" s="170"/>
      <c r="O75" s="171"/>
      <c r="P75" s="166"/>
      <c r="S75" s="170"/>
    </row>
    <row r="76" spans="1:19" s="167" customFormat="1" ht="26.4">
      <c r="A76" s="368"/>
      <c r="B76" s="369"/>
      <c r="C76" s="172" t="s">
        <v>366</v>
      </c>
      <c r="D76" s="328" t="s">
        <v>43</v>
      </c>
      <c r="E76" s="174" t="s">
        <v>351</v>
      </c>
      <c r="F76" s="180">
        <f>IF(D73=0,0,(1-(VLOOKUP(D76,$D$428:$E$441,2,FALSE))))</f>
        <v>1</v>
      </c>
      <c r="G76" s="195"/>
      <c r="H76" s="169"/>
      <c r="J76" s="166"/>
      <c r="K76" s="166"/>
      <c r="L76" s="166"/>
      <c r="M76" s="170"/>
      <c r="N76" s="170"/>
      <c r="O76" s="171"/>
      <c r="P76" s="166"/>
      <c r="S76" s="170"/>
    </row>
    <row r="77" spans="1:19" s="154" customFormat="1" ht="66">
      <c r="A77" s="362" t="str">
        <f>A72</f>
        <v>Meerssen</v>
      </c>
      <c r="B77" s="363"/>
      <c r="C77" s="161" t="s">
        <v>404</v>
      </c>
      <c r="D77" s="326" t="s">
        <v>405</v>
      </c>
      <c r="E77" s="163"/>
      <c r="F77" s="163"/>
      <c r="G77" s="164"/>
    </row>
    <row r="78" spans="1:19" s="167" customFormat="1" ht="27" thickBot="1">
      <c r="A78" s="364" t="s">
        <v>294</v>
      </c>
      <c r="B78" s="365"/>
      <c r="C78" s="172" t="str">
        <f>C73</f>
        <v>A) Welk percentage van het HRA gaat er vanaf de ontvangstlocatie voor Meerssen naar deze verwerkingslocatie?</v>
      </c>
      <c r="D78" s="182">
        <f>1-D73</f>
        <v>0</v>
      </c>
      <c r="E78" s="166"/>
      <c r="G78" s="168"/>
      <c r="H78" s="169"/>
      <c r="J78" s="166"/>
      <c r="K78" s="166"/>
      <c r="L78" s="166"/>
      <c r="M78" s="170"/>
      <c r="N78" s="170"/>
      <c r="O78" s="171"/>
      <c r="P78" s="166"/>
      <c r="S78" s="170"/>
    </row>
    <row r="79" spans="1:19" s="167" customFormat="1" ht="27" thickBot="1">
      <c r="A79" s="366"/>
      <c r="B79" s="367"/>
      <c r="C79" s="172" t="s">
        <v>368</v>
      </c>
      <c r="D79" s="328">
        <v>0</v>
      </c>
      <c r="E79" s="174" t="s">
        <v>76</v>
      </c>
      <c r="F79" s="175">
        <f>D79*((1400)*D78)</f>
        <v>0</v>
      </c>
      <c r="G79" s="176" t="s">
        <v>352</v>
      </c>
      <c r="H79" s="177">
        <f>((F80-(F80*F81))*F79)/1000000</f>
        <v>0</v>
      </c>
      <c r="J79" s="166"/>
      <c r="K79" s="166"/>
      <c r="L79" s="166"/>
      <c r="M79" s="170"/>
      <c r="N79" s="170"/>
      <c r="O79" s="171"/>
      <c r="P79" s="166"/>
      <c r="S79" s="170"/>
    </row>
    <row r="80" spans="1:19" s="167" customFormat="1" ht="26.4">
      <c r="A80" s="366"/>
      <c r="B80" s="367"/>
      <c r="C80" s="172" t="s">
        <v>365</v>
      </c>
      <c r="D80" s="328" t="s">
        <v>43</v>
      </c>
      <c r="E80" s="174" t="s">
        <v>350</v>
      </c>
      <c r="F80" s="166">
        <f>VLOOKUP(D80,$D$417:$E$425,2,FALSE)</f>
        <v>0</v>
      </c>
      <c r="G80" s="184"/>
      <c r="H80" s="179">
        <f>H79*$G$297</f>
        <v>0</v>
      </c>
      <c r="J80" s="166"/>
      <c r="K80" s="166"/>
      <c r="L80" s="166"/>
      <c r="M80" s="170"/>
      <c r="N80" s="170"/>
      <c r="O80" s="171"/>
      <c r="P80" s="166"/>
      <c r="S80" s="170"/>
    </row>
    <row r="81" spans="1:19" s="167" customFormat="1" ht="26.4">
      <c r="A81" s="368"/>
      <c r="B81" s="369"/>
      <c r="C81" s="172" t="s">
        <v>366</v>
      </c>
      <c r="D81" s="328" t="s">
        <v>43</v>
      </c>
      <c r="E81" s="185" t="s">
        <v>351</v>
      </c>
      <c r="F81" s="186">
        <f>IF(D78=0,0,(1-(VLOOKUP(D81,$D$428:$E$441,2,FALSE))))</f>
        <v>0</v>
      </c>
      <c r="H81" s="198"/>
      <c r="J81" s="166"/>
      <c r="K81" s="166"/>
      <c r="L81" s="166"/>
      <c r="M81" s="170"/>
      <c r="N81" s="170"/>
      <c r="O81" s="171"/>
      <c r="P81" s="166"/>
      <c r="S81" s="170"/>
    </row>
    <row r="82" spans="1:19" s="154" customFormat="1">
      <c r="A82" s="188"/>
      <c r="B82" s="190"/>
      <c r="C82" s="196"/>
      <c r="D82" s="193"/>
      <c r="E82" s="192"/>
      <c r="F82" s="192"/>
      <c r="G82" s="197"/>
    </row>
    <row r="83" spans="1:19" s="154" customFormat="1" ht="66">
      <c r="A83" s="362" t="s">
        <v>202</v>
      </c>
      <c r="B83" s="363"/>
      <c r="C83" s="161" t="s">
        <v>404</v>
      </c>
      <c r="D83" s="326" t="s">
        <v>405</v>
      </c>
      <c r="E83" s="163"/>
      <c r="F83" s="163"/>
      <c r="G83" s="164"/>
    </row>
    <row r="84" spans="1:19" s="167" customFormat="1" ht="27" thickBot="1">
      <c r="A84" s="364" t="s">
        <v>295</v>
      </c>
      <c r="B84" s="365"/>
      <c r="C84" s="165" t="s">
        <v>412</v>
      </c>
      <c r="D84" s="327">
        <v>1</v>
      </c>
      <c r="E84" s="166"/>
      <c r="G84" s="168"/>
      <c r="H84" s="169"/>
      <c r="J84" s="166"/>
      <c r="K84" s="166"/>
      <c r="L84" s="166"/>
      <c r="M84" s="170"/>
      <c r="N84" s="170"/>
      <c r="O84" s="171"/>
      <c r="P84" s="166"/>
      <c r="S84" s="170"/>
    </row>
    <row r="85" spans="1:19" s="167" customFormat="1" ht="27" thickBot="1">
      <c r="A85" s="366"/>
      <c r="B85" s="367"/>
      <c r="C85" s="172" t="s">
        <v>364</v>
      </c>
      <c r="D85" s="328"/>
      <c r="E85" s="174" t="s">
        <v>76</v>
      </c>
      <c r="F85" s="175">
        <f>D85*((1750)*D84)</f>
        <v>0</v>
      </c>
      <c r="G85" s="176" t="s">
        <v>349</v>
      </c>
      <c r="H85" s="177">
        <f>((F86-(F86*F87))*F85)/1000000</f>
        <v>0</v>
      </c>
      <c r="J85" s="166"/>
      <c r="K85" s="166"/>
      <c r="L85" s="166"/>
      <c r="M85" s="170"/>
      <c r="N85" s="170"/>
      <c r="O85" s="171"/>
      <c r="P85" s="166"/>
      <c r="S85" s="170"/>
    </row>
    <row r="86" spans="1:19" s="167" customFormat="1" ht="26.4">
      <c r="A86" s="366"/>
      <c r="B86" s="367"/>
      <c r="C86" s="172" t="s">
        <v>365</v>
      </c>
      <c r="D86" s="328" t="s">
        <v>43</v>
      </c>
      <c r="E86" s="174" t="s">
        <v>350</v>
      </c>
      <c r="F86" s="166">
        <f>VLOOKUP(D86,$D$417:$E$425,2,FALSE)</f>
        <v>0</v>
      </c>
      <c r="G86" s="178"/>
      <c r="H86" s="179">
        <f>H85*$G$297</f>
        <v>0</v>
      </c>
      <c r="J86" s="166"/>
      <c r="K86" s="166"/>
      <c r="L86" s="166"/>
      <c r="M86" s="170"/>
      <c r="N86" s="170"/>
      <c r="O86" s="171"/>
      <c r="P86" s="166"/>
      <c r="S86" s="170"/>
    </row>
    <row r="87" spans="1:19" s="167" customFormat="1" ht="26.4">
      <c r="A87" s="368"/>
      <c r="B87" s="369"/>
      <c r="C87" s="172" t="s">
        <v>366</v>
      </c>
      <c r="D87" s="328" t="s">
        <v>43</v>
      </c>
      <c r="E87" s="174" t="s">
        <v>351</v>
      </c>
      <c r="F87" s="180">
        <f>IF(D84=0,0,(1-(VLOOKUP(D87,$D$428:$E$441,2,FALSE))))</f>
        <v>1</v>
      </c>
      <c r="G87" s="195"/>
      <c r="H87" s="169"/>
      <c r="J87" s="166"/>
      <c r="K87" s="166"/>
      <c r="L87" s="166"/>
      <c r="M87" s="170"/>
      <c r="N87" s="170"/>
      <c r="O87" s="171"/>
      <c r="P87" s="166"/>
      <c r="S87" s="170"/>
    </row>
    <row r="88" spans="1:19" s="154" customFormat="1" ht="66">
      <c r="A88" s="362" t="str">
        <f>A83</f>
        <v>Nederweert</v>
      </c>
      <c r="B88" s="363"/>
      <c r="C88" s="161" t="s">
        <v>404</v>
      </c>
      <c r="D88" s="326" t="s">
        <v>405</v>
      </c>
      <c r="E88" s="163"/>
      <c r="F88" s="163"/>
      <c r="G88" s="164"/>
    </row>
    <row r="89" spans="1:19" s="167" customFormat="1" ht="27" thickBot="1">
      <c r="A89" s="364" t="s">
        <v>296</v>
      </c>
      <c r="B89" s="365"/>
      <c r="C89" s="172" t="str">
        <f>C84</f>
        <v>A) Welk percentage van het HRA gaat er vanaf de ontvangstlocatie voor Nederweert naar deze verwerkingslocatie?</v>
      </c>
      <c r="D89" s="182">
        <f>1-D84</f>
        <v>0</v>
      </c>
      <c r="E89" s="166"/>
      <c r="G89" s="168"/>
      <c r="H89" s="169"/>
      <c r="J89" s="166"/>
      <c r="K89" s="166"/>
      <c r="L89" s="166"/>
      <c r="M89" s="170"/>
      <c r="N89" s="170"/>
      <c r="O89" s="171"/>
      <c r="P89" s="166"/>
      <c r="S89" s="170"/>
    </row>
    <row r="90" spans="1:19" s="167" customFormat="1" ht="27" thickBot="1">
      <c r="A90" s="366"/>
      <c r="B90" s="367"/>
      <c r="C90" s="172" t="s">
        <v>368</v>
      </c>
      <c r="D90" s="328"/>
      <c r="E90" s="174" t="s">
        <v>76</v>
      </c>
      <c r="F90" s="175">
        <f>D90*((1750)*D89)</f>
        <v>0</v>
      </c>
      <c r="G90" s="176" t="s">
        <v>352</v>
      </c>
      <c r="H90" s="177">
        <f>((F91-(F91*F92))*F90)/1000000</f>
        <v>0</v>
      </c>
      <c r="J90" s="166"/>
      <c r="K90" s="166"/>
      <c r="L90" s="166"/>
      <c r="M90" s="170"/>
      <c r="N90" s="170"/>
      <c r="O90" s="171"/>
      <c r="P90" s="166"/>
      <c r="S90" s="170"/>
    </row>
    <row r="91" spans="1:19" s="167" customFormat="1" ht="26.4">
      <c r="A91" s="366"/>
      <c r="B91" s="367"/>
      <c r="C91" s="172" t="s">
        <v>365</v>
      </c>
      <c r="D91" s="328" t="s">
        <v>43</v>
      </c>
      <c r="E91" s="174" t="s">
        <v>350</v>
      </c>
      <c r="F91" s="166">
        <f>VLOOKUP(D91,$D$417:$E$425,2,FALSE)</f>
        <v>0</v>
      </c>
      <c r="G91" s="184"/>
      <c r="H91" s="179">
        <f>H90*$G$297</f>
        <v>0</v>
      </c>
      <c r="J91" s="166"/>
      <c r="K91" s="166"/>
      <c r="L91" s="166"/>
      <c r="M91" s="170"/>
      <c r="N91" s="170"/>
      <c r="O91" s="171"/>
      <c r="P91" s="166"/>
      <c r="S91" s="170"/>
    </row>
    <row r="92" spans="1:19" s="167" customFormat="1" ht="26.4">
      <c r="A92" s="368"/>
      <c r="B92" s="369"/>
      <c r="C92" s="172" t="s">
        <v>366</v>
      </c>
      <c r="D92" s="328" t="s">
        <v>43</v>
      </c>
      <c r="E92" s="185" t="s">
        <v>351</v>
      </c>
      <c r="F92" s="186">
        <f>IF(D89=0,0,(1-(VLOOKUP(D92,$D$428:$E$441,2,FALSE))))</f>
        <v>0</v>
      </c>
      <c r="G92" s="187"/>
      <c r="H92" s="169"/>
      <c r="J92" s="166"/>
      <c r="K92" s="166"/>
      <c r="L92" s="166"/>
      <c r="M92" s="170"/>
      <c r="N92" s="170"/>
      <c r="O92" s="171"/>
      <c r="P92" s="166"/>
      <c r="S92" s="170"/>
    </row>
    <row r="93" spans="1:19" s="154" customFormat="1">
      <c r="A93" s="188"/>
      <c r="B93" s="189"/>
      <c r="C93" s="190"/>
      <c r="D93" s="191"/>
      <c r="E93" s="192"/>
      <c r="F93" s="192"/>
      <c r="G93" s="197"/>
    </row>
    <row r="94" spans="1:19" s="154" customFormat="1" ht="66">
      <c r="A94" s="362" t="s">
        <v>204</v>
      </c>
      <c r="B94" s="363"/>
      <c r="C94" s="161" t="s">
        <v>404</v>
      </c>
      <c r="D94" s="326" t="s">
        <v>405</v>
      </c>
      <c r="E94" s="163"/>
      <c r="F94" s="163"/>
      <c r="G94" s="164"/>
    </row>
    <row r="95" spans="1:19" s="167" customFormat="1" ht="38.4" customHeight="1" thickBot="1">
      <c r="A95" s="364" t="s">
        <v>297</v>
      </c>
      <c r="B95" s="365"/>
      <c r="C95" s="165" t="s">
        <v>413</v>
      </c>
      <c r="D95" s="327">
        <v>1</v>
      </c>
      <c r="E95" s="166"/>
      <c r="G95" s="168"/>
      <c r="H95" s="169"/>
      <c r="J95" s="166"/>
      <c r="K95" s="166"/>
      <c r="L95" s="166"/>
      <c r="M95" s="170"/>
      <c r="N95" s="170"/>
      <c r="O95" s="171"/>
      <c r="P95" s="166"/>
      <c r="S95" s="170"/>
    </row>
    <row r="96" spans="1:19" s="167" customFormat="1" ht="27" thickBot="1">
      <c r="A96" s="366"/>
      <c r="B96" s="367"/>
      <c r="C96" s="172" t="s">
        <v>364</v>
      </c>
      <c r="D96" s="328"/>
      <c r="E96" s="174" t="s">
        <v>76</v>
      </c>
      <c r="F96" s="175">
        <f>D96*((1900)*D95)</f>
        <v>0</v>
      </c>
      <c r="G96" s="176" t="s">
        <v>349</v>
      </c>
      <c r="H96" s="177">
        <f>((F97-(F97*F98))*F96)/1000000</f>
        <v>0</v>
      </c>
      <c r="J96" s="166"/>
      <c r="K96" s="166"/>
      <c r="L96" s="166"/>
      <c r="M96" s="170"/>
      <c r="N96" s="170"/>
      <c r="O96" s="171"/>
      <c r="P96" s="166"/>
      <c r="S96" s="170"/>
    </row>
    <row r="97" spans="1:19" s="167" customFormat="1" ht="26.4">
      <c r="A97" s="366"/>
      <c r="B97" s="367"/>
      <c r="C97" s="172" t="s">
        <v>365</v>
      </c>
      <c r="D97" s="328" t="s">
        <v>43</v>
      </c>
      <c r="E97" s="174" t="s">
        <v>350</v>
      </c>
      <c r="F97" s="166">
        <f>VLOOKUP(D97,$D$417:$E$425,2,FALSE)</f>
        <v>0</v>
      </c>
      <c r="G97" s="178"/>
      <c r="H97" s="179">
        <f>H96*$G$297</f>
        <v>0</v>
      </c>
      <c r="J97" s="166"/>
      <c r="K97" s="166"/>
      <c r="L97" s="166"/>
      <c r="M97" s="170"/>
      <c r="N97" s="170"/>
      <c r="O97" s="171"/>
      <c r="P97" s="166"/>
      <c r="S97" s="170"/>
    </row>
    <row r="98" spans="1:19" s="167" customFormat="1" ht="26.4">
      <c r="A98" s="368"/>
      <c r="B98" s="369"/>
      <c r="C98" s="172" t="s">
        <v>366</v>
      </c>
      <c r="D98" s="328" t="s">
        <v>43</v>
      </c>
      <c r="E98" s="174" t="s">
        <v>351</v>
      </c>
      <c r="F98" s="180">
        <f>IF(D95=0,0,(1-(VLOOKUP(D98,$D$428:$E$441,2,FALSE))))</f>
        <v>1</v>
      </c>
      <c r="G98" s="195"/>
      <c r="H98" s="169"/>
      <c r="J98" s="166"/>
      <c r="K98" s="166"/>
      <c r="L98" s="166"/>
      <c r="M98" s="170"/>
      <c r="N98" s="170"/>
      <c r="O98" s="171"/>
      <c r="P98" s="166"/>
      <c r="S98" s="170"/>
    </row>
    <row r="99" spans="1:19" s="154" customFormat="1" ht="66">
      <c r="A99" s="362" t="str">
        <f>A94</f>
        <v>Peel en Maas</v>
      </c>
      <c r="B99" s="363"/>
      <c r="C99" s="161" t="s">
        <v>404</v>
      </c>
      <c r="D99" s="326" t="s">
        <v>405</v>
      </c>
      <c r="E99" s="163"/>
      <c r="F99" s="163"/>
      <c r="G99" s="164"/>
    </row>
    <row r="100" spans="1:19" s="167" customFormat="1" ht="41.4" customHeight="1" thickBot="1">
      <c r="A100" s="364" t="s">
        <v>298</v>
      </c>
      <c r="B100" s="365"/>
      <c r="C100" s="172" t="str">
        <f>C95</f>
        <v>A) Welk percentage van het HRA gaat er vanaf de ontvangstlocatie voor Peel en Maas naar deze verwerkingslocatie?</v>
      </c>
      <c r="D100" s="182">
        <f>1-D95</f>
        <v>0</v>
      </c>
      <c r="E100" s="166"/>
      <c r="G100" s="168"/>
      <c r="H100" s="169"/>
      <c r="J100" s="166"/>
      <c r="K100" s="166"/>
      <c r="L100" s="166"/>
      <c r="M100" s="170"/>
      <c r="N100" s="170"/>
      <c r="O100" s="171"/>
      <c r="P100" s="166"/>
      <c r="S100" s="170"/>
    </row>
    <row r="101" spans="1:19" s="167" customFormat="1" ht="27" thickBot="1">
      <c r="A101" s="366"/>
      <c r="B101" s="367"/>
      <c r="C101" s="172" t="s">
        <v>368</v>
      </c>
      <c r="D101" s="328"/>
      <c r="E101" s="174" t="s">
        <v>76</v>
      </c>
      <c r="F101" s="175">
        <f>D101*((1900)*D100)</f>
        <v>0</v>
      </c>
      <c r="G101" s="176" t="s">
        <v>352</v>
      </c>
      <c r="H101" s="177">
        <f>((F102-(F102*F103))*F101)/1000000</f>
        <v>0</v>
      </c>
      <c r="J101" s="166"/>
      <c r="K101" s="166"/>
      <c r="L101" s="166"/>
      <c r="M101" s="170"/>
      <c r="N101" s="170"/>
      <c r="O101" s="171"/>
      <c r="P101" s="166"/>
      <c r="S101" s="170"/>
    </row>
    <row r="102" spans="1:19" s="167" customFormat="1" ht="26.4">
      <c r="A102" s="366"/>
      <c r="B102" s="367"/>
      <c r="C102" s="172" t="s">
        <v>365</v>
      </c>
      <c r="D102" s="328" t="s">
        <v>43</v>
      </c>
      <c r="E102" s="174" t="s">
        <v>350</v>
      </c>
      <c r="F102" s="166">
        <f>VLOOKUP(D102,$D$417:$E$425,2,FALSE)</f>
        <v>0</v>
      </c>
      <c r="G102" s="184"/>
      <c r="H102" s="179">
        <f>H101*$G$297</f>
        <v>0</v>
      </c>
      <c r="J102" s="166"/>
      <c r="K102" s="166"/>
      <c r="L102" s="166"/>
      <c r="M102" s="170"/>
      <c r="N102" s="170"/>
      <c r="O102" s="171"/>
      <c r="P102" s="166"/>
      <c r="S102" s="170"/>
    </row>
    <row r="103" spans="1:19" s="167" customFormat="1" ht="26.4">
      <c r="A103" s="368"/>
      <c r="B103" s="369"/>
      <c r="C103" s="172" t="s">
        <v>366</v>
      </c>
      <c r="D103" s="328" t="s">
        <v>43</v>
      </c>
      <c r="E103" s="185" t="s">
        <v>351</v>
      </c>
      <c r="F103" s="186">
        <f>IF(D100=0,0,(1-(VLOOKUP(D103,$D$428:$E$441,2,FALSE))))</f>
        <v>0</v>
      </c>
      <c r="G103" s="187"/>
      <c r="H103" s="169"/>
      <c r="J103" s="166"/>
      <c r="K103" s="166"/>
      <c r="L103" s="166"/>
      <c r="M103" s="170"/>
      <c r="N103" s="170"/>
      <c r="O103" s="171"/>
      <c r="P103" s="166"/>
      <c r="S103" s="170"/>
    </row>
    <row r="104" spans="1:19" s="154" customFormat="1">
      <c r="A104" s="188"/>
      <c r="B104" s="190"/>
      <c r="C104" s="196"/>
      <c r="D104" s="193"/>
      <c r="E104" s="192"/>
      <c r="F104" s="192"/>
      <c r="G104" s="197"/>
    </row>
    <row r="105" spans="1:19" s="154" customFormat="1" ht="66">
      <c r="A105" s="362" t="s">
        <v>212</v>
      </c>
      <c r="B105" s="363"/>
      <c r="C105" s="161" t="s">
        <v>404</v>
      </c>
      <c r="D105" s="326" t="s">
        <v>405</v>
      </c>
      <c r="E105" s="163"/>
      <c r="F105" s="163"/>
      <c r="G105" s="164"/>
    </row>
    <row r="106" spans="1:19" s="167" customFormat="1" ht="27" thickBot="1">
      <c r="A106" s="364" t="s">
        <v>299</v>
      </c>
      <c r="B106" s="365"/>
      <c r="C106" s="165" t="s">
        <v>414</v>
      </c>
      <c r="D106" s="327">
        <v>1</v>
      </c>
      <c r="E106" s="166"/>
      <c r="G106" s="168"/>
      <c r="H106" s="169"/>
      <c r="J106" s="166"/>
      <c r="K106" s="166"/>
      <c r="L106" s="166"/>
      <c r="M106" s="170"/>
      <c r="N106" s="170"/>
      <c r="O106" s="171"/>
      <c r="P106" s="166"/>
      <c r="S106" s="170"/>
    </row>
    <row r="107" spans="1:19" s="167" customFormat="1" ht="27" thickBot="1">
      <c r="A107" s="366"/>
      <c r="B107" s="367"/>
      <c r="C107" s="172" t="s">
        <v>364</v>
      </c>
      <c r="D107" s="328"/>
      <c r="E107" s="174" t="s">
        <v>76</v>
      </c>
      <c r="F107" s="175">
        <f>D107*((9000)*D106)</f>
        <v>0</v>
      </c>
      <c r="G107" s="176" t="s">
        <v>349</v>
      </c>
      <c r="H107" s="177">
        <f>((F108-(F108*F109))*F107)/1000000</f>
        <v>0</v>
      </c>
      <c r="J107" s="166"/>
      <c r="K107" s="166"/>
      <c r="L107" s="166"/>
      <c r="M107" s="170"/>
      <c r="N107" s="170"/>
      <c r="O107" s="171"/>
      <c r="P107" s="166"/>
      <c r="S107" s="170"/>
    </row>
    <row r="108" spans="1:19" s="167" customFormat="1" ht="26.4">
      <c r="A108" s="366"/>
      <c r="B108" s="367"/>
      <c r="C108" s="172" t="s">
        <v>365</v>
      </c>
      <c r="D108" s="328" t="s">
        <v>43</v>
      </c>
      <c r="E108" s="174" t="s">
        <v>350</v>
      </c>
      <c r="F108" s="166">
        <f>VLOOKUP(D108,$D$417:$E$425,2,FALSE)</f>
        <v>0</v>
      </c>
      <c r="G108" s="178"/>
      <c r="H108" s="179">
        <f>H107*$G$297</f>
        <v>0</v>
      </c>
      <c r="J108" s="166"/>
      <c r="K108" s="166"/>
      <c r="L108" s="166"/>
      <c r="M108" s="170"/>
      <c r="N108" s="170"/>
      <c r="O108" s="171"/>
      <c r="P108" s="166"/>
      <c r="S108" s="170"/>
    </row>
    <row r="109" spans="1:19" s="167" customFormat="1" ht="26.4">
      <c r="A109" s="368"/>
      <c r="B109" s="369"/>
      <c r="C109" s="172" t="s">
        <v>366</v>
      </c>
      <c r="D109" s="328" t="s">
        <v>43</v>
      </c>
      <c r="E109" s="174" t="s">
        <v>351</v>
      </c>
      <c r="F109" s="180">
        <f>IF(D106=0,0,(1-(VLOOKUP(D109,$D$428:$E$441,2,FALSE))))</f>
        <v>1</v>
      </c>
      <c r="G109" s="195"/>
      <c r="H109" s="169"/>
      <c r="J109" s="166"/>
      <c r="K109" s="166"/>
      <c r="L109" s="166"/>
      <c r="M109" s="170"/>
      <c r="N109" s="170"/>
      <c r="O109" s="171"/>
      <c r="P109" s="166"/>
      <c r="S109" s="170"/>
    </row>
    <row r="110" spans="1:19" s="154" customFormat="1" ht="66">
      <c r="A110" s="362" t="str">
        <f>A105</f>
        <v>Roermond</v>
      </c>
      <c r="B110" s="363"/>
      <c r="C110" s="161" t="s">
        <v>404</v>
      </c>
      <c r="D110" s="326" t="s">
        <v>405</v>
      </c>
      <c r="E110" s="163"/>
      <c r="F110" s="163"/>
      <c r="G110" s="164"/>
    </row>
    <row r="111" spans="1:19" s="167" customFormat="1" ht="27" thickBot="1">
      <c r="A111" s="364" t="s">
        <v>300</v>
      </c>
      <c r="B111" s="365"/>
      <c r="C111" s="172" t="str">
        <f>C106</f>
        <v>A) Welk percentage van het HRA gaat er vanaf de ontvangstlocatie voor Roermond naar deze verwerkingslocatie?</v>
      </c>
      <c r="D111" s="182">
        <f>1-D106</f>
        <v>0</v>
      </c>
      <c r="E111" s="166"/>
      <c r="G111" s="168"/>
      <c r="H111" s="169"/>
      <c r="J111" s="166"/>
      <c r="K111" s="166"/>
      <c r="L111" s="166"/>
      <c r="M111" s="170"/>
      <c r="N111" s="170"/>
      <c r="O111" s="171"/>
      <c r="P111" s="166"/>
      <c r="S111" s="170"/>
    </row>
    <row r="112" spans="1:19" s="167" customFormat="1" ht="27" thickBot="1">
      <c r="A112" s="366"/>
      <c r="B112" s="367"/>
      <c r="C112" s="172" t="s">
        <v>368</v>
      </c>
      <c r="D112" s="328"/>
      <c r="E112" s="174" t="s">
        <v>76</v>
      </c>
      <c r="F112" s="175">
        <f>D112*((9000)*D111)</f>
        <v>0</v>
      </c>
      <c r="G112" s="176" t="s">
        <v>352</v>
      </c>
      <c r="H112" s="177">
        <f>((F113-(F113*F114))*F112)/1000000</f>
        <v>0</v>
      </c>
      <c r="J112" s="166"/>
      <c r="K112" s="166"/>
      <c r="L112" s="166"/>
      <c r="M112" s="170"/>
      <c r="N112" s="170"/>
      <c r="O112" s="171"/>
      <c r="P112" s="166"/>
      <c r="S112" s="170"/>
    </row>
    <row r="113" spans="1:19" s="167" customFormat="1" ht="26.4">
      <c r="A113" s="366"/>
      <c r="B113" s="367"/>
      <c r="C113" s="172" t="s">
        <v>365</v>
      </c>
      <c r="D113" s="328" t="s">
        <v>43</v>
      </c>
      <c r="E113" s="174" t="s">
        <v>350</v>
      </c>
      <c r="F113" s="166">
        <f>VLOOKUP(D113,$D$417:$E$425,2,FALSE)</f>
        <v>0</v>
      </c>
      <c r="G113" s="184"/>
      <c r="H113" s="179">
        <f>H112*$G$297</f>
        <v>0</v>
      </c>
      <c r="J113" s="166"/>
      <c r="K113" s="166"/>
      <c r="L113" s="166"/>
      <c r="M113" s="170"/>
      <c r="N113" s="170"/>
      <c r="O113" s="171"/>
      <c r="P113" s="166"/>
      <c r="S113" s="170"/>
    </row>
    <row r="114" spans="1:19" s="167" customFormat="1" ht="26.4">
      <c r="A114" s="368"/>
      <c r="B114" s="369"/>
      <c r="C114" s="172" t="s">
        <v>366</v>
      </c>
      <c r="D114" s="328" t="s">
        <v>43</v>
      </c>
      <c r="E114" s="185" t="s">
        <v>351</v>
      </c>
      <c r="F114" s="186">
        <f>IF(D111=0,0,(1-(VLOOKUP(D114,$D$428:$E$441,2,FALSE))))</f>
        <v>0</v>
      </c>
      <c r="G114" s="187"/>
      <c r="H114" s="169"/>
      <c r="J114" s="166"/>
      <c r="K114" s="166"/>
      <c r="L114" s="166"/>
      <c r="M114" s="170"/>
      <c r="N114" s="170"/>
      <c r="O114" s="171"/>
      <c r="P114" s="166"/>
      <c r="S114" s="170"/>
    </row>
    <row r="115" spans="1:19" s="154" customFormat="1">
      <c r="A115" s="188"/>
      <c r="B115" s="190"/>
      <c r="C115" s="196"/>
      <c r="D115" s="193"/>
      <c r="E115" s="192"/>
      <c r="F115" s="192"/>
      <c r="G115" s="197"/>
    </row>
    <row r="116" spans="1:19" s="154" customFormat="1" ht="66">
      <c r="A116" s="362" t="s">
        <v>222</v>
      </c>
      <c r="B116" s="363"/>
      <c r="C116" s="161" t="s">
        <v>404</v>
      </c>
      <c r="D116" s="326" t="s">
        <v>405</v>
      </c>
      <c r="E116" s="163"/>
      <c r="F116" s="163"/>
      <c r="G116" s="164"/>
    </row>
    <row r="117" spans="1:19" s="167" customFormat="1" ht="39" customHeight="1" thickBot="1">
      <c r="A117" s="364" t="s">
        <v>301</v>
      </c>
      <c r="B117" s="365"/>
      <c r="C117" s="165" t="s">
        <v>415</v>
      </c>
      <c r="D117" s="327">
        <v>1</v>
      </c>
      <c r="E117" s="166"/>
      <c r="G117" s="168"/>
      <c r="H117" s="169"/>
      <c r="J117" s="166"/>
      <c r="K117" s="166"/>
      <c r="L117" s="166"/>
      <c r="M117" s="170"/>
      <c r="N117" s="170"/>
      <c r="O117" s="171"/>
      <c r="P117" s="166"/>
      <c r="S117" s="170"/>
    </row>
    <row r="118" spans="1:19" s="167" customFormat="1" ht="27" thickBot="1">
      <c r="A118" s="366"/>
      <c r="B118" s="367"/>
      <c r="C118" s="172" t="s">
        <v>364</v>
      </c>
      <c r="D118" s="328"/>
      <c r="E118" s="174" t="s">
        <v>76</v>
      </c>
      <c r="F118" s="175">
        <f>D118*((1100)*D117)</f>
        <v>0</v>
      </c>
      <c r="G118" s="176" t="s">
        <v>349</v>
      </c>
      <c r="H118" s="177">
        <f>((F119-(F119*F120))*F118)/1000000</f>
        <v>0</v>
      </c>
      <c r="J118" s="166"/>
      <c r="K118" s="166"/>
      <c r="L118" s="166"/>
      <c r="M118" s="170"/>
      <c r="N118" s="170"/>
      <c r="O118" s="171"/>
      <c r="P118" s="166"/>
      <c r="S118" s="170"/>
    </row>
    <row r="119" spans="1:19" s="167" customFormat="1" ht="26.4">
      <c r="A119" s="366"/>
      <c r="B119" s="367"/>
      <c r="C119" s="172" t="s">
        <v>365</v>
      </c>
      <c r="D119" s="328" t="s">
        <v>43</v>
      </c>
      <c r="E119" s="174" t="s">
        <v>350</v>
      </c>
      <c r="F119" s="166">
        <f>VLOOKUP(D119,$D$417:$E$425,2,FALSE)</f>
        <v>0</v>
      </c>
      <c r="G119" s="178"/>
      <c r="H119" s="179">
        <f>H118*$G$297</f>
        <v>0</v>
      </c>
      <c r="J119" s="166"/>
      <c r="K119" s="166"/>
      <c r="L119" s="166"/>
      <c r="M119" s="170"/>
      <c r="N119" s="170"/>
      <c r="O119" s="171"/>
      <c r="P119" s="166"/>
      <c r="S119" s="170"/>
    </row>
    <row r="120" spans="1:19" s="167" customFormat="1" ht="26.4">
      <c r="A120" s="368"/>
      <c r="B120" s="369"/>
      <c r="C120" s="172" t="s">
        <v>366</v>
      </c>
      <c r="D120" s="328" t="s">
        <v>43</v>
      </c>
      <c r="E120" s="174" t="s">
        <v>351</v>
      </c>
      <c r="F120" s="180">
        <f>IF(D117=0,0,(1-(VLOOKUP(D120,$D$428:$E$441,2,FALSE))))</f>
        <v>1</v>
      </c>
      <c r="G120" s="195"/>
      <c r="H120" s="169"/>
      <c r="J120" s="166"/>
      <c r="K120" s="166"/>
      <c r="L120" s="166"/>
      <c r="M120" s="170"/>
      <c r="N120" s="170"/>
      <c r="O120" s="171"/>
      <c r="P120" s="166"/>
      <c r="S120" s="170"/>
    </row>
    <row r="121" spans="1:19" s="154" customFormat="1" ht="66">
      <c r="A121" s="362" t="s">
        <v>222</v>
      </c>
      <c r="B121" s="363"/>
      <c r="C121" s="161" t="s">
        <v>404</v>
      </c>
      <c r="D121" s="326" t="s">
        <v>405</v>
      </c>
      <c r="E121" s="163"/>
      <c r="F121" s="163"/>
      <c r="G121" s="164"/>
    </row>
    <row r="122" spans="1:19" s="167" customFormat="1" ht="41.4" customHeight="1" thickBot="1">
      <c r="A122" s="364" t="s">
        <v>302</v>
      </c>
      <c r="B122" s="365"/>
      <c r="C122" s="172" t="str">
        <f>C117</f>
        <v>A) Welk percentage van het HRA gaat er vanaf de ontvangstlocatie voor Valkenburg aan de Geul naar deze verwerkingslocatie?</v>
      </c>
      <c r="D122" s="182">
        <f>1-D117</f>
        <v>0</v>
      </c>
      <c r="E122" s="166"/>
      <c r="G122" s="168"/>
      <c r="H122" s="169"/>
      <c r="J122" s="166"/>
      <c r="K122" s="166"/>
      <c r="L122" s="166"/>
      <c r="M122" s="170"/>
      <c r="N122" s="170"/>
      <c r="O122" s="171"/>
      <c r="P122" s="166"/>
      <c r="S122" s="170"/>
    </row>
    <row r="123" spans="1:19" s="167" customFormat="1" ht="27" thickBot="1">
      <c r="A123" s="366"/>
      <c r="B123" s="367"/>
      <c r="C123" s="172" t="s">
        <v>368</v>
      </c>
      <c r="D123" s="328"/>
      <c r="E123" s="174" t="s">
        <v>76</v>
      </c>
      <c r="F123" s="175">
        <f>D123*((1100)*D122)</f>
        <v>0</v>
      </c>
      <c r="G123" s="176" t="s">
        <v>352</v>
      </c>
      <c r="H123" s="177">
        <f>((F124-(F124*F125))*F123)/1000000</f>
        <v>0</v>
      </c>
      <c r="J123" s="166"/>
      <c r="K123" s="166"/>
      <c r="L123" s="166"/>
      <c r="M123" s="170"/>
      <c r="N123" s="170"/>
      <c r="O123" s="171"/>
      <c r="P123" s="166"/>
      <c r="S123" s="170"/>
    </row>
    <row r="124" spans="1:19" s="167" customFormat="1" ht="26.4">
      <c r="A124" s="366"/>
      <c r="B124" s="367"/>
      <c r="C124" s="172" t="s">
        <v>365</v>
      </c>
      <c r="D124" s="328" t="s">
        <v>43</v>
      </c>
      <c r="E124" s="174" t="s">
        <v>350</v>
      </c>
      <c r="F124" s="166">
        <f>VLOOKUP(D124,$D$417:$E$425,2,FALSE)</f>
        <v>0</v>
      </c>
      <c r="G124" s="184"/>
      <c r="H124" s="179">
        <f>H123*$G$297</f>
        <v>0</v>
      </c>
      <c r="J124" s="166"/>
      <c r="K124" s="166"/>
      <c r="L124" s="166"/>
      <c r="M124" s="170"/>
      <c r="N124" s="170"/>
      <c r="O124" s="171"/>
      <c r="P124" s="166"/>
      <c r="S124" s="170"/>
    </row>
    <row r="125" spans="1:19" s="167" customFormat="1" ht="26.4">
      <c r="A125" s="368"/>
      <c r="B125" s="369"/>
      <c r="C125" s="172" t="s">
        <v>366</v>
      </c>
      <c r="D125" s="328" t="s">
        <v>43</v>
      </c>
      <c r="E125" s="185" t="s">
        <v>351</v>
      </c>
      <c r="F125" s="186">
        <f>IF(D122=0,0,(1-(VLOOKUP(D125,$D$428:$E$441,2,FALSE))))</f>
        <v>0</v>
      </c>
      <c r="G125" s="187"/>
      <c r="H125" s="169"/>
      <c r="J125" s="166"/>
      <c r="K125" s="166"/>
      <c r="L125" s="166"/>
      <c r="M125" s="170"/>
      <c r="N125" s="170"/>
      <c r="O125" s="171"/>
      <c r="P125" s="166"/>
      <c r="S125" s="170"/>
    </row>
    <row r="126" spans="1:19" s="154" customFormat="1">
      <c r="A126" s="188"/>
      <c r="B126" s="190"/>
      <c r="C126" s="196"/>
      <c r="D126" s="193"/>
      <c r="E126" s="192"/>
      <c r="F126" s="192"/>
      <c r="G126" s="197"/>
    </row>
    <row r="127" spans="1:19" s="154" customFormat="1" ht="66">
      <c r="A127" s="362" t="s">
        <v>308</v>
      </c>
      <c r="B127" s="363"/>
      <c r="C127" s="161" t="s">
        <v>404</v>
      </c>
      <c r="D127" s="326" t="s">
        <v>405</v>
      </c>
      <c r="E127" s="163"/>
      <c r="F127" s="163"/>
      <c r="G127" s="164"/>
    </row>
    <row r="128" spans="1:19" s="167" customFormat="1" ht="27" thickBot="1">
      <c r="A128" s="364" t="s">
        <v>309</v>
      </c>
      <c r="B128" s="365"/>
      <c r="C128" s="165" t="s">
        <v>428</v>
      </c>
      <c r="D128" s="327">
        <v>1</v>
      </c>
      <c r="E128" s="166"/>
      <c r="G128" s="168"/>
      <c r="H128" s="169"/>
      <c r="J128" s="166"/>
      <c r="K128" s="166"/>
      <c r="L128" s="166"/>
      <c r="M128" s="170"/>
      <c r="N128" s="170"/>
      <c r="O128" s="171"/>
      <c r="P128" s="166"/>
      <c r="S128" s="170"/>
    </row>
    <row r="129" spans="1:19" s="167" customFormat="1" ht="27" thickBot="1">
      <c r="A129" s="366"/>
      <c r="B129" s="367"/>
      <c r="C129" s="172" t="s">
        <v>364</v>
      </c>
      <c r="D129" s="328"/>
      <c r="E129" s="174" t="s">
        <v>76</v>
      </c>
      <c r="F129" s="175">
        <f>D129*((13600)*D128)</f>
        <v>0</v>
      </c>
      <c r="G129" s="176" t="s">
        <v>349</v>
      </c>
      <c r="H129" s="177">
        <f>((F130-(F130*F131))*F129)/1000000</f>
        <v>0</v>
      </c>
      <c r="J129" s="166"/>
      <c r="K129" s="166"/>
      <c r="L129" s="166"/>
      <c r="M129" s="170"/>
      <c r="N129" s="170"/>
      <c r="O129" s="171"/>
      <c r="P129" s="166"/>
      <c r="S129" s="170"/>
    </row>
    <row r="130" spans="1:19" s="167" customFormat="1" ht="26.4">
      <c r="A130" s="366"/>
      <c r="B130" s="367"/>
      <c r="C130" s="172" t="s">
        <v>365</v>
      </c>
      <c r="D130" s="328" t="s">
        <v>43</v>
      </c>
      <c r="E130" s="174" t="s">
        <v>350</v>
      </c>
      <c r="F130" s="166">
        <f>VLOOKUP(D130,$D$417:$E$425,2,FALSE)</f>
        <v>0</v>
      </c>
      <c r="G130" s="178"/>
      <c r="H130" s="179">
        <f>H129*$G$297</f>
        <v>0</v>
      </c>
      <c r="J130" s="166"/>
      <c r="K130" s="166"/>
      <c r="L130" s="166"/>
      <c r="M130" s="170"/>
      <c r="N130" s="170"/>
      <c r="O130" s="171"/>
      <c r="P130" s="166"/>
      <c r="S130" s="170"/>
    </row>
    <row r="131" spans="1:19" s="167" customFormat="1" ht="26.4">
      <c r="A131" s="368"/>
      <c r="B131" s="369"/>
      <c r="C131" s="172" t="s">
        <v>366</v>
      </c>
      <c r="D131" s="328" t="s">
        <v>43</v>
      </c>
      <c r="E131" s="174" t="s">
        <v>351</v>
      </c>
      <c r="F131" s="180">
        <f>IF(D128=0,0,(1-(VLOOKUP(D131,$D$428:$E$441,2,FALSE))))</f>
        <v>1</v>
      </c>
      <c r="G131" s="195"/>
      <c r="H131" s="169"/>
      <c r="J131" s="166"/>
      <c r="K131" s="166"/>
      <c r="L131" s="166"/>
      <c r="M131" s="170"/>
      <c r="N131" s="170"/>
      <c r="O131" s="171"/>
      <c r="P131" s="166"/>
      <c r="S131" s="170"/>
    </row>
    <row r="132" spans="1:19" s="154" customFormat="1" ht="66">
      <c r="A132" s="362" t="str">
        <f>A127</f>
        <v>Venlo brongescheiden HRA</v>
      </c>
      <c r="B132" s="363"/>
      <c r="C132" s="161" t="s">
        <v>404</v>
      </c>
      <c r="D132" s="326" t="s">
        <v>405</v>
      </c>
      <c r="E132" s="163"/>
      <c r="F132" s="163"/>
      <c r="G132" s="164"/>
    </row>
    <row r="133" spans="1:19" s="167" customFormat="1" ht="27" thickBot="1">
      <c r="A133" s="364" t="s">
        <v>310</v>
      </c>
      <c r="B133" s="365"/>
      <c r="C133" s="172" t="str">
        <f>C128</f>
        <v>A) Welk percentage van het brongescheiden HRA gaat er vanaf de ontvangstlocatie voor Venlo naar deze verwerkingslocatie?</v>
      </c>
      <c r="D133" s="182">
        <f>1-D128</f>
        <v>0</v>
      </c>
      <c r="E133" s="166"/>
      <c r="G133" s="168"/>
      <c r="H133" s="169"/>
      <c r="J133" s="166"/>
      <c r="K133" s="166"/>
      <c r="L133" s="166"/>
      <c r="M133" s="170"/>
      <c r="N133" s="170"/>
      <c r="O133" s="171"/>
      <c r="P133" s="166"/>
      <c r="S133" s="170"/>
    </row>
    <row r="134" spans="1:19" s="167" customFormat="1" ht="27" thickBot="1">
      <c r="A134" s="366"/>
      <c r="B134" s="367"/>
      <c r="C134" s="172" t="s">
        <v>368</v>
      </c>
      <c r="D134" s="328"/>
      <c r="E134" s="174" t="s">
        <v>76</v>
      </c>
      <c r="F134" s="175">
        <f>D134*((13600)*D133)</f>
        <v>0</v>
      </c>
      <c r="G134" s="176" t="s">
        <v>352</v>
      </c>
      <c r="H134" s="177">
        <f>((F135-(F135*F136))*F134)/1000000</f>
        <v>0</v>
      </c>
      <c r="J134" s="166"/>
      <c r="K134" s="166"/>
      <c r="L134" s="166"/>
      <c r="M134" s="170"/>
      <c r="N134" s="170"/>
      <c r="O134" s="171"/>
      <c r="P134" s="166"/>
      <c r="S134" s="170"/>
    </row>
    <row r="135" spans="1:19" s="167" customFormat="1" ht="32.25" customHeight="1">
      <c r="A135" s="366"/>
      <c r="B135" s="367"/>
      <c r="C135" s="172" t="s">
        <v>365</v>
      </c>
      <c r="D135" s="328" t="s">
        <v>83</v>
      </c>
      <c r="E135" s="174" t="s">
        <v>350</v>
      </c>
      <c r="F135" s="166">
        <f>VLOOKUP(D135,$D$417:$E$425,2,FALSE)</f>
        <v>256</v>
      </c>
      <c r="G135" s="184"/>
      <c r="H135" s="179">
        <f>H134*$G$297</f>
        <v>0</v>
      </c>
      <c r="J135" s="166"/>
      <c r="K135" s="166"/>
      <c r="L135" s="166"/>
      <c r="M135" s="170"/>
      <c r="N135" s="170"/>
      <c r="O135" s="171"/>
      <c r="P135" s="166"/>
      <c r="S135" s="170"/>
    </row>
    <row r="136" spans="1:19" s="167" customFormat="1" ht="33" customHeight="1">
      <c r="A136" s="368"/>
      <c r="B136" s="369"/>
      <c r="C136" s="172" t="s">
        <v>366</v>
      </c>
      <c r="D136" s="328" t="s">
        <v>43</v>
      </c>
      <c r="E136" s="185" t="s">
        <v>351</v>
      </c>
      <c r="F136" s="186">
        <f>IF(D133=0,0,(1-(VLOOKUP(D136,$D$428:$E$441,2,FALSE))))</f>
        <v>0</v>
      </c>
      <c r="G136" s="187"/>
      <c r="H136" s="169"/>
      <c r="J136" s="166"/>
      <c r="K136" s="166"/>
      <c r="L136" s="166"/>
      <c r="M136" s="170"/>
      <c r="N136" s="170"/>
      <c r="O136" s="171"/>
      <c r="P136" s="166"/>
      <c r="S136" s="170"/>
    </row>
    <row r="137" spans="1:19" s="154" customFormat="1" ht="18" customHeight="1">
      <c r="A137" s="188"/>
      <c r="B137" s="190"/>
      <c r="C137" s="196"/>
      <c r="D137" s="193"/>
      <c r="E137" s="192"/>
      <c r="F137" s="192"/>
      <c r="G137" s="197"/>
    </row>
    <row r="138" spans="1:19" s="154" customFormat="1" ht="66">
      <c r="A138" s="362" t="s">
        <v>311</v>
      </c>
      <c r="B138" s="363"/>
      <c r="C138" s="161" t="s">
        <v>404</v>
      </c>
      <c r="D138" s="326" t="s">
        <v>405</v>
      </c>
      <c r="E138" s="163"/>
      <c r="F138" s="163"/>
      <c r="G138" s="164"/>
    </row>
    <row r="139" spans="1:19" s="167" customFormat="1" ht="27" thickBot="1">
      <c r="A139" s="364" t="s">
        <v>417</v>
      </c>
      <c r="B139" s="365"/>
      <c r="C139" s="172" t="s">
        <v>371</v>
      </c>
      <c r="D139" s="182">
        <v>1</v>
      </c>
      <c r="E139" s="166"/>
      <c r="G139" s="168"/>
      <c r="H139" s="169"/>
      <c r="J139" s="166"/>
      <c r="K139" s="166"/>
      <c r="L139" s="166"/>
      <c r="M139" s="170"/>
      <c r="N139" s="170"/>
      <c r="O139" s="171"/>
      <c r="P139" s="166"/>
      <c r="S139" s="170"/>
    </row>
    <row r="140" spans="1:19" s="167" customFormat="1" ht="27" thickBot="1">
      <c r="A140" s="366"/>
      <c r="B140" s="367"/>
      <c r="C140" s="172" t="s">
        <v>364</v>
      </c>
      <c r="D140" s="328"/>
      <c r="E140" s="174" t="s">
        <v>76</v>
      </c>
      <c r="F140" s="175">
        <f>D140*((2000)*D139)</f>
        <v>0</v>
      </c>
      <c r="G140" s="176" t="s">
        <v>349</v>
      </c>
      <c r="H140" s="177">
        <f>((F141-(F141*F142))*F140)/1000000</f>
        <v>0</v>
      </c>
      <c r="J140" s="166"/>
      <c r="K140" s="166"/>
      <c r="L140" s="166"/>
      <c r="M140" s="170"/>
      <c r="N140" s="170"/>
      <c r="O140" s="171"/>
      <c r="P140" s="166"/>
      <c r="S140" s="170"/>
    </row>
    <row r="141" spans="1:19" s="167" customFormat="1" ht="26.4">
      <c r="A141" s="366"/>
      <c r="B141" s="367"/>
      <c r="C141" s="172" t="s">
        <v>365</v>
      </c>
      <c r="D141" s="328" t="s">
        <v>43</v>
      </c>
      <c r="E141" s="174" t="s">
        <v>350</v>
      </c>
      <c r="F141" s="166">
        <f>VLOOKUP(D141,$D$417:$E$425,2,FALSE)</f>
        <v>0</v>
      </c>
      <c r="G141" s="178"/>
      <c r="H141" s="179">
        <f>H140*$G$297</f>
        <v>0</v>
      </c>
      <c r="J141" s="166"/>
      <c r="K141" s="166"/>
      <c r="L141" s="166"/>
      <c r="M141" s="170"/>
      <c r="N141" s="170"/>
      <c r="O141" s="171"/>
      <c r="P141" s="166"/>
      <c r="S141" s="170"/>
    </row>
    <row r="142" spans="1:19" s="167" customFormat="1" ht="26.4">
      <c r="A142" s="368"/>
      <c r="B142" s="369"/>
      <c r="C142" s="172" t="s">
        <v>366</v>
      </c>
      <c r="D142" s="328" t="s">
        <v>43</v>
      </c>
      <c r="E142" s="174" t="s">
        <v>351</v>
      </c>
      <c r="F142" s="180">
        <f>IF(D139=0,0,(1-(VLOOKUP(D142,$D$428:$E$441,2,FALSE))))</f>
        <v>1</v>
      </c>
      <c r="G142" s="195"/>
      <c r="H142" s="169"/>
      <c r="J142" s="166"/>
      <c r="K142" s="166"/>
      <c r="L142" s="166"/>
      <c r="M142" s="170"/>
      <c r="N142" s="170"/>
      <c r="O142" s="171"/>
      <c r="P142" s="166"/>
      <c r="S142" s="170"/>
    </row>
    <row r="143" spans="1:19" s="154" customFormat="1" ht="123" hidden="1" customHeight="1">
      <c r="A143" s="362" t="str">
        <f>A138</f>
        <v>Venlo na te scheiden HRA</v>
      </c>
      <c r="B143" s="363"/>
      <c r="C143" s="161" t="s">
        <v>404</v>
      </c>
      <c r="D143" s="162" t="s">
        <v>405</v>
      </c>
      <c r="E143" s="163"/>
      <c r="F143" s="163"/>
      <c r="G143" s="164"/>
    </row>
    <row r="144" spans="1:19" s="167" customFormat="1" ht="27" hidden="1" thickBot="1">
      <c r="A144" s="364" t="s">
        <v>312</v>
      </c>
      <c r="B144" s="365"/>
      <c r="C144" s="172" t="str">
        <f>C139</f>
        <v>A) Welk percentage van het HRA gaat er vanaf de ontvangstlocatie voor Venlo naar deze verwerkingslocatie?</v>
      </c>
      <c r="D144" s="199">
        <v>0</v>
      </c>
      <c r="E144" s="166"/>
      <c r="G144" s="168"/>
      <c r="H144" s="169"/>
      <c r="J144" s="166"/>
      <c r="K144" s="166"/>
      <c r="L144" s="166"/>
      <c r="M144" s="170"/>
      <c r="N144" s="170"/>
      <c r="O144" s="171"/>
      <c r="P144" s="166"/>
      <c r="S144" s="170"/>
    </row>
    <row r="145" spans="1:19" s="167" customFormat="1" ht="27" hidden="1" thickBot="1">
      <c r="A145" s="366"/>
      <c r="B145" s="367"/>
      <c r="C145" s="172" t="s">
        <v>368</v>
      </c>
      <c r="D145" s="173"/>
      <c r="E145" s="174" t="s">
        <v>76</v>
      </c>
      <c r="F145" s="175">
        <f>D145*((2000)*D144)</f>
        <v>0</v>
      </c>
      <c r="G145" s="176" t="s">
        <v>352</v>
      </c>
      <c r="H145" s="177">
        <f>((F146-(F146*F147))*F145)/1000000</f>
        <v>0</v>
      </c>
      <c r="J145" s="166"/>
      <c r="K145" s="166"/>
      <c r="L145" s="166"/>
      <c r="M145" s="170"/>
      <c r="N145" s="170"/>
      <c r="O145" s="171"/>
      <c r="P145" s="166"/>
      <c r="S145" s="170"/>
    </row>
    <row r="146" spans="1:19" s="167" customFormat="1" ht="26.4" hidden="1">
      <c r="A146" s="366"/>
      <c r="B146" s="367"/>
      <c r="C146" s="172" t="s">
        <v>365</v>
      </c>
      <c r="D146" s="173" t="s">
        <v>43</v>
      </c>
      <c r="E146" s="174" t="s">
        <v>350</v>
      </c>
      <c r="F146" s="166">
        <f>VLOOKUP(D146,$D$417:$E$425,2,FALSE)</f>
        <v>0</v>
      </c>
      <c r="G146" s="184"/>
      <c r="H146" s="179">
        <f>H145*$G$297</f>
        <v>0</v>
      </c>
      <c r="J146" s="166"/>
      <c r="K146" s="166"/>
      <c r="L146" s="166"/>
      <c r="M146" s="170"/>
      <c r="N146" s="170"/>
      <c r="O146" s="171"/>
      <c r="P146" s="166"/>
      <c r="S146" s="170"/>
    </row>
    <row r="147" spans="1:19" s="167" customFormat="1" ht="26.4" hidden="1">
      <c r="A147" s="368"/>
      <c r="B147" s="369"/>
      <c r="C147" s="172" t="s">
        <v>366</v>
      </c>
      <c r="D147" s="173" t="s">
        <v>43</v>
      </c>
      <c r="E147" s="185" t="s">
        <v>351</v>
      </c>
      <c r="F147" s="186">
        <f>IF(D144=0,0,(1-(VLOOKUP(D147,$D$428:$E$441,2,FALSE))))</f>
        <v>0</v>
      </c>
      <c r="G147" s="187"/>
      <c r="H147" s="169"/>
      <c r="J147" s="166"/>
      <c r="K147" s="166"/>
      <c r="L147" s="166"/>
      <c r="M147" s="170"/>
      <c r="N147" s="170"/>
      <c r="O147" s="171"/>
      <c r="P147" s="166"/>
      <c r="S147" s="170"/>
    </row>
    <row r="148" spans="1:19" s="154" customFormat="1">
      <c r="A148" s="188"/>
      <c r="B148" s="190"/>
      <c r="C148" s="196"/>
      <c r="D148" s="193"/>
      <c r="E148" s="192"/>
      <c r="F148" s="192"/>
      <c r="G148" s="197"/>
    </row>
    <row r="149" spans="1:19" s="154" customFormat="1" ht="66">
      <c r="A149" s="362" t="s">
        <v>226</v>
      </c>
      <c r="B149" s="363"/>
      <c r="C149" s="161" t="s">
        <v>404</v>
      </c>
      <c r="D149" s="326" t="s">
        <v>405</v>
      </c>
      <c r="E149" s="163"/>
      <c r="F149" s="163"/>
      <c r="G149" s="164"/>
    </row>
    <row r="150" spans="1:19" s="167" customFormat="1" ht="27" thickBot="1">
      <c r="A150" s="364" t="s">
        <v>303</v>
      </c>
      <c r="B150" s="365"/>
      <c r="C150" s="165" t="s">
        <v>418</v>
      </c>
      <c r="D150" s="327">
        <v>1</v>
      </c>
      <c r="E150" s="166"/>
      <c r="G150" s="168"/>
      <c r="H150" s="169"/>
      <c r="J150" s="166"/>
      <c r="K150" s="166"/>
      <c r="L150" s="166"/>
      <c r="M150" s="170"/>
      <c r="N150" s="170"/>
      <c r="O150" s="171"/>
      <c r="P150" s="166"/>
      <c r="S150" s="170"/>
    </row>
    <row r="151" spans="1:19" s="167" customFormat="1" ht="27" thickBot="1">
      <c r="A151" s="366"/>
      <c r="B151" s="367"/>
      <c r="C151" s="172" t="s">
        <v>364</v>
      </c>
      <c r="D151" s="328"/>
      <c r="E151" s="174" t="s">
        <v>76</v>
      </c>
      <c r="F151" s="175">
        <f>D151*((2750)*D150)</f>
        <v>0</v>
      </c>
      <c r="G151" s="176" t="s">
        <v>349</v>
      </c>
      <c r="H151" s="177">
        <f>((F152-(F152*F153))*F151)/1000000</f>
        <v>0</v>
      </c>
      <c r="J151" s="166"/>
      <c r="K151" s="166"/>
      <c r="L151" s="166"/>
      <c r="M151" s="170"/>
      <c r="N151" s="170"/>
      <c r="O151" s="171"/>
      <c r="P151" s="166"/>
      <c r="S151" s="170"/>
    </row>
    <row r="152" spans="1:19" s="167" customFormat="1" ht="26.4">
      <c r="A152" s="366"/>
      <c r="B152" s="367"/>
      <c r="C152" s="172" t="s">
        <v>365</v>
      </c>
      <c r="D152" s="328" t="s">
        <v>43</v>
      </c>
      <c r="E152" s="174" t="s">
        <v>350</v>
      </c>
      <c r="F152" s="166">
        <f>VLOOKUP(D152,$D$417:$E$425,2,FALSE)</f>
        <v>0</v>
      </c>
      <c r="G152" s="178"/>
      <c r="H152" s="179">
        <f>H151*$G$297</f>
        <v>0</v>
      </c>
      <c r="J152" s="166"/>
      <c r="K152" s="166"/>
      <c r="L152" s="166"/>
      <c r="M152" s="170"/>
      <c r="N152" s="170"/>
      <c r="O152" s="171"/>
      <c r="P152" s="166"/>
      <c r="S152" s="170"/>
    </row>
    <row r="153" spans="1:19" s="167" customFormat="1" ht="26.4">
      <c r="A153" s="368"/>
      <c r="B153" s="369"/>
      <c r="C153" s="172" t="s">
        <v>366</v>
      </c>
      <c r="D153" s="328" t="s">
        <v>43</v>
      </c>
      <c r="E153" s="174" t="s">
        <v>351</v>
      </c>
      <c r="F153" s="180">
        <f>IF(D150=0,0,(1-(VLOOKUP(D153,$D$428:$E$441,2,FALSE))))</f>
        <v>1</v>
      </c>
      <c r="G153" s="195"/>
      <c r="H153" s="169"/>
      <c r="J153" s="166"/>
      <c r="K153" s="166"/>
      <c r="L153" s="166"/>
      <c r="M153" s="170"/>
      <c r="N153" s="170"/>
      <c r="O153" s="171"/>
      <c r="P153" s="166"/>
      <c r="S153" s="170"/>
    </row>
    <row r="154" spans="1:19" s="154" customFormat="1" ht="66">
      <c r="A154" s="362" t="str">
        <f>A149</f>
        <v>Venray</v>
      </c>
      <c r="B154" s="363"/>
      <c r="C154" s="161" t="s">
        <v>404</v>
      </c>
      <c r="D154" s="326" t="s">
        <v>405</v>
      </c>
      <c r="E154" s="163"/>
      <c r="F154" s="163"/>
      <c r="G154" s="164"/>
    </row>
    <row r="155" spans="1:19" s="167" customFormat="1" ht="27" thickBot="1">
      <c r="A155" s="364" t="s">
        <v>304</v>
      </c>
      <c r="B155" s="365"/>
      <c r="C155" s="172" t="str">
        <f>C150</f>
        <v>A) Welk percentage van het HRA gaat er vanaf de ontvangstlocatie voor Venray naar deze verwerkingslocatie?</v>
      </c>
      <c r="D155" s="182">
        <f>1-D150</f>
        <v>0</v>
      </c>
      <c r="E155" s="166"/>
      <c r="G155" s="168"/>
      <c r="H155" s="169"/>
      <c r="J155" s="166"/>
      <c r="K155" s="166"/>
      <c r="L155" s="166"/>
      <c r="M155" s="170"/>
      <c r="N155" s="170"/>
      <c r="O155" s="171"/>
      <c r="P155" s="166"/>
      <c r="S155" s="170"/>
    </row>
    <row r="156" spans="1:19" s="167" customFormat="1" ht="27" thickBot="1">
      <c r="A156" s="366"/>
      <c r="B156" s="367"/>
      <c r="C156" s="172" t="s">
        <v>368</v>
      </c>
      <c r="D156" s="328"/>
      <c r="E156" s="174" t="s">
        <v>76</v>
      </c>
      <c r="F156" s="175">
        <f>D156*((2750)*D155)</f>
        <v>0</v>
      </c>
      <c r="G156" s="176" t="s">
        <v>352</v>
      </c>
      <c r="H156" s="177">
        <f>((F157-(F157*F158))*F156)/1000000</f>
        <v>0</v>
      </c>
      <c r="J156" s="166"/>
      <c r="K156" s="166"/>
      <c r="L156" s="166"/>
      <c r="M156" s="170"/>
      <c r="N156" s="170"/>
      <c r="O156" s="171"/>
      <c r="P156" s="166"/>
      <c r="S156" s="170"/>
    </row>
    <row r="157" spans="1:19" s="167" customFormat="1" ht="26.4">
      <c r="A157" s="366"/>
      <c r="B157" s="367"/>
      <c r="C157" s="172" t="s">
        <v>365</v>
      </c>
      <c r="D157" s="328" t="s">
        <v>43</v>
      </c>
      <c r="E157" s="174" t="s">
        <v>350</v>
      </c>
      <c r="F157" s="166">
        <f>VLOOKUP(D157,$D$417:$E$425,2,FALSE)</f>
        <v>0</v>
      </c>
      <c r="G157" s="184"/>
      <c r="H157" s="179">
        <f>H156*$G$297</f>
        <v>0</v>
      </c>
      <c r="J157" s="166"/>
      <c r="K157" s="166"/>
      <c r="L157" s="166"/>
      <c r="M157" s="170"/>
      <c r="N157" s="170"/>
      <c r="O157" s="171"/>
      <c r="P157" s="166"/>
      <c r="S157" s="170"/>
    </row>
    <row r="158" spans="1:19" s="167" customFormat="1" ht="26.4">
      <c r="A158" s="368"/>
      <c r="B158" s="369"/>
      <c r="C158" s="172" t="s">
        <v>366</v>
      </c>
      <c r="D158" s="328" t="s">
        <v>43</v>
      </c>
      <c r="E158" s="185" t="s">
        <v>351</v>
      </c>
      <c r="F158" s="186">
        <f>IF(D155=0,0,(1-(VLOOKUP(D158,$D$428:$E$441,2,FALSE))))</f>
        <v>0</v>
      </c>
      <c r="G158" s="187"/>
      <c r="H158" s="169"/>
      <c r="J158" s="166"/>
      <c r="K158" s="166"/>
      <c r="L158" s="166"/>
      <c r="M158" s="170"/>
      <c r="N158" s="170"/>
      <c r="O158" s="171"/>
      <c r="P158" s="166"/>
      <c r="S158" s="170"/>
    </row>
    <row r="159" spans="1:19" s="154" customFormat="1">
      <c r="A159" s="188"/>
      <c r="B159" s="190"/>
      <c r="C159" s="196"/>
      <c r="D159" s="193"/>
      <c r="E159" s="192"/>
      <c r="F159" s="192"/>
      <c r="G159" s="197"/>
    </row>
    <row r="160" spans="1:19" s="154" customFormat="1" ht="66">
      <c r="A160" s="362" t="s">
        <v>313</v>
      </c>
      <c r="B160" s="363"/>
      <c r="C160" s="161" t="s">
        <v>404</v>
      </c>
      <c r="D160" s="326" t="s">
        <v>405</v>
      </c>
      <c r="E160" s="163"/>
      <c r="F160" s="163"/>
      <c r="G160" s="164"/>
    </row>
    <row r="161" spans="1:19" s="167" customFormat="1" ht="27" thickBot="1">
      <c r="A161" s="364" t="s">
        <v>419</v>
      </c>
      <c r="B161" s="365"/>
      <c r="C161" s="200" t="s">
        <v>374</v>
      </c>
      <c r="D161" s="201">
        <v>1</v>
      </c>
      <c r="E161" s="166"/>
      <c r="G161" s="168"/>
      <c r="H161" s="169"/>
      <c r="J161" s="166"/>
      <c r="K161" s="166"/>
      <c r="L161" s="166"/>
      <c r="M161" s="170"/>
      <c r="N161" s="170"/>
      <c r="O161" s="171"/>
      <c r="P161" s="166"/>
      <c r="S161" s="170"/>
    </row>
    <row r="162" spans="1:19" s="167" customFormat="1" ht="27" thickBot="1">
      <c r="A162" s="366"/>
      <c r="B162" s="367"/>
      <c r="C162" s="172" t="s">
        <v>364</v>
      </c>
      <c r="D162" s="328"/>
      <c r="E162" s="174" t="s">
        <v>76</v>
      </c>
      <c r="F162" s="175">
        <f>D162*((12000)*D161)</f>
        <v>0</v>
      </c>
      <c r="G162" s="176" t="s">
        <v>349</v>
      </c>
      <c r="H162" s="177">
        <f>((F163-(F163*F164))*F162)/1000000</f>
        <v>0</v>
      </c>
      <c r="J162" s="166"/>
      <c r="K162" s="166"/>
      <c r="L162" s="166"/>
      <c r="M162" s="170"/>
      <c r="N162" s="170"/>
      <c r="O162" s="171"/>
      <c r="P162" s="166"/>
      <c r="S162" s="170"/>
    </row>
    <row r="163" spans="1:19" s="167" customFormat="1" ht="26.4">
      <c r="A163" s="366"/>
      <c r="B163" s="367"/>
      <c r="C163" s="172" t="s">
        <v>365</v>
      </c>
      <c r="D163" s="328" t="s">
        <v>43</v>
      </c>
      <c r="E163" s="174" t="s">
        <v>350</v>
      </c>
      <c r="F163" s="166">
        <f>VLOOKUP(D163,$D$417:$E$425,2,FALSE)</f>
        <v>0</v>
      </c>
      <c r="G163" s="178"/>
      <c r="H163" s="179">
        <f>H162*$G$297</f>
        <v>0</v>
      </c>
      <c r="J163" s="166"/>
      <c r="K163" s="166"/>
      <c r="L163" s="166"/>
      <c r="M163" s="170"/>
      <c r="N163" s="170"/>
      <c r="O163" s="171"/>
      <c r="P163" s="166"/>
      <c r="S163" s="170"/>
    </row>
    <row r="164" spans="1:19" s="167" customFormat="1" ht="26.4">
      <c r="A164" s="368"/>
      <c r="B164" s="369"/>
      <c r="C164" s="172" t="s">
        <v>366</v>
      </c>
      <c r="D164" s="328" t="s">
        <v>43</v>
      </c>
      <c r="E164" s="174" t="s">
        <v>351</v>
      </c>
      <c r="F164" s="180">
        <f>IF(D161=0,0,(1-(VLOOKUP(D164,$D$428:$E$441,2,FALSE))))</f>
        <v>1</v>
      </c>
      <c r="G164" s="195"/>
      <c r="H164" s="169"/>
      <c r="J164" s="166"/>
      <c r="K164" s="166"/>
      <c r="L164" s="166"/>
      <c r="M164" s="170"/>
      <c r="N164" s="170"/>
      <c r="O164" s="171"/>
      <c r="P164" s="166"/>
      <c r="S164" s="170"/>
    </row>
    <row r="165" spans="1:19" s="154" customFormat="1" ht="123" hidden="1" customHeight="1">
      <c r="A165" s="362" t="str">
        <f>A160</f>
        <v>Weert (nascheiding)</v>
      </c>
      <c r="B165" s="363"/>
      <c r="C165" s="161" t="s">
        <v>441</v>
      </c>
      <c r="D165" s="162" t="s">
        <v>38</v>
      </c>
      <c r="E165" s="163"/>
      <c r="F165" s="163"/>
      <c r="G165" s="164"/>
    </row>
    <row r="166" spans="1:19" s="167" customFormat="1" ht="27" hidden="1" thickBot="1">
      <c r="A166" s="364" t="s">
        <v>314</v>
      </c>
      <c r="B166" s="365"/>
      <c r="C166" s="172" t="str">
        <f>C161</f>
        <v>A) Welk percentage van het HRA gaat er vanaf de ontvangstlocatie voor Weert naar deze verwerkingslocatie?</v>
      </c>
      <c r="D166" s="194"/>
      <c r="E166" s="166"/>
      <c r="G166" s="168"/>
      <c r="H166" s="169"/>
      <c r="J166" s="166"/>
      <c r="K166" s="166"/>
      <c r="L166" s="166"/>
      <c r="M166" s="170"/>
      <c r="N166" s="170"/>
      <c r="O166" s="171"/>
      <c r="P166" s="166"/>
      <c r="S166" s="170"/>
    </row>
    <row r="167" spans="1:19" s="167" customFormat="1" ht="27" hidden="1" thickBot="1">
      <c r="A167" s="366"/>
      <c r="B167" s="367"/>
      <c r="C167" s="172" t="s">
        <v>368</v>
      </c>
      <c r="D167" s="183"/>
      <c r="E167" s="174" t="s">
        <v>76</v>
      </c>
      <c r="F167" s="175">
        <f>D167*((12000)*D166)</f>
        <v>0</v>
      </c>
      <c r="G167" s="176" t="s">
        <v>352</v>
      </c>
      <c r="H167" s="177">
        <f>((F168-(F168*F169))*F167)/1000000</f>
        <v>0</v>
      </c>
      <c r="J167" s="166"/>
      <c r="K167" s="166"/>
      <c r="L167" s="166"/>
      <c r="M167" s="170"/>
      <c r="N167" s="170"/>
      <c r="O167" s="171"/>
      <c r="P167" s="166"/>
      <c r="S167" s="170"/>
    </row>
    <row r="168" spans="1:19" s="167" customFormat="1" ht="26.4" hidden="1">
      <c r="A168" s="366"/>
      <c r="B168" s="367"/>
      <c r="C168" s="172" t="s">
        <v>365</v>
      </c>
      <c r="D168" s="183" t="s">
        <v>43</v>
      </c>
      <c r="E168" s="174" t="s">
        <v>350</v>
      </c>
      <c r="F168" s="166">
        <f>VLOOKUP(D168,$D$417:$E$425,2,FALSE)</f>
        <v>0</v>
      </c>
      <c r="G168" s="184"/>
      <c r="H168" s="179">
        <f>H167*$G$297</f>
        <v>0</v>
      </c>
      <c r="J168" s="166"/>
      <c r="K168" s="166"/>
      <c r="L168" s="166"/>
      <c r="M168" s="170"/>
      <c r="N168" s="170"/>
      <c r="O168" s="171"/>
      <c r="P168" s="166"/>
      <c r="S168" s="170"/>
    </row>
    <row r="169" spans="1:19" s="167" customFormat="1" ht="26.4" hidden="1">
      <c r="A169" s="368"/>
      <c r="B169" s="369"/>
      <c r="C169" s="172" t="s">
        <v>366</v>
      </c>
      <c r="D169" s="183" t="s">
        <v>43</v>
      </c>
      <c r="E169" s="185" t="s">
        <v>351</v>
      </c>
      <c r="F169" s="186">
        <f>IF(D166=0,0,(1-(VLOOKUP(D169,$D$428:$E$441,2,FALSE))))</f>
        <v>0</v>
      </c>
      <c r="G169" s="187"/>
      <c r="H169" s="169"/>
      <c r="J169" s="166"/>
      <c r="K169" s="166"/>
      <c r="L169" s="166"/>
      <c r="M169" s="170"/>
      <c r="N169" s="170"/>
      <c r="O169" s="171"/>
      <c r="P169" s="166"/>
      <c r="S169" s="170"/>
    </row>
    <row r="170" spans="1:19" s="154" customFormat="1">
      <c r="A170" s="188"/>
      <c r="B170" s="190"/>
      <c r="C170" s="196"/>
      <c r="D170" s="193"/>
      <c r="E170" s="192"/>
      <c r="F170" s="192"/>
      <c r="G170" s="197"/>
    </row>
    <row r="171" spans="1:19" s="154" customFormat="1" ht="66">
      <c r="A171" s="362" t="s">
        <v>317</v>
      </c>
      <c r="B171" s="363"/>
      <c r="C171" s="161" t="s">
        <v>404</v>
      </c>
      <c r="D171" s="326" t="s">
        <v>405</v>
      </c>
      <c r="E171" s="163"/>
      <c r="F171" s="163"/>
      <c r="G171" s="164"/>
      <c r="I171" s="202"/>
    </row>
    <row r="172" spans="1:19" s="167" customFormat="1" ht="27" thickBot="1">
      <c r="A172" s="364" t="s">
        <v>315</v>
      </c>
      <c r="B172" s="365"/>
      <c r="C172" s="165" t="s">
        <v>429</v>
      </c>
      <c r="D172" s="327">
        <v>1</v>
      </c>
      <c r="E172" s="166"/>
      <c r="G172" s="168"/>
      <c r="H172" s="169"/>
      <c r="J172" s="166"/>
      <c r="K172" s="166"/>
      <c r="L172" s="166"/>
      <c r="M172" s="170"/>
      <c r="N172" s="170"/>
      <c r="O172" s="171"/>
      <c r="P172" s="166"/>
      <c r="S172" s="170"/>
    </row>
    <row r="173" spans="1:19" s="167" customFormat="1" ht="27" thickBot="1">
      <c r="A173" s="366"/>
      <c r="B173" s="367"/>
      <c r="C173" s="172" t="s">
        <v>364</v>
      </c>
      <c r="D173" s="328"/>
      <c r="E173" s="174" t="s">
        <v>76</v>
      </c>
      <c r="F173" s="175">
        <f>D173*((4200)*D172)</f>
        <v>0</v>
      </c>
      <c r="G173" s="176" t="s">
        <v>349</v>
      </c>
      <c r="H173" s="177">
        <f>((F174-(F174*F175))*F173)/1000000</f>
        <v>0</v>
      </c>
      <c r="J173" s="166"/>
      <c r="K173" s="166"/>
      <c r="L173" s="166"/>
      <c r="M173" s="170"/>
      <c r="N173" s="170"/>
      <c r="O173" s="171"/>
      <c r="P173" s="166"/>
      <c r="S173" s="170"/>
    </row>
    <row r="174" spans="1:19" s="167" customFormat="1" ht="26.4">
      <c r="A174" s="366"/>
      <c r="B174" s="367"/>
      <c r="C174" s="172" t="s">
        <v>365</v>
      </c>
      <c r="D174" s="328" t="s">
        <v>43</v>
      </c>
      <c r="E174" s="174" t="s">
        <v>350</v>
      </c>
      <c r="F174" s="166">
        <f>VLOOKUP(D174,$D$417:$E$425,2,FALSE)</f>
        <v>0</v>
      </c>
      <c r="G174" s="178"/>
      <c r="H174" s="179">
        <f>H173*$G$297</f>
        <v>0</v>
      </c>
      <c r="J174" s="166"/>
      <c r="K174" s="166"/>
      <c r="L174" s="166"/>
      <c r="M174" s="170"/>
      <c r="N174" s="170"/>
      <c r="O174" s="171"/>
      <c r="P174" s="166"/>
      <c r="S174" s="170"/>
    </row>
    <row r="175" spans="1:19" s="167" customFormat="1" ht="26.4">
      <c r="A175" s="368"/>
      <c r="B175" s="369"/>
      <c r="C175" s="172" t="s">
        <v>366</v>
      </c>
      <c r="D175" s="328" t="s">
        <v>43</v>
      </c>
      <c r="E175" s="174" t="s">
        <v>351</v>
      </c>
      <c r="F175" s="180">
        <f>IF(D172=0,0,(1-(VLOOKUP(D175,$D$428:$E$441,2,FALSE))))</f>
        <v>1</v>
      </c>
      <c r="G175" s="195"/>
      <c r="H175" s="169"/>
      <c r="J175" s="166"/>
      <c r="K175" s="166"/>
      <c r="L175" s="166"/>
      <c r="M175" s="170"/>
      <c r="N175" s="170"/>
      <c r="O175" s="171"/>
      <c r="P175" s="166"/>
      <c r="S175" s="170"/>
    </row>
    <row r="176" spans="1:19" s="154" customFormat="1" ht="66">
      <c r="A176" s="362" t="str">
        <f>A171</f>
        <v>Leudal (RD Maasland)</v>
      </c>
      <c r="B176" s="363"/>
      <c r="C176" s="161" t="s">
        <v>404</v>
      </c>
      <c r="D176" s="326" t="s">
        <v>405</v>
      </c>
      <c r="E176" s="163"/>
      <c r="F176" s="163"/>
      <c r="G176" s="164"/>
    </row>
    <row r="177" spans="1:19" s="167" customFormat="1" ht="27" thickBot="1">
      <c r="A177" s="364" t="s">
        <v>316</v>
      </c>
      <c r="B177" s="365"/>
      <c r="C177" s="172" t="str">
        <f>C172</f>
        <v>A) Welk percentage van het HRA gaat er vanaf de ontvangstlocatie voor Leudal naar deze verwerkingslocatie?</v>
      </c>
      <c r="D177" s="182">
        <f>1-D172</f>
        <v>0</v>
      </c>
      <c r="E177" s="166"/>
      <c r="G177" s="168"/>
      <c r="H177" s="169"/>
      <c r="J177" s="166"/>
      <c r="K177" s="166"/>
      <c r="L177" s="166"/>
      <c r="M177" s="170"/>
      <c r="N177" s="170"/>
      <c r="O177" s="171"/>
      <c r="P177" s="166"/>
      <c r="S177" s="170"/>
    </row>
    <row r="178" spans="1:19" s="167" customFormat="1" ht="27" thickBot="1">
      <c r="A178" s="366"/>
      <c r="B178" s="367"/>
      <c r="C178" s="172" t="s">
        <v>368</v>
      </c>
      <c r="D178" s="328"/>
      <c r="E178" s="174" t="s">
        <v>76</v>
      </c>
      <c r="F178" s="175">
        <f>D178*((4200)*D177)</f>
        <v>0</v>
      </c>
      <c r="G178" s="176" t="s">
        <v>352</v>
      </c>
      <c r="H178" s="177">
        <f>((F179-(F179*F180))*F178)/1000000</f>
        <v>0</v>
      </c>
      <c r="J178" s="166"/>
      <c r="K178" s="166"/>
      <c r="L178" s="166"/>
      <c r="M178" s="170"/>
      <c r="N178" s="170"/>
      <c r="O178" s="171"/>
      <c r="P178" s="166"/>
      <c r="S178" s="170"/>
    </row>
    <row r="179" spans="1:19" s="167" customFormat="1" ht="26.4">
      <c r="A179" s="366"/>
      <c r="B179" s="367"/>
      <c r="C179" s="172" t="s">
        <v>365</v>
      </c>
      <c r="D179" s="328" t="s">
        <v>43</v>
      </c>
      <c r="E179" s="174" t="s">
        <v>350</v>
      </c>
      <c r="F179" s="166">
        <f>VLOOKUP(D179,$D$417:$E$425,2,FALSE)</f>
        <v>0</v>
      </c>
      <c r="G179" s="184"/>
      <c r="H179" s="179">
        <f>H178*$G$297</f>
        <v>0</v>
      </c>
      <c r="J179" s="166"/>
      <c r="K179" s="166"/>
      <c r="L179" s="166"/>
      <c r="M179" s="170"/>
      <c r="N179" s="170"/>
      <c r="O179" s="171"/>
      <c r="P179" s="166"/>
      <c r="S179" s="170"/>
    </row>
    <row r="180" spans="1:19" s="167" customFormat="1" ht="26.4">
      <c r="A180" s="368"/>
      <c r="B180" s="369"/>
      <c r="C180" s="172" t="s">
        <v>366</v>
      </c>
      <c r="D180" s="328" t="s">
        <v>43</v>
      </c>
      <c r="E180" s="185" t="s">
        <v>351</v>
      </c>
      <c r="F180" s="186">
        <f>IF(D177=0,0,(1-(VLOOKUP(D180,$D$428:$E$441,2,FALSE))))</f>
        <v>0</v>
      </c>
      <c r="G180" s="187"/>
      <c r="H180" s="169"/>
      <c r="J180" s="166"/>
      <c r="K180" s="166"/>
      <c r="L180" s="166"/>
      <c r="M180" s="170"/>
      <c r="N180" s="170"/>
      <c r="O180" s="171"/>
      <c r="P180" s="166"/>
      <c r="S180" s="170"/>
    </row>
    <row r="181" spans="1:19" s="154" customFormat="1">
      <c r="A181" s="188"/>
      <c r="B181" s="190"/>
      <c r="C181" s="196"/>
      <c r="D181" s="193"/>
      <c r="E181" s="192"/>
      <c r="F181" s="192"/>
      <c r="G181" s="197"/>
    </row>
    <row r="182" spans="1:19" s="154" customFormat="1" ht="66">
      <c r="A182" s="360" t="s">
        <v>318</v>
      </c>
      <c r="B182" s="361"/>
      <c r="C182" s="161" t="s">
        <v>404</v>
      </c>
      <c r="D182" s="326" t="s">
        <v>405</v>
      </c>
      <c r="E182" s="163"/>
      <c r="F182" s="163"/>
      <c r="G182" s="164"/>
    </row>
    <row r="183" spans="1:19" s="167" customFormat="1" ht="27" thickBot="1">
      <c r="A183" s="364" t="s">
        <v>319</v>
      </c>
      <c r="B183" s="365"/>
      <c r="C183" s="165" t="s">
        <v>420</v>
      </c>
      <c r="D183" s="327">
        <v>1</v>
      </c>
      <c r="E183" s="166"/>
      <c r="G183" s="168"/>
      <c r="H183" s="169"/>
      <c r="J183" s="166"/>
      <c r="K183" s="166"/>
      <c r="L183" s="166"/>
      <c r="M183" s="170"/>
      <c r="N183" s="170"/>
      <c r="O183" s="171"/>
      <c r="P183" s="166"/>
      <c r="S183" s="170"/>
    </row>
    <row r="184" spans="1:19" s="167" customFormat="1" ht="27" thickBot="1">
      <c r="A184" s="366"/>
      <c r="B184" s="367"/>
      <c r="C184" s="172" t="s">
        <v>364</v>
      </c>
      <c r="D184" s="328"/>
      <c r="E184" s="174" t="s">
        <v>76</v>
      </c>
      <c r="F184" s="175">
        <f>D184*((3200)*D183)</f>
        <v>0</v>
      </c>
      <c r="G184" s="176" t="s">
        <v>349</v>
      </c>
      <c r="H184" s="177">
        <f>((F185-(F185*F186))*F184)/1000000</f>
        <v>0</v>
      </c>
      <c r="J184" s="166"/>
      <c r="K184" s="166"/>
      <c r="L184" s="166"/>
      <c r="M184" s="170"/>
      <c r="N184" s="170"/>
      <c r="O184" s="171"/>
      <c r="P184" s="166"/>
      <c r="S184" s="170"/>
    </row>
    <row r="185" spans="1:19" s="167" customFormat="1" ht="26.4">
      <c r="A185" s="366"/>
      <c r="B185" s="367"/>
      <c r="C185" s="172" t="s">
        <v>365</v>
      </c>
      <c r="D185" s="328" t="s">
        <v>43</v>
      </c>
      <c r="E185" s="174" t="s">
        <v>350</v>
      </c>
      <c r="F185" s="166">
        <f>VLOOKUP(D185,$D$417:$E$425,2,FALSE)</f>
        <v>0</v>
      </c>
      <c r="G185" s="178"/>
      <c r="H185" s="179">
        <f>H184*$G$297</f>
        <v>0</v>
      </c>
      <c r="J185" s="166"/>
      <c r="K185" s="166"/>
      <c r="L185" s="166"/>
      <c r="M185" s="170"/>
      <c r="N185" s="170"/>
      <c r="O185" s="171"/>
      <c r="P185" s="166"/>
      <c r="S185" s="170"/>
    </row>
    <row r="186" spans="1:19" s="167" customFormat="1" ht="26.4">
      <c r="A186" s="368"/>
      <c r="B186" s="369"/>
      <c r="C186" s="172" t="s">
        <v>366</v>
      </c>
      <c r="D186" s="328" t="s">
        <v>43</v>
      </c>
      <c r="E186" s="174" t="s">
        <v>351</v>
      </c>
      <c r="F186" s="180">
        <f>IF(D183=0,0,(1-(VLOOKUP(D186,$D$428:$E$441,2,FALSE))))</f>
        <v>1</v>
      </c>
      <c r="G186" s="195"/>
      <c r="H186" s="169"/>
      <c r="J186" s="166"/>
      <c r="K186" s="166"/>
      <c r="L186" s="166"/>
      <c r="M186" s="170"/>
      <c r="N186" s="170"/>
      <c r="O186" s="171"/>
      <c r="P186" s="166"/>
      <c r="S186" s="170"/>
    </row>
    <row r="187" spans="1:19" s="154" customFormat="1" ht="66">
      <c r="A187" s="362" t="str">
        <f>A182</f>
        <v>Maasgouw (RD Maasland)</v>
      </c>
      <c r="B187" s="363"/>
      <c r="C187" s="161" t="s">
        <v>404</v>
      </c>
      <c r="D187" s="326" t="s">
        <v>405</v>
      </c>
      <c r="E187" s="163"/>
      <c r="F187" s="163"/>
      <c r="G187" s="164"/>
    </row>
    <row r="188" spans="1:19" s="167" customFormat="1" ht="27" thickBot="1">
      <c r="A188" s="364" t="s">
        <v>320</v>
      </c>
      <c r="B188" s="365"/>
      <c r="C188" s="172" t="str">
        <f>C183</f>
        <v>A) Welk percentage van het HRA gaat er vanaf de ontvangstlocatie voor Maasgouw naar deze verwerkingslocatie?</v>
      </c>
      <c r="D188" s="182">
        <f>1-D183</f>
        <v>0</v>
      </c>
      <c r="E188" s="166"/>
      <c r="G188" s="168"/>
      <c r="H188" s="169"/>
      <c r="J188" s="166"/>
      <c r="K188" s="166"/>
      <c r="L188" s="166"/>
      <c r="M188" s="170"/>
      <c r="N188" s="170"/>
      <c r="O188" s="171"/>
      <c r="P188" s="166"/>
      <c r="S188" s="170"/>
    </row>
    <row r="189" spans="1:19" s="167" customFormat="1" ht="27" thickBot="1">
      <c r="A189" s="366"/>
      <c r="B189" s="367"/>
      <c r="C189" s="172" t="s">
        <v>368</v>
      </c>
      <c r="D189" s="328"/>
      <c r="E189" s="174" t="s">
        <v>76</v>
      </c>
      <c r="F189" s="175">
        <f>D189*((3200)*D188)</f>
        <v>0</v>
      </c>
      <c r="G189" s="176" t="s">
        <v>352</v>
      </c>
      <c r="H189" s="177">
        <f>((F190-(F190*F191))*F189)/1000000</f>
        <v>0</v>
      </c>
      <c r="J189" s="166"/>
      <c r="K189" s="166"/>
      <c r="L189" s="166"/>
      <c r="M189" s="170"/>
      <c r="N189" s="170"/>
      <c r="O189" s="171"/>
      <c r="P189" s="166"/>
      <c r="S189" s="170"/>
    </row>
    <row r="190" spans="1:19" s="167" customFormat="1" ht="26.4">
      <c r="A190" s="366"/>
      <c r="B190" s="367"/>
      <c r="C190" s="172" t="s">
        <v>365</v>
      </c>
      <c r="D190" s="328" t="s">
        <v>43</v>
      </c>
      <c r="E190" s="174" t="s">
        <v>350</v>
      </c>
      <c r="F190" s="166">
        <f>VLOOKUP(D190,$D$417:$E$425,2,FALSE)</f>
        <v>0</v>
      </c>
      <c r="G190" s="184"/>
      <c r="H190" s="179">
        <f>H189*$G$297</f>
        <v>0</v>
      </c>
      <c r="J190" s="166"/>
      <c r="K190" s="166"/>
      <c r="L190" s="166"/>
      <c r="M190" s="170"/>
      <c r="N190" s="170"/>
      <c r="O190" s="171"/>
      <c r="P190" s="166"/>
      <c r="S190" s="170"/>
    </row>
    <row r="191" spans="1:19" s="167" customFormat="1" ht="26.4">
      <c r="A191" s="368"/>
      <c r="B191" s="369"/>
      <c r="C191" s="203" t="s">
        <v>366</v>
      </c>
      <c r="D191" s="330" t="s">
        <v>43</v>
      </c>
      <c r="E191" s="185" t="s">
        <v>351</v>
      </c>
      <c r="F191" s="186">
        <f>IF(D188=0,0,(1-(VLOOKUP(D191,$D$428:$E$441,2,FALSE))))</f>
        <v>0</v>
      </c>
      <c r="G191" s="187"/>
      <c r="H191" s="169"/>
      <c r="J191" s="166"/>
      <c r="K191" s="166"/>
      <c r="L191" s="166"/>
      <c r="M191" s="170"/>
      <c r="N191" s="170"/>
      <c r="O191" s="171"/>
      <c r="P191" s="166"/>
      <c r="S191" s="170"/>
    </row>
    <row r="192" spans="1:19" s="154" customFormat="1">
      <c r="A192" s="188"/>
      <c r="B192" s="190"/>
      <c r="C192" s="196"/>
      <c r="D192" s="193"/>
      <c r="E192" s="192"/>
      <c r="F192" s="192"/>
      <c r="G192" s="197"/>
    </row>
    <row r="193" spans="1:19" s="154" customFormat="1" ht="66">
      <c r="A193" s="360" t="s">
        <v>321</v>
      </c>
      <c r="B193" s="361"/>
      <c r="C193" s="161" t="s">
        <v>404</v>
      </c>
      <c r="D193" s="326" t="s">
        <v>405</v>
      </c>
      <c r="E193" s="163"/>
      <c r="F193" s="163"/>
      <c r="G193" s="164"/>
    </row>
    <row r="194" spans="1:19" s="167" customFormat="1" ht="27" thickBot="1">
      <c r="A194" s="364" t="s">
        <v>322</v>
      </c>
      <c r="B194" s="365"/>
      <c r="C194" s="165" t="s">
        <v>421</v>
      </c>
      <c r="D194" s="327">
        <v>1</v>
      </c>
      <c r="E194" s="166"/>
      <c r="G194" s="168"/>
      <c r="H194" s="169"/>
      <c r="J194" s="166"/>
      <c r="K194" s="166"/>
      <c r="L194" s="166"/>
      <c r="M194" s="170"/>
      <c r="N194" s="170"/>
      <c r="O194" s="171"/>
      <c r="P194" s="166"/>
      <c r="S194" s="170"/>
    </row>
    <row r="195" spans="1:19" s="167" customFormat="1" ht="27" thickBot="1">
      <c r="A195" s="366"/>
      <c r="B195" s="367"/>
      <c r="C195" s="172" t="s">
        <v>364</v>
      </c>
      <c r="D195" s="328"/>
      <c r="E195" s="174" t="s">
        <v>76</v>
      </c>
      <c r="F195" s="175">
        <f>D195*((2600)*D194)</f>
        <v>0</v>
      </c>
      <c r="G195" s="176" t="s">
        <v>349</v>
      </c>
      <c r="H195" s="177">
        <f>((F196-(F196*F197))*F195)/1000000</f>
        <v>0</v>
      </c>
      <c r="J195" s="166"/>
      <c r="K195" s="166"/>
      <c r="L195" s="166"/>
      <c r="M195" s="170"/>
      <c r="N195" s="170"/>
      <c r="O195" s="171"/>
      <c r="P195" s="166"/>
      <c r="S195" s="170"/>
    </row>
    <row r="196" spans="1:19" s="167" customFormat="1" ht="26.4">
      <c r="A196" s="366"/>
      <c r="B196" s="367"/>
      <c r="C196" s="172" t="s">
        <v>365</v>
      </c>
      <c r="D196" s="328" t="s">
        <v>43</v>
      </c>
      <c r="E196" s="174" t="s">
        <v>350</v>
      </c>
      <c r="F196" s="166">
        <f>VLOOKUP(D196,$D$417:$E$425,2,FALSE)</f>
        <v>0</v>
      </c>
      <c r="G196" s="178"/>
      <c r="H196" s="179">
        <f>H195*$G$297</f>
        <v>0</v>
      </c>
      <c r="J196" s="166"/>
      <c r="K196" s="166"/>
      <c r="L196" s="166"/>
      <c r="M196" s="170"/>
      <c r="N196" s="170"/>
      <c r="O196" s="171"/>
      <c r="P196" s="166"/>
      <c r="S196" s="170"/>
    </row>
    <row r="197" spans="1:19" s="167" customFormat="1" ht="26.4">
      <c r="A197" s="368"/>
      <c r="B197" s="369"/>
      <c r="C197" s="172" t="s">
        <v>366</v>
      </c>
      <c r="D197" s="328" t="s">
        <v>43</v>
      </c>
      <c r="E197" s="174" t="s">
        <v>351</v>
      </c>
      <c r="F197" s="180">
        <f>IF(D194=0,0,(1-(VLOOKUP(D197,$D$428:$E$441,2,FALSE))))</f>
        <v>1</v>
      </c>
      <c r="G197" s="195"/>
      <c r="H197" s="169"/>
      <c r="J197" s="166"/>
      <c r="K197" s="166"/>
      <c r="L197" s="166"/>
      <c r="M197" s="170"/>
      <c r="N197" s="170"/>
      <c r="O197" s="171"/>
      <c r="P197" s="166"/>
      <c r="S197" s="170"/>
    </row>
    <row r="198" spans="1:19" s="154" customFormat="1" ht="66">
      <c r="A198" s="362" t="str">
        <f>A193</f>
        <v>Roerdalen (RD Maasland)</v>
      </c>
      <c r="B198" s="363"/>
      <c r="C198" s="161" t="s">
        <v>404</v>
      </c>
      <c r="D198" s="326" t="s">
        <v>405</v>
      </c>
      <c r="E198" s="163"/>
      <c r="F198" s="163"/>
      <c r="G198" s="164"/>
    </row>
    <row r="199" spans="1:19" s="167" customFormat="1" ht="27" thickBot="1">
      <c r="A199" s="364" t="s">
        <v>323</v>
      </c>
      <c r="B199" s="365"/>
      <c r="C199" s="172" t="str">
        <f>C194</f>
        <v>A) Welk percentage van het HRA gaat er vanaf de ontvangstlocatie voor Roerdalen naar deze verwerkingslocatie?</v>
      </c>
      <c r="D199" s="182">
        <f>1-D194</f>
        <v>0</v>
      </c>
      <c r="E199" s="166"/>
      <c r="G199" s="168"/>
      <c r="H199" s="169"/>
      <c r="J199" s="166"/>
      <c r="K199" s="166"/>
      <c r="L199" s="166"/>
      <c r="M199" s="170"/>
      <c r="N199" s="170"/>
      <c r="O199" s="171"/>
      <c r="P199" s="166"/>
      <c r="S199" s="170"/>
    </row>
    <row r="200" spans="1:19" s="167" customFormat="1" ht="27" thickBot="1">
      <c r="A200" s="366"/>
      <c r="B200" s="367"/>
      <c r="C200" s="172" t="s">
        <v>368</v>
      </c>
      <c r="D200" s="328"/>
      <c r="E200" s="174" t="s">
        <v>76</v>
      </c>
      <c r="F200" s="175">
        <f>D200*((2600)*D199)</f>
        <v>0</v>
      </c>
      <c r="G200" s="176" t="s">
        <v>352</v>
      </c>
      <c r="H200" s="177">
        <f>((F201-(F201*F202))*F200)/1000000</f>
        <v>0</v>
      </c>
      <c r="J200" s="166"/>
      <c r="K200" s="166"/>
      <c r="L200" s="166"/>
      <c r="M200" s="170"/>
      <c r="N200" s="170"/>
      <c r="O200" s="171"/>
      <c r="P200" s="166"/>
      <c r="S200" s="170"/>
    </row>
    <row r="201" spans="1:19" s="167" customFormat="1" ht="26.4">
      <c r="A201" s="366"/>
      <c r="B201" s="367"/>
      <c r="C201" s="172" t="s">
        <v>365</v>
      </c>
      <c r="D201" s="328" t="s">
        <v>43</v>
      </c>
      <c r="E201" s="174" t="s">
        <v>350</v>
      </c>
      <c r="F201" s="166">
        <f>VLOOKUP(D201,$D$417:$E$425,2,FALSE)</f>
        <v>0</v>
      </c>
      <c r="G201" s="184"/>
      <c r="H201" s="179">
        <f>H200*$G$297</f>
        <v>0</v>
      </c>
      <c r="J201" s="166"/>
      <c r="K201" s="166"/>
      <c r="L201" s="166"/>
      <c r="M201" s="170"/>
      <c r="N201" s="170"/>
      <c r="O201" s="171"/>
      <c r="P201" s="166"/>
      <c r="S201" s="170"/>
    </row>
    <row r="202" spans="1:19" s="167" customFormat="1" ht="26.4">
      <c r="A202" s="368"/>
      <c r="B202" s="369"/>
      <c r="C202" s="172" t="s">
        <v>366</v>
      </c>
      <c r="D202" s="328" t="s">
        <v>43</v>
      </c>
      <c r="E202" s="185" t="s">
        <v>351</v>
      </c>
      <c r="F202" s="186">
        <f>IF(D199=0,0,(1-(VLOOKUP(D202,$D$428:$E$441,2,FALSE))))</f>
        <v>0</v>
      </c>
      <c r="G202" s="187"/>
      <c r="H202" s="169"/>
      <c r="J202" s="166"/>
      <c r="K202" s="166"/>
      <c r="L202" s="166"/>
      <c r="M202" s="170"/>
      <c r="N202" s="170"/>
      <c r="O202" s="171"/>
      <c r="P202" s="166"/>
      <c r="S202" s="170"/>
    </row>
    <row r="203" spans="1:19" s="154" customFormat="1">
      <c r="A203" s="188"/>
      <c r="B203" s="190"/>
      <c r="C203" s="196"/>
      <c r="D203" s="193"/>
      <c r="E203" s="192"/>
      <c r="F203" s="192"/>
      <c r="G203" s="197"/>
    </row>
    <row r="204" spans="1:19" s="154" customFormat="1" ht="66">
      <c r="A204" s="360" t="s">
        <v>324</v>
      </c>
      <c r="B204" s="361"/>
      <c r="C204" s="161" t="s">
        <v>404</v>
      </c>
      <c r="D204" s="326" t="s">
        <v>405</v>
      </c>
      <c r="E204" s="163"/>
      <c r="F204" s="163"/>
      <c r="G204" s="164"/>
      <c r="I204" s="202"/>
    </row>
    <row r="205" spans="1:19" s="167" customFormat="1" ht="44.4" customHeight="1" thickBot="1">
      <c r="A205" s="364" t="s">
        <v>325</v>
      </c>
      <c r="B205" s="365"/>
      <c r="C205" s="165" t="s">
        <v>422</v>
      </c>
      <c r="D205" s="327">
        <v>1</v>
      </c>
      <c r="E205" s="166"/>
      <c r="G205" s="168"/>
      <c r="H205" s="169"/>
      <c r="J205" s="166"/>
      <c r="K205" s="166"/>
      <c r="L205" s="166"/>
      <c r="M205" s="170"/>
      <c r="N205" s="170"/>
      <c r="O205" s="171"/>
      <c r="P205" s="166"/>
      <c r="S205" s="170"/>
    </row>
    <row r="206" spans="1:19" s="167" customFormat="1" ht="27" thickBot="1">
      <c r="A206" s="366"/>
      <c r="B206" s="367"/>
      <c r="C206" s="172" t="s">
        <v>364</v>
      </c>
      <c r="D206" s="328"/>
      <c r="E206" s="174" t="s">
        <v>76</v>
      </c>
      <c r="F206" s="175">
        <f>D206*((2932)*D205)</f>
        <v>0</v>
      </c>
      <c r="G206" s="176" t="s">
        <v>349</v>
      </c>
      <c r="H206" s="177">
        <f>((F207-(F207*F208))*F206)/1000000</f>
        <v>0</v>
      </c>
      <c r="J206" s="166"/>
      <c r="K206" s="166"/>
      <c r="L206" s="166"/>
      <c r="M206" s="170"/>
      <c r="N206" s="170"/>
      <c r="O206" s="171"/>
      <c r="P206" s="166"/>
      <c r="S206" s="170"/>
    </row>
    <row r="207" spans="1:19" s="167" customFormat="1" ht="26.4">
      <c r="A207" s="366"/>
      <c r="B207" s="367"/>
      <c r="C207" s="172" t="s">
        <v>365</v>
      </c>
      <c r="D207" s="328" t="s">
        <v>43</v>
      </c>
      <c r="E207" s="174" t="s">
        <v>350</v>
      </c>
      <c r="F207" s="166">
        <f>VLOOKUP(D207,$D$417:$E$425,2,FALSE)</f>
        <v>0</v>
      </c>
      <c r="G207" s="178"/>
      <c r="H207" s="179">
        <f>H206*$G$297</f>
        <v>0</v>
      </c>
      <c r="J207" s="166"/>
      <c r="K207" s="166"/>
      <c r="L207" s="166"/>
      <c r="M207" s="170"/>
      <c r="N207" s="170"/>
      <c r="O207" s="171"/>
      <c r="P207" s="166"/>
      <c r="S207" s="170"/>
    </row>
    <row r="208" spans="1:19" s="167" customFormat="1" ht="26.4">
      <c r="A208" s="368"/>
      <c r="B208" s="369"/>
      <c r="C208" s="172" t="s">
        <v>366</v>
      </c>
      <c r="D208" s="328" t="s">
        <v>43</v>
      </c>
      <c r="E208" s="174" t="s">
        <v>351</v>
      </c>
      <c r="F208" s="180">
        <f>IF(D205=0,0,(1-(VLOOKUP(D208,$D$428:$E$441,2,FALSE))))</f>
        <v>1</v>
      </c>
      <c r="G208" s="195"/>
      <c r="H208" s="169"/>
      <c r="J208" s="166"/>
      <c r="K208" s="166"/>
      <c r="L208" s="166"/>
      <c r="M208" s="170"/>
      <c r="N208" s="170"/>
      <c r="O208" s="171"/>
      <c r="P208" s="166"/>
      <c r="S208" s="170"/>
    </row>
    <row r="209" spans="1:19" s="154" customFormat="1" ht="123" customHeight="1">
      <c r="A209" s="362" t="str">
        <f>A204</f>
        <v>Echt-Susteren (RWM)</v>
      </c>
      <c r="B209" s="363"/>
      <c r="C209" s="161" t="s">
        <v>441</v>
      </c>
      <c r="D209" s="326" t="s">
        <v>38</v>
      </c>
      <c r="E209" s="163"/>
      <c r="F209" s="163"/>
      <c r="G209" s="164"/>
    </row>
    <row r="210" spans="1:19" s="167" customFormat="1" ht="27" thickBot="1">
      <c r="A210" s="364" t="s">
        <v>329</v>
      </c>
      <c r="B210" s="365"/>
      <c r="C210" s="172" t="str">
        <f>C205</f>
        <v>A) Welk percentage van het HRA gaat er vanaf de ontvangstlocatie voor Echt Susteren naar deze verwerkingslocatie?</v>
      </c>
      <c r="D210" s="182">
        <f>1-D205</f>
        <v>0</v>
      </c>
      <c r="E210" s="166"/>
      <c r="G210" s="168"/>
      <c r="H210" s="169"/>
      <c r="J210" s="166"/>
      <c r="K210" s="166"/>
      <c r="L210" s="166"/>
      <c r="M210" s="170"/>
      <c r="N210" s="170"/>
      <c r="O210" s="171"/>
      <c r="P210" s="166"/>
      <c r="S210" s="170"/>
    </row>
    <row r="211" spans="1:19" s="167" customFormat="1" ht="27" thickBot="1">
      <c r="A211" s="366"/>
      <c r="B211" s="367"/>
      <c r="C211" s="172" t="s">
        <v>368</v>
      </c>
      <c r="D211" s="328"/>
      <c r="E211" s="174" t="s">
        <v>76</v>
      </c>
      <c r="F211" s="175">
        <f>D211*((2932)*D210)</f>
        <v>0</v>
      </c>
      <c r="G211" s="176" t="s">
        <v>352</v>
      </c>
      <c r="H211" s="177">
        <f>((F212-(F212*F213))*F211)/1000000</f>
        <v>0</v>
      </c>
      <c r="J211" s="166"/>
      <c r="K211" s="166"/>
      <c r="L211" s="166"/>
      <c r="M211" s="170"/>
      <c r="N211" s="170"/>
      <c r="O211" s="171"/>
      <c r="P211" s="166"/>
      <c r="S211" s="170"/>
    </row>
    <row r="212" spans="1:19" s="167" customFormat="1" ht="26.4">
      <c r="A212" s="366"/>
      <c r="B212" s="367"/>
      <c r="C212" s="172" t="s">
        <v>365</v>
      </c>
      <c r="D212" s="328" t="s">
        <v>43</v>
      </c>
      <c r="E212" s="174" t="s">
        <v>350</v>
      </c>
      <c r="F212" s="166">
        <f>VLOOKUP(D212,$D$417:$E$425,2,FALSE)</f>
        <v>0</v>
      </c>
      <c r="G212" s="184"/>
      <c r="H212" s="179">
        <f>H211*$G$297</f>
        <v>0</v>
      </c>
      <c r="J212" s="166"/>
      <c r="K212" s="166"/>
      <c r="L212" s="166"/>
      <c r="M212" s="170"/>
      <c r="N212" s="170"/>
      <c r="O212" s="171"/>
      <c r="P212" s="166"/>
      <c r="S212" s="170"/>
    </row>
    <row r="213" spans="1:19" s="167" customFormat="1" ht="26.4">
      <c r="A213" s="368"/>
      <c r="B213" s="369"/>
      <c r="C213" s="172" t="s">
        <v>366</v>
      </c>
      <c r="D213" s="328" t="s">
        <v>43</v>
      </c>
      <c r="E213" s="185" t="s">
        <v>351</v>
      </c>
      <c r="F213" s="186">
        <f>IF(D210=0,0,(1-(VLOOKUP(D213,$D$428:$E$441,2,FALSE))))</f>
        <v>0</v>
      </c>
      <c r="G213" s="187"/>
      <c r="H213" s="169"/>
      <c r="J213" s="166"/>
      <c r="K213" s="166"/>
      <c r="L213" s="166"/>
      <c r="M213" s="170"/>
      <c r="N213" s="170"/>
      <c r="O213" s="171"/>
      <c r="P213" s="166"/>
      <c r="S213" s="170"/>
    </row>
    <row r="214" spans="1:19" s="154" customFormat="1">
      <c r="A214" s="188"/>
      <c r="B214" s="190"/>
      <c r="C214" s="196"/>
      <c r="D214" s="193"/>
      <c r="E214" s="192"/>
      <c r="F214" s="192"/>
      <c r="G214" s="197"/>
    </row>
    <row r="215" spans="1:19" s="154" customFormat="1" ht="66">
      <c r="A215" s="360" t="s">
        <v>326</v>
      </c>
      <c r="B215" s="361"/>
      <c r="C215" s="161" t="s">
        <v>404</v>
      </c>
      <c r="D215" s="326" t="s">
        <v>405</v>
      </c>
      <c r="E215" s="163"/>
      <c r="F215" s="163"/>
      <c r="G215" s="164"/>
    </row>
    <row r="216" spans="1:19" s="167" customFormat="1" ht="27" thickBot="1">
      <c r="A216" s="364" t="s">
        <v>327</v>
      </c>
      <c r="B216" s="365"/>
      <c r="C216" s="165" t="s">
        <v>423</v>
      </c>
      <c r="D216" s="327">
        <v>1</v>
      </c>
      <c r="E216" s="166"/>
      <c r="G216" s="168"/>
      <c r="H216" s="169"/>
      <c r="J216" s="166"/>
      <c r="K216" s="166"/>
      <c r="L216" s="166"/>
      <c r="M216" s="170"/>
      <c r="N216" s="170"/>
      <c r="O216" s="171"/>
      <c r="P216" s="166"/>
      <c r="S216" s="170"/>
    </row>
    <row r="217" spans="1:19" s="167" customFormat="1" ht="27" thickBot="1">
      <c r="A217" s="366"/>
      <c r="B217" s="367"/>
      <c r="C217" s="172" t="s">
        <v>364</v>
      </c>
      <c r="D217" s="328"/>
      <c r="E217" s="174" t="s">
        <v>76</v>
      </c>
      <c r="F217" s="175">
        <f>D217*((2952)*D216)</f>
        <v>0</v>
      </c>
      <c r="G217" s="176" t="s">
        <v>349</v>
      </c>
      <c r="H217" s="177">
        <f>((F218-(F218*F219))*F217)/1000000</f>
        <v>0</v>
      </c>
      <c r="J217" s="166"/>
      <c r="K217" s="166"/>
      <c r="L217" s="166"/>
      <c r="M217" s="170"/>
      <c r="N217" s="170"/>
      <c r="O217" s="171"/>
      <c r="P217" s="166"/>
      <c r="S217" s="170"/>
    </row>
    <row r="218" spans="1:19" s="167" customFormat="1" ht="26.4">
      <c r="A218" s="366"/>
      <c r="B218" s="367"/>
      <c r="C218" s="172" t="s">
        <v>365</v>
      </c>
      <c r="D218" s="328" t="s">
        <v>43</v>
      </c>
      <c r="E218" s="174" t="s">
        <v>350</v>
      </c>
      <c r="F218" s="166">
        <f>VLOOKUP(D218,$D$417:$E$425,2,FALSE)</f>
        <v>0</v>
      </c>
      <c r="G218" s="178"/>
      <c r="H218" s="179">
        <f>H217*$G$297</f>
        <v>0</v>
      </c>
      <c r="J218" s="166"/>
      <c r="K218" s="166"/>
      <c r="L218" s="166"/>
      <c r="M218" s="170"/>
      <c r="N218" s="170"/>
      <c r="O218" s="171"/>
      <c r="P218" s="166"/>
      <c r="S218" s="170"/>
    </row>
    <row r="219" spans="1:19" s="167" customFormat="1" ht="26.4">
      <c r="A219" s="368"/>
      <c r="B219" s="369"/>
      <c r="C219" s="172" t="s">
        <v>366</v>
      </c>
      <c r="D219" s="328" t="s">
        <v>43</v>
      </c>
      <c r="E219" s="174" t="s">
        <v>351</v>
      </c>
      <c r="F219" s="180">
        <f>IF(D216=0,0,(1-(VLOOKUP(D219,$D$428:$E$441,2,FALSE))))</f>
        <v>1</v>
      </c>
      <c r="G219" s="195"/>
      <c r="H219" s="169"/>
      <c r="J219" s="166"/>
      <c r="K219" s="166"/>
      <c r="L219" s="166"/>
      <c r="M219" s="170"/>
      <c r="N219" s="170"/>
      <c r="O219" s="171"/>
      <c r="P219" s="166"/>
      <c r="S219" s="170"/>
    </row>
    <row r="220" spans="1:19" s="154" customFormat="1" ht="66">
      <c r="A220" s="362" t="str">
        <f>A215</f>
        <v>Stein (RWM)</v>
      </c>
      <c r="B220" s="363"/>
      <c r="C220" s="161" t="s">
        <v>404</v>
      </c>
      <c r="D220" s="326" t="s">
        <v>405</v>
      </c>
      <c r="E220" s="163"/>
      <c r="F220" s="163"/>
      <c r="G220" s="164"/>
    </row>
    <row r="221" spans="1:19" s="167" customFormat="1" ht="27" thickBot="1">
      <c r="A221" s="364" t="s">
        <v>328</v>
      </c>
      <c r="B221" s="365"/>
      <c r="C221" s="172" t="str">
        <f>C216</f>
        <v>A) Welk percentage van het HRA gaat er vanaf de ontvangstlocatie voor Stein naar deze verwerkingslocatie?</v>
      </c>
      <c r="D221" s="182">
        <f>1-D216</f>
        <v>0</v>
      </c>
      <c r="E221" s="166"/>
      <c r="G221" s="168"/>
      <c r="H221" s="169"/>
      <c r="J221" s="166"/>
      <c r="K221" s="166"/>
      <c r="L221" s="166"/>
      <c r="M221" s="170"/>
      <c r="N221" s="170"/>
      <c r="O221" s="171"/>
      <c r="P221" s="166"/>
      <c r="S221" s="170"/>
    </row>
    <row r="222" spans="1:19" s="167" customFormat="1" ht="27" thickBot="1">
      <c r="A222" s="366"/>
      <c r="B222" s="367"/>
      <c r="C222" s="172" t="s">
        <v>368</v>
      </c>
      <c r="D222" s="328"/>
      <c r="E222" s="174" t="s">
        <v>76</v>
      </c>
      <c r="F222" s="175">
        <f>D222*((2952)*D221)</f>
        <v>0</v>
      </c>
      <c r="G222" s="176" t="s">
        <v>352</v>
      </c>
      <c r="H222" s="177">
        <f>((F223-(F223*F224))*F222)/1000000</f>
        <v>0</v>
      </c>
      <c r="J222" s="166"/>
      <c r="K222" s="166"/>
      <c r="L222" s="166"/>
      <c r="M222" s="170"/>
      <c r="N222" s="170"/>
      <c r="O222" s="171"/>
      <c r="P222" s="166"/>
      <c r="S222" s="170"/>
    </row>
    <row r="223" spans="1:19" s="167" customFormat="1" ht="26.4">
      <c r="A223" s="366"/>
      <c r="B223" s="367"/>
      <c r="C223" s="172" t="s">
        <v>365</v>
      </c>
      <c r="D223" s="328" t="s">
        <v>43</v>
      </c>
      <c r="E223" s="174" t="s">
        <v>350</v>
      </c>
      <c r="F223" s="166">
        <f>VLOOKUP(D223,$D$417:$E$425,2,FALSE)</f>
        <v>0</v>
      </c>
      <c r="G223" s="184"/>
      <c r="H223" s="179">
        <f>H222*$G$297</f>
        <v>0</v>
      </c>
      <c r="J223" s="166"/>
      <c r="K223" s="166"/>
      <c r="L223" s="166"/>
      <c r="M223" s="170"/>
      <c r="N223" s="170"/>
      <c r="O223" s="171"/>
      <c r="P223" s="166"/>
      <c r="S223" s="170"/>
    </row>
    <row r="224" spans="1:19" s="167" customFormat="1" ht="26.4">
      <c r="A224" s="368"/>
      <c r="B224" s="369"/>
      <c r="C224" s="172" t="s">
        <v>366</v>
      </c>
      <c r="D224" s="328" t="s">
        <v>43</v>
      </c>
      <c r="E224" s="185" t="s">
        <v>351</v>
      </c>
      <c r="F224" s="186">
        <f>IF(D221=0,0,(1-(VLOOKUP(D224,$D$428:$E$441,2,FALSE))))</f>
        <v>0</v>
      </c>
      <c r="G224" s="187"/>
      <c r="H224" s="169"/>
      <c r="J224" s="166"/>
      <c r="K224" s="166"/>
      <c r="L224" s="166"/>
      <c r="M224" s="170"/>
      <c r="N224" s="170"/>
      <c r="O224" s="171"/>
      <c r="P224" s="166"/>
      <c r="S224" s="170"/>
    </row>
    <row r="225" spans="1:19" s="154" customFormat="1">
      <c r="A225" s="188"/>
      <c r="B225" s="190"/>
      <c r="C225" s="196"/>
      <c r="D225" s="193"/>
      <c r="E225" s="192"/>
      <c r="F225" s="192"/>
      <c r="G225" s="197"/>
    </row>
    <row r="226" spans="1:19" s="154" customFormat="1" ht="66">
      <c r="A226" s="360" t="s">
        <v>330</v>
      </c>
      <c r="B226" s="361"/>
      <c r="C226" s="161" t="s">
        <v>404</v>
      </c>
      <c r="D226" s="326" t="s">
        <v>405</v>
      </c>
      <c r="E226" s="163"/>
      <c r="F226" s="163"/>
      <c r="G226" s="164"/>
    </row>
    <row r="227" spans="1:19" s="167" customFormat="1" ht="27" thickBot="1">
      <c r="A227" s="364" t="s">
        <v>331</v>
      </c>
      <c r="B227" s="365"/>
      <c r="C227" s="165" t="s">
        <v>424</v>
      </c>
      <c r="D227" s="327">
        <v>1</v>
      </c>
      <c r="E227" s="166"/>
      <c r="G227" s="168"/>
      <c r="H227" s="169"/>
      <c r="J227" s="166"/>
      <c r="K227" s="166"/>
      <c r="L227" s="166"/>
      <c r="M227" s="170"/>
      <c r="N227" s="170"/>
      <c r="O227" s="171"/>
      <c r="P227" s="166"/>
      <c r="S227" s="170"/>
    </row>
    <row r="228" spans="1:19" s="167" customFormat="1" ht="27" thickBot="1">
      <c r="A228" s="366"/>
      <c r="B228" s="367"/>
      <c r="C228" s="172" t="s">
        <v>364</v>
      </c>
      <c r="D228" s="328">
        <v>0</v>
      </c>
      <c r="E228" s="174" t="s">
        <v>76</v>
      </c>
      <c r="F228" s="175">
        <f>D228*((1803)*D227)</f>
        <v>0</v>
      </c>
      <c r="G228" s="176" t="s">
        <v>349</v>
      </c>
      <c r="H228" s="177">
        <f>((F229-(F229*F230))*F228)/1000000</f>
        <v>0</v>
      </c>
      <c r="J228" s="166"/>
      <c r="K228" s="166"/>
      <c r="L228" s="166"/>
      <c r="M228" s="170"/>
      <c r="N228" s="170"/>
      <c r="O228" s="171"/>
      <c r="P228" s="166"/>
      <c r="S228" s="170"/>
    </row>
    <row r="229" spans="1:19" s="167" customFormat="1" ht="26.4">
      <c r="A229" s="366"/>
      <c r="B229" s="367"/>
      <c r="C229" s="172" t="s">
        <v>365</v>
      </c>
      <c r="D229" s="328" t="s">
        <v>43</v>
      </c>
      <c r="E229" s="174" t="s">
        <v>350</v>
      </c>
      <c r="F229" s="166">
        <f>VLOOKUP(D229,$D$417:$E$425,2,FALSE)</f>
        <v>0</v>
      </c>
      <c r="G229" s="178"/>
      <c r="H229" s="179">
        <f>H228*$G$297</f>
        <v>0</v>
      </c>
      <c r="J229" s="166"/>
      <c r="K229" s="166"/>
      <c r="L229" s="166"/>
      <c r="M229" s="170"/>
      <c r="N229" s="170"/>
      <c r="O229" s="171"/>
      <c r="P229" s="166"/>
      <c r="S229" s="170"/>
    </row>
    <row r="230" spans="1:19" s="167" customFormat="1" ht="26.4">
      <c r="A230" s="368"/>
      <c r="B230" s="369"/>
      <c r="C230" s="172" t="s">
        <v>366</v>
      </c>
      <c r="D230" s="328" t="s">
        <v>43</v>
      </c>
      <c r="E230" s="174" t="s">
        <v>351</v>
      </c>
      <c r="F230" s="180">
        <f>IF(D227=0,0,(1-(VLOOKUP(D230,$D$428:$E$441,2,FALSE))))</f>
        <v>1</v>
      </c>
      <c r="G230" s="195"/>
      <c r="H230" s="169"/>
      <c r="J230" s="166"/>
      <c r="K230" s="166"/>
      <c r="L230" s="166"/>
      <c r="M230" s="170"/>
      <c r="N230" s="170"/>
      <c r="O230" s="171"/>
      <c r="P230" s="166"/>
      <c r="S230" s="170"/>
    </row>
    <row r="231" spans="1:19" s="154" customFormat="1" ht="66">
      <c r="A231" s="362" t="str">
        <f>A226</f>
        <v>Beek (RWM)</v>
      </c>
      <c r="B231" s="363"/>
      <c r="C231" s="161" t="s">
        <v>404</v>
      </c>
      <c r="D231" s="326" t="s">
        <v>405</v>
      </c>
      <c r="E231" s="163"/>
      <c r="F231" s="163"/>
      <c r="G231" s="164"/>
    </row>
    <row r="232" spans="1:19" s="167" customFormat="1" ht="27" thickBot="1">
      <c r="A232" s="364" t="s">
        <v>332</v>
      </c>
      <c r="B232" s="365"/>
      <c r="C232" s="172" t="str">
        <f>C227</f>
        <v>A) Welk percentage van het HRA gaat er vanaf de ontvangstlocatie voor Beek naar deze verwerkingslocatie?</v>
      </c>
      <c r="D232" s="182">
        <f>1-D227</f>
        <v>0</v>
      </c>
      <c r="E232" s="166"/>
      <c r="G232" s="168"/>
      <c r="H232" s="169"/>
      <c r="J232" s="166"/>
      <c r="K232" s="166"/>
      <c r="L232" s="166"/>
      <c r="M232" s="170"/>
      <c r="N232" s="170"/>
      <c r="O232" s="171"/>
      <c r="P232" s="166"/>
      <c r="S232" s="170"/>
    </row>
    <row r="233" spans="1:19" s="167" customFormat="1" ht="27" thickBot="1">
      <c r="A233" s="366"/>
      <c r="B233" s="367"/>
      <c r="C233" s="172" t="s">
        <v>368</v>
      </c>
      <c r="D233" s="328"/>
      <c r="E233" s="174" t="s">
        <v>76</v>
      </c>
      <c r="F233" s="175">
        <f>D233*((1803)*D232)</f>
        <v>0</v>
      </c>
      <c r="G233" s="176" t="s">
        <v>352</v>
      </c>
      <c r="H233" s="177">
        <f>((F234-(F234*F235))*F233)/1000000</f>
        <v>0</v>
      </c>
      <c r="J233" s="166"/>
      <c r="K233" s="166"/>
      <c r="L233" s="166"/>
      <c r="M233" s="170"/>
      <c r="N233" s="170"/>
      <c r="O233" s="171"/>
      <c r="P233" s="166"/>
      <c r="S233" s="170"/>
    </row>
    <row r="234" spans="1:19" s="167" customFormat="1" ht="26.4">
      <c r="A234" s="366"/>
      <c r="B234" s="367"/>
      <c r="C234" s="172" t="s">
        <v>365</v>
      </c>
      <c r="D234" s="328" t="s">
        <v>43</v>
      </c>
      <c r="E234" s="174" t="s">
        <v>350</v>
      </c>
      <c r="F234" s="166">
        <f>VLOOKUP(D234,$D$417:$E$425,2,FALSE)</f>
        <v>0</v>
      </c>
      <c r="G234" s="184"/>
      <c r="H234" s="179">
        <f>H233*$G$297</f>
        <v>0</v>
      </c>
      <c r="J234" s="166"/>
      <c r="K234" s="166"/>
      <c r="L234" s="166"/>
      <c r="M234" s="170"/>
      <c r="N234" s="170"/>
      <c r="O234" s="171"/>
      <c r="P234" s="166"/>
      <c r="S234" s="170"/>
    </row>
    <row r="235" spans="1:19" s="167" customFormat="1" ht="26.4">
      <c r="A235" s="368"/>
      <c r="B235" s="369"/>
      <c r="C235" s="203" t="s">
        <v>366</v>
      </c>
      <c r="D235" s="330" t="s">
        <v>43</v>
      </c>
      <c r="E235" s="204" t="s">
        <v>351</v>
      </c>
      <c r="F235" s="205">
        <f>IF(D232=0,0,(1-(VLOOKUP(D235,$D$428:$E$441,2,FALSE))))</f>
        <v>0</v>
      </c>
      <c r="G235" s="206"/>
      <c r="H235" s="169"/>
      <c r="J235" s="166"/>
      <c r="K235" s="166"/>
      <c r="L235" s="166"/>
      <c r="M235" s="170"/>
      <c r="N235" s="170"/>
      <c r="O235" s="171"/>
      <c r="P235" s="166"/>
      <c r="S235" s="170"/>
    </row>
    <row r="236" spans="1:19" s="154" customFormat="1">
      <c r="A236" s="188"/>
      <c r="B236" s="190"/>
      <c r="C236" s="196"/>
      <c r="D236" s="193"/>
      <c r="E236" s="192"/>
      <c r="F236" s="192"/>
      <c r="G236" s="197"/>
    </row>
    <row r="237" spans="1:19" s="154" customFormat="1" ht="66">
      <c r="A237" s="360" t="s">
        <v>333</v>
      </c>
      <c r="B237" s="361"/>
      <c r="C237" s="161" t="s">
        <v>404</v>
      </c>
      <c r="D237" s="326" t="s">
        <v>405</v>
      </c>
      <c r="E237" s="163"/>
      <c r="F237" s="163"/>
      <c r="G237" s="164"/>
    </row>
    <row r="238" spans="1:19" s="167" customFormat="1" ht="38.4" customHeight="1" thickBot="1">
      <c r="A238" s="364" t="s">
        <v>334</v>
      </c>
      <c r="B238" s="365"/>
      <c r="C238" s="165" t="s">
        <v>425</v>
      </c>
      <c r="D238" s="327">
        <v>1</v>
      </c>
      <c r="E238" s="166"/>
      <c r="G238" s="168"/>
      <c r="H238" s="169"/>
      <c r="J238" s="166"/>
      <c r="K238" s="166"/>
      <c r="L238" s="166"/>
      <c r="M238" s="170"/>
      <c r="N238" s="170"/>
      <c r="O238" s="171"/>
      <c r="P238" s="166"/>
      <c r="S238" s="170"/>
    </row>
    <row r="239" spans="1:19" s="167" customFormat="1" ht="27" thickBot="1">
      <c r="A239" s="366"/>
      <c r="B239" s="367"/>
      <c r="C239" s="172" t="s">
        <v>364</v>
      </c>
      <c r="D239" s="328"/>
      <c r="E239" s="174" t="s">
        <v>76</v>
      </c>
      <c r="F239" s="175">
        <f>D239*((13313)*D238)</f>
        <v>0</v>
      </c>
      <c r="G239" s="176" t="s">
        <v>349</v>
      </c>
      <c r="H239" s="177">
        <f>((F240-(F240*F241))*F239)/1000000</f>
        <v>0</v>
      </c>
      <c r="J239" s="166"/>
      <c r="K239" s="166"/>
      <c r="L239" s="166"/>
      <c r="M239" s="170"/>
      <c r="N239" s="170"/>
      <c r="O239" s="171"/>
      <c r="P239" s="166"/>
      <c r="S239" s="170"/>
    </row>
    <row r="240" spans="1:19" s="167" customFormat="1" ht="26.4">
      <c r="A240" s="366"/>
      <c r="B240" s="367"/>
      <c r="C240" s="172" t="s">
        <v>365</v>
      </c>
      <c r="D240" s="328" t="s">
        <v>43</v>
      </c>
      <c r="E240" s="174" t="s">
        <v>350</v>
      </c>
      <c r="F240" s="166">
        <f>VLOOKUP(D240,$D$417:$E$425,2,FALSE)</f>
        <v>0</v>
      </c>
      <c r="G240" s="178"/>
      <c r="H240" s="179">
        <f>H239*$G$297</f>
        <v>0</v>
      </c>
      <c r="J240" s="166"/>
      <c r="K240" s="166"/>
      <c r="L240" s="166"/>
      <c r="M240" s="170"/>
      <c r="N240" s="170"/>
      <c r="O240" s="171"/>
      <c r="P240" s="166"/>
      <c r="S240" s="170"/>
    </row>
    <row r="241" spans="1:19" s="167" customFormat="1" ht="26.4">
      <c r="A241" s="368"/>
      <c r="B241" s="369"/>
      <c r="C241" s="172" t="s">
        <v>366</v>
      </c>
      <c r="D241" s="328" t="s">
        <v>43</v>
      </c>
      <c r="E241" s="174" t="s">
        <v>351</v>
      </c>
      <c r="F241" s="180">
        <f>IF(D238=0,0,(1-(VLOOKUP(D241,$D$428:$E$441,2,FALSE))))</f>
        <v>1</v>
      </c>
      <c r="G241" s="195"/>
      <c r="H241" s="169"/>
      <c r="J241" s="166"/>
      <c r="K241" s="166"/>
      <c r="L241" s="166"/>
      <c r="M241" s="170"/>
      <c r="N241" s="170"/>
      <c r="O241" s="171"/>
      <c r="P241" s="166"/>
      <c r="S241" s="170"/>
    </row>
    <row r="242" spans="1:19" s="154" customFormat="1" ht="66">
      <c r="A242" s="362" t="str">
        <f>A237</f>
        <v>Sittard Geleen (RWM)</v>
      </c>
      <c r="B242" s="363"/>
      <c r="C242" s="161" t="s">
        <v>404</v>
      </c>
      <c r="D242" s="326" t="s">
        <v>405</v>
      </c>
      <c r="E242" s="163"/>
      <c r="F242" s="163"/>
      <c r="G242" s="164"/>
    </row>
    <row r="243" spans="1:19" s="167" customFormat="1" ht="42.6" customHeight="1" thickBot="1">
      <c r="A243" s="364" t="s">
        <v>335</v>
      </c>
      <c r="B243" s="365"/>
      <c r="C243" s="172" t="str">
        <f>C238</f>
        <v>A) Welk percentage van het HRA gaat er vanaf de ontvangstlocatie voor Sittard Geleen naar deze verwerkingslocatie?</v>
      </c>
      <c r="D243" s="182">
        <f>1-D238</f>
        <v>0</v>
      </c>
      <c r="E243" s="166"/>
      <c r="G243" s="168"/>
      <c r="H243" s="169"/>
      <c r="J243" s="166"/>
      <c r="K243" s="166"/>
      <c r="L243" s="166"/>
      <c r="M243" s="170"/>
      <c r="N243" s="170"/>
      <c r="O243" s="171"/>
      <c r="P243" s="166"/>
      <c r="S243" s="170"/>
    </row>
    <row r="244" spans="1:19" s="167" customFormat="1" ht="27" thickBot="1">
      <c r="A244" s="366"/>
      <c r="B244" s="367"/>
      <c r="C244" s="172" t="s">
        <v>368</v>
      </c>
      <c r="D244" s="328"/>
      <c r="E244" s="174" t="s">
        <v>76</v>
      </c>
      <c r="F244" s="175">
        <f>D244*((13313)*D243)</f>
        <v>0</v>
      </c>
      <c r="G244" s="176" t="s">
        <v>352</v>
      </c>
      <c r="H244" s="177">
        <f>((F245-(F245*F246))*F244)/1000000</f>
        <v>0</v>
      </c>
      <c r="J244" s="166"/>
      <c r="K244" s="166"/>
      <c r="L244" s="166"/>
      <c r="M244" s="170"/>
      <c r="N244" s="170"/>
      <c r="O244" s="171"/>
      <c r="P244" s="166"/>
      <c r="S244" s="170"/>
    </row>
    <row r="245" spans="1:19" s="167" customFormat="1" ht="26.4">
      <c r="A245" s="366"/>
      <c r="B245" s="367"/>
      <c r="C245" s="172" t="s">
        <v>365</v>
      </c>
      <c r="D245" s="328" t="s">
        <v>43</v>
      </c>
      <c r="E245" s="174" t="s">
        <v>350</v>
      </c>
      <c r="F245" s="166">
        <f>VLOOKUP(D245,$D$417:$E$425,2,FALSE)</f>
        <v>0</v>
      </c>
      <c r="G245" s="184"/>
      <c r="H245" s="179">
        <f>H244*$G$297</f>
        <v>0</v>
      </c>
      <c r="J245" s="166"/>
      <c r="K245" s="166"/>
      <c r="L245" s="166"/>
      <c r="M245" s="170"/>
      <c r="N245" s="170"/>
      <c r="O245" s="171"/>
      <c r="P245" s="166"/>
      <c r="S245" s="170"/>
    </row>
    <row r="246" spans="1:19" s="167" customFormat="1" ht="26.4">
      <c r="A246" s="368"/>
      <c r="B246" s="369"/>
      <c r="C246" s="172" t="s">
        <v>366</v>
      </c>
      <c r="D246" s="328" t="s">
        <v>43</v>
      </c>
      <c r="E246" s="185" t="s">
        <v>351</v>
      </c>
      <c r="F246" s="186">
        <f>IF(D243=0,0,(1-(VLOOKUP(D246,$D$428:$E$441,2,FALSE))))</f>
        <v>0</v>
      </c>
      <c r="G246" s="187"/>
      <c r="H246" s="169"/>
      <c r="J246" s="166"/>
      <c r="K246" s="166"/>
      <c r="L246" s="166"/>
      <c r="M246" s="170"/>
      <c r="N246" s="170"/>
      <c r="O246" s="171"/>
      <c r="P246" s="166"/>
      <c r="S246" s="170"/>
    </row>
    <row r="247" spans="1:19" s="154" customFormat="1">
      <c r="A247" s="188"/>
      <c r="B247" s="190"/>
      <c r="C247" s="196"/>
      <c r="D247" s="193"/>
      <c r="E247" s="192"/>
      <c r="F247" s="192"/>
      <c r="G247" s="197"/>
    </row>
    <row r="248" spans="1:19" s="154" customFormat="1" ht="123" hidden="1" customHeight="1">
      <c r="A248" s="360" t="s">
        <v>376</v>
      </c>
      <c r="B248" s="361"/>
      <c r="C248" s="161" t="s">
        <v>441</v>
      </c>
      <c r="D248" s="162" t="s">
        <v>38</v>
      </c>
      <c r="E248" s="163"/>
      <c r="F248" s="163"/>
      <c r="G248" s="164"/>
    </row>
    <row r="249" spans="1:19" s="167" customFormat="1" ht="27" hidden="1" thickBot="1">
      <c r="A249" s="364" t="s">
        <v>336</v>
      </c>
      <c r="B249" s="365"/>
      <c r="C249" s="200" t="s">
        <v>375</v>
      </c>
      <c r="D249" s="201">
        <v>0</v>
      </c>
      <c r="E249" s="166"/>
      <c r="G249" s="168"/>
      <c r="H249" s="169"/>
      <c r="J249" s="166"/>
      <c r="K249" s="166"/>
      <c r="L249" s="166"/>
      <c r="M249" s="170"/>
      <c r="N249" s="170"/>
      <c r="O249" s="171"/>
      <c r="P249" s="166"/>
      <c r="S249" s="170"/>
    </row>
    <row r="250" spans="1:19" s="167" customFormat="1" ht="27" hidden="1" thickBot="1">
      <c r="A250" s="366"/>
      <c r="B250" s="367"/>
      <c r="C250" s="172" t="s">
        <v>364</v>
      </c>
      <c r="D250" s="183"/>
      <c r="E250" s="174" t="s">
        <v>76</v>
      </c>
      <c r="F250" s="175">
        <f>D250*((2427)*D249)</f>
        <v>0</v>
      </c>
      <c r="G250" s="176" t="s">
        <v>349</v>
      </c>
      <c r="H250" s="177">
        <f>((F251-(F251*F252))*F250)/1000000</f>
        <v>0</v>
      </c>
      <c r="J250" s="166"/>
      <c r="K250" s="166"/>
      <c r="L250" s="166"/>
      <c r="M250" s="170"/>
      <c r="N250" s="170"/>
      <c r="O250" s="171"/>
      <c r="P250" s="166"/>
      <c r="S250" s="170"/>
    </row>
    <row r="251" spans="1:19" s="167" customFormat="1" ht="26.4" hidden="1">
      <c r="A251" s="366"/>
      <c r="B251" s="367"/>
      <c r="C251" s="172" t="s">
        <v>365</v>
      </c>
      <c r="D251" s="183" t="s">
        <v>43</v>
      </c>
      <c r="E251" s="174" t="s">
        <v>350</v>
      </c>
      <c r="F251" s="166">
        <f>VLOOKUP(D251,$D$417:$E$425,2,FALSE)</f>
        <v>0</v>
      </c>
      <c r="G251" s="178"/>
      <c r="H251" s="179">
        <f>H250*$G$297</f>
        <v>0</v>
      </c>
      <c r="J251" s="166"/>
      <c r="K251" s="166"/>
      <c r="L251" s="166"/>
      <c r="M251" s="170"/>
      <c r="N251" s="170"/>
      <c r="O251" s="171"/>
      <c r="P251" s="166"/>
      <c r="S251" s="170"/>
    </row>
    <row r="252" spans="1:19" s="167" customFormat="1" ht="26.4" hidden="1">
      <c r="A252" s="368"/>
      <c r="B252" s="369"/>
      <c r="C252" s="172" t="s">
        <v>366</v>
      </c>
      <c r="D252" s="183" t="s">
        <v>43</v>
      </c>
      <c r="E252" s="174" t="s">
        <v>351</v>
      </c>
      <c r="F252" s="180">
        <f>IF(D249=0,0,(1-(VLOOKUP(D252,$D$428:$E$441,2,FALSE))))</f>
        <v>0</v>
      </c>
      <c r="G252" s="195"/>
      <c r="H252" s="169"/>
      <c r="J252" s="166"/>
      <c r="K252" s="166"/>
      <c r="L252" s="166"/>
      <c r="M252" s="170"/>
      <c r="N252" s="170"/>
      <c r="O252" s="171"/>
      <c r="P252" s="166"/>
      <c r="S252" s="170"/>
    </row>
    <row r="253" spans="1:19" s="154" customFormat="1" ht="66">
      <c r="A253" s="362" t="str">
        <f>A248</f>
        <v xml:space="preserve">RWM Na te scheiden HRA c.a. </v>
      </c>
      <c r="B253" s="363"/>
      <c r="C253" s="161" t="s">
        <v>404</v>
      </c>
      <c r="D253" s="326" t="s">
        <v>405</v>
      </c>
      <c r="E253" s="163"/>
      <c r="F253" s="163"/>
      <c r="G253" s="164"/>
    </row>
    <row r="254" spans="1:19" s="167" customFormat="1" ht="27" thickBot="1">
      <c r="A254" s="364" t="s">
        <v>427</v>
      </c>
      <c r="B254" s="365"/>
      <c r="C254" s="165" t="str">
        <f>C249</f>
        <v>A) Welk percentage van het HRA gaat er vanaf de ontvangstlocatie voor RWM naar deze verwerkingslocatie?</v>
      </c>
      <c r="D254" s="207">
        <v>1</v>
      </c>
      <c r="E254" s="166"/>
      <c r="G254" s="168"/>
      <c r="H254" s="169"/>
      <c r="J254" s="166"/>
      <c r="K254" s="166"/>
      <c r="L254" s="166"/>
      <c r="M254" s="170"/>
      <c r="N254" s="170"/>
      <c r="O254" s="171"/>
      <c r="P254" s="166"/>
      <c r="S254" s="170"/>
    </row>
    <row r="255" spans="1:19" s="167" customFormat="1" ht="27" thickBot="1">
      <c r="A255" s="366"/>
      <c r="B255" s="367"/>
      <c r="C255" s="172" t="s">
        <v>368</v>
      </c>
      <c r="D255" s="328"/>
      <c r="E255" s="174" t="s">
        <v>76</v>
      </c>
      <c r="F255" s="175">
        <f>D255*((2427)*D254)</f>
        <v>0</v>
      </c>
      <c r="G255" s="176" t="s">
        <v>352</v>
      </c>
      <c r="H255" s="177">
        <f>((F256-(F256*F257))*F255)/1000000</f>
        <v>0</v>
      </c>
      <c r="J255" s="166"/>
      <c r="K255" s="166"/>
      <c r="L255" s="166"/>
      <c r="M255" s="170"/>
      <c r="N255" s="170"/>
      <c r="O255" s="171"/>
      <c r="P255" s="166"/>
      <c r="S255" s="170"/>
    </row>
    <row r="256" spans="1:19" s="167" customFormat="1" ht="26.4">
      <c r="A256" s="366"/>
      <c r="B256" s="367"/>
      <c r="C256" s="172" t="s">
        <v>365</v>
      </c>
      <c r="D256" s="328" t="s">
        <v>43</v>
      </c>
      <c r="E256" s="174" t="s">
        <v>350</v>
      </c>
      <c r="F256" s="166">
        <f>VLOOKUP(D256,$D$417:$E$425,2,FALSE)</f>
        <v>0</v>
      </c>
      <c r="G256" s="184"/>
      <c r="H256" s="179">
        <f>H255*$G$297</f>
        <v>0</v>
      </c>
      <c r="J256" s="166"/>
      <c r="K256" s="166"/>
      <c r="L256" s="166"/>
      <c r="M256" s="170"/>
      <c r="N256" s="170"/>
      <c r="O256" s="171"/>
      <c r="P256" s="166"/>
      <c r="S256" s="170"/>
    </row>
    <row r="257" spans="1:19" s="167" customFormat="1" ht="27" thickBot="1">
      <c r="A257" s="368"/>
      <c r="B257" s="369"/>
      <c r="C257" s="172" t="s">
        <v>366</v>
      </c>
      <c r="D257" s="328" t="s">
        <v>43</v>
      </c>
      <c r="E257" s="185" t="s">
        <v>351</v>
      </c>
      <c r="F257" s="186">
        <f>IF(D254=0,0,(1-(VLOOKUP(D257,$D$428:$E$441,2,FALSE))))</f>
        <v>1</v>
      </c>
      <c r="G257" s="187"/>
      <c r="H257" s="169"/>
      <c r="J257" s="166"/>
      <c r="K257" s="166"/>
      <c r="L257" s="166"/>
      <c r="M257" s="170"/>
      <c r="N257" s="170"/>
      <c r="O257" s="171"/>
      <c r="P257" s="166"/>
      <c r="S257" s="170"/>
    </row>
    <row r="258" spans="1:19" s="167" customFormat="1" ht="19.95" customHeight="1" thickBot="1">
      <c r="A258" s="208"/>
      <c r="B258" s="209"/>
      <c r="C258" s="99"/>
      <c r="D258" s="99"/>
      <c r="E258" s="174"/>
      <c r="F258" s="210"/>
      <c r="G258" s="211" t="s">
        <v>338</v>
      </c>
      <c r="H258" s="212">
        <f>H256+H251+H245+H240+H234+H229+H223+H218+H212+H207+H201+H196+H190+H185+H179+H174+H168+H163+H157+H152+H146+H141+H135+H130+H124+H119+H113+H108+H102+H97+H91+H86+H80+H75+H64+H59+H53+H48+H42+H37+H31+H26+H20+H15+H69</f>
        <v>0</v>
      </c>
      <c r="J258" s="166"/>
      <c r="K258" s="166"/>
      <c r="L258" s="166"/>
      <c r="M258" s="213"/>
      <c r="N258" s="213"/>
      <c r="O258" s="214"/>
      <c r="P258" s="166"/>
      <c r="S258" s="213"/>
    </row>
    <row r="259" spans="1:19" s="167" customFormat="1">
      <c r="A259" s="208"/>
      <c r="B259" s="209"/>
      <c r="C259" s="99"/>
      <c r="D259" s="99"/>
      <c r="E259" s="174"/>
      <c r="F259" s="210"/>
      <c r="G259" s="215"/>
      <c r="H259" s="169"/>
      <c r="J259" s="166"/>
      <c r="K259" s="166"/>
      <c r="L259" s="166"/>
      <c r="M259" s="213"/>
      <c r="N259" s="213"/>
      <c r="O259" s="214"/>
      <c r="P259" s="166"/>
      <c r="S259" s="213"/>
    </row>
    <row r="260" spans="1:19" s="154" customFormat="1" ht="14.4" thickBot="1">
      <c r="A260" s="372" t="s">
        <v>270</v>
      </c>
      <c r="B260" s="373"/>
      <c r="C260" s="373"/>
      <c r="D260" s="94"/>
      <c r="E260" s="216"/>
      <c r="F260" s="216"/>
      <c r="G260" s="217"/>
    </row>
    <row r="261" spans="1:19" s="222" customFormat="1" ht="79.8" thickBot="1">
      <c r="A261" s="403" t="s">
        <v>337</v>
      </c>
      <c r="B261" s="404"/>
      <c r="C261" s="218" t="s">
        <v>437</v>
      </c>
      <c r="D261" s="331" t="s">
        <v>426</v>
      </c>
      <c r="E261" s="219" t="s">
        <v>438</v>
      </c>
      <c r="F261" s="220">
        <f>(D13*800+D24*1400+D35*1800+D46*1100+D57*13250+D73*1400+D84*1750+D95*1900+D106*9000+D117*1100+D128*13600+D150*2750+D172*4200+D183*3200+D194*2600+D205*2932+D216*1952+D227*1803+D238*13313)/76935</f>
        <v>1</v>
      </c>
      <c r="G261" s="221"/>
    </row>
    <row r="262" spans="1:19" s="222" customFormat="1" ht="27" thickBot="1">
      <c r="A262" s="399"/>
      <c r="B262" s="400"/>
      <c r="C262" s="223" t="s">
        <v>144</v>
      </c>
      <c r="D262" s="412" t="s">
        <v>33</v>
      </c>
      <c r="E262" s="413"/>
      <c r="F262" s="224" t="s">
        <v>104</v>
      </c>
      <c r="G262" s="225" t="s">
        <v>105</v>
      </c>
    </row>
    <row r="263" spans="1:19" s="222" customFormat="1" ht="24" thickBot="1">
      <c r="A263" s="379" t="s">
        <v>377</v>
      </c>
      <c r="B263" s="380"/>
      <c r="C263" s="381"/>
      <c r="D263" s="226"/>
      <c r="E263" s="227"/>
      <c r="F263" s="228" t="s">
        <v>353</v>
      </c>
      <c r="G263" s="229"/>
    </row>
    <row r="264" spans="1:19" s="222" customFormat="1" ht="24">
      <c r="B264" s="389" t="s">
        <v>274</v>
      </c>
      <c r="C264" s="230" t="s">
        <v>106</v>
      </c>
      <c r="D264" s="230" t="s">
        <v>378</v>
      </c>
      <c r="E264" s="420" t="s">
        <v>354</v>
      </c>
      <c r="F264" s="421"/>
      <c r="G264" s="231"/>
    </row>
    <row r="265" spans="1:19" s="222" customFormat="1">
      <c r="B265" s="390"/>
      <c r="C265" s="232" t="s">
        <v>107</v>
      </c>
      <c r="D265" s="332">
        <v>0</v>
      </c>
      <c r="E265" s="234" t="s">
        <v>108</v>
      </c>
      <c r="F265" s="235">
        <v>0.55600000000000005</v>
      </c>
      <c r="G265" s="236">
        <f>D265*F265</f>
        <v>0</v>
      </c>
    </row>
    <row r="266" spans="1:19" s="222" customFormat="1">
      <c r="B266" s="390"/>
      <c r="C266" s="232" t="s">
        <v>109</v>
      </c>
      <c r="D266" s="332">
        <v>0</v>
      </c>
      <c r="E266" s="234" t="s">
        <v>108</v>
      </c>
      <c r="F266" s="235">
        <v>0.20499999999999999</v>
      </c>
      <c r="G266" s="236">
        <f>D266*F266</f>
        <v>0</v>
      </c>
    </row>
    <row r="267" spans="1:19" s="222" customFormat="1" ht="14.4" thickBot="1">
      <c r="B267" s="390"/>
      <c r="C267" s="237" t="s">
        <v>110</v>
      </c>
      <c r="D267" s="333">
        <v>0</v>
      </c>
      <c r="E267" s="239" t="s">
        <v>108</v>
      </c>
      <c r="F267" s="240">
        <v>0.20499999999999999</v>
      </c>
      <c r="G267" s="241">
        <f>D267*F267</f>
        <v>0</v>
      </c>
    </row>
    <row r="268" spans="1:19" s="222" customFormat="1" ht="24.6" thickBot="1">
      <c r="B268" s="390"/>
      <c r="C268" s="242" t="s">
        <v>111</v>
      </c>
      <c r="D268" s="243" t="s">
        <v>378</v>
      </c>
      <c r="E268" s="391" t="s">
        <v>355</v>
      </c>
      <c r="F268" s="393"/>
      <c r="G268" s="244"/>
    </row>
    <row r="269" spans="1:19" s="222" customFormat="1">
      <c r="B269" s="390"/>
      <c r="C269" s="245" t="s">
        <v>112</v>
      </c>
      <c r="D269" s="334">
        <v>0</v>
      </c>
      <c r="E269" s="247" t="s">
        <v>356</v>
      </c>
      <c r="F269" s="248">
        <v>1.8</v>
      </c>
      <c r="G269" s="236">
        <f>D269*F269</f>
        <v>0</v>
      </c>
    </row>
    <row r="270" spans="1:19" s="222" customFormat="1" ht="14.4" thickBot="1">
      <c r="B270" s="390"/>
      <c r="C270" s="237" t="s">
        <v>113</v>
      </c>
      <c r="D270" s="333">
        <v>0</v>
      </c>
      <c r="E270" s="239" t="s">
        <v>356</v>
      </c>
      <c r="F270" s="249">
        <v>2</v>
      </c>
      <c r="G270" s="241">
        <f>D270*F270</f>
        <v>0</v>
      </c>
    </row>
    <row r="271" spans="1:19" s="222" customFormat="1" ht="24.6" thickBot="1">
      <c r="B271" s="390"/>
      <c r="C271" s="242" t="s">
        <v>114</v>
      </c>
      <c r="D271" s="243" t="s">
        <v>378</v>
      </c>
      <c r="E271" s="391" t="s">
        <v>357</v>
      </c>
      <c r="F271" s="393"/>
      <c r="G271" s="244"/>
    </row>
    <row r="272" spans="1:19" s="222" customFormat="1">
      <c r="B272" s="390"/>
      <c r="C272" s="245" t="s">
        <v>115</v>
      </c>
      <c r="D272" s="334">
        <v>0</v>
      </c>
      <c r="E272" s="247" t="s">
        <v>116</v>
      </c>
      <c r="F272" s="250">
        <v>1.5</v>
      </c>
      <c r="G272" s="236">
        <f t="shared" ref="G272:G286" si="0">D272*F272</f>
        <v>0</v>
      </c>
    </row>
    <row r="273" spans="2:7" s="222" customFormat="1">
      <c r="B273" s="390"/>
      <c r="C273" s="232" t="s">
        <v>117</v>
      </c>
      <c r="D273" s="332">
        <v>0</v>
      </c>
      <c r="E273" s="234" t="s">
        <v>116</v>
      </c>
      <c r="F273" s="235">
        <v>0.1</v>
      </c>
      <c r="G273" s="236">
        <f t="shared" si="0"/>
        <v>0</v>
      </c>
    </row>
    <row r="274" spans="2:7" s="222" customFormat="1">
      <c r="B274" s="390"/>
      <c r="C274" s="232" t="s">
        <v>118</v>
      </c>
      <c r="D274" s="332">
        <v>0</v>
      </c>
      <c r="E274" s="234" t="s">
        <v>116</v>
      </c>
      <c r="F274" s="235">
        <v>0.5</v>
      </c>
      <c r="G274" s="236">
        <f t="shared" si="0"/>
        <v>0</v>
      </c>
    </row>
    <row r="275" spans="2:7" s="222" customFormat="1">
      <c r="B275" s="390"/>
      <c r="C275" s="232" t="s">
        <v>119</v>
      </c>
      <c r="D275" s="332"/>
      <c r="E275" s="234" t="s">
        <v>116</v>
      </c>
      <c r="F275" s="235">
        <v>6.6</v>
      </c>
      <c r="G275" s="236">
        <f t="shared" si="0"/>
        <v>0</v>
      </c>
    </row>
    <row r="276" spans="2:7" s="222" customFormat="1">
      <c r="B276" s="390"/>
      <c r="C276" s="232" t="s">
        <v>120</v>
      </c>
      <c r="D276" s="332">
        <v>0</v>
      </c>
      <c r="E276" s="234" t="s">
        <v>116</v>
      </c>
      <c r="F276" s="235">
        <v>0.3</v>
      </c>
      <c r="G276" s="236">
        <f t="shared" si="0"/>
        <v>0</v>
      </c>
    </row>
    <row r="277" spans="2:7" s="222" customFormat="1">
      <c r="B277" s="390"/>
      <c r="C277" s="232" t="s">
        <v>121</v>
      </c>
      <c r="D277" s="332">
        <v>0</v>
      </c>
      <c r="E277" s="234" t="s">
        <v>116</v>
      </c>
      <c r="F277" s="235">
        <v>0</v>
      </c>
      <c r="G277" s="236">
        <f t="shared" si="0"/>
        <v>0</v>
      </c>
    </row>
    <row r="278" spans="2:7" s="222" customFormat="1">
      <c r="B278" s="390"/>
      <c r="C278" s="232" t="s">
        <v>122</v>
      </c>
      <c r="D278" s="332">
        <v>0</v>
      </c>
      <c r="E278" s="234" t="s">
        <v>116</v>
      </c>
      <c r="F278" s="251">
        <v>2</v>
      </c>
      <c r="G278" s="236">
        <f t="shared" si="0"/>
        <v>0</v>
      </c>
    </row>
    <row r="279" spans="2:7" s="222" customFormat="1">
      <c r="B279" s="390"/>
      <c r="C279" s="232" t="s">
        <v>123</v>
      </c>
      <c r="D279" s="332">
        <v>0</v>
      </c>
      <c r="E279" s="234" t="s">
        <v>116</v>
      </c>
      <c r="F279" s="251">
        <v>1</v>
      </c>
      <c r="G279" s="236">
        <f t="shared" si="0"/>
        <v>0</v>
      </c>
    </row>
    <row r="280" spans="2:7" s="222" customFormat="1">
      <c r="B280" s="390"/>
      <c r="C280" s="232" t="s">
        <v>124</v>
      </c>
      <c r="D280" s="332">
        <v>0</v>
      </c>
      <c r="E280" s="234" t="s">
        <v>116</v>
      </c>
      <c r="F280" s="235">
        <v>0.5</v>
      </c>
      <c r="G280" s="236">
        <f t="shared" si="0"/>
        <v>0</v>
      </c>
    </row>
    <row r="281" spans="2:7" s="222" customFormat="1">
      <c r="B281" s="390"/>
      <c r="C281" s="232" t="s">
        <v>125</v>
      </c>
      <c r="D281" s="332">
        <v>0</v>
      </c>
      <c r="E281" s="234" t="s">
        <v>116</v>
      </c>
      <c r="F281" s="235">
        <v>0</v>
      </c>
      <c r="G281" s="236">
        <f t="shared" si="0"/>
        <v>0</v>
      </c>
    </row>
    <row r="282" spans="2:7" s="222" customFormat="1">
      <c r="B282" s="390"/>
      <c r="C282" s="232" t="s">
        <v>126</v>
      </c>
      <c r="D282" s="332">
        <v>0</v>
      </c>
      <c r="E282" s="234" t="s">
        <v>116</v>
      </c>
      <c r="F282" s="235">
        <v>0</v>
      </c>
      <c r="G282" s="236">
        <f t="shared" si="0"/>
        <v>0</v>
      </c>
    </row>
    <row r="283" spans="2:7" s="222" customFormat="1">
      <c r="B283" s="390"/>
      <c r="C283" s="232" t="s">
        <v>127</v>
      </c>
      <c r="D283" s="332">
        <v>0</v>
      </c>
      <c r="E283" s="234" t="s">
        <v>116</v>
      </c>
      <c r="F283" s="235">
        <v>0</v>
      </c>
      <c r="G283" s="236">
        <f t="shared" si="0"/>
        <v>0</v>
      </c>
    </row>
    <row r="284" spans="2:7" s="222" customFormat="1">
      <c r="B284" s="390"/>
      <c r="C284" s="232" t="s">
        <v>128</v>
      </c>
      <c r="D284" s="332">
        <v>0</v>
      </c>
      <c r="E284" s="234" t="s">
        <v>116</v>
      </c>
      <c r="F284" s="235">
        <v>0</v>
      </c>
      <c r="G284" s="236">
        <f t="shared" si="0"/>
        <v>0</v>
      </c>
    </row>
    <row r="285" spans="2:7" s="222" customFormat="1">
      <c r="B285" s="390"/>
      <c r="C285" s="232" t="s">
        <v>129</v>
      </c>
      <c r="D285" s="332">
        <v>0</v>
      </c>
      <c r="E285" s="234" t="s">
        <v>116</v>
      </c>
      <c r="F285" s="235">
        <v>0.2</v>
      </c>
      <c r="G285" s="236">
        <f t="shared" si="0"/>
        <v>0</v>
      </c>
    </row>
    <row r="286" spans="2:7" s="222" customFormat="1" ht="14.4" thickBot="1">
      <c r="B286" s="390"/>
      <c r="C286" s="237" t="s">
        <v>130</v>
      </c>
      <c r="D286" s="333">
        <v>0</v>
      </c>
      <c r="E286" s="239" t="s">
        <v>116</v>
      </c>
      <c r="F286" s="240">
        <v>0.1</v>
      </c>
      <c r="G286" s="241">
        <f t="shared" si="0"/>
        <v>0</v>
      </c>
    </row>
    <row r="287" spans="2:7" s="222" customFormat="1" ht="24.6" hidden="1" thickBot="1">
      <c r="B287" s="390"/>
      <c r="C287" s="242" t="s">
        <v>131</v>
      </c>
      <c r="D287" s="243" t="s">
        <v>132</v>
      </c>
      <c r="E287" s="252" t="s">
        <v>133</v>
      </c>
      <c r="F287" s="253" t="s">
        <v>134</v>
      </c>
      <c r="G287" s="244"/>
    </row>
    <row r="288" spans="2:7" s="222" customFormat="1" hidden="1">
      <c r="B288" s="390"/>
      <c r="C288" s="245" t="s">
        <v>135</v>
      </c>
      <c r="D288" s="246">
        <v>0</v>
      </c>
      <c r="E288" s="247" t="s">
        <v>136</v>
      </c>
      <c r="F288" s="248">
        <v>-0.11</v>
      </c>
      <c r="G288" s="236">
        <f>D288*F288</f>
        <v>0</v>
      </c>
    </row>
    <row r="289" spans="1:7" s="222" customFormat="1" hidden="1">
      <c r="B289" s="390"/>
      <c r="C289" s="232" t="s">
        <v>137</v>
      </c>
      <c r="D289" s="233">
        <v>0</v>
      </c>
      <c r="E289" s="234" t="s">
        <v>136</v>
      </c>
      <c r="F289" s="235">
        <v>-0.04</v>
      </c>
      <c r="G289" s="236">
        <f>D289*F289</f>
        <v>0</v>
      </c>
    </row>
    <row r="290" spans="1:7" s="222" customFormat="1" ht="14.4" hidden="1" thickBot="1">
      <c r="B290" s="390"/>
      <c r="C290" s="237" t="s">
        <v>138</v>
      </c>
      <c r="D290" s="238">
        <v>0</v>
      </c>
      <c r="E290" s="239" t="s">
        <v>139</v>
      </c>
      <c r="F290" s="240">
        <v>-0.11</v>
      </c>
      <c r="G290" s="241">
        <f>D290*F290</f>
        <v>0</v>
      </c>
    </row>
    <row r="291" spans="1:7" s="222" customFormat="1" ht="24" thickBot="1">
      <c r="B291" s="390"/>
      <c r="C291" s="242" t="s">
        <v>140</v>
      </c>
      <c r="D291" s="243" t="s">
        <v>378</v>
      </c>
      <c r="E291" s="391" t="s">
        <v>357</v>
      </c>
      <c r="F291" s="393"/>
      <c r="G291" s="244"/>
    </row>
    <row r="292" spans="1:7" s="222" customFormat="1" ht="15">
      <c r="B292" s="390"/>
      <c r="C292" s="245" t="s">
        <v>358</v>
      </c>
      <c r="D292" s="335">
        <v>0</v>
      </c>
      <c r="E292" s="247" t="s">
        <v>116</v>
      </c>
      <c r="F292" s="254">
        <v>-1</v>
      </c>
      <c r="G292" s="236">
        <f>D292*F292</f>
        <v>0</v>
      </c>
    </row>
    <row r="293" spans="1:7" s="222" customFormat="1" ht="22.8" hidden="1">
      <c r="B293" s="390"/>
      <c r="C293" s="232" t="s">
        <v>141</v>
      </c>
      <c r="D293" s="336"/>
      <c r="E293" s="234"/>
      <c r="F293" s="251"/>
      <c r="G293" s="236"/>
    </row>
    <row r="294" spans="1:7" s="222" customFormat="1" hidden="1">
      <c r="B294" s="390"/>
      <c r="C294" s="232" t="s">
        <v>142</v>
      </c>
      <c r="D294" s="336"/>
      <c r="E294" s="234"/>
      <c r="F294" s="251"/>
      <c r="G294" s="236"/>
    </row>
    <row r="295" spans="1:7" s="222" customFormat="1" ht="15.6" thickBot="1">
      <c r="B295" s="390"/>
      <c r="C295" s="232" t="s">
        <v>359</v>
      </c>
      <c r="D295" s="337">
        <v>0</v>
      </c>
      <c r="E295" s="239" t="s">
        <v>116</v>
      </c>
      <c r="F295" s="240">
        <v>0.5</v>
      </c>
      <c r="G295" s="241">
        <f>D295*F295</f>
        <v>0</v>
      </c>
    </row>
    <row r="296" spans="1:7" s="222" customFormat="1" ht="31.5" customHeight="1" thickBot="1">
      <c r="B296" s="390"/>
      <c r="C296" s="255"/>
      <c r="D296" s="394" t="s">
        <v>379</v>
      </c>
      <c r="E296" s="398"/>
      <c r="F296" s="256"/>
      <c r="G296" s="257">
        <f>SUM(G265:G295)*95000*F261</f>
        <v>0</v>
      </c>
    </row>
    <row r="297" spans="1:7" s="222" customFormat="1" ht="211.5" customHeight="1">
      <c r="B297" s="390"/>
      <c r="C297" s="258" t="s">
        <v>360</v>
      </c>
      <c r="D297" s="414" t="s">
        <v>361</v>
      </c>
      <c r="E297" s="415"/>
      <c r="F297" s="248"/>
      <c r="G297" s="259">
        <v>100</v>
      </c>
    </row>
    <row r="298" spans="1:7" s="222" customFormat="1" ht="14.4" thickBot="1">
      <c r="B298" s="390"/>
      <c r="C298" s="260"/>
      <c r="D298" s="382" t="s">
        <v>143</v>
      </c>
      <c r="E298" s="383"/>
      <c r="F298" s="234"/>
      <c r="G298" s="261">
        <f>-G296*G297/1000</f>
        <v>0</v>
      </c>
    </row>
    <row r="299" spans="1:7" s="154" customFormat="1" ht="14.4" thickBot="1">
      <c r="A299" s="262"/>
      <c r="B299" s="263"/>
      <c r="C299" s="263" t="s">
        <v>75</v>
      </c>
      <c r="D299" s="163"/>
      <c r="E299" s="264" t="s">
        <v>278</v>
      </c>
      <c r="F299" s="265"/>
      <c r="G299" s="266">
        <f>G298/(F261*95000)</f>
        <v>0</v>
      </c>
    </row>
    <row r="300" spans="1:7" s="222" customFormat="1" ht="79.8" thickBot="1">
      <c r="A300" s="405" t="s">
        <v>430</v>
      </c>
      <c r="B300" s="406"/>
      <c r="C300" s="218" t="s">
        <v>437</v>
      </c>
      <c r="D300" s="331" t="s">
        <v>426</v>
      </c>
      <c r="E300" s="219" t="s">
        <v>439</v>
      </c>
      <c r="F300" s="267">
        <f>1-F261</f>
        <v>0</v>
      </c>
      <c r="G300" s="268"/>
    </row>
    <row r="301" spans="1:7" s="222" customFormat="1" ht="27" thickBot="1">
      <c r="A301" s="399"/>
      <c r="B301" s="400"/>
      <c r="C301" s="269" t="s">
        <v>144</v>
      </c>
      <c r="D301" s="384" t="s">
        <v>33</v>
      </c>
      <c r="E301" s="385"/>
      <c r="F301" s="270" t="s">
        <v>104</v>
      </c>
      <c r="G301" s="270" t="s">
        <v>105</v>
      </c>
    </row>
    <row r="302" spans="1:7" s="222" customFormat="1" ht="24" thickBot="1">
      <c r="A302" s="386" t="s">
        <v>431</v>
      </c>
      <c r="B302" s="387"/>
      <c r="C302" s="388"/>
      <c r="D302" s="271"/>
      <c r="E302" s="271"/>
      <c r="F302" s="272" t="s">
        <v>353</v>
      </c>
      <c r="G302" s="273"/>
    </row>
    <row r="303" spans="1:7" s="222" customFormat="1" ht="24.6" thickBot="1">
      <c r="B303" s="389" t="s">
        <v>274</v>
      </c>
      <c r="C303" s="242" t="s">
        <v>106</v>
      </c>
      <c r="D303" s="243" t="s">
        <v>378</v>
      </c>
      <c r="E303" s="391" t="s">
        <v>354</v>
      </c>
      <c r="F303" s="392"/>
      <c r="G303" s="274"/>
    </row>
    <row r="304" spans="1:7" s="222" customFormat="1">
      <c r="B304" s="390"/>
      <c r="C304" s="245" t="s">
        <v>107</v>
      </c>
      <c r="D304" s="334">
        <v>0</v>
      </c>
      <c r="E304" s="247" t="s">
        <v>108</v>
      </c>
      <c r="F304" s="248">
        <v>0.55600000000000005</v>
      </c>
      <c r="G304" s="236">
        <f>D304*F304</f>
        <v>0</v>
      </c>
    </row>
    <row r="305" spans="2:7" s="222" customFormat="1">
      <c r="B305" s="390"/>
      <c r="C305" s="232" t="s">
        <v>109</v>
      </c>
      <c r="D305" s="332">
        <v>0</v>
      </c>
      <c r="E305" s="234" t="s">
        <v>108</v>
      </c>
      <c r="F305" s="235">
        <v>0.20499999999999999</v>
      </c>
      <c r="G305" s="236">
        <f>D305*F305</f>
        <v>0</v>
      </c>
    </row>
    <row r="306" spans="2:7" s="222" customFormat="1" ht="14.4" thickBot="1">
      <c r="B306" s="390"/>
      <c r="C306" s="237" t="s">
        <v>110</v>
      </c>
      <c r="D306" s="333">
        <v>0</v>
      </c>
      <c r="E306" s="239" t="s">
        <v>108</v>
      </c>
      <c r="F306" s="240">
        <v>0.20499999999999999</v>
      </c>
      <c r="G306" s="236">
        <f>D306*F306</f>
        <v>0</v>
      </c>
    </row>
    <row r="307" spans="2:7" s="222" customFormat="1" ht="24.6" thickBot="1">
      <c r="B307" s="390"/>
      <c r="C307" s="242" t="s">
        <v>111</v>
      </c>
      <c r="D307" s="243" t="s">
        <v>378</v>
      </c>
      <c r="E307" s="391" t="s">
        <v>355</v>
      </c>
      <c r="F307" s="392"/>
      <c r="G307" s="275"/>
    </row>
    <row r="308" spans="2:7" s="222" customFormat="1">
      <c r="B308" s="390"/>
      <c r="C308" s="245" t="s">
        <v>112</v>
      </c>
      <c r="D308" s="334">
        <v>0</v>
      </c>
      <c r="E308" s="247" t="s">
        <v>356</v>
      </c>
      <c r="F308" s="248">
        <v>1.8</v>
      </c>
      <c r="G308" s="236">
        <f>D308*F308</f>
        <v>0</v>
      </c>
    </row>
    <row r="309" spans="2:7" s="222" customFormat="1" ht="14.4" thickBot="1">
      <c r="B309" s="390"/>
      <c r="C309" s="237" t="s">
        <v>113</v>
      </c>
      <c r="D309" s="333">
        <v>0</v>
      </c>
      <c r="E309" s="239" t="s">
        <v>356</v>
      </c>
      <c r="F309" s="249">
        <v>2</v>
      </c>
      <c r="G309" s="236">
        <f>D309*F309</f>
        <v>0</v>
      </c>
    </row>
    <row r="310" spans="2:7" s="222" customFormat="1" ht="24.6" thickBot="1">
      <c r="B310" s="390"/>
      <c r="C310" s="242" t="s">
        <v>114</v>
      </c>
      <c r="D310" s="243" t="s">
        <v>378</v>
      </c>
      <c r="E310" s="391" t="s">
        <v>357</v>
      </c>
      <c r="F310" s="392"/>
      <c r="G310" s="275"/>
    </row>
    <row r="311" spans="2:7" s="222" customFormat="1">
      <c r="B311" s="390"/>
      <c r="C311" s="245" t="s">
        <v>115</v>
      </c>
      <c r="D311" s="334">
        <v>0</v>
      </c>
      <c r="E311" s="247" t="s">
        <v>116</v>
      </c>
      <c r="F311" s="250">
        <v>1.5</v>
      </c>
      <c r="G311" s="236">
        <f>D311*F311</f>
        <v>0</v>
      </c>
    </row>
    <row r="312" spans="2:7" s="222" customFormat="1">
      <c r="B312" s="390"/>
      <c r="C312" s="232" t="s">
        <v>117</v>
      </c>
      <c r="D312" s="332">
        <v>0</v>
      </c>
      <c r="E312" s="234" t="s">
        <v>116</v>
      </c>
      <c r="F312" s="235">
        <v>0.1</v>
      </c>
      <c r="G312" s="236">
        <f t="shared" ref="G312:G325" si="1">D312*F312</f>
        <v>0</v>
      </c>
    </row>
    <row r="313" spans="2:7" s="222" customFormat="1">
      <c r="B313" s="390"/>
      <c r="C313" s="232" t="s">
        <v>118</v>
      </c>
      <c r="D313" s="332">
        <v>0</v>
      </c>
      <c r="E313" s="234" t="s">
        <v>116</v>
      </c>
      <c r="F313" s="235">
        <v>0.5</v>
      </c>
      <c r="G313" s="236">
        <f t="shared" si="1"/>
        <v>0</v>
      </c>
    </row>
    <row r="314" spans="2:7" s="222" customFormat="1">
      <c r="B314" s="390"/>
      <c r="C314" s="232" t="s">
        <v>119</v>
      </c>
      <c r="D314" s="332"/>
      <c r="E314" s="234" t="s">
        <v>116</v>
      </c>
      <c r="F314" s="235">
        <v>6.6</v>
      </c>
      <c r="G314" s="236">
        <f t="shared" si="1"/>
        <v>0</v>
      </c>
    </row>
    <row r="315" spans="2:7" s="222" customFormat="1">
      <c r="B315" s="390"/>
      <c r="C315" s="232" t="s">
        <v>120</v>
      </c>
      <c r="D315" s="332">
        <v>0</v>
      </c>
      <c r="E315" s="234" t="s">
        <v>116</v>
      </c>
      <c r="F315" s="235">
        <v>0.3</v>
      </c>
      <c r="G315" s="236">
        <f t="shared" si="1"/>
        <v>0</v>
      </c>
    </row>
    <row r="316" spans="2:7" s="222" customFormat="1">
      <c r="B316" s="390"/>
      <c r="C316" s="232" t="s">
        <v>121</v>
      </c>
      <c r="D316" s="332">
        <v>0</v>
      </c>
      <c r="E316" s="234" t="s">
        <v>116</v>
      </c>
      <c r="F316" s="235">
        <v>0</v>
      </c>
      <c r="G316" s="236">
        <f t="shared" si="1"/>
        <v>0</v>
      </c>
    </row>
    <row r="317" spans="2:7" s="222" customFormat="1">
      <c r="B317" s="390"/>
      <c r="C317" s="232" t="s">
        <v>122</v>
      </c>
      <c r="D317" s="332">
        <v>0</v>
      </c>
      <c r="E317" s="234" t="s">
        <v>116</v>
      </c>
      <c r="F317" s="251">
        <v>2</v>
      </c>
      <c r="G317" s="236">
        <f t="shared" si="1"/>
        <v>0</v>
      </c>
    </row>
    <row r="318" spans="2:7" s="222" customFormat="1">
      <c r="B318" s="390"/>
      <c r="C318" s="232" t="s">
        <v>123</v>
      </c>
      <c r="D318" s="332">
        <v>0</v>
      </c>
      <c r="E318" s="234" t="s">
        <v>116</v>
      </c>
      <c r="F318" s="251">
        <v>1</v>
      </c>
      <c r="G318" s="236">
        <f t="shared" si="1"/>
        <v>0</v>
      </c>
    </row>
    <row r="319" spans="2:7" s="222" customFormat="1">
      <c r="B319" s="390"/>
      <c r="C319" s="232" t="s">
        <v>124</v>
      </c>
      <c r="D319" s="332">
        <v>0</v>
      </c>
      <c r="E319" s="234" t="s">
        <v>116</v>
      </c>
      <c r="F319" s="235">
        <v>0.5</v>
      </c>
      <c r="G319" s="236">
        <f t="shared" si="1"/>
        <v>0</v>
      </c>
    </row>
    <row r="320" spans="2:7" s="222" customFormat="1">
      <c r="B320" s="390"/>
      <c r="C320" s="232" t="s">
        <v>125</v>
      </c>
      <c r="D320" s="332">
        <v>0</v>
      </c>
      <c r="E320" s="234" t="s">
        <v>116</v>
      </c>
      <c r="F320" s="235">
        <v>0</v>
      </c>
      <c r="G320" s="236">
        <f t="shared" si="1"/>
        <v>0</v>
      </c>
    </row>
    <row r="321" spans="2:7" s="222" customFormat="1">
      <c r="B321" s="390"/>
      <c r="C321" s="232" t="s">
        <v>126</v>
      </c>
      <c r="D321" s="332">
        <v>0</v>
      </c>
      <c r="E321" s="234" t="s">
        <v>116</v>
      </c>
      <c r="F321" s="235">
        <v>0</v>
      </c>
      <c r="G321" s="236">
        <f t="shared" si="1"/>
        <v>0</v>
      </c>
    </row>
    <row r="322" spans="2:7" s="222" customFormat="1">
      <c r="B322" s="390"/>
      <c r="C322" s="232" t="s">
        <v>127</v>
      </c>
      <c r="D322" s="332">
        <v>0</v>
      </c>
      <c r="E322" s="234" t="s">
        <v>116</v>
      </c>
      <c r="F322" s="235">
        <v>0</v>
      </c>
      <c r="G322" s="236">
        <f t="shared" si="1"/>
        <v>0</v>
      </c>
    </row>
    <row r="323" spans="2:7" s="222" customFormat="1">
      <c r="B323" s="390"/>
      <c r="C323" s="232" t="s">
        <v>128</v>
      </c>
      <c r="D323" s="332">
        <v>0</v>
      </c>
      <c r="E323" s="234" t="s">
        <v>116</v>
      </c>
      <c r="F323" s="235">
        <v>0</v>
      </c>
      <c r="G323" s="236">
        <f t="shared" si="1"/>
        <v>0</v>
      </c>
    </row>
    <row r="324" spans="2:7" s="222" customFormat="1">
      <c r="B324" s="390"/>
      <c r="C324" s="232" t="s">
        <v>129</v>
      </c>
      <c r="D324" s="332">
        <v>0</v>
      </c>
      <c r="E324" s="234" t="s">
        <v>116</v>
      </c>
      <c r="F324" s="235">
        <v>0.2</v>
      </c>
      <c r="G324" s="236">
        <f t="shared" si="1"/>
        <v>0</v>
      </c>
    </row>
    <row r="325" spans="2:7" s="222" customFormat="1" ht="14.4" thickBot="1">
      <c r="B325" s="390"/>
      <c r="C325" s="237" t="s">
        <v>130</v>
      </c>
      <c r="D325" s="333">
        <v>0</v>
      </c>
      <c r="E325" s="239" t="s">
        <v>116</v>
      </c>
      <c r="F325" s="240">
        <v>0.1</v>
      </c>
      <c r="G325" s="241">
        <f t="shared" si="1"/>
        <v>0</v>
      </c>
    </row>
    <row r="326" spans="2:7" s="222" customFormat="1" ht="24.6" hidden="1" thickBot="1">
      <c r="B326" s="390"/>
      <c r="C326" s="242" t="s">
        <v>131</v>
      </c>
      <c r="D326" s="243" t="s">
        <v>132</v>
      </c>
      <c r="E326" s="252" t="s">
        <v>133</v>
      </c>
      <c r="F326" s="253" t="s">
        <v>134</v>
      </c>
      <c r="G326" s="244"/>
    </row>
    <row r="327" spans="2:7" s="222" customFormat="1" hidden="1">
      <c r="B327" s="390"/>
      <c r="C327" s="245" t="s">
        <v>135</v>
      </c>
      <c r="D327" s="246"/>
      <c r="E327" s="247" t="s">
        <v>136</v>
      </c>
      <c r="F327" s="248">
        <v>-0.11</v>
      </c>
      <c r="G327" s="236">
        <f>D327*F327</f>
        <v>0</v>
      </c>
    </row>
    <row r="328" spans="2:7" s="222" customFormat="1" hidden="1">
      <c r="B328" s="390"/>
      <c r="C328" s="232" t="s">
        <v>137</v>
      </c>
      <c r="D328" s="233">
        <v>0</v>
      </c>
      <c r="E328" s="234" t="s">
        <v>136</v>
      </c>
      <c r="F328" s="235">
        <v>-0.04</v>
      </c>
      <c r="G328" s="236">
        <f>D328*F328</f>
        <v>0</v>
      </c>
    </row>
    <row r="329" spans="2:7" s="222" customFormat="1" ht="14.4" hidden="1" thickBot="1">
      <c r="B329" s="390"/>
      <c r="C329" s="237" t="s">
        <v>138</v>
      </c>
      <c r="D329" s="238">
        <v>0</v>
      </c>
      <c r="E329" s="239" t="s">
        <v>139</v>
      </c>
      <c r="F329" s="240">
        <v>-0.11</v>
      </c>
      <c r="G329" s="241">
        <f>D329*F329</f>
        <v>0</v>
      </c>
    </row>
    <row r="330" spans="2:7" s="222" customFormat="1" ht="24" thickBot="1">
      <c r="B330" s="390"/>
      <c r="C330" s="242" t="s">
        <v>140</v>
      </c>
      <c r="D330" s="243" t="s">
        <v>378</v>
      </c>
      <c r="E330" s="391" t="s">
        <v>357</v>
      </c>
      <c r="F330" s="393"/>
      <c r="G330" s="244"/>
    </row>
    <row r="331" spans="2:7" s="222" customFormat="1" ht="15">
      <c r="B331" s="390"/>
      <c r="C331" s="245" t="s">
        <v>358</v>
      </c>
      <c r="D331" s="335">
        <v>0</v>
      </c>
      <c r="E331" s="247" t="s">
        <v>116</v>
      </c>
      <c r="F331" s="254">
        <v>-1</v>
      </c>
      <c r="G331" s="236">
        <f>D331*F331</f>
        <v>0</v>
      </c>
    </row>
    <row r="332" spans="2:7" s="222" customFormat="1" ht="22.8" hidden="1">
      <c r="B332" s="390"/>
      <c r="C332" s="232" t="s">
        <v>141</v>
      </c>
      <c r="D332" s="336"/>
      <c r="E332" s="234"/>
      <c r="F332" s="251"/>
      <c r="G332" s="236"/>
    </row>
    <row r="333" spans="2:7" s="222" customFormat="1" hidden="1">
      <c r="B333" s="390"/>
      <c r="C333" s="232" t="s">
        <v>142</v>
      </c>
      <c r="D333" s="336"/>
      <c r="E333" s="234"/>
      <c r="F333" s="251"/>
      <c r="G333" s="236"/>
    </row>
    <row r="334" spans="2:7" s="222" customFormat="1" ht="15.6" thickBot="1">
      <c r="B334" s="390"/>
      <c r="C334" s="232" t="s">
        <v>359</v>
      </c>
      <c r="D334" s="337">
        <v>0</v>
      </c>
      <c r="E334" s="239" t="s">
        <v>116</v>
      </c>
      <c r="F334" s="240">
        <v>0.5</v>
      </c>
      <c r="G334" s="241">
        <f>D334*F334</f>
        <v>0</v>
      </c>
    </row>
    <row r="335" spans="2:7" s="222" customFormat="1" ht="31.5" customHeight="1" thickBot="1">
      <c r="B335" s="390"/>
      <c r="C335" s="255"/>
      <c r="D335" s="394" t="s">
        <v>379</v>
      </c>
      <c r="E335" s="395"/>
      <c r="F335" s="276"/>
      <c r="G335" s="257">
        <f>SUM(G304:G334)*95000*F300</f>
        <v>0</v>
      </c>
    </row>
    <row r="336" spans="2:7" s="222" customFormat="1" ht="217.5" customHeight="1" thickBot="1">
      <c r="B336" s="390"/>
      <c r="C336" s="258" t="s">
        <v>360</v>
      </c>
      <c r="D336" s="396" t="s">
        <v>361</v>
      </c>
      <c r="E336" s="397"/>
      <c r="F336" s="277"/>
      <c r="G336" s="278">
        <v>100</v>
      </c>
    </row>
    <row r="337" spans="1:7" s="222" customFormat="1" ht="14.4" thickBot="1">
      <c r="B337" s="390"/>
      <c r="C337" s="260"/>
      <c r="D337" s="394" t="s">
        <v>143</v>
      </c>
      <c r="E337" s="398"/>
      <c r="F337" s="279"/>
      <c r="G337" s="280">
        <f>-G335*G336/1000</f>
        <v>0</v>
      </c>
    </row>
    <row r="338" spans="1:7" s="154" customFormat="1">
      <c r="A338" s="262"/>
      <c r="B338" s="263"/>
      <c r="C338" s="263" t="s">
        <v>75</v>
      </c>
      <c r="D338" s="163"/>
      <c r="E338" s="264" t="s">
        <v>278</v>
      </c>
      <c r="F338" s="265"/>
      <c r="G338" s="281" t="e">
        <f>G337/(F300*95000)</f>
        <v>#DIV/0!</v>
      </c>
    </row>
    <row r="339" spans="1:7" s="154" customFormat="1" ht="14.4" thickBot="1">
      <c r="A339" s="262"/>
      <c r="B339" s="263"/>
      <c r="C339" s="263" t="s">
        <v>75</v>
      </c>
      <c r="D339" s="163"/>
      <c r="E339" s="264"/>
      <c r="F339" s="265"/>
      <c r="G339" s="266"/>
    </row>
    <row r="340" spans="1:7" s="222" customFormat="1" ht="79.8" thickBot="1">
      <c r="A340" s="405" t="s">
        <v>432</v>
      </c>
      <c r="B340" s="406"/>
      <c r="C340" s="218" t="s">
        <v>437</v>
      </c>
      <c r="D340" s="331" t="s">
        <v>426</v>
      </c>
      <c r="E340" s="219"/>
      <c r="F340" s="267">
        <v>1</v>
      </c>
      <c r="G340" s="268"/>
    </row>
    <row r="341" spans="1:7" s="222" customFormat="1" ht="27" thickBot="1">
      <c r="A341" s="399"/>
      <c r="B341" s="400"/>
      <c r="C341" s="269" t="s">
        <v>144</v>
      </c>
      <c r="D341" s="384" t="s">
        <v>33</v>
      </c>
      <c r="E341" s="385"/>
      <c r="F341" s="270" t="s">
        <v>104</v>
      </c>
      <c r="G341" s="270" t="s">
        <v>105</v>
      </c>
    </row>
    <row r="342" spans="1:7" s="222" customFormat="1" ht="24" thickBot="1">
      <c r="A342" s="386" t="s">
        <v>433</v>
      </c>
      <c r="B342" s="387"/>
      <c r="C342" s="388"/>
      <c r="D342" s="271"/>
      <c r="E342" s="271"/>
      <c r="F342" s="272" t="s">
        <v>353</v>
      </c>
      <c r="G342" s="273"/>
    </row>
    <row r="343" spans="1:7" s="222" customFormat="1" ht="24.6" thickBot="1">
      <c r="B343" s="389" t="s">
        <v>274</v>
      </c>
      <c r="C343" s="242" t="s">
        <v>106</v>
      </c>
      <c r="D343" s="243" t="s">
        <v>378</v>
      </c>
      <c r="E343" s="391" t="s">
        <v>354</v>
      </c>
      <c r="F343" s="392"/>
      <c r="G343" s="274"/>
    </row>
    <row r="344" spans="1:7" s="222" customFormat="1">
      <c r="B344" s="390"/>
      <c r="C344" s="245" t="s">
        <v>107</v>
      </c>
      <c r="D344" s="334">
        <v>0</v>
      </c>
      <c r="E344" s="247" t="s">
        <v>108</v>
      </c>
      <c r="F344" s="248">
        <v>0.55600000000000005</v>
      </c>
      <c r="G344" s="236">
        <f>D344*F344</f>
        <v>0</v>
      </c>
    </row>
    <row r="345" spans="1:7" s="222" customFormat="1">
      <c r="B345" s="390"/>
      <c r="C345" s="232" t="s">
        <v>109</v>
      </c>
      <c r="D345" s="332">
        <v>0</v>
      </c>
      <c r="E345" s="234" t="s">
        <v>108</v>
      </c>
      <c r="F345" s="235">
        <v>0.20499999999999999</v>
      </c>
      <c r="G345" s="236">
        <f>D345*F345</f>
        <v>0</v>
      </c>
    </row>
    <row r="346" spans="1:7" s="222" customFormat="1" ht="14.4" thickBot="1">
      <c r="B346" s="390"/>
      <c r="C346" s="237" t="s">
        <v>110</v>
      </c>
      <c r="D346" s="333">
        <v>0</v>
      </c>
      <c r="E346" s="239" t="s">
        <v>108</v>
      </c>
      <c r="F346" s="240">
        <v>0.20499999999999999</v>
      </c>
      <c r="G346" s="236">
        <f>D346*F346</f>
        <v>0</v>
      </c>
    </row>
    <row r="347" spans="1:7" s="222" customFormat="1" ht="24.6" thickBot="1">
      <c r="B347" s="390"/>
      <c r="C347" s="242" t="s">
        <v>111</v>
      </c>
      <c r="D347" s="243" t="s">
        <v>378</v>
      </c>
      <c r="E347" s="391" t="s">
        <v>355</v>
      </c>
      <c r="F347" s="392"/>
      <c r="G347" s="275"/>
    </row>
    <row r="348" spans="1:7" s="222" customFormat="1">
      <c r="B348" s="390"/>
      <c r="C348" s="245" t="s">
        <v>112</v>
      </c>
      <c r="D348" s="334">
        <v>0</v>
      </c>
      <c r="E348" s="247" t="s">
        <v>356</v>
      </c>
      <c r="F348" s="248">
        <v>1.8</v>
      </c>
      <c r="G348" s="236">
        <f>D348*F348</f>
        <v>0</v>
      </c>
    </row>
    <row r="349" spans="1:7" s="222" customFormat="1" ht="14.4" thickBot="1">
      <c r="B349" s="390"/>
      <c r="C349" s="237" t="s">
        <v>113</v>
      </c>
      <c r="D349" s="333">
        <v>0</v>
      </c>
      <c r="E349" s="239" t="s">
        <v>356</v>
      </c>
      <c r="F349" s="249">
        <v>2</v>
      </c>
      <c r="G349" s="236">
        <f>D349*F349</f>
        <v>0</v>
      </c>
    </row>
    <row r="350" spans="1:7" s="222" customFormat="1" ht="24.6" thickBot="1">
      <c r="B350" s="390"/>
      <c r="C350" s="242" t="s">
        <v>114</v>
      </c>
      <c r="D350" s="243" t="s">
        <v>378</v>
      </c>
      <c r="E350" s="391" t="s">
        <v>357</v>
      </c>
      <c r="F350" s="392"/>
      <c r="G350" s="275"/>
    </row>
    <row r="351" spans="1:7" s="222" customFormat="1">
      <c r="B351" s="390"/>
      <c r="C351" s="245" t="s">
        <v>115</v>
      </c>
      <c r="D351" s="334">
        <v>0</v>
      </c>
      <c r="E351" s="247" t="s">
        <v>116</v>
      </c>
      <c r="F351" s="250">
        <v>1.5</v>
      </c>
      <c r="G351" s="236">
        <f>D351*F351</f>
        <v>0</v>
      </c>
    </row>
    <row r="352" spans="1:7" s="222" customFormat="1">
      <c r="B352" s="390"/>
      <c r="C352" s="232" t="s">
        <v>117</v>
      </c>
      <c r="D352" s="332">
        <v>0</v>
      </c>
      <c r="E352" s="234" t="s">
        <v>116</v>
      </c>
      <c r="F352" s="235">
        <v>0.1</v>
      </c>
      <c r="G352" s="236">
        <f t="shared" ref="G352:G365" si="2">D352*F352</f>
        <v>0</v>
      </c>
    </row>
    <row r="353" spans="2:7" s="222" customFormat="1">
      <c r="B353" s="390"/>
      <c r="C353" s="232" t="s">
        <v>118</v>
      </c>
      <c r="D353" s="332">
        <v>0</v>
      </c>
      <c r="E353" s="234" t="s">
        <v>116</v>
      </c>
      <c r="F353" s="235">
        <v>0.5</v>
      </c>
      <c r="G353" s="236">
        <f t="shared" si="2"/>
        <v>0</v>
      </c>
    </row>
    <row r="354" spans="2:7" s="222" customFormat="1">
      <c r="B354" s="390"/>
      <c r="C354" s="232" t="s">
        <v>119</v>
      </c>
      <c r="D354" s="332">
        <v>0</v>
      </c>
      <c r="E354" s="234" t="s">
        <v>116</v>
      </c>
      <c r="F354" s="235">
        <v>6.6</v>
      </c>
      <c r="G354" s="236">
        <f t="shared" si="2"/>
        <v>0</v>
      </c>
    </row>
    <row r="355" spans="2:7" s="222" customFormat="1">
      <c r="B355" s="390"/>
      <c r="C355" s="232" t="s">
        <v>120</v>
      </c>
      <c r="D355" s="332">
        <v>0</v>
      </c>
      <c r="E355" s="234" t="s">
        <v>116</v>
      </c>
      <c r="F355" s="235">
        <v>0.3</v>
      </c>
      <c r="G355" s="236">
        <f t="shared" si="2"/>
        <v>0</v>
      </c>
    </row>
    <row r="356" spans="2:7" s="222" customFormat="1">
      <c r="B356" s="390"/>
      <c r="C356" s="232" t="s">
        <v>121</v>
      </c>
      <c r="D356" s="332">
        <v>0</v>
      </c>
      <c r="E356" s="234" t="s">
        <v>116</v>
      </c>
      <c r="F356" s="235">
        <v>0</v>
      </c>
      <c r="G356" s="236">
        <f t="shared" si="2"/>
        <v>0</v>
      </c>
    </row>
    <row r="357" spans="2:7" s="222" customFormat="1">
      <c r="B357" s="390"/>
      <c r="C357" s="232" t="s">
        <v>122</v>
      </c>
      <c r="D357" s="332">
        <v>0</v>
      </c>
      <c r="E357" s="234" t="s">
        <v>116</v>
      </c>
      <c r="F357" s="251">
        <v>2</v>
      </c>
      <c r="G357" s="236">
        <f t="shared" si="2"/>
        <v>0</v>
      </c>
    </row>
    <row r="358" spans="2:7" s="222" customFormat="1">
      <c r="B358" s="390"/>
      <c r="C358" s="232" t="s">
        <v>123</v>
      </c>
      <c r="D358" s="332">
        <v>0</v>
      </c>
      <c r="E358" s="234" t="s">
        <v>116</v>
      </c>
      <c r="F358" s="251">
        <v>1</v>
      </c>
      <c r="G358" s="236">
        <f t="shared" si="2"/>
        <v>0</v>
      </c>
    </row>
    <row r="359" spans="2:7" s="222" customFormat="1">
      <c r="B359" s="390"/>
      <c r="C359" s="232" t="s">
        <v>124</v>
      </c>
      <c r="D359" s="332">
        <v>0</v>
      </c>
      <c r="E359" s="234" t="s">
        <v>116</v>
      </c>
      <c r="F359" s="235">
        <v>0.5</v>
      </c>
      <c r="G359" s="236">
        <f t="shared" si="2"/>
        <v>0</v>
      </c>
    </row>
    <row r="360" spans="2:7" s="222" customFormat="1">
      <c r="B360" s="390"/>
      <c r="C360" s="232" t="s">
        <v>125</v>
      </c>
      <c r="D360" s="332">
        <v>0</v>
      </c>
      <c r="E360" s="234" t="s">
        <v>116</v>
      </c>
      <c r="F360" s="235">
        <v>0</v>
      </c>
      <c r="G360" s="236">
        <f t="shared" si="2"/>
        <v>0</v>
      </c>
    </row>
    <row r="361" spans="2:7" s="222" customFormat="1">
      <c r="B361" s="390"/>
      <c r="C361" s="232" t="s">
        <v>126</v>
      </c>
      <c r="D361" s="332">
        <v>0</v>
      </c>
      <c r="E361" s="234" t="s">
        <v>116</v>
      </c>
      <c r="F361" s="235">
        <v>0</v>
      </c>
      <c r="G361" s="236">
        <f t="shared" si="2"/>
        <v>0</v>
      </c>
    </row>
    <row r="362" spans="2:7" s="222" customFormat="1">
      <c r="B362" s="390"/>
      <c r="C362" s="232" t="s">
        <v>127</v>
      </c>
      <c r="D362" s="332">
        <v>0</v>
      </c>
      <c r="E362" s="234" t="s">
        <v>116</v>
      </c>
      <c r="F362" s="235">
        <v>0</v>
      </c>
      <c r="G362" s="236">
        <f t="shared" si="2"/>
        <v>0</v>
      </c>
    </row>
    <row r="363" spans="2:7" s="222" customFormat="1">
      <c r="B363" s="390"/>
      <c r="C363" s="232" t="s">
        <v>128</v>
      </c>
      <c r="D363" s="332">
        <v>0</v>
      </c>
      <c r="E363" s="234" t="s">
        <v>116</v>
      </c>
      <c r="F363" s="235">
        <v>0</v>
      </c>
      <c r="G363" s="236">
        <f t="shared" si="2"/>
        <v>0</v>
      </c>
    </row>
    <row r="364" spans="2:7" s="222" customFormat="1">
      <c r="B364" s="390"/>
      <c r="C364" s="232" t="s">
        <v>129</v>
      </c>
      <c r="D364" s="332">
        <v>0</v>
      </c>
      <c r="E364" s="234" t="s">
        <v>116</v>
      </c>
      <c r="F364" s="235">
        <v>0.2</v>
      </c>
      <c r="G364" s="236">
        <f t="shared" si="2"/>
        <v>0</v>
      </c>
    </row>
    <row r="365" spans="2:7" s="222" customFormat="1" ht="14.4" thickBot="1">
      <c r="B365" s="390"/>
      <c r="C365" s="237" t="s">
        <v>130</v>
      </c>
      <c r="D365" s="333">
        <v>0</v>
      </c>
      <c r="E365" s="239" t="s">
        <v>116</v>
      </c>
      <c r="F365" s="240">
        <v>0.1</v>
      </c>
      <c r="G365" s="241">
        <f t="shared" si="2"/>
        <v>0</v>
      </c>
    </row>
    <row r="366" spans="2:7" s="222" customFormat="1" ht="24.6" hidden="1" thickBot="1">
      <c r="B366" s="390"/>
      <c r="C366" s="242" t="s">
        <v>131</v>
      </c>
      <c r="D366" s="243" t="s">
        <v>132</v>
      </c>
      <c r="E366" s="252" t="s">
        <v>133</v>
      </c>
      <c r="F366" s="253" t="s">
        <v>134</v>
      </c>
      <c r="G366" s="244"/>
    </row>
    <row r="367" spans="2:7" s="222" customFormat="1" ht="14.4" hidden="1" thickBot="1">
      <c r="B367" s="390"/>
      <c r="C367" s="245" t="s">
        <v>135</v>
      </c>
      <c r="D367" s="246"/>
      <c r="E367" s="247" t="s">
        <v>136</v>
      </c>
      <c r="F367" s="248">
        <v>-0.11</v>
      </c>
      <c r="G367" s="236">
        <f>D367*F367</f>
        <v>0</v>
      </c>
    </row>
    <row r="368" spans="2:7" s="222" customFormat="1" ht="14.4" hidden="1" thickBot="1">
      <c r="B368" s="390"/>
      <c r="C368" s="232" t="s">
        <v>137</v>
      </c>
      <c r="D368" s="233">
        <v>0</v>
      </c>
      <c r="E368" s="234" t="s">
        <v>136</v>
      </c>
      <c r="F368" s="235">
        <v>-0.04</v>
      </c>
      <c r="G368" s="236">
        <f>D368*F368</f>
        <v>0</v>
      </c>
    </row>
    <row r="369" spans="1:8" s="222" customFormat="1" ht="14.4" hidden="1" thickBot="1">
      <c r="B369" s="390"/>
      <c r="C369" s="237" t="s">
        <v>138</v>
      </c>
      <c r="D369" s="238">
        <v>0</v>
      </c>
      <c r="E369" s="239" t="s">
        <v>139</v>
      </c>
      <c r="F369" s="240">
        <v>-0.11</v>
      </c>
      <c r="G369" s="241">
        <f>D369*F369</f>
        <v>0</v>
      </c>
    </row>
    <row r="370" spans="1:8" s="222" customFormat="1" ht="24" thickBot="1">
      <c r="B370" s="390"/>
      <c r="C370" s="242" t="s">
        <v>140</v>
      </c>
      <c r="D370" s="243" t="s">
        <v>378</v>
      </c>
      <c r="E370" s="391" t="s">
        <v>357</v>
      </c>
      <c r="F370" s="393"/>
      <c r="G370" s="244"/>
    </row>
    <row r="371" spans="1:8" s="222" customFormat="1" ht="15">
      <c r="B371" s="390"/>
      <c r="C371" s="245" t="s">
        <v>358</v>
      </c>
      <c r="D371" s="335">
        <v>0</v>
      </c>
      <c r="E371" s="247" t="s">
        <v>116</v>
      </c>
      <c r="F371" s="254">
        <v>-1</v>
      </c>
      <c r="G371" s="236">
        <f>D371*F371</f>
        <v>0</v>
      </c>
    </row>
    <row r="372" spans="1:8" s="222" customFormat="1" ht="22.8" hidden="1">
      <c r="B372" s="390"/>
      <c r="C372" s="232" t="s">
        <v>141</v>
      </c>
      <c r="D372" s="336"/>
      <c r="E372" s="234"/>
      <c r="F372" s="251"/>
      <c r="G372" s="236"/>
    </row>
    <row r="373" spans="1:8" s="222" customFormat="1" hidden="1">
      <c r="B373" s="390"/>
      <c r="C373" s="232" t="s">
        <v>142</v>
      </c>
      <c r="D373" s="336"/>
      <c r="E373" s="234"/>
      <c r="F373" s="251"/>
      <c r="G373" s="236"/>
    </row>
    <row r="374" spans="1:8" s="222" customFormat="1" ht="15.6" thickBot="1">
      <c r="B374" s="390"/>
      <c r="C374" s="232" t="s">
        <v>359</v>
      </c>
      <c r="D374" s="337">
        <v>0</v>
      </c>
      <c r="E374" s="239" t="s">
        <v>116</v>
      </c>
      <c r="F374" s="240">
        <v>0.5</v>
      </c>
      <c r="G374" s="241">
        <f>D374*F374</f>
        <v>0</v>
      </c>
    </row>
    <row r="375" spans="1:8" s="222" customFormat="1" ht="31.5" customHeight="1" thickBot="1">
      <c r="B375" s="390"/>
      <c r="C375" s="255"/>
      <c r="D375" s="394" t="s">
        <v>379</v>
      </c>
      <c r="E375" s="395"/>
      <c r="F375" s="276"/>
      <c r="G375" s="257">
        <f>SUM(G344:G374)*19000*F340</f>
        <v>0</v>
      </c>
    </row>
    <row r="376" spans="1:8" s="222" customFormat="1" ht="217.5" customHeight="1" thickBot="1">
      <c r="B376" s="390"/>
      <c r="C376" s="258" t="s">
        <v>360</v>
      </c>
      <c r="D376" s="396" t="s">
        <v>361</v>
      </c>
      <c r="E376" s="397"/>
      <c r="F376" s="277"/>
      <c r="G376" s="278">
        <v>100</v>
      </c>
    </row>
    <row r="377" spans="1:8" s="222" customFormat="1" ht="14.4" thickBot="1">
      <c r="B377" s="390"/>
      <c r="C377" s="260"/>
      <c r="D377" s="394" t="s">
        <v>143</v>
      </c>
      <c r="E377" s="398"/>
      <c r="F377" s="279"/>
      <c r="G377" s="280">
        <f>-G375*G376/1000</f>
        <v>0</v>
      </c>
    </row>
    <row r="378" spans="1:8" s="154" customFormat="1" ht="14.4" thickBot="1">
      <c r="A378" s="262"/>
      <c r="B378" s="263"/>
      <c r="C378" s="263" t="s">
        <v>75</v>
      </c>
      <c r="D378" s="163"/>
      <c r="E378" s="264" t="s">
        <v>278</v>
      </c>
      <c r="F378" s="265"/>
      <c r="G378" s="281">
        <f>G377/(F340*95000)</f>
        <v>0</v>
      </c>
    </row>
    <row r="379" spans="1:8" s="154" customFormat="1" ht="14.4" thickBot="1">
      <c r="A379" s="262"/>
      <c r="B379" s="263"/>
      <c r="C379" s="263"/>
      <c r="D379" s="163"/>
      <c r="E379" s="163"/>
      <c r="F379" s="163"/>
      <c r="G379" s="211" t="s">
        <v>348</v>
      </c>
      <c r="H379" s="212">
        <f>G337+G298+G377</f>
        <v>0</v>
      </c>
    </row>
    <row r="380" spans="1:8" s="154" customFormat="1" ht="14.4" thickBot="1">
      <c r="A380" s="262"/>
      <c r="B380" s="263"/>
      <c r="C380" s="263"/>
      <c r="D380" s="163"/>
      <c r="E380" s="163"/>
      <c r="F380" s="163"/>
      <c r="G380" s="164"/>
    </row>
    <row r="381" spans="1:8" s="154" customFormat="1" ht="14.4" thickBot="1">
      <c r="A381" s="374" t="s">
        <v>271</v>
      </c>
      <c r="B381" s="375"/>
      <c r="C381" s="375"/>
      <c r="D381" s="282"/>
      <c r="E381" s="282"/>
      <c r="F381" s="282"/>
      <c r="G381" s="283"/>
    </row>
    <row r="382" spans="1:8" ht="28.2" thickBot="1">
      <c r="A382" s="284"/>
      <c r="B382" s="285" t="s">
        <v>31</v>
      </c>
      <c r="C382" s="286" t="s">
        <v>32</v>
      </c>
      <c r="D382" s="285" t="s">
        <v>39</v>
      </c>
      <c r="E382" s="285" t="s">
        <v>34</v>
      </c>
      <c r="F382" s="285" t="s">
        <v>35</v>
      </c>
      <c r="G382" s="287" t="s">
        <v>36</v>
      </c>
    </row>
    <row r="383" spans="1:8" ht="110.4">
      <c r="A383" s="288" t="s">
        <v>42</v>
      </c>
      <c r="B383" s="288" t="s">
        <v>37</v>
      </c>
      <c r="C383" s="289" t="s">
        <v>443</v>
      </c>
      <c r="D383" s="338" t="s">
        <v>40</v>
      </c>
      <c r="E383" s="290">
        <v>-300000</v>
      </c>
      <c r="F383" s="290">
        <f>E383*(VLOOKUP(D383,D385:E391,2,FALSE))</f>
        <v>0</v>
      </c>
      <c r="G383" s="291" t="s">
        <v>276</v>
      </c>
    </row>
    <row r="384" spans="1:8" ht="2.25" customHeight="1">
      <c r="C384" s="292"/>
      <c r="D384" s="293"/>
      <c r="E384" s="294"/>
      <c r="F384" s="294"/>
      <c r="G384" s="294"/>
    </row>
    <row r="385" spans="3:7" hidden="1">
      <c r="C385" s="292"/>
      <c r="D385" s="295" t="s">
        <v>40</v>
      </c>
      <c r="E385" s="294">
        <v>0</v>
      </c>
      <c r="F385" s="294"/>
      <c r="G385" s="294"/>
    </row>
    <row r="386" spans="3:7" hidden="1">
      <c r="C386" s="292"/>
      <c r="D386" s="296" t="s">
        <v>41</v>
      </c>
      <c r="E386" s="294">
        <v>0</v>
      </c>
      <c r="F386" s="294"/>
      <c r="G386" s="294"/>
    </row>
    <row r="387" spans="3:7" hidden="1">
      <c r="C387" s="292"/>
      <c r="D387" s="295" t="s">
        <v>275</v>
      </c>
      <c r="E387" s="294">
        <v>0.33</v>
      </c>
      <c r="F387" s="294"/>
      <c r="G387" s="294"/>
    </row>
    <row r="388" spans="3:7" hidden="1">
      <c r="C388" s="292"/>
      <c r="D388" s="295" t="s">
        <v>145</v>
      </c>
      <c r="E388" s="294">
        <v>0.67</v>
      </c>
      <c r="F388" s="294"/>
      <c r="G388" s="294"/>
    </row>
    <row r="389" spans="3:7" hidden="1">
      <c r="C389" s="292"/>
      <c r="D389" s="295" t="s">
        <v>67</v>
      </c>
      <c r="E389" s="294">
        <v>1</v>
      </c>
      <c r="F389" s="294"/>
      <c r="G389" s="294"/>
    </row>
    <row r="390" spans="3:7" hidden="1">
      <c r="C390" s="292"/>
      <c r="D390" s="295"/>
      <c r="E390" s="294"/>
      <c r="F390" s="294"/>
      <c r="G390" s="294"/>
    </row>
    <row r="391" spans="3:7" hidden="1">
      <c r="C391" s="292"/>
      <c r="D391" s="295"/>
      <c r="E391" s="294"/>
      <c r="F391" s="294"/>
      <c r="G391" s="294"/>
    </row>
    <row r="392" spans="3:7" hidden="1">
      <c r="C392" s="292"/>
      <c r="D392" s="293"/>
      <c r="E392" s="294"/>
      <c r="F392" s="294"/>
      <c r="G392" s="294"/>
    </row>
    <row r="393" spans="3:7" ht="2.25" hidden="1" customHeight="1">
      <c r="C393" s="292"/>
      <c r="D393" s="293"/>
      <c r="E393" s="294"/>
      <c r="F393" s="294"/>
      <c r="G393" s="294"/>
    </row>
    <row r="394" spans="3:7" hidden="1">
      <c r="C394" s="292"/>
      <c r="D394" s="295" t="s">
        <v>40</v>
      </c>
      <c r="E394" s="294">
        <v>0</v>
      </c>
      <c r="F394" s="294"/>
      <c r="G394" s="294"/>
    </row>
    <row r="395" spans="3:7" hidden="1">
      <c r="C395" s="292"/>
      <c r="D395" s="296" t="s">
        <v>59</v>
      </c>
      <c r="E395" s="294">
        <v>0</v>
      </c>
      <c r="F395" s="294"/>
      <c r="G395" s="294"/>
    </row>
    <row r="396" spans="3:7" hidden="1">
      <c r="C396" s="292"/>
      <c r="D396" s="295" t="s">
        <v>60</v>
      </c>
      <c r="E396" s="294">
        <v>0.2</v>
      </c>
      <c r="F396" s="294"/>
      <c r="G396" s="294"/>
    </row>
    <row r="397" spans="3:7" hidden="1">
      <c r="C397" s="292"/>
      <c r="D397" s="295" t="s">
        <v>61</v>
      </c>
      <c r="E397" s="294">
        <v>0.4</v>
      </c>
      <c r="F397" s="294"/>
      <c r="G397" s="294"/>
    </row>
    <row r="398" spans="3:7" hidden="1">
      <c r="C398" s="292"/>
      <c r="D398" s="295" t="s">
        <v>62</v>
      </c>
      <c r="E398" s="294">
        <v>0.6</v>
      </c>
      <c r="F398" s="294"/>
      <c r="G398" s="294"/>
    </row>
    <row r="399" spans="3:7" hidden="1">
      <c r="C399" s="292"/>
      <c r="D399" s="295" t="s">
        <v>63</v>
      </c>
      <c r="E399" s="294">
        <v>0.8</v>
      </c>
      <c r="F399" s="294"/>
      <c r="G399" s="294"/>
    </row>
    <row r="400" spans="3:7" hidden="1">
      <c r="C400" s="292"/>
      <c r="D400" s="295" t="s">
        <v>64</v>
      </c>
      <c r="E400" s="294">
        <v>1</v>
      </c>
      <c r="F400" s="294"/>
      <c r="G400" s="294"/>
    </row>
    <row r="401" spans="1:11" ht="2.25" hidden="1" customHeight="1">
      <c r="C401" s="292"/>
      <c r="D401" s="293"/>
      <c r="E401" s="294"/>
      <c r="F401" s="294"/>
      <c r="G401" s="297"/>
    </row>
    <row r="402" spans="1:11" hidden="1">
      <c r="C402" s="292"/>
      <c r="D402" s="293" t="s">
        <v>40</v>
      </c>
      <c r="E402" s="294" t="s">
        <v>43</v>
      </c>
      <c r="F402" s="294">
        <v>0</v>
      </c>
      <c r="G402" s="298" t="e">
        <f>#REF!*((1+0.25)/2)</f>
        <v>#REF!</v>
      </c>
    </row>
    <row r="403" spans="1:11" ht="27.6" hidden="1">
      <c r="B403" s="293" t="s">
        <v>40</v>
      </c>
      <c r="C403" s="151">
        <v>0</v>
      </c>
      <c r="D403" s="293" t="s">
        <v>44</v>
      </c>
      <c r="E403" s="294" t="s">
        <v>45</v>
      </c>
      <c r="F403" s="294">
        <v>0</v>
      </c>
      <c r="G403" s="297"/>
    </row>
    <row r="404" spans="1:11" ht="27.6" hidden="1">
      <c r="B404" s="299" t="s">
        <v>46</v>
      </c>
      <c r="C404" s="151">
        <v>0.25</v>
      </c>
      <c r="D404" s="293" t="s">
        <v>47</v>
      </c>
      <c r="E404" s="294" t="s">
        <v>48</v>
      </c>
      <c r="F404" s="294">
        <v>1</v>
      </c>
      <c r="G404" s="297"/>
    </row>
    <row r="405" spans="1:11" ht="55.2" hidden="1">
      <c r="B405" s="299" t="s">
        <v>49</v>
      </c>
      <c r="C405" s="151">
        <v>0.5</v>
      </c>
      <c r="D405" s="300"/>
      <c r="E405" s="294" t="s">
        <v>50</v>
      </c>
      <c r="F405" s="294">
        <v>0.75</v>
      </c>
      <c r="G405" s="297"/>
    </row>
    <row r="406" spans="1:11" ht="55.2" hidden="1">
      <c r="B406" s="299" t="s">
        <v>51</v>
      </c>
      <c r="C406" s="151">
        <v>0.75</v>
      </c>
      <c r="D406" s="300"/>
      <c r="E406" s="294" t="s">
        <v>52</v>
      </c>
      <c r="F406" s="294">
        <v>0.5</v>
      </c>
      <c r="G406" s="297"/>
    </row>
    <row r="407" spans="1:11" hidden="1">
      <c r="B407" s="299" t="s">
        <v>53</v>
      </c>
      <c r="C407" s="151">
        <v>1</v>
      </c>
      <c r="D407" s="293"/>
      <c r="E407" s="294"/>
      <c r="F407" s="294"/>
      <c r="G407" s="297"/>
    </row>
    <row r="408" spans="1:11" ht="27.6">
      <c r="B408" s="299"/>
      <c r="D408" s="293"/>
      <c r="E408" s="301" t="s">
        <v>54</v>
      </c>
      <c r="F408" s="301" t="s">
        <v>35</v>
      </c>
      <c r="G408" s="297"/>
    </row>
    <row r="409" spans="1:11">
      <c r="C409" s="292"/>
      <c r="D409" s="301" t="s">
        <v>55</v>
      </c>
      <c r="E409" s="302"/>
      <c r="F409" s="302">
        <f>F383+H379+H258</f>
        <v>0</v>
      </c>
      <c r="G409" s="297"/>
    </row>
    <row r="410" spans="1:11" ht="2.25" customHeight="1" thickBot="1">
      <c r="C410" s="292"/>
      <c r="D410" s="293"/>
      <c r="E410" s="294"/>
      <c r="F410" s="294"/>
      <c r="G410" s="297"/>
    </row>
    <row r="411" spans="1:11" ht="14.4" thickBot="1">
      <c r="A411" s="374" t="s">
        <v>24</v>
      </c>
      <c r="B411" s="375"/>
      <c r="C411" s="375"/>
      <c r="D411" s="303"/>
      <c r="E411" s="303"/>
      <c r="F411" s="303"/>
      <c r="G411" s="304"/>
    </row>
    <row r="412" spans="1:11" ht="15" customHeight="1" thickBot="1">
      <c r="A412" s="284"/>
      <c r="B412" s="401" t="s">
        <v>25</v>
      </c>
      <c r="C412" s="401"/>
      <c r="D412" s="401"/>
      <c r="E412" s="401"/>
      <c r="F412" s="401"/>
      <c r="G412" s="402"/>
    </row>
    <row r="413" spans="1:11" ht="28.5" customHeight="1">
      <c r="A413" s="305" t="s">
        <v>26</v>
      </c>
      <c r="B413" s="376" t="s">
        <v>388</v>
      </c>
      <c r="C413" s="377"/>
      <c r="D413" s="377"/>
      <c r="E413" s="377"/>
      <c r="F413" s="377"/>
      <c r="G413" s="378"/>
    </row>
    <row r="414" spans="1:11" hidden="1"/>
    <row r="415" spans="1:11" hidden="1">
      <c r="C415" s="371" t="s">
        <v>79</v>
      </c>
      <c r="D415" s="371"/>
      <c r="E415" s="371"/>
      <c r="F415" s="371"/>
      <c r="G415" s="371"/>
      <c r="H415" s="371"/>
      <c r="I415" s="371"/>
      <c r="J415" s="371"/>
      <c r="K415" s="371"/>
    </row>
    <row r="416" spans="1:11" hidden="1">
      <c r="C416" s="167"/>
      <c r="D416" s="307" t="s">
        <v>80</v>
      </c>
      <c r="E416" s="307" t="s">
        <v>81</v>
      </c>
      <c r="F416" s="308"/>
      <c r="G416" s="167"/>
      <c r="H416" s="167"/>
      <c r="I416" s="167"/>
      <c r="J416" s="167"/>
      <c r="K416" s="167"/>
    </row>
    <row r="417" spans="3:11" hidden="1">
      <c r="C417" s="167"/>
      <c r="D417" s="309" t="s">
        <v>82</v>
      </c>
      <c r="E417" s="310">
        <v>0</v>
      </c>
      <c r="F417" s="308"/>
      <c r="G417" s="167"/>
      <c r="H417" s="167"/>
      <c r="I417" s="167"/>
      <c r="J417" s="167"/>
      <c r="K417" s="167"/>
    </row>
    <row r="418" spans="3:11" hidden="1">
      <c r="C418" s="167"/>
      <c r="D418" s="309" t="s">
        <v>43</v>
      </c>
      <c r="E418" s="310">
        <v>0</v>
      </c>
      <c r="F418" s="308"/>
      <c r="G418" s="167"/>
      <c r="H418" s="167"/>
      <c r="I418" s="167"/>
      <c r="J418" s="167"/>
      <c r="K418" s="167"/>
    </row>
    <row r="419" spans="3:11" hidden="1">
      <c r="C419" s="167"/>
      <c r="D419" s="311" t="s">
        <v>83</v>
      </c>
      <c r="E419" s="309">
        <v>256</v>
      </c>
      <c r="F419" s="166"/>
      <c r="G419" s="167"/>
      <c r="H419" s="167"/>
      <c r="I419" s="167"/>
      <c r="J419" s="167"/>
      <c r="K419" s="167"/>
    </row>
    <row r="420" spans="3:11" hidden="1">
      <c r="C420" s="167"/>
      <c r="D420" s="312" t="s">
        <v>77</v>
      </c>
      <c r="E420" s="309">
        <v>88</v>
      </c>
      <c r="F420" s="313"/>
      <c r="G420" s="167"/>
      <c r="H420" s="167"/>
      <c r="I420" s="167"/>
      <c r="J420" s="167"/>
      <c r="K420" s="167"/>
    </row>
    <row r="421" spans="3:11" hidden="1">
      <c r="C421" s="167"/>
      <c r="D421" s="312" t="s">
        <v>84</v>
      </c>
      <c r="E421" s="309">
        <v>121</v>
      </c>
      <c r="F421" s="313"/>
      <c r="G421" s="167"/>
      <c r="H421" s="167"/>
      <c r="I421" s="167"/>
      <c r="J421" s="167"/>
      <c r="K421" s="167"/>
    </row>
    <row r="422" spans="3:11" hidden="1">
      <c r="C422" s="167"/>
      <c r="D422" s="312" t="s">
        <v>85</v>
      </c>
      <c r="E422" s="309">
        <v>12</v>
      </c>
      <c r="F422" s="313"/>
      <c r="G422" s="167"/>
      <c r="H422" s="167"/>
      <c r="I422" s="167"/>
      <c r="J422" s="167"/>
      <c r="K422" s="167"/>
    </row>
    <row r="423" spans="3:11" hidden="1">
      <c r="C423" s="167"/>
      <c r="D423" s="312" t="s">
        <v>86</v>
      </c>
      <c r="E423" s="309">
        <v>22</v>
      </c>
      <c r="F423" s="313"/>
      <c r="G423" s="167"/>
      <c r="H423" s="167"/>
      <c r="I423" s="167"/>
      <c r="J423" s="167"/>
      <c r="K423" s="167"/>
    </row>
    <row r="424" spans="3:11" hidden="1">
      <c r="C424" s="167"/>
      <c r="D424" s="312" t="s">
        <v>87</v>
      </c>
      <c r="E424" s="309">
        <v>24</v>
      </c>
      <c r="F424" s="313"/>
      <c r="G424" s="167"/>
      <c r="H424" s="167"/>
      <c r="I424" s="167"/>
      <c r="J424" s="167"/>
      <c r="K424" s="167"/>
    </row>
    <row r="425" spans="3:11" ht="22.8" hidden="1">
      <c r="C425" s="167"/>
      <c r="D425" s="312" t="s">
        <v>88</v>
      </c>
      <c r="E425" s="309">
        <v>32</v>
      </c>
      <c r="F425" s="313"/>
      <c r="G425" s="167"/>
      <c r="H425" s="167"/>
      <c r="I425" s="167"/>
      <c r="J425" s="167"/>
      <c r="K425" s="167"/>
    </row>
    <row r="426" spans="3:11" hidden="1">
      <c r="C426" s="167"/>
      <c r="D426" s="170"/>
      <c r="E426" s="170"/>
      <c r="F426" s="313"/>
      <c r="G426" s="167"/>
      <c r="H426" s="167"/>
      <c r="I426" s="167"/>
      <c r="J426" s="167"/>
      <c r="K426" s="167"/>
    </row>
    <row r="427" spans="3:11" hidden="1">
      <c r="C427" s="167"/>
      <c r="D427" s="307" t="s">
        <v>89</v>
      </c>
      <c r="E427" s="307" t="s">
        <v>90</v>
      </c>
      <c r="F427" s="314" t="s">
        <v>91</v>
      </c>
      <c r="G427" s="167"/>
      <c r="H427" s="167"/>
      <c r="I427" s="167"/>
      <c r="J427" s="167"/>
      <c r="K427" s="167"/>
    </row>
    <row r="428" spans="3:11" hidden="1">
      <c r="C428" s="167"/>
      <c r="D428" s="309" t="s">
        <v>92</v>
      </c>
      <c r="E428" s="310">
        <v>0</v>
      </c>
      <c r="F428" s="315">
        <v>0</v>
      </c>
      <c r="G428" s="167"/>
      <c r="H428" s="167"/>
      <c r="I428" s="167"/>
      <c r="J428" s="167"/>
      <c r="K428" s="167"/>
    </row>
    <row r="429" spans="3:11" hidden="1">
      <c r="C429" s="167"/>
      <c r="D429" s="309" t="s">
        <v>43</v>
      </c>
      <c r="E429" s="310">
        <v>0</v>
      </c>
      <c r="F429" s="315">
        <v>0</v>
      </c>
      <c r="G429" s="167"/>
      <c r="H429" s="167"/>
      <c r="I429" s="167"/>
      <c r="J429" s="167"/>
      <c r="K429" s="167"/>
    </row>
    <row r="430" spans="3:11" hidden="1">
      <c r="C430" s="167"/>
      <c r="D430" s="311" t="s">
        <v>93</v>
      </c>
      <c r="E430" s="310">
        <v>1</v>
      </c>
      <c r="F430" s="315">
        <v>1</v>
      </c>
      <c r="G430" s="167"/>
      <c r="H430" s="167"/>
      <c r="I430" s="167"/>
      <c r="J430" s="167"/>
      <c r="K430" s="167"/>
    </row>
    <row r="431" spans="3:11" hidden="1">
      <c r="C431" s="167"/>
      <c r="D431" s="311" t="s">
        <v>94</v>
      </c>
      <c r="E431" s="310">
        <v>0.94</v>
      </c>
      <c r="F431" s="315">
        <v>0.97</v>
      </c>
      <c r="G431" s="167"/>
      <c r="H431" s="167"/>
      <c r="I431" s="167"/>
      <c r="J431" s="167"/>
      <c r="K431" s="167"/>
    </row>
    <row r="432" spans="3:11" hidden="1">
      <c r="C432" s="167"/>
      <c r="D432" s="311" t="s">
        <v>95</v>
      </c>
      <c r="E432" s="310">
        <v>0.16</v>
      </c>
      <c r="F432" s="315">
        <v>0.16</v>
      </c>
      <c r="G432" s="167"/>
      <c r="H432" s="167"/>
      <c r="I432" s="167"/>
      <c r="J432" s="167"/>
      <c r="K432" s="167"/>
    </row>
    <row r="433" spans="3:11" hidden="1">
      <c r="C433" s="167"/>
      <c r="D433" s="311" t="s">
        <v>96</v>
      </c>
      <c r="E433" s="310">
        <v>0.11</v>
      </c>
      <c r="F433" s="315">
        <v>0.11</v>
      </c>
      <c r="G433" s="167"/>
      <c r="H433" s="167"/>
      <c r="I433" s="167"/>
      <c r="J433" s="167"/>
      <c r="K433" s="167"/>
    </row>
    <row r="434" spans="3:11" hidden="1">
      <c r="C434" s="167"/>
      <c r="D434" s="311" t="s">
        <v>78</v>
      </c>
      <c r="E434" s="310">
        <v>0.84</v>
      </c>
      <c r="F434" s="316"/>
      <c r="G434" s="167"/>
      <c r="H434" s="167"/>
      <c r="I434" s="167"/>
      <c r="J434" s="167"/>
      <c r="K434" s="167"/>
    </row>
    <row r="435" spans="3:11" hidden="1">
      <c r="C435" s="167"/>
      <c r="D435" s="311" t="s">
        <v>97</v>
      </c>
      <c r="E435" s="310">
        <v>0.34</v>
      </c>
      <c r="F435" s="316"/>
      <c r="G435" s="167"/>
      <c r="H435" s="167"/>
      <c r="I435" s="167"/>
      <c r="J435" s="167"/>
      <c r="K435" s="167"/>
    </row>
    <row r="436" spans="3:11" hidden="1">
      <c r="C436" s="167"/>
      <c r="D436" s="311" t="s">
        <v>98</v>
      </c>
      <c r="E436" s="310">
        <v>0.91</v>
      </c>
      <c r="F436" s="315">
        <v>0.91</v>
      </c>
      <c r="G436" s="167"/>
      <c r="H436" s="167"/>
      <c r="I436" s="167"/>
      <c r="J436" s="167"/>
      <c r="K436" s="167"/>
    </row>
    <row r="437" spans="3:11" hidden="1">
      <c r="C437" s="167"/>
      <c r="D437" s="311" t="s">
        <v>99</v>
      </c>
      <c r="E437" s="310">
        <v>0.36</v>
      </c>
      <c r="F437" s="315">
        <v>0.36</v>
      </c>
      <c r="G437" s="167"/>
      <c r="H437" s="167"/>
      <c r="I437" s="167"/>
      <c r="J437" s="167"/>
      <c r="K437" s="167"/>
    </row>
    <row r="438" spans="3:11" hidden="1">
      <c r="C438" s="167"/>
      <c r="D438" s="311" t="s">
        <v>100</v>
      </c>
      <c r="E438" s="310">
        <v>0.71</v>
      </c>
      <c r="F438" s="315">
        <v>0.7</v>
      </c>
      <c r="G438" s="167"/>
      <c r="H438" s="167"/>
      <c r="I438" s="167"/>
      <c r="J438" s="167"/>
      <c r="K438" s="167"/>
    </row>
    <row r="439" spans="3:11" hidden="1">
      <c r="C439" s="167"/>
      <c r="D439" s="311" t="s">
        <v>101</v>
      </c>
      <c r="E439" s="310">
        <v>0.81</v>
      </c>
      <c r="F439" s="315">
        <v>0.8</v>
      </c>
      <c r="G439" s="167"/>
      <c r="H439" s="167"/>
      <c r="I439" s="167"/>
      <c r="J439" s="167"/>
      <c r="K439" s="167"/>
    </row>
    <row r="440" spans="3:11" hidden="1">
      <c r="C440" s="167"/>
      <c r="D440" s="311" t="s">
        <v>102</v>
      </c>
      <c r="E440" s="317">
        <v>1</v>
      </c>
      <c r="F440" s="315"/>
      <c r="G440" s="167"/>
      <c r="H440" s="167"/>
      <c r="I440" s="167"/>
      <c r="J440" s="167"/>
      <c r="K440" s="167"/>
    </row>
    <row r="441" spans="3:11" hidden="1">
      <c r="C441" s="167"/>
      <c r="D441" s="311" t="s">
        <v>103</v>
      </c>
      <c r="E441" s="317">
        <v>1</v>
      </c>
      <c r="F441" s="315"/>
      <c r="G441" s="167"/>
      <c r="H441" s="167"/>
      <c r="I441" s="167"/>
      <c r="J441" s="167"/>
      <c r="K441" s="167"/>
    </row>
    <row r="442" spans="3:11">
      <c r="C442" s="167"/>
      <c r="D442" s="167"/>
      <c r="E442" s="167"/>
      <c r="F442" s="167"/>
      <c r="G442" s="167"/>
      <c r="H442" s="167"/>
      <c r="I442" s="167"/>
      <c r="J442" s="167"/>
      <c r="K442" s="167"/>
    </row>
  </sheetData>
  <sheetProtection algorithmName="SHA-512" hashValue="npwTFTXuKM5MWvp9UwByt+7kdKI5pLWXqoUQC+3xuxO0FdU53awK8y2DxgBao74rEAVy5pkiSIfon5IwT2jiEQ==" saltValue="/R/1iXEAe8MvFRuOVADE4Q==" spinCount="100000" sheet="1" objects="1" scenarios="1"/>
  <protectedRanges>
    <protectedRange sqref="F3:F10 D3:D10" name="gegevens_1_2_1"/>
  </protectedRanges>
  <mergeCells count="146">
    <mergeCell ref="A100:B103"/>
    <mergeCell ref="A105:B105"/>
    <mergeCell ref="A221:B224"/>
    <mergeCell ref="A253:B253"/>
    <mergeCell ref="A254:B257"/>
    <mergeCell ref="A88:B88"/>
    <mergeCell ref="A99:B99"/>
    <mergeCell ref="A106:B109"/>
    <mergeCell ref="A110:B110"/>
    <mergeCell ref="A111:B114"/>
    <mergeCell ref="A171:B171"/>
    <mergeCell ref="A150:B153"/>
    <mergeCell ref="A154:B154"/>
    <mergeCell ref="A155:B158"/>
    <mergeCell ref="A172:B175"/>
    <mergeCell ref="A198:B198"/>
    <mergeCell ref="A199:B202"/>
    <mergeCell ref="A204:B204"/>
    <mergeCell ref="A183:B186"/>
    <mergeCell ref="A187:B187"/>
    <mergeCell ref="A188:B191"/>
    <mergeCell ref="A193:B193"/>
    <mergeCell ref="A194:B197"/>
    <mergeCell ref="A62:B65"/>
    <mergeCell ref="A72:B72"/>
    <mergeCell ref="A73:B76"/>
    <mergeCell ref="A77:B77"/>
    <mergeCell ref="A78:B81"/>
    <mergeCell ref="A83:B83"/>
    <mergeCell ref="A84:B87"/>
    <mergeCell ref="A39:B39"/>
    <mergeCell ref="A51:B54"/>
    <mergeCell ref="A56:B56"/>
    <mergeCell ref="A57:B60"/>
    <mergeCell ref="A61:B61"/>
    <mergeCell ref="A66:B66"/>
    <mergeCell ref="A67:B70"/>
    <mergeCell ref="A340:B340"/>
    <mergeCell ref="A18:B21"/>
    <mergeCell ref="A94:B94"/>
    <mergeCell ref="A95:B98"/>
    <mergeCell ref="A89:B92"/>
    <mergeCell ref="B343:B377"/>
    <mergeCell ref="A122:B125"/>
    <mergeCell ref="A127:B127"/>
    <mergeCell ref="A128:B131"/>
    <mergeCell ref="A132:B132"/>
    <mergeCell ref="A133:B136"/>
    <mergeCell ref="A149:B149"/>
    <mergeCell ref="A138:B138"/>
    <mergeCell ref="A139:B142"/>
    <mergeCell ref="A143:B143"/>
    <mergeCell ref="A144:B147"/>
    <mergeCell ref="A238:B241"/>
    <mergeCell ref="A242:B242"/>
    <mergeCell ref="A243:B246"/>
    <mergeCell ref="A248:B248"/>
    <mergeCell ref="A249:B252"/>
    <mergeCell ref="A342:C342"/>
    <mergeCell ref="A165:B165"/>
    <mergeCell ref="A166:B169"/>
    <mergeCell ref="E343:F343"/>
    <mergeCell ref="E347:F347"/>
    <mergeCell ref="E350:F350"/>
    <mergeCell ref="E370:F370"/>
    <mergeCell ref="D375:E375"/>
    <mergeCell ref="D376:E376"/>
    <mergeCell ref="D377:E377"/>
    <mergeCell ref="A116:B116"/>
    <mergeCell ref="A176:B176"/>
    <mergeCell ref="A205:B208"/>
    <mergeCell ref="A209:B209"/>
    <mergeCell ref="A226:B226"/>
    <mergeCell ref="A227:B230"/>
    <mergeCell ref="A231:B231"/>
    <mergeCell ref="A232:B235"/>
    <mergeCell ref="A237:B237"/>
    <mergeCell ref="A210:B213"/>
    <mergeCell ref="A215:B215"/>
    <mergeCell ref="A216:B219"/>
    <mergeCell ref="A220:B220"/>
    <mergeCell ref="A160:B160"/>
    <mergeCell ref="A161:B164"/>
    <mergeCell ref="A117:B120"/>
    <mergeCell ref="A121:B121"/>
    <mergeCell ref="A1:G1"/>
    <mergeCell ref="A2:C2"/>
    <mergeCell ref="D262:E262"/>
    <mergeCell ref="E291:F291"/>
    <mergeCell ref="D297:E297"/>
    <mergeCell ref="A5:C5"/>
    <mergeCell ref="D3:G3"/>
    <mergeCell ref="D4:G4"/>
    <mergeCell ref="D5:G5"/>
    <mergeCell ref="D296:E296"/>
    <mergeCell ref="B264:B298"/>
    <mergeCell ref="E264:F264"/>
    <mergeCell ref="E268:F268"/>
    <mergeCell ref="E271:F271"/>
    <mergeCell ref="A11:C11"/>
    <mergeCell ref="A13:B16"/>
    <mergeCell ref="A23:B23"/>
    <mergeCell ref="A24:B27"/>
    <mergeCell ref="A28:B28"/>
    <mergeCell ref="A29:B32"/>
    <mergeCell ref="A34:B34"/>
    <mergeCell ref="A35:B38"/>
    <mergeCell ref="A177:B180"/>
    <mergeCell ref="A182:B182"/>
    <mergeCell ref="C415:K415"/>
    <mergeCell ref="A260:C260"/>
    <mergeCell ref="A411:C411"/>
    <mergeCell ref="B413:G413"/>
    <mergeCell ref="A381:C381"/>
    <mergeCell ref="A263:C263"/>
    <mergeCell ref="D298:E298"/>
    <mergeCell ref="D301:E301"/>
    <mergeCell ref="A302:C302"/>
    <mergeCell ref="B303:B337"/>
    <mergeCell ref="E303:F303"/>
    <mergeCell ref="E307:F307"/>
    <mergeCell ref="E310:F310"/>
    <mergeCell ref="E330:F330"/>
    <mergeCell ref="D335:E335"/>
    <mergeCell ref="D336:E336"/>
    <mergeCell ref="D337:E337"/>
    <mergeCell ref="A262:B262"/>
    <mergeCell ref="A301:B301"/>
    <mergeCell ref="B412:G412"/>
    <mergeCell ref="A261:B261"/>
    <mergeCell ref="A300:B300"/>
    <mergeCell ref="A341:B341"/>
    <mergeCell ref="D341:E341"/>
    <mergeCell ref="D6:G6"/>
    <mergeCell ref="A3:C3"/>
    <mergeCell ref="A4:C4"/>
    <mergeCell ref="A6:C6"/>
    <mergeCell ref="A12:B12"/>
    <mergeCell ref="A17:B17"/>
    <mergeCell ref="A45:B45"/>
    <mergeCell ref="A46:B49"/>
    <mergeCell ref="A50:B50"/>
    <mergeCell ref="B8:D8"/>
    <mergeCell ref="B10:D10"/>
    <mergeCell ref="A40:B43"/>
    <mergeCell ref="B9:D9"/>
  </mergeCells>
  <phoneticPr fontId="4" type="noConversion"/>
  <dataValidations count="7">
    <dataValidation operator="lessThanOrEqual" allowBlank="1" showInputMessage="1" showErrorMessage="1" sqref="B403:B408 C409:C410 B412:B413 D382 D384:D392 E382:G392 D393:G410 C382:C402 G258:G259 G379" xr:uid="{1C09DE1C-5477-467F-BE3D-81439B1EF33C}"/>
    <dataValidation type="list" operator="lessThanOrEqual" allowBlank="1" showInputMessage="1" showErrorMessage="1" sqref="D383" xr:uid="{6E658FA3-4A2D-47A6-B72D-93E6A5A7E861}">
      <formula1>$D$385:$D$391</formula1>
    </dataValidation>
    <dataValidation operator="lessThan" allowBlank="1" showInputMessage="1" showErrorMessage="1" sqref="D13 D18 D24 D254 D35 D29 D46 D51 D67 D62 D73 D78 D84 D89 D95 D100 D106 D111 D117 D122 D128 D133 D150 D155 D161 D166 D139 D144 D172 D177 D183 D188 D194 D199 D205 D210 D216 D221 D227 D232 D238 D243 D249 D40" xr:uid="{CA144490-B93C-412B-A884-68F679128EB4}"/>
    <dataValidation type="whole" operator="lessThan" allowBlank="1" showInputMessage="1" showErrorMessage="1" sqref="D19 D14 D30 D25 D41 D36 D52 D47 D63 D58 D79 D74 D90 D85 D101 D96 D112 D107 D123 D118 D134 D129 D156 D151 D167 D162 D145 D140 D178 D173 D189 D184 D200 D195 D211 D206 D222 D217 D233 D228 D244 D239 D255 D250 D68" xr:uid="{2B0EEDAA-A4D6-46C1-91E4-4F4650AC2805}">
      <formula1>1000</formula1>
    </dataValidation>
    <dataValidation type="list" allowBlank="1" showInputMessage="1" showErrorMessage="1" sqref="D15 D69 D251 D256 D229 D234 D207 D212 D185 D190 D141 D146 D152 D157 D119 D124 D108 D113 D97 D102 D75 D80 D48 D53 D37 D42 D20 D26 D31 D59 D64 D86 D91 D130 D135 D163 D168 D174 D179 D196 D201 D218 D223 D240 D245" xr:uid="{3E511737-3427-48B5-ADC7-7ACBC2FFBDDD}">
      <formula1>$D$417:$D$425</formula1>
    </dataValidation>
    <dataValidation type="list" allowBlank="1" showInputMessage="1" showErrorMessage="1" sqref="D21 D70 D65 D230 D235 D208 D213 D186 D191 D147 D169 D164 D158 D120 D125 D87 D81 D60 D54 D43 D16 D32 D38 D49 D241 D76 D92 D98 D103 D109 D114 D27 D153 D131 D136 D142 D180 D175 D202 D197 D224 D219 D246 D257:D259 D252" xr:uid="{6B1ECD53-7AA0-441C-974A-FC6F754B114D}">
      <formula1>$D$428:$D$441</formula1>
    </dataValidation>
    <dataValidation type="decimal" operator="lessThan" allowBlank="1" showInputMessage="1" showErrorMessage="1" error="Voor Maastricht is maximaal 78% brongescheiden HRA" sqref="D57" xr:uid="{191F64F9-2749-4AA9-810A-D50B6437B660}">
      <formula1>0.785</formula1>
    </dataValidation>
  </dataValidations>
  <pageMargins left="0.7" right="0.7" top="0.75" bottom="0.75" header="0.3" footer="0.3"/>
  <pageSetup paperSize="9" scale="52" fitToHeight="0" orientation="landscape" r:id="rId1"/>
  <rowBreaks count="2" manualBreakCount="2">
    <brk id="320" max="7" man="1"/>
    <brk id="373"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BC1-EFD4-463A-B142-1F90188B456B}">
  <dimension ref="A1:I55"/>
  <sheetViews>
    <sheetView showGridLines="0" view="pageBreakPreview" zoomScale="80" zoomScaleNormal="100" zoomScaleSheetLayoutView="80" workbookViewId="0">
      <selection activeCell="J22" sqref="J22"/>
    </sheetView>
  </sheetViews>
  <sheetFormatPr defaultColWidth="9.109375" defaultRowHeight="11.4"/>
  <cols>
    <col min="1" max="1" width="15.6640625" style="73" customWidth="1"/>
    <col min="2" max="2" width="47.109375" style="73" customWidth="1"/>
    <col min="3" max="4" width="20.6640625" style="147" customWidth="1"/>
    <col min="5" max="7" width="30.6640625" style="147" customWidth="1"/>
    <col min="8" max="8" width="20.6640625" style="73" hidden="1" customWidth="1"/>
    <col min="9" max="16384" width="9.109375" style="73"/>
  </cols>
  <sheetData>
    <row r="1" spans="1:9" ht="36" customHeight="1" thickBot="1">
      <c r="A1" s="422" t="s">
        <v>380</v>
      </c>
      <c r="B1" s="423"/>
      <c r="C1" s="423"/>
      <c r="D1" s="423"/>
      <c r="E1" s="423"/>
      <c r="F1" s="423"/>
      <c r="G1" s="424"/>
    </row>
    <row r="2" spans="1:9" s="75" customFormat="1" ht="15" customHeight="1">
      <c r="A2" s="431" t="s">
        <v>151</v>
      </c>
      <c r="B2" s="432"/>
      <c r="C2" s="433"/>
      <c r="D2" s="434" t="s">
        <v>152</v>
      </c>
      <c r="E2" s="434"/>
      <c r="F2" s="434"/>
      <c r="G2" s="435"/>
      <c r="H2" s="74"/>
      <c r="I2" s="74"/>
    </row>
    <row r="3" spans="1:9" s="75" customFormat="1" ht="15" customHeight="1">
      <c r="A3" s="436" t="s">
        <v>153</v>
      </c>
      <c r="B3" s="437"/>
      <c r="C3" s="438"/>
      <c r="D3" s="439" t="s">
        <v>154</v>
      </c>
      <c r="E3" s="439"/>
      <c r="F3" s="439"/>
      <c r="G3" s="440"/>
      <c r="H3" s="76"/>
      <c r="I3" s="76"/>
    </row>
    <row r="4" spans="1:9" s="75" customFormat="1" ht="15" customHeight="1">
      <c r="A4" s="436" t="s">
        <v>155</v>
      </c>
      <c r="B4" s="437"/>
      <c r="C4" s="438"/>
      <c r="D4" s="439" t="s">
        <v>156</v>
      </c>
      <c r="E4" s="439"/>
      <c r="F4" s="439"/>
      <c r="G4" s="440"/>
      <c r="H4" s="76"/>
      <c r="I4" s="76"/>
    </row>
    <row r="5" spans="1:9" s="75" customFormat="1" ht="15" customHeight="1" thickBot="1">
      <c r="A5" s="441" t="s">
        <v>157</v>
      </c>
      <c r="B5" s="442"/>
      <c r="C5" s="443"/>
      <c r="D5" s="444" t="s">
        <v>158</v>
      </c>
      <c r="E5" s="444"/>
      <c r="F5" s="444"/>
      <c r="G5" s="445"/>
      <c r="H5" s="76"/>
      <c r="I5" s="76"/>
    </row>
    <row r="6" spans="1:9" s="79" customFormat="1" ht="15" customHeight="1">
      <c r="A6" s="425" t="s">
        <v>434</v>
      </c>
      <c r="B6" s="426"/>
      <c r="C6" s="77"/>
      <c r="D6" s="77"/>
      <c r="E6" s="77"/>
      <c r="F6" s="77"/>
      <c r="G6" s="78"/>
    </row>
    <row r="7" spans="1:9" s="86" customFormat="1" ht="15" customHeight="1">
      <c r="A7" s="80" t="s">
        <v>68</v>
      </c>
      <c r="B7" s="81" t="s">
        <v>5</v>
      </c>
      <c r="C7" s="82" t="s">
        <v>6</v>
      </c>
      <c r="D7" s="82"/>
      <c r="E7" s="82" t="s">
        <v>389</v>
      </c>
      <c r="F7" s="82" t="s">
        <v>390</v>
      </c>
      <c r="G7" s="83" t="s">
        <v>7</v>
      </c>
      <c r="H7" s="84"/>
      <c r="I7" s="85"/>
    </row>
    <row r="8" spans="1:9" s="86" customFormat="1" ht="15" customHeight="1">
      <c r="A8" s="87" t="s">
        <v>8</v>
      </c>
      <c r="B8" s="88" t="s">
        <v>340</v>
      </c>
      <c r="C8" s="87" t="s">
        <v>9</v>
      </c>
      <c r="D8" s="88"/>
      <c r="E8" s="343"/>
      <c r="F8" s="89">
        <f>76935*'2. Kwaliteit Perceel 2'!F261</f>
        <v>76935</v>
      </c>
      <c r="G8" s="90">
        <f>F8*E8</f>
        <v>0</v>
      </c>
      <c r="H8" s="460"/>
      <c r="I8" s="85"/>
    </row>
    <row r="9" spans="1:9" s="86" customFormat="1" ht="15" customHeight="1">
      <c r="A9" s="87" t="s">
        <v>11</v>
      </c>
      <c r="B9" s="88" t="s">
        <v>159</v>
      </c>
      <c r="C9" s="87" t="s">
        <v>9</v>
      </c>
      <c r="D9" s="88"/>
      <c r="E9" s="343"/>
      <c r="F9" s="89">
        <f>F8</f>
        <v>76935</v>
      </c>
      <c r="G9" s="90">
        <f>F9*E9</f>
        <v>0</v>
      </c>
      <c r="H9" s="460"/>
      <c r="I9" s="85"/>
    </row>
    <row r="10" spans="1:9" s="79" customFormat="1" ht="15" customHeight="1">
      <c r="A10" s="425" t="s">
        <v>436</v>
      </c>
      <c r="B10" s="426"/>
      <c r="C10" s="77"/>
      <c r="D10" s="77"/>
      <c r="E10" s="77"/>
      <c r="F10" s="77"/>
      <c r="G10" s="78"/>
      <c r="H10" s="460"/>
    </row>
    <row r="11" spans="1:9" s="86" customFormat="1" ht="15" customHeight="1">
      <c r="A11" s="80" t="s">
        <v>68</v>
      </c>
      <c r="B11" s="81" t="s">
        <v>5</v>
      </c>
      <c r="C11" s="82" t="s">
        <v>6</v>
      </c>
      <c r="D11" s="82"/>
      <c r="E11" s="82" t="s">
        <v>389</v>
      </c>
      <c r="F11" s="82" t="s">
        <v>390</v>
      </c>
      <c r="G11" s="83" t="s">
        <v>7</v>
      </c>
      <c r="H11" s="460"/>
      <c r="I11" s="85"/>
    </row>
    <row r="12" spans="1:9" s="86" customFormat="1" ht="15" customHeight="1">
      <c r="A12" s="87" t="s">
        <v>12</v>
      </c>
      <c r="B12" s="88" t="s">
        <v>340</v>
      </c>
      <c r="C12" s="87" t="s">
        <v>9</v>
      </c>
      <c r="D12" s="88"/>
      <c r="E12" s="343"/>
      <c r="F12" s="89">
        <f>76935-F8</f>
        <v>0</v>
      </c>
      <c r="G12" s="90">
        <f>F12*E12</f>
        <v>0</v>
      </c>
      <c r="H12" s="460"/>
      <c r="I12" s="85"/>
    </row>
    <row r="13" spans="1:9" s="86" customFormat="1" ht="15" customHeight="1">
      <c r="A13" s="87" t="s">
        <v>65</v>
      </c>
      <c r="B13" s="88" t="s">
        <v>159</v>
      </c>
      <c r="C13" s="87" t="s">
        <v>9</v>
      </c>
      <c r="D13" s="88"/>
      <c r="E13" s="343"/>
      <c r="F13" s="89">
        <f>F12</f>
        <v>0</v>
      </c>
      <c r="G13" s="90">
        <f>F13*E13</f>
        <v>0</v>
      </c>
      <c r="H13" s="460"/>
      <c r="I13" s="85"/>
    </row>
    <row r="14" spans="1:9" s="79" customFormat="1" ht="15" customHeight="1">
      <c r="A14" s="425" t="s">
        <v>435</v>
      </c>
      <c r="B14" s="426"/>
      <c r="C14" s="77"/>
      <c r="D14" s="77"/>
      <c r="E14" s="77"/>
      <c r="F14" s="77"/>
      <c r="G14" s="78"/>
      <c r="H14" s="91"/>
    </row>
    <row r="15" spans="1:9" s="86" customFormat="1" ht="15" customHeight="1">
      <c r="A15" s="80" t="s">
        <v>68</v>
      </c>
      <c r="B15" s="81" t="s">
        <v>5</v>
      </c>
      <c r="C15" s="82" t="s">
        <v>6</v>
      </c>
      <c r="D15" s="82"/>
      <c r="E15" s="82" t="s">
        <v>389</v>
      </c>
      <c r="F15" s="82" t="s">
        <v>390</v>
      </c>
      <c r="G15" s="83" t="s">
        <v>7</v>
      </c>
      <c r="H15" s="91"/>
      <c r="I15" s="85"/>
    </row>
    <row r="16" spans="1:9" s="86" customFormat="1" ht="15" customHeight="1">
      <c r="A16" s="87" t="s">
        <v>12</v>
      </c>
      <c r="B16" s="88" t="s">
        <v>340</v>
      </c>
      <c r="C16" s="87" t="s">
        <v>9</v>
      </c>
      <c r="D16" s="88"/>
      <c r="E16" s="343"/>
      <c r="F16" s="89">
        <v>19324</v>
      </c>
      <c r="G16" s="90">
        <f>F16*E16</f>
        <v>0</v>
      </c>
      <c r="H16" s="91"/>
      <c r="I16" s="85"/>
    </row>
    <row r="17" spans="1:9" s="86" customFormat="1" ht="15" customHeight="1">
      <c r="A17" s="87" t="s">
        <v>65</v>
      </c>
      <c r="B17" s="88" t="s">
        <v>159</v>
      </c>
      <c r="C17" s="87" t="s">
        <v>9</v>
      </c>
      <c r="D17" s="88"/>
      <c r="E17" s="343"/>
      <c r="F17" s="89">
        <v>19324</v>
      </c>
      <c r="G17" s="90">
        <f>F17*E17</f>
        <v>0</v>
      </c>
      <c r="H17" s="91"/>
      <c r="I17" s="85"/>
    </row>
    <row r="18" spans="1:9" s="86" customFormat="1" ht="15" customHeight="1">
      <c r="C18" s="92"/>
      <c r="D18" s="92"/>
      <c r="E18" s="92"/>
      <c r="F18" s="92"/>
      <c r="G18" s="92"/>
      <c r="H18" s="93"/>
      <c r="I18" s="85"/>
    </row>
    <row r="19" spans="1:9" s="79" customFormat="1" ht="15" customHeight="1">
      <c r="A19" s="372" t="s">
        <v>10</v>
      </c>
      <c r="B19" s="373"/>
      <c r="C19" s="94"/>
      <c r="D19" s="94"/>
      <c r="E19" s="94"/>
      <c r="F19" s="94"/>
      <c r="G19" s="95"/>
      <c r="H19" s="96"/>
      <c r="I19" s="97"/>
    </row>
    <row r="20" spans="1:9" s="86" customFormat="1" ht="15" hidden="1" customHeight="1">
      <c r="A20" s="98" t="s">
        <v>4</v>
      </c>
      <c r="B20" s="81" t="s">
        <v>5</v>
      </c>
      <c r="C20" s="82" t="s">
        <v>6</v>
      </c>
      <c r="D20" s="427" t="s">
        <v>391</v>
      </c>
      <c r="E20" s="427"/>
      <c r="F20" s="82" t="s">
        <v>390</v>
      </c>
      <c r="G20" s="83" t="s">
        <v>7</v>
      </c>
      <c r="H20" s="93"/>
      <c r="I20" s="85"/>
    </row>
    <row r="21" spans="1:9" s="99" customFormat="1" ht="15" customHeight="1">
      <c r="A21" s="430" t="s">
        <v>398</v>
      </c>
      <c r="B21" s="430"/>
      <c r="C21" s="430"/>
      <c r="D21" s="430"/>
      <c r="E21" s="430"/>
      <c r="F21" s="430"/>
      <c r="G21" s="430"/>
    </row>
    <row r="22" spans="1:9" s="99" customFormat="1" ht="30" customHeight="1">
      <c r="A22" s="80" t="s">
        <v>68</v>
      </c>
      <c r="B22" s="81" t="s">
        <v>5</v>
      </c>
      <c r="C22" s="80" t="s">
        <v>6</v>
      </c>
      <c r="D22" s="468" t="s">
        <v>396</v>
      </c>
      <c r="E22" s="469"/>
      <c r="F22" s="80" t="s">
        <v>397</v>
      </c>
      <c r="G22" s="80" t="s">
        <v>395</v>
      </c>
      <c r="H22" s="80" t="s">
        <v>72</v>
      </c>
    </row>
    <row r="23" spans="1:9" s="86" customFormat="1" ht="15" customHeight="1">
      <c r="A23" s="87" t="s">
        <v>13</v>
      </c>
      <c r="B23" s="100" t="s">
        <v>382</v>
      </c>
      <c r="C23" s="101" t="s">
        <v>9</v>
      </c>
      <c r="D23" s="428"/>
      <c r="E23" s="429"/>
      <c r="F23" s="102">
        <v>76935</v>
      </c>
      <c r="G23" s="103">
        <f>(D23+E24)*F23</f>
        <v>2746579.5</v>
      </c>
      <c r="H23" s="104">
        <v>1</v>
      </c>
      <c r="I23" s="85"/>
    </row>
    <row r="24" spans="1:9" s="99" customFormat="1" ht="15" customHeight="1">
      <c r="A24" s="87" t="s">
        <v>272</v>
      </c>
      <c r="B24" s="105" t="s">
        <v>392</v>
      </c>
      <c r="C24" s="101"/>
      <c r="D24" s="106">
        <f>1-'2. Kwaliteit Perceel 2'!F261*(SUM('2. Kwaliteit Perceel 2'!D272:D283)+'2. Kwaliteit Perceel 2'!D285+'2. Kwaliteit Perceel 2'!D286)/1000-'2. Kwaliteit Perceel 2'!F300*(SUM('2. Kwaliteit Perceel 2'!D311:D322)+'2. Kwaliteit Perceel 2'!D324+'2. Kwaliteit Perceel 2'!D325)/1000</f>
        <v>1</v>
      </c>
      <c r="E24" s="107">
        <f>D24*E31</f>
        <v>35.700000000000003</v>
      </c>
      <c r="F24" s="108"/>
      <c r="G24" s="103"/>
      <c r="H24" s="104"/>
    </row>
    <row r="25" spans="1:9" s="99" customFormat="1" ht="15" customHeight="1">
      <c r="A25" s="87" t="s">
        <v>20</v>
      </c>
      <c r="B25" s="109" t="s">
        <v>393</v>
      </c>
      <c r="C25" s="466" t="s">
        <v>69</v>
      </c>
      <c r="D25" s="108"/>
      <c r="E25" s="107">
        <f>SUM(E26:E27)</f>
        <v>35.700000000000003</v>
      </c>
      <c r="F25" s="89">
        <v>19324</v>
      </c>
      <c r="G25" s="467">
        <f>F25*E25</f>
        <v>689866.8</v>
      </c>
      <c r="H25" s="465">
        <v>1</v>
      </c>
    </row>
    <row r="26" spans="1:9" s="99" customFormat="1" ht="15" customHeight="1">
      <c r="A26" s="87" t="s">
        <v>273</v>
      </c>
      <c r="B26" s="105" t="s">
        <v>394</v>
      </c>
      <c r="C26" s="466"/>
      <c r="D26" s="342"/>
      <c r="E26" s="107">
        <f>D26</f>
        <v>0</v>
      </c>
      <c r="F26" s="108"/>
      <c r="G26" s="467"/>
      <c r="H26" s="465"/>
    </row>
    <row r="27" spans="1:9" s="99" customFormat="1" ht="15" customHeight="1">
      <c r="A27" s="87" t="s">
        <v>22</v>
      </c>
      <c r="B27" s="105" t="s">
        <v>392</v>
      </c>
      <c r="C27" s="466"/>
      <c r="D27" s="106">
        <f>1-(SUM('2. Kwaliteit Perceel 2'!D351:D362)+'2. Kwaliteit Perceel 2'!D364+'2. Kwaliteit Perceel 2'!D365)/1000</f>
        <v>1</v>
      </c>
      <c r="E27" s="107">
        <f>D27*E31</f>
        <v>35.700000000000003</v>
      </c>
      <c r="F27" s="108"/>
      <c r="G27" s="467"/>
      <c r="H27" s="465"/>
    </row>
    <row r="28" spans="1:9" s="86" customFormat="1" ht="13.2">
      <c r="B28" s="110"/>
      <c r="C28" s="111"/>
      <c r="D28" s="112"/>
      <c r="E28" s="112"/>
      <c r="F28" s="112"/>
      <c r="G28" s="112"/>
    </row>
    <row r="29" spans="1:9" s="113" customFormat="1" ht="15" customHeight="1">
      <c r="A29" s="447" t="s">
        <v>70</v>
      </c>
      <c r="B29" s="448"/>
      <c r="C29" s="448"/>
      <c r="D29" s="448"/>
      <c r="E29" s="448"/>
      <c r="F29" s="448"/>
      <c r="G29" s="448"/>
    </row>
    <row r="30" spans="1:9" s="113" customFormat="1" ht="13.2">
      <c r="A30" s="80" t="s">
        <v>68</v>
      </c>
      <c r="B30" s="81" t="s">
        <v>5</v>
      </c>
      <c r="C30" s="449" t="s">
        <v>6</v>
      </c>
      <c r="D30" s="449"/>
      <c r="E30" s="114" t="s">
        <v>71</v>
      </c>
      <c r="F30" s="115"/>
      <c r="G30" s="116"/>
    </row>
    <row r="31" spans="1:9" s="113" customFormat="1" ht="13.8" thickBot="1">
      <c r="A31" s="117" t="s">
        <v>23</v>
      </c>
      <c r="B31" s="118" t="s">
        <v>399</v>
      </c>
      <c r="C31" s="450" t="s">
        <v>9</v>
      </c>
      <c r="D31" s="450"/>
      <c r="E31" s="119">
        <v>35.700000000000003</v>
      </c>
      <c r="F31" s="451"/>
      <c r="G31" s="452"/>
    </row>
    <row r="32" spans="1:9" ht="26.25" customHeight="1" thickBot="1">
      <c r="B32" s="120"/>
      <c r="C32" s="121"/>
      <c r="D32" s="122"/>
      <c r="E32" s="122"/>
      <c r="F32" s="123" t="s">
        <v>14</v>
      </c>
      <c r="G32" s="124">
        <f>SUM(G8:G17)+H23*G23+H25*G25</f>
        <v>3436446.3</v>
      </c>
    </row>
    <row r="33" spans="1:9" hidden="1">
      <c r="B33" s="120"/>
      <c r="C33" s="121"/>
      <c r="D33" s="122"/>
      <c r="E33" s="122"/>
      <c r="F33" s="125" t="s">
        <v>277</v>
      </c>
      <c r="G33" s="126">
        <f>G32/F9</f>
        <v>44.666878533827251</v>
      </c>
    </row>
    <row r="34" spans="1:9" ht="51" hidden="1" customHeight="1">
      <c r="A34" s="462" t="s">
        <v>345</v>
      </c>
      <c r="B34" s="463"/>
      <c r="C34" s="463"/>
      <c r="D34" s="463"/>
      <c r="E34" s="463"/>
      <c r="F34" s="463"/>
      <c r="G34" s="463"/>
      <c r="H34" s="464" t="s">
        <v>347</v>
      </c>
    </row>
    <row r="35" spans="1:9" s="129" customFormat="1" ht="14.25" hidden="1" customHeight="1">
      <c r="A35" s="461" t="s">
        <v>346</v>
      </c>
      <c r="B35" s="456"/>
      <c r="C35" s="127"/>
      <c r="D35" s="127"/>
      <c r="E35" s="127"/>
      <c r="F35" s="127"/>
      <c r="G35" s="128"/>
      <c r="H35" s="464"/>
    </row>
    <row r="36" spans="1:9" ht="12" hidden="1">
      <c r="A36" s="130" t="s">
        <v>4</v>
      </c>
      <c r="B36" s="131" t="s">
        <v>5</v>
      </c>
      <c r="C36" s="132" t="s">
        <v>6</v>
      </c>
      <c r="D36" s="132"/>
      <c r="E36" s="132" t="s">
        <v>362</v>
      </c>
      <c r="F36" s="132" t="s">
        <v>363</v>
      </c>
      <c r="G36" s="133" t="s">
        <v>7</v>
      </c>
      <c r="H36" s="464"/>
      <c r="I36" s="134"/>
    </row>
    <row r="37" spans="1:9" hidden="1">
      <c r="A37" s="135" t="s">
        <v>12</v>
      </c>
      <c r="B37" s="136" t="s">
        <v>340</v>
      </c>
      <c r="C37" s="135" t="s">
        <v>9</v>
      </c>
      <c r="D37" s="136"/>
      <c r="E37" s="137"/>
      <c r="F37" s="138">
        <v>2000</v>
      </c>
      <c r="G37" s="139">
        <f>F37*E37</f>
        <v>0</v>
      </c>
      <c r="H37" s="464"/>
      <c r="I37" s="134"/>
    </row>
    <row r="38" spans="1:9" hidden="1">
      <c r="A38" s="135" t="s">
        <v>65</v>
      </c>
      <c r="B38" s="136" t="s">
        <v>159</v>
      </c>
      <c r="C38" s="135" t="s">
        <v>9</v>
      </c>
      <c r="D38" s="136"/>
      <c r="E38" s="137"/>
      <c r="F38" s="138">
        <v>2000</v>
      </c>
      <c r="G38" s="139">
        <f>F38*E38</f>
        <v>0</v>
      </c>
      <c r="H38" s="464"/>
      <c r="I38" s="134"/>
    </row>
    <row r="39" spans="1:9" hidden="1">
      <c r="B39" s="120"/>
      <c r="C39" s="121"/>
      <c r="D39" s="122"/>
      <c r="E39" s="122"/>
      <c r="F39" s="125"/>
      <c r="G39" s="126"/>
    </row>
    <row r="40" spans="1:9" s="142" customFormat="1" ht="15" customHeight="1">
      <c r="A40" s="453" t="s">
        <v>73</v>
      </c>
      <c r="B40" s="454"/>
      <c r="C40" s="140"/>
      <c r="D40" s="140"/>
      <c r="E40" s="140"/>
      <c r="F40" s="140"/>
      <c r="G40" s="141"/>
    </row>
    <row r="41" spans="1:9" s="142" customFormat="1" ht="15" customHeight="1">
      <c r="A41" s="130" t="s">
        <v>4</v>
      </c>
      <c r="B41" s="131" t="s">
        <v>15</v>
      </c>
      <c r="C41" s="132" t="s">
        <v>21</v>
      </c>
      <c r="D41" s="132" t="s">
        <v>16</v>
      </c>
      <c r="E41" s="132" t="s">
        <v>17</v>
      </c>
      <c r="F41" s="132" t="s">
        <v>18</v>
      </c>
      <c r="G41" s="133" t="s">
        <v>19</v>
      </c>
    </row>
    <row r="42" spans="1:9" s="142" customFormat="1" ht="15" customHeight="1">
      <c r="A42" s="143" t="s">
        <v>341</v>
      </c>
      <c r="B42" s="339"/>
      <c r="C42" s="340"/>
      <c r="D42" s="341"/>
      <c r="E42" s="341"/>
      <c r="F42" s="341"/>
      <c r="G42" s="341"/>
    </row>
    <row r="43" spans="1:9" s="142" customFormat="1" ht="15" customHeight="1">
      <c r="A43" s="143" t="s">
        <v>342</v>
      </c>
      <c r="B43" s="339"/>
      <c r="C43" s="340"/>
      <c r="D43" s="341"/>
      <c r="E43" s="341"/>
      <c r="F43" s="341"/>
      <c r="G43" s="341"/>
    </row>
    <row r="44" spans="1:9" s="142" customFormat="1" ht="15" customHeight="1">
      <c r="A44" s="143" t="s">
        <v>343</v>
      </c>
      <c r="B44" s="339"/>
      <c r="C44" s="340"/>
      <c r="D44" s="341"/>
      <c r="E44" s="341"/>
      <c r="F44" s="341"/>
      <c r="G44" s="341"/>
    </row>
    <row r="45" spans="1:9">
      <c r="B45" s="120"/>
      <c r="C45" s="121"/>
      <c r="D45" s="122"/>
      <c r="E45" s="122"/>
      <c r="F45" s="125"/>
      <c r="G45" s="126"/>
    </row>
    <row r="46" spans="1:9" ht="12">
      <c r="A46" s="456" t="s">
        <v>24</v>
      </c>
      <c r="B46" s="456"/>
      <c r="C46" s="145"/>
      <c r="D46" s="145"/>
      <c r="E46" s="145"/>
      <c r="F46" s="145"/>
      <c r="G46" s="145"/>
    </row>
    <row r="47" spans="1:9">
      <c r="A47" s="132" t="s">
        <v>4</v>
      </c>
      <c r="B47" s="457" t="s">
        <v>25</v>
      </c>
      <c r="C47" s="457"/>
      <c r="D47" s="457"/>
      <c r="E47" s="457"/>
      <c r="F47" s="457"/>
      <c r="G47" s="457"/>
    </row>
    <row r="48" spans="1:9" ht="15" customHeight="1">
      <c r="A48" s="144" t="s">
        <v>26</v>
      </c>
      <c r="B48" s="148" t="s">
        <v>388</v>
      </c>
      <c r="C48" s="149"/>
      <c r="D48" s="149"/>
      <c r="E48" s="149"/>
      <c r="F48" s="149"/>
      <c r="G48" s="150"/>
    </row>
    <row r="49" spans="1:7" ht="15" customHeight="1">
      <c r="A49" s="135">
        <v>1</v>
      </c>
      <c r="B49" s="455" t="s">
        <v>27</v>
      </c>
      <c r="C49" s="455"/>
      <c r="D49" s="455"/>
      <c r="E49" s="455"/>
      <c r="F49" s="455"/>
      <c r="G49" s="455"/>
    </row>
    <row r="50" spans="1:7" ht="30" customHeight="1">
      <c r="A50" s="135">
        <v>2</v>
      </c>
      <c r="B50" s="458" t="s">
        <v>28</v>
      </c>
      <c r="C50" s="458"/>
      <c r="D50" s="458"/>
      <c r="E50" s="458"/>
      <c r="F50" s="458"/>
      <c r="G50" s="458"/>
    </row>
    <row r="51" spans="1:7" ht="30" customHeight="1">
      <c r="A51" s="135">
        <v>3</v>
      </c>
      <c r="B51" s="459" t="s">
        <v>29</v>
      </c>
      <c r="C51" s="459"/>
      <c r="D51" s="459"/>
      <c r="E51" s="459"/>
      <c r="F51" s="459"/>
      <c r="G51" s="459"/>
    </row>
    <row r="52" spans="1:7" ht="15" customHeight="1">
      <c r="A52" s="135">
        <v>4</v>
      </c>
      <c r="B52" s="455" t="s">
        <v>30</v>
      </c>
      <c r="C52" s="455"/>
      <c r="D52" s="455"/>
      <c r="E52" s="455"/>
      <c r="F52" s="455"/>
      <c r="G52" s="455"/>
    </row>
    <row r="53" spans="1:7" ht="15" customHeight="1">
      <c r="A53" s="146">
        <v>5</v>
      </c>
      <c r="B53" s="446" t="s">
        <v>400</v>
      </c>
      <c r="C53" s="446"/>
      <c r="D53" s="446"/>
      <c r="E53" s="446"/>
      <c r="F53" s="446"/>
      <c r="G53" s="446"/>
    </row>
    <row r="54" spans="1:7" ht="30" customHeight="1">
      <c r="A54" s="146">
        <v>6</v>
      </c>
      <c r="B54" s="446" t="s">
        <v>344</v>
      </c>
      <c r="C54" s="446"/>
      <c r="D54" s="446"/>
      <c r="E54" s="446"/>
      <c r="F54" s="446"/>
      <c r="G54" s="446"/>
    </row>
    <row r="55" spans="1:7" ht="15" customHeight="1">
      <c r="A55" s="146">
        <v>7</v>
      </c>
      <c r="B55" s="446" t="s">
        <v>381</v>
      </c>
      <c r="C55" s="446"/>
      <c r="D55" s="446"/>
      <c r="E55" s="446"/>
      <c r="F55" s="446"/>
      <c r="G55" s="446"/>
    </row>
  </sheetData>
  <sheetProtection algorithmName="SHA-512" hashValue="a2N2A8gC7qZq3ivWuPtEG+k/DkEEaxrpuqeMs0AFMu5F5vEGFNPxEJndSpO8+RCWtZQy0ub+/E9CHBDLp7ToTw==" saltValue="VW9sL1S5xZI1HLtYL8YiJQ==" spinCount="100000" sheet="1" objects="1" scenarios="1"/>
  <protectedRanges>
    <protectedRange sqref="F2:F5 D2:D5" name="gegevens_1_2_1"/>
  </protectedRanges>
  <mergeCells count="38">
    <mergeCell ref="H8:H13"/>
    <mergeCell ref="A35:B35"/>
    <mergeCell ref="A34:G34"/>
    <mergeCell ref="H34:H38"/>
    <mergeCell ref="H25:H27"/>
    <mergeCell ref="C25:C27"/>
    <mergeCell ref="G25:G27"/>
    <mergeCell ref="D22:E22"/>
    <mergeCell ref="A14:B14"/>
    <mergeCell ref="B53:G53"/>
    <mergeCell ref="B55:G55"/>
    <mergeCell ref="A29:G29"/>
    <mergeCell ref="C30:D30"/>
    <mergeCell ref="C31:D31"/>
    <mergeCell ref="F31:G31"/>
    <mergeCell ref="A40:B40"/>
    <mergeCell ref="B52:G52"/>
    <mergeCell ref="A46:B46"/>
    <mergeCell ref="B47:G47"/>
    <mergeCell ref="B49:G49"/>
    <mergeCell ref="B50:G50"/>
    <mergeCell ref="B51:G51"/>
    <mergeCell ref="B54:G54"/>
    <mergeCell ref="A1:G1"/>
    <mergeCell ref="A6:B6"/>
    <mergeCell ref="A19:B19"/>
    <mergeCell ref="D20:E20"/>
    <mergeCell ref="D23:E23"/>
    <mergeCell ref="A21:G21"/>
    <mergeCell ref="A10:B10"/>
    <mergeCell ref="A2:C2"/>
    <mergeCell ref="D2:G2"/>
    <mergeCell ref="A3:C3"/>
    <mergeCell ref="D3:G3"/>
    <mergeCell ref="A4:C4"/>
    <mergeCell ref="D4:G4"/>
    <mergeCell ref="A5:C5"/>
    <mergeCell ref="D5:G5"/>
  </mergeCells>
  <phoneticPr fontId="4" type="noConversion"/>
  <dataValidations count="2">
    <dataValidation operator="lessThanOrEqual" allowBlank="1" showInputMessage="1" showErrorMessage="1" sqref="B41:G45 B23:C28 F20:G20 B20:D20 D28:G28 G30 E30:F31 B47:B55 B11:G11 D27 D23:D25 F23:G27 B7:G7 B22 B36:G36 D32:G33 B39:G39 B30:C33 B15:G15" xr:uid="{A489833A-DE15-4585-8DCD-5A7B4E20ED15}"/>
    <dataValidation type="decimal" operator="lessThanOrEqual" allowBlank="1" showInputMessage="1" showErrorMessage="1" error="Het ingevude bedrag voldoet niet aan Voorwaarde 7" sqref="D26" xr:uid="{3CA8851C-5008-44DA-9A14-746119EB4FC1}">
      <formula1>D23</formula1>
    </dataValidation>
  </dataValidations>
  <pageMargins left="0.7" right="0.7" top="0.75" bottom="0.75" header="0.3" footer="0.3"/>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3A19-1C7B-4678-95F0-4467ED676B03}">
  <dimension ref="A1:G12"/>
  <sheetViews>
    <sheetView showGridLines="0" view="pageBreakPreview" zoomScale="80" zoomScaleNormal="100" zoomScaleSheetLayoutView="80" workbookViewId="0">
      <selection activeCell="H35" sqref="H35"/>
    </sheetView>
  </sheetViews>
  <sheetFormatPr defaultColWidth="9.109375" defaultRowHeight="13.2"/>
  <cols>
    <col min="1" max="1" width="30.6640625" style="20" customWidth="1"/>
    <col min="2" max="2" width="33.6640625" style="20" customWidth="1"/>
    <col min="3" max="3" width="30.6640625" style="24" customWidth="1"/>
    <col min="4" max="4" width="12" style="20" bestFit="1" customWidth="1"/>
    <col min="5" max="16384" width="9.109375" style="20"/>
  </cols>
  <sheetData>
    <row r="1" spans="1:7" ht="36" customHeight="1" thickBot="1">
      <c r="A1" s="470" t="s">
        <v>385</v>
      </c>
      <c r="B1" s="471"/>
      <c r="C1" s="472"/>
    </row>
    <row r="2" spans="1:7" s="17" customFormat="1" ht="15" customHeight="1">
      <c r="A2" s="51" t="s">
        <v>151</v>
      </c>
      <c r="B2" s="46" t="s">
        <v>152</v>
      </c>
      <c r="C2" s="46"/>
      <c r="D2" s="47"/>
      <c r="E2" s="48"/>
      <c r="F2" s="18"/>
      <c r="G2" s="18"/>
    </row>
    <row r="3" spans="1:7" s="17" customFormat="1" ht="15" customHeight="1">
      <c r="A3" s="52" t="s">
        <v>153</v>
      </c>
      <c r="B3" s="49" t="s">
        <v>154</v>
      </c>
      <c r="C3" s="49"/>
      <c r="D3" s="47"/>
      <c r="E3" s="48"/>
      <c r="F3" s="19"/>
      <c r="G3" s="19"/>
    </row>
    <row r="4" spans="1:7" s="17" customFormat="1" ht="15" customHeight="1">
      <c r="A4" s="52" t="s">
        <v>155</v>
      </c>
      <c r="B4" s="49" t="s">
        <v>156</v>
      </c>
      <c r="C4" s="49"/>
      <c r="D4" s="47"/>
      <c r="E4" s="48"/>
      <c r="F4" s="19"/>
      <c r="G4" s="19"/>
    </row>
    <row r="5" spans="1:7" s="17" customFormat="1" ht="15" customHeight="1" thickBot="1">
      <c r="A5" s="53" t="s">
        <v>157</v>
      </c>
      <c r="B5" s="50" t="s">
        <v>158</v>
      </c>
      <c r="C5" s="50"/>
      <c r="D5" s="47"/>
      <c r="E5" s="48"/>
      <c r="F5" s="19"/>
      <c r="G5" s="19"/>
    </row>
    <row r="6" spans="1:7" s="21" customFormat="1" ht="15" customHeight="1" thickBot="1">
      <c r="A6" s="473"/>
      <c r="B6" s="474"/>
      <c r="C6" s="54"/>
    </row>
    <row r="7" spans="1:7" ht="15" customHeight="1" thickBot="1">
      <c r="A7" s="55" t="s">
        <v>4</v>
      </c>
      <c r="B7" s="56" t="s">
        <v>5</v>
      </c>
      <c r="C7" s="57"/>
    </row>
    <row r="8" spans="1:7" ht="15" customHeight="1">
      <c r="A8" s="58" t="s">
        <v>56</v>
      </c>
      <c r="B8" s="59" t="s">
        <v>35</v>
      </c>
      <c r="C8" s="60">
        <f>'2. Kwaliteit Perceel 2'!F409</f>
        <v>0</v>
      </c>
      <c r="D8" s="22"/>
    </row>
    <row r="9" spans="1:7" ht="15" customHeight="1">
      <c r="A9" s="61" t="s">
        <v>57</v>
      </c>
      <c r="B9" s="62" t="s">
        <v>58</v>
      </c>
      <c r="C9" s="63">
        <f>'3. Prijs Perceel 2'!G32</f>
        <v>3436446.3</v>
      </c>
      <c r="D9" s="23"/>
    </row>
    <row r="10" spans="1:7" ht="13.8" thickBot="1">
      <c r="A10" s="64"/>
      <c r="B10" s="65"/>
      <c r="C10" s="66"/>
    </row>
    <row r="11" spans="1:7" ht="27" thickBot="1">
      <c r="A11" s="67"/>
      <c r="B11" s="68" t="s">
        <v>66</v>
      </c>
      <c r="C11" s="69">
        <f>SUM(C8:C9)</f>
        <v>3436446.3</v>
      </c>
    </row>
    <row r="12" spans="1:7" ht="13.8" hidden="1" thickBot="1">
      <c r="A12" s="42"/>
      <c r="B12" s="43" t="s">
        <v>339</v>
      </c>
      <c r="C12" s="44">
        <f>C11/95000</f>
        <v>36.173118947368422</v>
      </c>
    </row>
  </sheetData>
  <sheetProtection algorithmName="SHA-512" hashValue="BWq0FX69TF81KEfzPgDZ6iurem19al2T/HSu0pvyeW8qAlusqUj1vawSEWYpCl1kVyW7lLdvs/dkymuieuQZAg==" saltValue="ZG2/ZxE/VMd8hdzuitnm1w==" spinCount="100000" sheet="1" objects="1" scenarios="1"/>
  <protectedRanges>
    <protectedRange sqref="D2:D5 B2:B5" name="gegevens_1_2_1"/>
  </protectedRanges>
  <mergeCells count="2">
    <mergeCell ref="A1:C1"/>
    <mergeCell ref="A6:B6"/>
  </mergeCells>
  <dataValidations count="1">
    <dataValidation operator="lessThanOrEqual" allowBlank="1" showInputMessage="1" showErrorMessage="1" sqref="B7:C12" xr:uid="{BC0333D7-B4A4-44F9-A712-11D777960C39}"/>
  </dataValidations>
  <pageMargins left="0.7" right="0.7" top="0.75" bottom="0.75" header="0.3" footer="0.3"/>
  <pageSetup paperSize="9" scale="6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0F5FC-E7BF-43A5-B2F9-472AF824F7C3}">
  <dimension ref="A1:I125"/>
  <sheetViews>
    <sheetView view="pageBreakPreview" zoomScale="80" zoomScaleNormal="100" zoomScaleSheetLayoutView="80" workbookViewId="0">
      <selection activeCell="N16" sqref="N16"/>
    </sheetView>
  </sheetViews>
  <sheetFormatPr defaultRowHeight="14.4"/>
  <cols>
    <col min="1" max="4" width="18.6640625" style="1" customWidth="1"/>
    <col min="5" max="5" width="51.109375" style="8" customWidth="1"/>
    <col min="6" max="6" width="32.88671875" style="8" customWidth="1"/>
    <col min="7" max="7" width="15.6640625" style="8" customWidth="1"/>
    <col min="8" max="9" width="24.88671875" style="8" hidden="1" customWidth="1"/>
  </cols>
  <sheetData>
    <row r="1" spans="1:9" s="1" customFormat="1" thickBot="1"/>
    <row r="2" spans="1:9" s="25" customFormat="1" ht="36" customHeight="1" thickBot="1">
      <c r="A2" s="503" t="s">
        <v>383</v>
      </c>
      <c r="B2" s="504"/>
      <c r="C2" s="504"/>
      <c r="D2" s="504"/>
      <c r="E2" s="504"/>
      <c r="F2" s="504"/>
      <c r="G2" s="504"/>
      <c r="H2" s="504"/>
      <c r="I2" s="505"/>
    </row>
    <row r="3" spans="1:9" s="1" customFormat="1" ht="15" customHeight="1" thickBot="1">
      <c r="A3" s="38"/>
      <c r="B3" s="2"/>
      <c r="C3" s="2"/>
      <c r="D3" s="2"/>
      <c r="E3" s="2"/>
      <c r="F3" s="2"/>
      <c r="G3" s="2"/>
      <c r="H3" s="2"/>
      <c r="I3" s="39"/>
    </row>
    <row r="4" spans="1:9" s="1" customFormat="1" ht="15" customHeight="1" thickBot="1">
      <c r="A4" s="488" t="s">
        <v>150</v>
      </c>
      <c r="B4" s="489"/>
      <c r="C4" s="489"/>
      <c r="D4" s="489"/>
      <c r="E4" s="489"/>
      <c r="F4" s="489"/>
      <c r="G4" s="490"/>
      <c r="H4" s="40"/>
      <c r="I4" s="41"/>
    </row>
    <row r="5" spans="1:9" s="1" customFormat="1" ht="15" customHeight="1">
      <c r="A5" s="506" t="s">
        <v>151</v>
      </c>
      <c r="B5" s="507"/>
      <c r="C5" s="508"/>
      <c r="D5" s="509" t="s">
        <v>152</v>
      </c>
      <c r="E5" s="509"/>
      <c r="F5" s="509"/>
      <c r="G5" s="510"/>
      <c r="H5" s="2"/>
      <c r="I5" s="2"/>
    </row>
    <row r="6" spans="1:9" s="1" customFormat="1" ht="15" customHeight="1">
      <c r="A6" s="475" t="s">
        <v>153</v>
      </c>
      <c r="B6" s="476"/>
      <c r="C6" s="477"/>
      <c r="D6" s="478" t="s">
        <v>154</v>
      </c>
      <c r="E6" s="478"/>
      <c r="F6" s="478"/>
      <c r="G6" s="479"/>
      <c r="H6" s="3"/>
      <c r="I6" s="3"/>
    </row>
    <row r="7" spans="1:9" s="1" customFormat="1" ht="15" customHeight="1">
      <c r="A7" s="475" t="s">
        <v>155</v>
      </c>
      <c r="B7" s="476"/>
      <c r="C7" s="477"/>
      <c r="D7" s="478" t="s">
        <v>156</v>
      </c>
      <c r="E7" s="478"/>
      <c r="F7" s="478"/>
      <c r="G7" s="479"/>
      <c r="H7" s="3"/>
      <c r="I7" s="3"/>
    </row>
    <row r="8" spans="1:9" s="1" customFormat="1" ht="15" customHeight="1" thickBot="1">
      <c r="A8" s="480" t="s">
        <v>157</v>
      </c>
      <c r="B8" s="481"/>
      <c r="C8" s="482"/>
      <c r="D8" s="483" t="s">
        <v>158</v>
      </c>
      <c r="E8" s="483"/>
      <c r="F8" s="483"/>
      <c r="G8" s="484"/>
      <c r="H8" s="3"/>
      <c r="I8" s="3"/>
    </row>
    <row r="9" spans="1:9" s="1" customFormat="1" ht="15" customHeight="1" thickBot="1"/>
    <row r="10" spans="1:9" s="1" customFormat="1" ht="15" customHeight="1" thickBot="1">
      <c r="A10" s="488" t="s">
        <v>160</v>
      </c>
      <c r="B10" s="489"/>
      <c r="C10" s="489"/>
      <c r="D10" s="489"/>
      <c r="E10" s="489"/>
      <c r="F10" s="489"/>
      <c r="G10" s="489"/>
      <c r="H10" s="489"/>
      <c r="I10" s="490"/>
    </row>
    <row r="11" spans="1:9" s="1" customFormat="1" thickBot="1">
      <c r="A11" s="37" t="s">
        <v>161</v>
      </c>
      <c r="B11" s="494" t="s">
        <v>162</v>
      </c>
      <c r="C11" s="495"/>
      <c r="D11" s="496"/>
      <c r="E11" s="37" t="s">
        <v>163</v>
      </c>
      <c r="F11" s="37" t="s">
        <v>164</v>
      </c>
      <c r="G11" s="37" t="s">
        <v>269</v>
      </c>
      <c r="H11" s="26" t="s">
        <v>165</v>
      </c>
      <c r="I11" s="27" t="s">
        <v>55</v>
      </c>
    </row>
    <row r="12" spans="1:9" s="1" customFormat="1" ht="45.75" customHeight="1" thickBot="1">
      <c r="A12" s="28" t="s">
        <v>166</v>
      </c>
      <c r="B12" s="29" t="s">
        <v>167</v>
      </c>
      <c r="C12" s="29" t="s">
        <v>168</v>
      </c>
      <c r="D12" s="29" t="s">
        <v>166</v>
      </c>
      <c r="E12" s="71"/>
      <c r="F12" s="45"/>
      <c r="G12" s="28">
        <v>0</v>
      </c>
      <c r="H12" s="32">
        <v>0.125</v>
      </c>
      <c r="I12" s="33">
        <f>F12*G12*H12</f>
        <v>0</v>
      </c>
    </row>
    <row r="13" spans="1:9" s="1" customFormat="1" ht="45.75" customHeight="1" thickBot="1">
      <c r="A13" s="28" t="s">
        <v>169</v>
      </c>
      <c r="B13" s="29" t="s">
        <v>170</v>
      </c>
      <c r="C13" s="29" t="s">
        <v>171</v>
      </c>
      <c r="D13" s="29" t="s">
        <v>172</v>
      </c>
      <c r="E13" s="71"/>
      <c r="F13" s="45"/>
      <c r="G13" s="28">
        <v>800</v>
      </c>
      <c r="H13" s="32">
        <v>0.125</v>
      </c>
      <c r="I13" s="33">
        <f t="shared" ref="I13:I31" si="0">F13*G13*H13</f>
        <v>0</v>
      </c>
    </row>
    <row r="14" spans="1:9" s="1" customFormat="1" ht="45.75" customHeight="1" thickBot="1">
      <c r="A14" s="28" t="s">
        <v>173</v>
      </c>
      <c r="B14" s="29" t="s">
        <v>174</v>
      </c>
      <c r="C14" s="29" t="s">
        <v>175</v>
      </c>
      <c r="D14" s="29" t="s">
        <v>176</v>
      </c>
      <c r="E14" s="71"/>
      <c r="F14" s="45"/>
      <c r="G14" s="28">
        <v>1400</v>
      </c>
      <c r="H14" s="32">
        <v>0.125</v>
      </c>
      <c r="I14" s="33">
        <f t="shared" si="0"/>
        <v>0</v>
      </c>
    </row>
    <row r="15" spans="1:9" s="1" customFormat="1" ht="45.75" customHeight="1" thickBot="1">
      <c r="A15" s="28" t="s">
        <v>177</v>
      </c>
      <c r="B15" s="29" t="s">
        <v>178</v>
      </c>
      <c r="C15" s="29" t="s">
        <v>179</v>
      </c>
      <c r="D15" s="29" t="s">
        <v>180</v>
      </c>
      <c r="E15" s="71"/>
      <c r="F15" s="45"/>
      <c r="G15" s="34">
        <f>2837.86/20325.46*21000</f>
        <v>2932.0399144718003</v>
      </c>
      <c r="H15" s="32">
        <v>0.125</v>
      </c>
      <c r="I15" s="33">
        <f t="shared" si="0"/>
        <v>0</v>
      </c>
    </row>
    <row r="16" spans="1:9" ht="45.75" customHeight="1" thickBot="1">
      <c r="A16" s="28" t="s">
        <v>181</v>
      </c>
      <c r="B16" s="29" t="s">
        <v>182</v>
      </c>
      <c r="C16" s="29" t="s">
        <v>183</v>
      </c>
      <c r="D16" s="29" t="s">
        <v>181</v>
      </c>
      <c r="E16" s="71"/>
      <c r="F16" s="45"/>
      <c r="G16" s="28">
        <v>1800</v>
      </c>
      <c r="H16" s="32">
        <v>0.125</v>
      </c>
      <c r="I16" s="33">
        <f t="shared" si="0"/>
        <v>0</v>
      </c>
    </row>
    <row r="17" spans="1:9" ht="45.75" customHeight="1" thickBot="1">
      <c r="A17" s="28" t="s">
        <v>184</v>
      </c>
      <c r="B17" s="29" t="s">
        <v>185</v>
      </c>
      <c r="C17" s="29" t="s">
        <v>186</v>
      </c>
      <c r="D17" s="29" t="s">
        <v>187</v>
      </c>
      <c r="E17" s="71"/>
      <c r="F17" s="45"/>
      <c r="G17" s="28">
        <v>1100</v>
      </c>
      <c r="H17" s="32">
        <v>0.125</v>
      </c>
      <c r="I17" s="33">
        <f t="shared" si="0"/>
        <v>0</v>
      </c>
    </row>
    <row r="18" spans="1:9" ht="45.75" customHeight="1" thickBot="1">
      <c r="A18" s="28" t="s">
        <v>188</v>
      </c>
      <c r="B18" s="29" t="s">
        <v>189</v>
      </c>
      <c r="C18" s="29" t="s">
        <v>190</v>
      </c>
      <c r="D18" s="29" t="s">
        <v>191</v>
      </c>
      <c r="E18" s="71"/>
      <c r="F18" s="45"/>
      <c r="G18" s="28">
        <f>0.42*10000</f>
        <v>4200</v>
      </c>
      <c r="H18" s="32">
        <v>0.125</v>
      </c>
      <c r="I18" s="33">
        <f t="shared" si="0"/>
        <v>0</v>
      </c>
    </row>
    <row r="19" spans="1:9" ht="45.75" customHeight="1" thickBot="1">
      <c r="A19" s="28" t="s">
        <v>192</v>
      </c>
      <c r="B19" s="29" t="s">
        <v>193</v>
      </c>
      <c r="C19" s="29" t="s">
        <v>194</v>
      </c>
      <c r="D19" s="29" t="s">
        <v>195</v>
      </c>
      <c r="E19" s="71"/>
      <c r="F19" s="45"/>
      <c r="G19" s="28">
        <f>0.32*10000</f>
        <v>3200</v>
      </c>
      <c r="H19" s="32">
        <v>0.125</v>
      </c>
      <c r="I19" s="33">
        <f t="shared" si="0"/>
        <v>0</v>
      </c>
    </row>
    <row r="20" spans="1:9" ht="45.75" customHeight="1" thickBot="1">
      <c r="A20" s="28" t="s">
        <v>196</v>
      </c>
      <c r="B20" s="29" t="s">
        <v>197</v>
      </c>
      <c r="C20" s="29" t="s">
        <v>198</v>
      </c>
      <c r="D20" s="29" t="s">
        <v>196</v>
      </c>
      <c r="E20" s="71"/>
      <c r="F20" s="45"/>
      <c r="G20" s="28">
        <f>11500+1750</f>
        <v>13250</v>
      </c>
      <c r="H20" s="32">
        <v>0.125</v>
      </c>
      <c r="I20" s="33">
        <f t="shared" si="0"/>
        <v>0</v>
      </c>
    </row>
    <row r="21" spans="1:9" ht="45.75" customHeight="1" thickBot="1">
      <c r="A21" s="28" t="s">
        <v>199</v>
      </c>
      <c r="B21" s="29" t="s">
        <v>200</v>
      </c>
      <c r="C21" s="29" t="s">
        <v>201</v>
      </c>
      <c r="D21" s="28" t="s">
        <v>199</v>
      </c>
      <c r="E21" s="71"/>
      <c r="F21" s="45"/>
      <c r="G21" s="28">
        <v>1400</v>
      </c>
      <c r="H21" s="32">
        <v>0.125</v>
      </c>
      <c r="I21" s="33">
        <f t="shared" si="0"/>
        <v>0</v>
      </c>
    </row>
    <row r="22" spans="1:9" ht="45.75" customHeight="1" thickBot="1">
      <c r="A22" s="28" t="s">
        <v>202</v>
      </c>
      <c r="B22" s="29" t="s">
        <v>170</v>
      </c>
      <c r="C22" s="29" t="s">
        <v>203</v>
      </c>
      <c r="D22" s="28" t="s">
        <v>202</v>
      </c>
      <c r="E22" s="71"/>
      <c r="F22" s="45"/>
      <c r="G22" s="28">
        <v>1750</v>
      </c>
      <c r="H22" s="32">
        <v>0.125</v>
      </c>
      <c r="I22" s="33">
        <f t="shared" si="0"/>
        <v>0</v>
      </c>
    </row>
    <row r="23" spans="1:9" ht="45.75" customHeight="1" thickBot="1">
      <c r="A23" s="28" t="s">
        <v>204</v>
      </c>
      <c r="B23" s="29" t="s">
        <v>205</v>
      </c>
      <c r="C23" s="29" t="s">
        <v>206</v>
      </c>
      <c r="D23" s="28" t="s">
        <v>207</v>
      </c>
      <c r="E23" s="71"/>
      <c r="F23" s="45"/>
      <c r="G23" s="28">
        <v>1900</v>
      </c>
      <c r="H23" s="32">
        <v>0.125</v>
      </c>
      <c r="I23" s="33">
        <f t="shared" si="0"/>
        <v>0</v>
      </c>
    </row>
    <row r="24" spans="1:9" ht="45.75" customHeight="1" thickBot="1">
      <c r="A24" s="28" t="s">
        <v>208</v>
      </c>
      <c r="B24" s="29" t="s">
        <v>209</v>
      </c>
      <c r="C24" s="29" t="s">
        <v>210</v>
      </c>
      <c r="D24" s="28" t="s">
        <v>211</v>
      </c>
      <c r="E24" s="71"/>
      <c r="F24" s="45"/>
      <c r="G24" s="28">
        <f>0.26*10000</f>
        <v>2600</v>
      </c>
      <c r="H24" s="32">
        <v>0.125</v>
      </c>
      <c r="I24" s="33">
        <f t="shared" si="0"/>
        <v>0</v>
      </c>
    </row>
    <row r="25" spans="1:9" ht="45.75" customHeight="1" thickBot="1">
      <c r="A25" s="28" t="s">
        <v>212</v>
      </c>
      <c r="B25" s="29" t="s">
        <v>213</v>
      </c>
      <c r="C25" s="29" t="s">
        <v>214</v>
      </c>
      <c r="D25" s="28" t="s">
        <v>212</v>
      </c>
      <c r="E25" s="71"/>
      <c r="F25" s="45"/>
      <c r="G25" s="28">
        <v>9000</v>
      </c>
      <c r="H25" s="32">
        <v>0.125</v>
      </c>
      <c r="I25" s="33">
        <f t="shared" si="0"/>
        <v>0</v>
      </c>
    </row>
    <row r="26" spans="1:9" ht="45.75" customHeight="1" thickBot="1">
      <c r="A26" s="28" t="s">
        <v>215</v>
      </c>
      <c r="B26" s="29" t="s">
        <v>216</v>
      </c>
      <c r="C26" s="29" t="s">
        <v>217</v>
      </c>
      <c r="D26" s="28" t="s">
        <v>218</v>
      </c>
      <c r="E26" s="71"/>
      <c r="F26" s="45"/>
      <c r="G26" s="34">
        <f>12885.6/20325.46*21000</f>
        <v>13313.233747231307</v>
      </c>
      <c r="H26" s="32">
        <v>0.125</v>
      </c>
      <c r="I26" s="33">
        <f>F26*G27*H26</f>
        <v>0</v>
      </c>
    </row>
    <row r="27" spans="1:9" ht="45.75" customHeight="1" thickBot="1">
      <c r="A27" s="28" t="s">
        <v>219</v>
      </c>
      <c r="B27" s="29" t="s">
        <v>220</v>
      </c>
      <c r="C27" s="29" t="s">
        <v>221</v>
      </c>
      <c r="D27" s="28" t="s">
        <v>219</v>
      </c>
      <c r="E27" s="71"/>
      <c r="F27" s="45"/>
      <c r="G27" s="34">
        <f>2857/20325.46*21000</f>
        <v>2951.8151126714965</v>
      </c>
      <c r="H27" s="32">
        <v>0.125</v>
      </c>
      <c r="I27" s="33" t="e">
        <f>F27*#REF!*H27</f>
        <v>#REF!</v>
      </c>
    </row>
    <row r="28" spans="1:9" ht="45.75" customHeight="1" thickBot="1">
      <c r="A28" s="28" t="s">
        <v>222</v>
      </c>
      <c r="B28" s="29" t="s">
        <v>223</v>
      </c>
      <c r="C28" s="29" t="s">
        <v>224</v>
      </c>
      <c r="D28" s="72" t="s">
        <v>222</v>
      </c>
      <c r="E28" s="71"/>
      <c r="F28" s="45"/>
      <c r="G28" s="28">
        <v>1100</v>
      </c>
      <c r="H28" s="32">
        <v>0.125</v>
      </c>
      <c r="I28" s="33">
        <f t="shared" si="0"/>
        <v>0</v>
      </c>
    </row>
    <row r="29" spans="1:9" ht="45.75" customHeight="1" thickBot="1">
      <c r="A29" s="28" t="s">
        <v>225</v>
      </c>
      <c r="B29" s="29" t="s">
        <v>384</v>
      </c>
      <c r="C29" s="29" t="s">
        <v>440</v>
      </c>
      <c r="D29" s="28" t="s">
        <v>225</v>
      </c>
      <c r="E29" s="71"/>
      <c r="F29" s="45"/>
      <c r="G29" s="28">
        <v>15600</v>
      </c>
      <c r="H29" s="32">
        <v>0.125</v>
      </c>
      <c r="I29" s="33">
        <f t="shared" si="0"/>
        <v>0</v>
      </c>
    </row>
    <row r="30" spans="1:9" ht="45.75" customHeight="1" thickBot="1">
      <c r="A30" s="28" t="s">
        <v>226</v>
      </c>
      <c r="B30" s="29" t="s">
        <v>227</v>
      </c>
      <c r="C30" s="29" t="s">
        <v>228</v>
      </c>
      <c r="D30" s="28" t="s">
        <v>226</v>
      </c>
      <c r="E30" s="71"/>
      <c r="F30" s="45"/>
      <c r="G30" s="28">
        <v>2750</v>
      </c>
      <c r="H30" s="32">
        <v>0.125</v>
      </c>
      <c r="I30" s="33">
        <f t="shared" si="0"/>
        <v>0</v>
      </c>
    </row>
    <row r="31" spans="1:9" ht="45.75" customHeight="1" thickBot="1">
      <c r="A31" s="28" t="s">
        <v>229</v>
      </c>
      <c r="B31" s="29" t="s">
        <v>230</v>
      </c>
      <c r="C31" s="29" t="s">
        <v>231</v>
      </c>
      <c r="D31" s="28" t="s">
        <v>229</v>
      </c>
      <c r="E31" s="70"/>
      <c r="F31" s="45"/>
      <c r="G31" s="28">
        <v>12000</v>
      </c>
      <c r="H31" s="32">
        <v>0.125</v>
      </c>
      <c r="I31" s="33">
        <f t="shared" si="0"/>
        <v>0</v>
      </c>
    </row>
    <row r="32" spans="1:9" ht="15" customHeight="1" thickBot="1">
      <c r="A32" s="500" t="s">
        <v>232</v>
      </c>
      <c r="B32" s="501"/>
      <c r="C32" s="501"/>
      <c r="D32" s="501"/>
      <c r="E32" s="501"/>
      <c r="F32" s="501"/>
      <c r="G32" s="501"/>
      <c r="H32" s="501"/>
      <c r="I32" s="502"/>
    </row>
    <row r="33" spans="1:9">
      <c r="A33" s="35"/>
      <c r="B33" s="36"/>
      <c r="C33" s="36"/>
      <c r="D33" s="36"/>
      <c r="E33" s="36"/>
      <c r="F33" s="36"/>
      <c r="G33" s="36"/>
      <c r="H33" s="36"/>
      <c r="I33" s="36"/>
    </row>
    <row r="34" spans="1:9">
      <c r="A34" s="35"/>
      <c r="B34" s="36"/>
      <c r="C34" s="36"/>
      <c r="D34" s="36"/>
      <c r="E34" s="36"/>
      <c r="F34" s="36"/>
      <c r="G34" s="36"/>
      <c r="H34" s="36"/>
      <c r="I34" s="36"/>
    </row>
    <row r="35" spans="1:9" s="1" customFormat="1" ht="19.5" hidden="1" customHeight="1" thickBot="1">
      <c r="A35" s="491" t="s">
        <v>233</v>
      </c>
      <c r="B35" s="492"/>
      <c r="C35" s="492"/>
      <c r="D35" s="492"/>
      <c r="E35" s="492"/>
      <c r="F35" s="492"/>
      <c r="G35" s="492"/>
      <c r="H35" s="492"/>
      <c r="I35" s="493"/>
    </row>
    <row r="36" spans="1:9" s="1" customFormat="1" hidden="1" thickBot="1">
      <c r="A36" s="26" t="s">
        <v>234</v>
      </c>
      <c r="B36" s="497" t="s">
        <v>162</v>
      </c>
      <c r="C36" s="498"/>
      <c r="D36" s="499"/>
      <c r="E36" s="26" t="s">
        <v>163</v>
      </c>
      <c r="F36" s="26" t="s">
        <v>235</v>
      </c>
      <c r="G36" s="26" t="s">
        <v>269</v>
      </c>
      <c r="H36" s="26" t="s">
        <v>165</v>
      </c>
      <c r="I36" s="27" t="s">
        <v>55</v>
      </c>
    </row>
    <row r="37" spans="1:9" s="1" customFormat="1" hidden="1" thickBot="1">
      <c r="A37" s="28" t="s">
        <v>236</v>
      </c>
      <c r="B37" s="29" t="s">
        <v>237</v>
      </c>
      <c r="C37" s="29" t="s">
        <v>238</v>
      </c>
      <c r="D37" s="28" t="s">
        <v>239</v>
      </c>
      <c r="E37" s="30"/>
      <c r="F37" s="31"/>
      <c r="G37" s="28">
        <v>1300</v>
      </c>
      <c r="H37" s="32">
        <v>0.125</v>
      </c>
      <c r="I37" s="33">
        <f>F37*G37*H37</f>
        <v>0</v>
      </c>
    </row>
    <row r="38" spans="1:9" s="1" customFormat="1" hidden="1" thickBot="1">
      <c r="A38" s="28" t="s">
        <v>240</v>
      </c>
      <c r="B38" s="29" t="s">
        <v>241</v>
      </c>
      <c r="C38" s="29" t="s">
        <v>242</v>
      </c>
      <c r="D38" s="28" t="s">
        <v>240</v>
      </c>
      <c r="E38" s="30"/>
      <c r="F38" s="31"/>
      <c r="G38" s="28">
        <v>0</v>
      </c>
      <c r="H38" s="32">
        <v>0.125</v>
      </c>
      <c r="I38" s="33">
        <f t="shared" ref="I38:I46" si="1">F38*G38*H38</f>
        <v>0</v>
      </c>
    </row>
    <row r="39" spans="1:9" ht="15" hidden="1" thickBot="1">
      <c r="A39" s="28" t="s">
        <v>243</v>
      </c>
      <c r="B39" s="29" t="s">
        <v>244</v>
      </c>
      <c r="C39" s="29" t="s">
        <v>245</v>
      </c>
      <c r="D39" s="29" t="s">
        <v>246</v>
      </c>
      <c r="E39" s="30"/>
      <c r="F39" s="31"/>
      <c r="G39" s="28">
        <v>150</v>
      </c>
      <c r="H39" s="32">
        <v>0.125</v>
      </c>
      <c r="I39" s="33">
        <f t="shared" si="1"/>
        <v>0</v>
      </c>
    </row>
    <row r="40" spans="1:9" ht="15" hidden="1" thickBot="1">
      <c r="A40" s="28" t="s">
        <v>247</v>
      </c>
      <c r="B40" s="29" t="s">
        <v>248</v>
      </c>
      <c r="C40" s="29" t="s">
        <v>249</v>
      </c>
      <c r="D40" s="29" t="s">
        <v>247</v>
      </c>
      <c r="E40" s="30"/>
      <c r="F40" s="31"/>
      <c r="G40" s="28">
        <v>0</v>
      </c>
      <c r="H40" s="32">
        <v>0.125</v>
      </c>
      <c r="I40" s="33">
        <f t="shared" si="1"/>
        <v>0</v>
      </c>
    </row>
    <row r="41" spans="1:9" ht="15" hidden="1" thickBot="1">
      <c r="A41" s="28" t="s">
        <v>250</v>
      </c>
      <c r="B41" s="29" t="s">
        <v>251</v>
      </c>
      <c r="C41" s="29" t="s">
        <v>252</v>
      </c>
      <c r="D41" s="29" t="s">
        <v>250</v>
      </c>
      <c r="E41" s="30"/>
      <c r="F41" s="31"/>
      <c r="G41" s="28">
        <v>0</v>
      </c>
      <c r="H41" s="32">
        <v>0.125</v>
      </c>
      <c r="I41" s="33">
        <f t="shared" si="1"/>
        <v>0</v>
      </c>
    </row>
    <row r="42" spans="1:9" ht="15" hidden="1" thickBot="1">
      <c r="A42" s="28" t="s">
        <v>253</v>
      </c>
      <c r="B42" s="29" t="s">
        <v>170</v>
      </c>
      <c r="C42" s="29" t="s">
        <v>254</v>
      </c>
      <c r="D42" s="29" t="s">
        <v>253</v>
      </c>
      <c r="E42" s="30"/>
      <c r="F42" s="31"/>
      <c r="G42" s="28">
        <v>0</v>
      </c>
      <c r="H42" s="32">
        <v>0.125</v>
      </c>
      <c r="I42" s="33">
        <f t="shared" si="1"/>
        <v>0</v>
      </c>
    </row>
    <row r="43" spans="1:9" ht="15" hidden="1" thickBot="1">
      <c r="A43" s="28" t="s">
        <v>255</v>
      </c>
      <c r="B43" s="29" t="s">
        <v>256</v>
      </c>
      <c r="C43" s="29" t="s">
        <v>257</v>
      </c>
      <c r="D43" s="28" t="s">
        <v>255</v>
      </c>
      <c r="E43" s="30"/>
      <c r="F43" s="31"/>
      <c r="G43" s="28">
        <v>0</v>
      </c>
      <c r="H43" s="32">
        <v>0.125</v>
      </c>
      <c r="I43" s="33">
        <f t="shared" si="1"/>
        <v>0</v>
      </c>
    </row>
    <row r="44" spans="1:9" ht="15" hidden="1" thickBot="1">
      <c r="A44" s="28" t="s">
        <v>258</v>
      </c>
      <c r="B44" s="29" t="s">
        <v>259</v>
      </c>
      <c r="C44" s="29" t="s">
        <v>260</v>
      </c>
      <c r="D44" s="28" t="s">
        <v>258</v>
      </c>
      <c r="E44" s="30"/>
      <c r="F44" s="31"/>
      <c r="G44" s="28">
        <v>0</v>
      </c>
      <c r="H44" s="32">
        <v>0.125</v>
      </c>
      <c r="I44" s="33">
        <f t="shared" si="1"/>
        <v>0</v>
      </c>
    </row>
    <row r="45" spans="1:9" ht="15" hidden="1" thickBot="1">
      <c r="A45" s="28" t="s">
        <v>261</v>
      </c>
      <c r="B45" s="29" t="s">
        <v>170</v>
      </c>
      <c r="C45" s="29" t="s">
        <v>262</v>
      </c>
      <c r="D45" s="28" t="s">
        <v>261</v>
      </c>
      <c r="E45" s="30"/>
      <c r="F45" s="31"/>
      <c r="G45" s="28">
        <v>0</v>
      </c>
      <c r="H45" s="32">
        <v>0.125</v>
      </c>
      <c r="I45" s="33">
        <f t="shared" si="1"/>
        <v>0</v>
      </c>
    </row>
    <row r="46" spans="1:9" ht="15" hidden="1" thickBot="1">
      <c r="A46" s="28" t="s">
        <v>263</v>
      </c>
      <c r="B46" s="29" t="s">
        <v>264</v>
      </c>
      <c r="C46" s="29" t="s">
        <v>265</v>
      </c>
      <c r="D46" s="29" t="s">
        <v>247</v>
      </c>
      <c r="E46" s="30"/>
      <c r="F46" s="31"/>
      <c r="G46" s="28">
        <v>47500</v>
      </c>
      <c r="H46" s="32">
        <v>0.125</v>
      </c>
      <c r="I46" s="33">
        <f t="shared" si="1"/>
        <v>0</v>
      </c>
    </row>
    <row r="47" spans="1:9" hidden="1">
      <c r="A47" s="485" t="s">
        <v>232</v>
      </c>
      <c r="B47" s="486"/>
      <c r="C47" s="486"/>
      <c r="D47" s="486"/>
      <c r="E47" s="486"/>
      <c r="F47" s="486"/>
      <c r="G47" s="486"/>
      <c r="H47" s="486"/>
      <c r="I47" s="487"/>
    </row>
    <row r="48" spans="1:9">
      <c r="A48" s="35"/>
      <c r="B48" s="36"/>
      <c r="C48" s="36"/>
      <c r="D48" s="36"/>
      <c r="E48" s="36"/>
      <c r="F48" s="36"/>
      <c r="G48" s="36"/>
      <c r="H48" s="36"/>
      <c r="I48" s="36"/>
    </row>
    <row r="49" spans="1:9">
      <c r="A49" s="4"/>
      <c r="B49" s="2"/>
      <c r="C49" s="2"/>
      <c r="D49" s="2"/>
      <c r="E49" s="2"/>
      <c r="F49" s="2"/>
      <c r="G49" s="2"/>
      <c r="H49" s="2"/>
      <c r="I49" s="2"/>
    </row>
    <row r="50" spans="1:9">
      <c r="C50" s="2"/>
      <c r="D50" s="2"/>
      <c r="E50" s="2"/>
      <c r="F50" s="2"/>
      <c r="G50" s="2"/>
      <c r="H50" s="2"/>
      <c r="I50" s="2"/>
    </row>
    <row r="51" spans="1:9">
      <c r="E51" s="2"/>
      <c r="F51" s="2"/>
      <c r="G51" s="2"/>
      <c r="H51" s="2"/>
      <c r="I51" s="2"/>
    </row>
    <row r="52" spans="1:9">
      <c r="A52" s="4"/>
      <c r="B52" s="2"/>
      <c r="C52" s="2"/>
      <c r="D52" s="2"/>
      <c r="E52" s="2"/>
      <c r="F52" s="2"/>
      <c r="G52" s="2"/>
      <c r="H52" s="2"/>
      <c r="I52" s="2"/>
    </row>
    <row r="53" spans="1:9">
      <c r="A53" s="5"/>
      <c r="B53" s="6"/>
      <c r="C53" s="6"/>
      <c r="D53" s="6"/>
      <c r="E53" s="6"/>
      <c r="F53" s="6"/>
      <c r="G53" s="6"/>
      <c r="H53" s="6"/>
      <c r="I53" s="6"/>
    </row>
    <row r="54" spans="1:9">
      <c r="E54" s="1"/>
      <c r="F54" s="1"/>
      <c r="G54" s="1"/>
      <c r="H54" s="1"/>
      <c r="I54" s="1"/>
    </row>
    <row r="55" spans="1:9">
      <c r="E55" s="1"/>
      <c r="F55" s="1"/>
      <c r="G55" s="1"/>
      <c r="H55" s="1"/>
      <c r="I55" s="1"/>
    </row>
    <row r="56" spans="1:9">
      <c r="A56" s="7"/>
      <c r="E56" s="1"/>
      <c r="F56" s="1"/>
      <c r="G56" s="1"/>
      <c r="H56" s="1"/>
      <c r="I56" s="1"/>
    </row>
    <row r="57" spans="1:9">
      <c r="E57" s="1"/>
      <c r="F57" s="1"/>
      <c r="G57" s="1"/>
      <c r="H57" s="1"/>
      <c r="I57" s="1"/>
    </row>
    <row r="58" spans="1:9">
      <c r="E58" s="1"/>
      <c r="F58" s="1"/>
      <c r="G58" s="1"/>
      <c r="H58" s="1"/>
      <c r="I58" s="1"/>
    </row>
    <row r="59" spans="1:9">
      <c r="E59" s="1"/>
      <c r="F59" s="1"/>
      <c r="G59" s="1"/>
      <c r="H59" s="1"/>
      <c r="I59" s="1"/>
    </row>
    <row r="60" spans="1:9">
      <c r="E60" s="1"/>
      <c r="F60" s="1"/>
      <c r="G60" s="1"/>
      <c r="H60" s="1"/>
      <c r="I60" s="1"/>
    </row>
    <row r="61" spans="1:9">
      <c r="E61" s="1"/>
      <c r="F61" s="1"/>
      <c r="G61" s="1"/>
      <c r="H61" s="1"/>
      <c r="I61" s="1"/>
    </row>
    <row r="62" spans="1:9">
      <c r="E62" s="1"/>
      <c r="F62" s="1"/>
      <c r="G62" s="1"/>
      <c r="H62" s="1"/>
      <c r="I62" s="1"/>
    </row>
    <row r="63" spans="1:9">
      <c r="E63" s="1"/>
      <c r="F63" s="1"/>
      <c r="G63" s="1"/>
      <c r="H63" s="1"/>
      <c r="I63" s="1"/>
    </row>
    <row r="64" spans="1:9">
      <c r="E64" s="1"/>
      <c r="F64" s="1"/>
      <c r="G64" s="1"/>
      <c r="H64" s="1"/>
      <c r="I64" s="1"/>
    </row>
    <row r="65" spans="5:9">
      <c r="E65" s="1"/>
      <c r="F65" s="1"/>
      <c r="G65" s="1"/>
      <c r="H65" s="1"/>
      <c r="I65" s="1"/>
    </row>
    <row r="66" spans="5:9">
      <c r="E66" s="1"/>
      <c r="F66" s="1"/>
      <c r="G66" s="1"/>
      <c r="H66" s="1"/>
      <c r="I66" s="1"/>
    </row>
    <row r="67" spans="5:9">
      <c r="E67" s="1"/>
      <c r="F67" s="1"/>
      <c r="G67" s="1"/>
      <c r="H67" s="1"/>
      <c r="I67" s="1"/>
    </row>
    <row r="68" spans="5:9">
      <c r="E68" s="1"/>
      <c r="F68" s="1"/>
      <c r="G68" s="1"/>
      <c r="H68" s="1"/>
      <c r="I68" s="1"/>
    </row>
    <row r="69" spans="5:9">
      <c r="E69" s="1"/>
      <c r="F69" s="1"/>
      <c r="G69" s="1"/>
      <c r="H69" s="1"/>
      <c r="I69" s="1"/>
    </row>
    <row r="70" spans="5:9">
      <c r="E70" s="1"/>
      <c r="F70" s="1"/>
      <c r="G70" s="1"/>
      <c r="H70" s="1"/>
      <c r="I70" s="1"/>
    </row>
    <row r="71" spans="5:9">
      <c r="E71" s="1"/>
      <c r="F71" s="1"/>
      <c r="G71" s="1"/>
      <c r="H71" s="1"/>
      <c r="I71" s="1"/>
    </row>
    <row r="72" spans="5:9">
      <c r="E72" s="1"/>
      <c r="F72" s="1"/>
      <c r="G72" s="1"/>
      <c r="H72" s="1"/>
      <c r="I72" s="1"/>
    </row>
    <row r="73" spans="5:9">
      <c r="E73" s="1"/>
      <c r="F73" s="1"/>
      <c r="G73" s="1"/>
      <c r="H73" s="1"/>
      <c r="I73" s="1"/>
    </row>
    <row r="74" spans="5:9">
      <c r="E74" s="1"/>
      <c r="F74" s="1"/>
      <c r="G74" s="1"/>
      <c r="H74" s="1"/>
      <c r="I74" s="1"/>
    </row>
    <row r="75" spans="5:9">
      <c r="E75" s="1"/>
      <c r="F75" s="1"/>
      <c r="G75" s="1"/>
      <c r="H75" s="1"/>
      <c r="I75" s="1"/>
    </row>
    <row r="76" spans="5:9">
      <c r="E76" s="1"/>
      <c r="F76" s="1"/>
      <c r="G76" s="1"/>
      <c r="H76" s="1"/>
      <c r="I76" s="1"/>
    </row>
    <row r="77" spans="5:9">
      <c r="E77" s="1"/>
      <c r="F77" s="1"/>
      <c r="G77" s="1"/>
      <c r="H77" s="1"/>
      <c r="I77" s="1"/>
    </row>
    <row r="78" spans="5:9">
      <c r="E78" s="1"/>
      <c r="F78" s="1"/>
      <c r="G78" s="1"/>
      <c r="H78" s="1"/>
      <c r="I78" s="1"/>
    </row>
    <row r="79" spans="5:9">
      <c r="E79" s="1"/>
      <c r="F79" s="1"/>
      <c r="G79" s="1"/>
      <c r="H79" s="1"/>
      <c r="I79" s="1"/>
    </row>
    <row r="80" spans="5:9">
      <c r="E80" s="1"/>
      <c r="F80" s="1"/>
      <c r="G80" s="1"/>
      <c r="H80" s="1"/>
      <c r="I80" s="1"/>
    </row>
    <row r="81" spans="5:9">
      <c r="E81" s="1"/>
      <c r="F81" s="1"/>
      <c r="G81" s="1"/>
      <c r="H81" s="1"/>
      <c r="I81" s="1"/>
    </row>
    <row r="82" spans="5:9">
      <c r="E82" s="1"/>
      <c r="F82" s="1"/>
      <c r="G82" s="1"/>
      <c r="H82" s="1"/>
      <c r="I82" s="1"/>
    </row>
    <row r="83" spans="5:9">
      <c r="E83" s="1"/>
      <c r="F83" s="1"/>
      <c r="G83" s="1"/>
      <c r="H83" s="1"/>
      <c r="I83" s="1"/>
    </row>
    <row r="84" spans="5:9">
      <c r="E84" s="1"/>
      <c r="F84" s="1"/>
      <c r="G84" s="1"/>
      <c r="H84" s="1"/>
      <c r="I84" s="1"/>
    </row>
    <row r="85" spans="5:9">
      <c r="E85" s="1"/>
      <c r="F85" s="1"/>
      <c r="G85" s="1"/>
      <c r="H85" s="1"/>
      <c r="I85" s="1"/>
    </row>
    <row r="86" spans="5:9">
      <c r="E86" s="1"/>
      <c r="F86" s="1"/>
      <c r="G86" s="1"/>
      <c r="H86" s="1"/>
      <c r="I86" s="1"/>
    </row>
    <row r="87" spans="5:9">
      <c r="E87" s="1"/>
      <c r="F87" s="1"/>
      <c r="G87" s="1"/>
      <c r="H87" s="1"/>
      <c r="I87" s="1"/>
    </row>
    <row r="88" spans="5:9">
      <c r="E88" s="1"/>
      <c r="F88" s="1"/>
      <c r="G88" s="1"/>
      <c r="H88" s="1"/>
      <c r="I88" s="1"/>
    </row>
    <row r="89" spans="5:9">
      <c r="E89" s="1"/>
      <c r="F89" s="1"/>
      <c r="G89" s="1"/>
      <c r="H89" s="1"/>
      <c r="I89" s="1"/>
    </row>
    <row r="90" spans="5:9">
      <c r="E90" s="1"/>
      <c r="F90" s="1"/>
      <c r="G90" s="1"/>
      <c r="H90" s="1"/>
      <c r="I90" s="1"/>
    </row>
    <row r="91" spans="5:9">
      <c r="E91" s="1"/>
      <c r="F91" s="1"/>
      <c r="G91" s="1"/>
      <c r="H91" s="1"/>
      <c r="I91" s="1"/>
    </row>
    <row r="92" spans="5:9">
      <c r="E92" s="1"/>
      <c r="F92" s="1"/>
      <c r="G92" s="1"/>
      <c r="H92" s="1"/>
      <c r="I92" s="1"/>
    </row>
    <row r="93" spans="5:9">
      <c r="E93" s="1"/>
      <c r="F93" s="1"/>
      <c r="G93" s="1"/>
      <c r="H93" s="1"/>
      <c r="I93" s="1"/>
    </row>
    <row r="94" spans="5:9">
      <c r="E94" s="1"/>
      <c r="F94" s="1"/>
      <c r="G94" s="1"/>
      <c r="H94" s="1"/>
      <c r="I94" s="1"/>
    </row>
    <row r="95" spans="5:9">
      <c r="E95" s="1"/>
      <c r="F95" s="1"/>
      <c r="G95" s="1"/>
      <c r="H95" s="1"/>
      <c r="I95" s="1"/>
    </row>
    <row r="96" spans="5:9">
      <c r="E96" s="1"/>
      <c r="F96" s="1"/>
      <c r="G96" s="1"/>
      <c r="H96" s="1"/>
      <c r="I96" s="1"/>
    </row>
    <row r="97" spans="5:9">
      <c r="E97" s="1"/>
      <c r="F97" s="1"/>
      <c r="G97" s="1"/>
      <c r="H97" s="1"/>
      <c r="I97" s="1"/>
    </row>
    <row r="98" spans="5:9">
      <c r="E98" s="1"/>
      <c r="F98" s="1"/>
      <c r="G98" s="1"/>
      <c r="H98" s="1"/>
      <c r="I98" s="1"/>
    </row>
    <row r="99" spans="5:9">
      <c r="E99" s="1"/>
      <c r="F99" s="1"/>
      <c r="G99" s="1"/>
      <c r="H99" s="1"/>
      <c r="I99" s="1"/>
    </row>
    <row r="100" spans="5:9">
      <c r="E100" s="1"/>
      <c r="F100" s="1"/>
      <c r="G100" s="1"/>
      <c r="H100" s="1"/>
      <c r="I100" s="1"/>
    </row>
    <row r="101" spans="5:9">
      <c r="E101" s="1"/>
      <c r="F101" s="1"/>
      <c r="G101" s="1"/>
      <c r="H101" s="1"/>
      <c r="I101" s="1"/>
    </row>
    <row r="102" spans="5:9">
      <c r="E102" s="1"/>
      <c r="F102" s="1"/>
      <c r="G102" s="1"/>
      <c r="H102" s="1"/>
      <c r="I102" s="1"/>
    </row>
    <row r="103" spans="5:9">
      <c r="E103" s="1"/>
      <c r="F103" s="1"/>
      <c r="G103" s="1"/>
      <c r="H103" s="1"/>
      <c r="I103" s="1"/>
    </row>
    <row r="104" spans="5:9">
      <c r="E104" s="1"/>
      <c r="F104" s="1"/>
      <c r="G104" s="1"/>
      <c r="H104" s="1"/>
      <c r="I104" s="1"/>
    </row>
    <row r="105" spans="5:9">
      <c r="E105" s="1"/>
      <c r="F105" s="1"/>
      <c r="G105" s="1"/>
      <c r="H105" s="1"/>
      <c r="I105" s="1"/>
    </row>
    <row r="106" spans="5:9">
      <c r="E106" s="1"/>
      <c r="F106" s="1"/>
      <c r="G106" s="1"/>
      <c r="H106" s="1"/>
      <c r="I106" s="1"/>
    </row>
    <row r="107" spans="5:9">
      <c r="E107" s="1"/>
      <c r="F107" s="1"/>
      <c r="G107" s="1"/>
      <c r="H107" s="1"/>
      <c r="I107" s="1"/>
    </row>
    <row r="108" spans="5:9">
      <c r="E108" s="1"/>
      <c r="F108" s="1"/>
      <c r="G108" s="1"/>
      <c r="H108" s="1"/>
      <c r="I108" s="1"/>
    </row>
    <row r="109" spans="5:9">
      <c r="E109" s="1"/>
      <c r="F109" s="1"/>
      <c r="G109" s="1"/>
      <c r="H109" s="1"/>
      <c r="I109" s="1"/>
    </row>
    <row r="110" spans="5:9">
      <c r="E110" s="1"/>
      <c r="F110" s="1"/>
      <c r="G110" s="1"/>
      <c r="H110" s="1"/>
      <c r="I110" s="1"/>
    </row>
    <row r="111" spans="5:9">
      <c r="E111" s="1"/>
      <c r="F111" s="1"/>
      <c r="G111" s="1"/>
      <c r="H111" s="1"/>
      <c r="I111" s="1"/>
    </row>
    <row r="112" spans="5:9">
      <c r="E112" s="1"/>
      <c r="F112" s="1"/>
      <c r="G112" s="1"/>
      <c r="H112" s="1"/>
      <c r="I112" s="1"/>
    </row>
    <row r="113" spans="5:9">
      <c r="E113" s="1"/>
      <c r="F113" s="1"/>
      <c r="G113" s="1"/>
      <c r="H113" s="1"/>
      <c r="I113" s="1"/>
    </row>
    <row r="114" spans="5:9">
      <c r="E114" s="1"/>
      <c r="F114" s="1"/>
      <c r="G114" s="1"/>
      <c r="H114" s="1"/>
      <c r="I114" s="1"/>
    </row>
    <row r="115" spans="5:9">
      <c r="E115" s="1"/>
      <c r="F115" s="1"/>
      <c r="G115" s="1"/>
      <c r="H115" s="1"/>
      <c r="I115" s="1"/>
    </row>
    <row r="116" spans="5:9">
      <c r="E116" s="1"/>
      <c r="F116" s="1"/>
      <c r="G116" s="1"/>
      <c r="H116" s="1"/>
      <c r="I116" s="1"/>
    </row>
    <row r="117" spans="5:9">
      <c r="E117" s="1"/>
      <c r="F117" s="1"/>
      <c r="G117" s="1"/>
      <c r="H117" s="1"/>
      <c r="I117" s="1"/>
    </row>
    <row r="118" spans="5:9">
      <c r="E118" s="1"/>
      <c r="F118" s="1"/>
      <c r="G118" s="1"/>
      <c r="H118" s="1"/>
      <c r="I118" s="1"/>
    </row>
    <row r="119" spans="5:9">
      <c r="E119" s="1"/>
      <c r="F119" s="1"/>
      <c r="G119" s="1"/>
      <c r="H119" s="1"/>
      <c r="I119" s="1"/>
    </row>
    <row r="120" spans="5:9">
      <c r="E120" s="1"/>
      <c r="F120" s="1"/>
      <c r="G120" s="1"/>
      <c r="H120" s="1"/>
      <c r="I120" s="1"/>
    </row>
    <row r="121" spans="5:9">
      <c r="E121" s="1"/>
      <c r="F121" s="1"/>
      <c r="G121" s="1"/>
      <c r="H121" s="1"/>
      <c r="I121" s="1"/>
    </row>
    <row r="122" spans="5:9">
      <c r="E122" s="1"/>
      <c r="F122" s="1"/>
      <c r="G122" s="1"/>
      <c r="H122" s="1"/>
      <c r="I122" s="1"/>
    </row>
    <row r="123" spans="5:9">
      <c r="E123" s="1"/>
      <c r="F123" s="1"/>
      <c r="G123" s="1"/>
      <c r="H123" s="1"/>
      <c r="I123" s="1"/>
    </row>
    <row r="124" spans="5:9">
      <c r="E124" s="1"/>
      <c r="F124" s="1"/>
      <c r="G124" s="1"/>
      <c r="H124" s="1"/>
      <c r="I124" s="1"/>
    </row>
    <row r="125" spans="5:9">
      <c r="E125" s="1"/>
      <c r="F125" s="1"/>
      <c r="G125" s="1"/>
      <c r="H125" s="1"/>
      <c r="I125" s="1"/>
    </row>
  </sheetData>
  <sheetProtection algorithmName="SHA-512" hashValue="ZutWd+zDvVylOhUMVW7E/ag7ms/OCVs1iTyAS0cDwoV+xMh3DCAXF812dwp8d0GuzOSx+nwM1Hnv/0Jy1nwOOg==" saltValue="tyqZTtW9xThzB1bzN4dwWw==" spinCount="100000" sheet="1" objects="1" scenarios="1"/>
  <protectedRanges>
    <protectedRange sqref="F5:F8 D5:D8" name="gegevens_1_2_1_1"/>
  </protectedRanges>
  <mergeCells count="16">
    <mergeCell ref="A2:I2"/>
    <mergeCell ref="A4:G4"/>
    <mergeCell ref="A5:C5"/>
    <mergeCell ref="D5:G5"/>
    <mergeCell ref="A6:C6"/>
    <mergeCell ref="D6:G6"/>
    <mergeCell ref="A7:C7"/>
    <mergeCell ref="D7:G7"/>
    <mergeCell ref="A8:C8"/>
    <mergeCell ref="D8:G8"/>
    <mergeCell ref="A47:I47"/>
    <mergeCell ref="A10:I10"/>
    <mergeCell ref="A35:I35"/>
    <mergeCell ref="B11:D11"/>
    <mergeCell ref="B36:D36"/>
    <mergeCell ref="A32:I32"/>
  </mergeCells>
  <phoneticPr fontId="4"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93B002-6512-4797-AA32-7C080E29F4F0}">
  <ds:schemaRefs>
    <ds:schemaRef ds:uri="b77e2b43-37d4-4532-953b-53983e0992e2"/>
    <ds:schemaRef ds:uri="http://schemas.microsoft.com/office/infopath/2007/PartnerControls"/>
    <ds:schemaRef ds:uri="40faa72d-7604-4f4d-a488-93cffb7df14f"/>
    <ds:schemaRef ds:uri="http://purl.org/dc/dcmitype/"/>
    <ds:schemaRef ds:uri="http://schemas.microsoft.com/office/2006/documentManagement/types"/>
    <ds:schemaRef ds:uri="http://purl.org/dc/terms/"/>
    <ds:schemaRef ds:uri="http://schemas.microsoft.com/office/2006/metadata/properties"/>
    <ds:schemaRef ds:uri="http://purl.org/dc/elements/1.1/"/>
    <ds:schemaRef ds:uri="http://schemas.openxmlformats.org/package/2006/metadata/core-properties"/>
    <ds:schemaRef ds:uri="962d65e8-ec2e-4f08-b510-02888a857b6e"/>
    <ds:schemaRef ds:uri="http://www.w3.org/XML/1998/namespace"/>
  </ds:schemaRefs>
</ds:datastoreItem>
</file>

<file path=customXml/itemProps2.xml><?xml version="1.0" encoding="utf-8"?>
<ds:datastoreItem xmlns:ds="http://schemas.openxmlformats.org/officeDocument/2006/customXml" ds:itemID="{79371479-C754-48B4-ABCB-005452F745F4}">
  <ds:schemaRefs>
    <ds:schemaRef ds:uri="http://schemas.microsoft.com/sharepoint/v3/contenttype/forms"/>
  </ds:schemaRefs>
</ds:datastoreItem>
</file>

<file path=customXml/itemProps3.xml><?xml version="1.0" encoding="utf-8"?>
<ds:datastoreItem xmlns:ds="http://schemas.openxmlformats.org/officeDocument/2006/customXml" ds:itemID="{11090906-8483-4032-BE18-F63C43552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Voorblad</vt:lpstr>
      <vt:lpstr>1. Instructie</vt:lpstr>
      <vt:lpstr>2. Kwaliteit Perceel 2</vt:lpstr>
      <vt:lpstr>3. Prijs Perceel 2</vt:lpstr>
      <vt:lpstr>4. Fictieve inschrijfprijs P2</vt:lpstr>
      <vt:lpstr>5. Formulier logistiek</vt:lpstr>
      <vt:lpstr>'1. Instructie'!Afdrukbereik</vt:lpstr>
      <vt:lpstr>'2. Kwaliteit Perceel 2'!Afdrukbereik</vt:lpstr>
      <vt:lpstr>'3. Prijs Perceel 2'!Afdrukbereik</vt:lpstr>
      <vt:lpstr>'4. Fictieve inschrijfprijs P2'!Afdrukbereik</vt:lpstr>
      <vt:lpstr>'5. Formulier logistiek'!Afdrukbereik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Suzan Koopman</cp:lastModifiedBy>
  <cp:lastPrinted>2021-05-06T12:32:45Z</cp:lastPrinted>
  <dcterms:created xsi:type="dcterms:W3CDTF">2021-05-06T12:21:12Z</dcterms:created>
  <dcterms:modified xsi:type="dcterms:W3CDTF">2023-04-24T08:50:08Z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