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ROC Midden Nederland\Aanbesteding Schoonmaak 2022\Correspondentie\1e NvI\"/>
    </mc:Choice>
  </mc:AlternateContent>
  <xr:revisionPtr revIDLastSave="0" documentId="13_ncr:1_{F7BD6EEC-306C-4172-89D9-AAA84CA449A4}" xr6:coauthVersionLast="47" xr6:coauthVersionMax="47" xr10:uidLastSave="{00000000-0000-0000-0000-000000000000}"/>
  <bookViews>
    <workbookView xWindow="-120" yWindow="-120" windowWidth="29040" windowHeight="15840" firstSheet="9" activeTab="9" xr2:uid="{7C840892-48C3-4EC6-A62F-AA058679168D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Glas" sheetId="10" r:id="rId10"/>
    <sheet name="Glas per locatie" sheetId="11" r:id="rId11"/>
    <sheet name="Totaal" sheetId="12" r:id="rId12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10">'Glas per locatie'!$1:$3</definedName>
    <definedName name="_xlnm.Print_Titles" localSheetId="5">'Niet-meewerkende objectleiding'!$1:$3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AHB_1">Categorienormen!$F$40</definedName>
    <definedName name="catdw_1_AHV_40">Categorienormen!$F$48</definedName>
    <definedName name="catdw_1_AZB_1">Categorienormen!$F$56</definedName>
    <definedName name="catdw_1_AZV_40">Categorienormen!$F$61</definedName>
    <definedName name="catdw_1_BHB_1">Categorienormen!$F$6</definedName>
    <definedName name="catdw_1_BHV_40">Categorienormen!$F$9</definedName>
    <definedName name="catdw_1_BZB_1">Categorienormen!$F$20</definedName>
    <definedName name="catdw_1_BZV_40">Categorienormen!$F$23</definedName>
    <definedName name="catdw_1_CHB_1">Categorienormen!$F$7</definedName>
    <definedName name="catdw_1_CHV_40">Categorienormen!$F$10</definedName>
    <definedName name="catdw_1_CZB_1">Categorienormen!$F$21</definedName>
    <definedName name="catdw_1_CZV_40">Categorienormen!$F$24</definedName>
    <definedName name="catdw_1_EHB_1">Categorienormen!$F$41</definedName>
    <definedName name="catdw_1_EHV_40">Categorienormen!$F$49</definedName>
    <definedName name="catdw_1_EZB_1">Categorienormen!$F$57</definedName>
    <definedName name="catdw_1_EZV_40">Categorienormen!$F$62</definedName>
    <definedName name="catdw_1_FHB_1">Categorienormen!$F$42</definedName>
    <definedName name="catdw_1_FHV_40">Categorienormen!$F$50</definedName>
    <definedName name="catdw_1_GHB_1">Categorienormen!$F$43</definedName>
    <definedName name="catdw_1_GHV_40">Categorienormen!$F$51</definedName>
    <definedName name="catdw_1_IHB_1">Categorienormen!$F$44</definedName>
    <definedName name="catdw_1_IHV_40">Categorienormen!$F$52</definedName>
    <definedName name="catdw_1_IZB_1">Categorienormen!$F$58</definedName>
    <definedName name="catdw_1_IZV_40">Categorienormen!$F$63</definedName>
    <definedName name="catdw_1_KHB_1">Categorienormen!$F$36</definedName>
    <definedName name="catdw_1_KHV_40">Categorienormen!$F$38</definedName>
    <definedName name="catdw_1_LHB_1">Categorienormen!$F$8</definedName>
    <definedName name="catdw_1_LHV_40">Categorienormen!$F$11</definedName>
    <definedName name="catdw_1_LZB_1">Categorienormen!$F$22</definedName>
    <definedName name="catdw_1_LZV_40">Categorienormen!$F$25</definedName>
    <definedName name="catdw_1_OHB_1">Categorienormen!$F$45</definedName>
    <definedName name="catdw_1_OHV_40">Categorienormen!$F$53</definedName>
    <definedName name="catdw_1_OLHB_1">Categorienormen!$F$12</definedName>
    <definedName name="catdw_1_OLHV_40">Categorienormen!$F$13</definedName>
    <definedName name="catdw_1_OLZB_1">Categorienormen!$F$14</definedName>
    <definedName name="catdw_1_OLZV_40">Categorienormen!$F$15</definedName>
    <definedName name="catdw_1_PMHB_1">Categorienormen!$F$26</definedName>
    <definedName name="catdw_1_PMHV_40">Categorienormen!$F$27</definedName>
    <definedName name="catdw_1_PSHB_1">Categorienormen!$F$28</definedName>
    <definedName name="catdw_1_PSHV_40">Categorienormen!$F$29</definedName>
    <definedName name="catdw_1_PTHB_1">Categorienormen!$F$30</definedName>
    <definedName name="catdw_1_PTHV_40">Categorienormen!$F$31</definedName>
    <definedName name="catdw_1_PUHB_1">Categorienormen!$F$32</definedName>
    <definedName name="catdw_1_PUHV_40">Categorienormen!$F$33</definedName>
    <definedName name="catdw_1_PUZB_1">Categorienormen!$F$34</definedName>
    <definedName name="catdw_1_PUZV_40">Categorienormen!$F$35</definedName>
    <definedName name="catdw_1_SHB_1">Categorienormen!$F$37</definedName>
    <definedName name="catdw_1_SHV_40">Categorienormen!$F$39</definedName>
    <definedName name="catdw_1_STHB_1">Categorienormen!$F$16</definedName>
    <definedName name="catdw_1_STHV_40">Categorienormen!$F$17</definedName>
    <definedName name="catdw_1_STZB_1">Categorienormen!$F$18</definedName>
    <definedName name="catdw_1_STZV_40">Categorienormen!$F$19</definedName>
    <definedName name="catdw_1_THB_1">Categorienormen!$F$46</definedName>
    <definedName name="catdw_1_THV_40">Categorienormen!$F$54</definedName>
    <definedName name="catdw_1_TZB_1">Categorienormen!$F$59</definedName>
    <definedName name="catdw_1_TZV_40">Categorienormen!$F$64</definedName>
    <definedName name="catdw_1_VHB_1">Categorienormen!$F$47</definedName>
    <definedName name="catdw_1_VHV_40">Categorienormen!$F$55</definedName>
    <definedName name="catdw_1_VZB_1">Categorienormen!$F$60</definedName>
    <definedName name="catdw_1_VZV_40">Categorienormen!$F$65</definedName>
    <definedName name="catdw_2_VBHB_1">Categorienormen!$F$68</definedName>
    <definedName name="catdw_2_VBZB_1">Categorienormen!$F$69</definedName>
    <definedName name="catdw_2_VEHB_1">Categorienormen!$F$71</definedName>
    <definedName name="catdw_2_VEZB_1">Categorienormen!$F$72</definedName>
    <definedName name="catdw_2_VIHB_1">Categorienormen!$F$73</definedName>
    <definedName name="catdw_2_VIZB_1">Categorienormen!$F$74</definedName>
    <definedName name="catdw_2_VSHB_1">Categorienormen!$F$70</definedName>
    <definedName name="catdw_2_VTHB_1">Categorienormen!$F$75</definedName>
    <definedName name="catdw_2_VVHB_1">Categorienormen!$F$76</definedName>
    <definedName name="catdw_2_VVZB_1">Categorienormen!$F$77</definedName>
    <definedName name="catfd_1_AHB_1">Categorienormen!$C$40</definedName>
    <definedName name="catfd_1_AHV_40">Categorienormen!$C$48</definedName>
    <definedName name="catfd_1_AZB_1">Categorienormen!$C$56</definedName>
    <definedName name="catfd_1_AZV_40">Categorienormen!$C$61</definedName>
    <definedName name="catfd_1_BHB_1">Categorienormen!$C$6</definedName>
    <definedName name="catfd_1_BHV_40">Categorienormen!$C$9</definedName>
    <definedName name="catfd_1_BZB_1">Categorienormen!$C$20</definedName>
    <definedName name="catfd_1_BZV_40">Categorienormen!$C$23</definedName>
    <definedName name="catfd_1_CHB_1">Categorienormen!$C$7</definedName>
    <definedName name="catfd_1_CHV_40">Categorienormen!$C$10</definedName>
    <definedName name="catfd_1_CZB_1">Categorienormen!$C$21</definedName>
    <definedName name="catfd_1_CZV_40">Categorienormen!$C$24</definedName>
    <definedName name="catfd_1_EHB_1">Categorienormen!$C$41</definedName>
    <definedName name="catfd_1_EHV_40">Categorienormen!$C$49</definedName>
    <definedName name="catfd_1_EZB_1">Categorienormen!$C$57</definedName>
    <definedName name="catfd_1_EZV_40">Categorienormen!$C$62</definedName>
    <definedName name="catfd_1_FHB_1">Categorienormen!$C$42</definedName>
    <definedName name="catfd_1_FHV_40">Categorienormen!$C$50</definedName>
    <definedName name="catfd_1_GHB_1">Categorienormen!$C$43</definedName>
    <definedName name="catfd_1_GHV_40">Categorienormen!$C$51</definedName>
    <definedName name="catfd_1_IHB_1">Categorienormen!$C$44</definedName>
    <definedName name="catfd_1_IHV_40">Categorienormen!$C$52</definedName>
    <definedName name="catfd_1_IZB_1">Categorienormen!$C$58</definedName>
    <definedName name="catfd_1_IZV_40">Categorienormen!$C$63</definedName>
    <definedName name="catfd_1_KHB_1">Categorienormen!$C$36</definedName>
    <definedName name="catfd_1_KHV_40">Categorienormen!$C$38</definedName>
    <definedName name="catfd_1_LHB_1">Categorienormen!$C$8</definedName>
    <definedName name="catfd_1_LHV_40">Categorienormen!$C$11</definedName>
    <definedName name="catfd_1_LZB_1">Categorienormen!$C$22</definedName>
    <definedName name="catfd_1_LZV_40">Categorienormen!$C$25</definedName>
    <definedName name="catfd_1_OHB_1">Categorienormen!$C$45</definedName>
    <definedName name="catfd_1_OHV_40">Categorienormen!$C$53</definedName>
    <definedName name="catfd_1_OLHB_1">Categorienormen!$C$12</definedName>
    <definedName name="catfd_1_OLHV_40">Categorienormen!$C$13</definedName>
    <definedName name="catfd_1_OLZB_1">Categorienormen!$C$14</definedName>
    <definedName name="catfd_1_OLZV_40">Categorienormen!$C$15</definedName>
    <definedName name="catfd_1_PMHB_1">Categorienormen!$C$26</definedName>
    <definedName name="catfd_1_PMHV_40">Categorienormen!$C$27</definedName>
    <definedName name="catfd_1_PSHB_1">Categorienormen!$C$28</definedName>
    <definedName name="catfd_1_PSHV_40">Categorienormen!$C$29</definedName>
    <definedName name="catfd_1_PTHB_1">Categorienormen!$C$30</definedName>
    <definedName name="catfd_1_PTHV_40">Categorienormen!$C$31</definedName>
    <definedName name="catfd_1_PUHB_1">Categorienormen!$C$32</definedName>
    <definedName name="catfd_1_PUHV_40">Categorienormen!$C$33</definedName>
    <definedName name="catfd_1_PUZB_1">Categorienormen!$C$34</definedName>
    <definedName name="catfd_1_PUZV_40">Categorienormen!$C$35</definedName>
    <definedName name="catfd_1_SHB_1">Categorienormen!$C$37</definedName>
    <definedName name="catfd_1_SHV_40">Categorienormen!$C$39</definedName>
    <definedName name="catfd_1_STHB_1">Categorienormen!$C$16</definedName>
    <definedName name="catfd_1_STHV_40">Categorienormen!$C$17</definedName>
    <definedName name="catfd_1_STZB_1">Categorienormen!$C$18</definedName>
    <definedName name="catfd_1_STZV_40">Categorienormen!$C$19</definedName>
    <definedName name="catfd_1_THB_1">Categorienormen!$C$46</definedName>
    <definedName name="catfd_1_THV_40">Categorienormen!$C$54</definedName>
    <definedName name="catfd_1_TZB_1">Categorienormen!$C$59</definedName>
    <definedName name="catfd_1_TZV_40">Categorienormen!$C$64</definedName>
    <definedName name="catfd_1_VHB_1">Categorienormen!$C$47</definedName>
    <definedName name="catfd_1_VHV_40">Categorienormen!$C$55</definedName>
    <definedName name="catfd_1_VZB_1">Categorienormen!$C$60</definedName>
    <definedName name="catfd_1_VZV_40">Categorienormen!$C$65</definedName>
    <definedName name="catfd_2_VBHB_1">Categorienormen!$C$68</definedName>
    <definedName name="catfd_2_VBZB_1">Categorienormen!$C$69</definedName>
    <definedName name="catfd_2_VEHB_1">Categorienormen!$C$71</definedName>
    <definedName name="catfd_2_VEZB_1">Categorienormen!$C$72</definedName>
    <definedName name="catfd_2_VIHB_1">Categorienormen!$C$73</definedName>
    <definedName name="catfd_2_VIZB_1">Categorienormen!$C$74</definedName>
    <definedName name="catfd_2_VSHB_1">Categorienormen!$C$70</definedName>
    <definedName name="catfd_2_VTHB_1">Categorienormen!$C$75</definedName>
    <definedName name="catfd_2_VVHB_1">Categorienormen!$C$76</definedName>
    <definedName name="catfd_2_VVZB_1">Categorienormen!$C$77</definedName>
    <definedName name="catpn_1_AHB_1">Categorienormen!$E$40</definedName>
    <definedName name="catpn_1_AHV_40">Categorienormen!$E$48</definedName>
    <definedName name="catpn_1_AZB_1">Categorienormen!$E$56</definedName>
    <definedName name="catpn_1_AZV_40">Categorienormen!$E$61</definedName>
    <definedName name="catpn_1_BHB_1">Categorienormen!$E$6</definedName>
    <definedName name="catpn_1_BHV_40">Categorienormen!$E$9</definedName>
    <definedName name="catpn_1_BZB_1">Categorienormen!$E$20</definedName>
    <definedName name="catpn_1_BZV_40">Categorienormen!$E$23</definedName>
    <definedName name="catpn_1_CHB_1">Categorienormen!$E$7</definedName>
    <definedName name="catpn_1_CHV_40">Categorienormen!$E$10</definedName>
    <definedName name="catpn_1_CZB_1">Categorienormen!$E$21</definedName>
    <definedName name="catpn_1_CZV_40">Categorienormen!$E$24</definedName>
    <definedName name="catpn_1_EHB_1">Categorienormen!$E$41</definedName>
    <definedName name="catpn_1_EHV_40">Categorienormen!$E$49</definedName>
    <definedName name="catpn_1_EZB_1">Categorienormen!$E$57</definedName>
    <definedName name="catpn_1_EZV_40">Categorienormen!$E$62</definedName>
    <definedName name="catpn_1_FHB_1">Categorienormen!$E$42</definedName>
    <definedName name="catpn_1_FHV_40">Categorienormen!$E$50</definedName>
    <definedName name="catpn_1_GHB_1">Categorienormen!$E$43</definedName>
    <definedName name="catpn_1_GHV_40">Categorienormen!$E$51</definedName>
    <definedName name="catpn_1_IHB_1">Categorienormen!$E$44</definedName>
    <definedName name="catpn_1_IHV_40">Categorienormen!$E$52</definedName>
    <definedName name="catpn_1_IZB_1">Categorienormen!$E$58</definedName>
    <definedName name="catpn_1_IZV_40">Categorienormen!$E$63</definedName>
    <definedName name="catpn_1_KHB_1">Categorienormen!$E$36</definedName>
    <definedName name="catpn_1_KHV_40">Categorienormen!$E$38</definedName>
    <definedName name="catpn_1_LHB_1">Categorienormen!$E$8</definedName>
    <definedName name="catpn_1_LHV_40">Categorienormen!$E$11</definedName>
    <definedName name="catpn_1_LZB_1">Categorienormen!$E$22</definedName>
    <definedName name="catpn_1_LZV_40">Categorienormen!$E$25</definedName>
    <definedName name="catpn_1_OHB_1">Categorienormen!$E$45</definedName>
    <definedName name="catpn_1_OHV_40">Categorienormen!$E$53</definedName>
    <definedName name="catpn_1_OLHB_1">Categorienormen!$E$12</definedName>
    <definedName name="catpn_1_OLHV_40">Categorienormen!$E$13</definedName>
    <definedName name="catpn_1_OLZB_1">Categorienormen!$E$14</definedName>
    <definedName name="catpn_1_OLZV_40">Categorienormen!$E$15</definedName>
    <definedName name="catpn_1_PMHB_1">Categorienormen!$E$26</definedName>
    <definedName name="catpn_1_PMHV_40">Categorienormen!$E$27</definedName>
    <definedName name="catpn_1_PSHB_1">Categorienormen!$E$28</definedName>
    <definedName name="catpn_1_PSHV_40">Categorienormen!$E$29</definedName>
    <definedName name="catpn_1_PTHB_1">Categorienormen!$E$30</definedName>
    <definedName name="catpn_1_PTHV_40">Categorienormen!$E$31</definedName>
    <definedName name="catpn_1_PUHB_1">Categorienormen!$E$32</definedName>
    <definedName name="catpn_1_PUHV_40">Categorienormen!$E$33</definedName>
    <definedName name="catpn_1_PUZB_1">Categorienormen!$E$34</definedName>
    <definedName name="catpn_1_PUZV_40">Categorienormen!$E$35</definedName>
    <definedName name="catpn_1_SHB_1">Categorienormen!$E$37</definedName>
    <definedName name="catpn_1_SHV_40">Categorienormen!$E$39</definedName>
    <definedName name="catpn_1_STHB_1">Categorienormen!$E$16</definedName>
    <definedName name="catpn_1_STHV_40">Categorienormen!$E$17</definedName>
    <definedName name="catpn_1_STZB_1">Categorienormen!$E$18</definedName>
    <definedName name="catpn_1_STZV_40">Categorienormen!$E$19</definedName>
    <definedName name="catpn_1_THB_1">Categorienormen!$E$46</definedName>
    <definedName name="catpn_1_THV_40">Categorienormen!$E$54</definedName>
    <definedName name="catpn_1_TZB_1">Categorienormen!$E$59</definedName>
    <definedName name="catpn_1_TZV_40">Categorienormen!$E$64</definedName>
    <definedName name="catpn_1_VHB_1">Categorienormen!$E$47</definedName>
    <definedName name="catpn_1_VHV_40">Categorienormen!$E$55</definedName>
    <definedName name="catpn_1_VZB_1">Categorienormen!$E$60</definedName>
    <definedName name="catpn_1_VZV_40">Categorienormen!$E$65</definedName>
    <definedName name="catpn_2_VBHB_1">Categorienormen!$E$68</definedName>
    <definedName name="catpn_2_VBZB_1">Categorienormen!$E$69</definedName>
    <definedName name="catpn_2_VEHB_1">Categorienormen!$E$71</definedName>
    <definedName name="catpn_2_VEZB_1">Categorienormen!$E$72</definedName>
    <definedName name="catpn_2_VIHB_1">Categorienormen!$E$73</definedName>
    <definedName name="catpn_2_VIZB_1">Categorienormen!$E$74</definedName>
    <definedName name="catpn_2_VSHB_1">Categorienormen!$E$70</definedName>
    <definedName name="catpn_2_VTHB_1">Categorienormen!$E$75</definedName>
    <definedName name="catpn_2_VVHB_1">Categorienormen!$E$76</definedName>
    <definedName name="catpn_2_VVZB_1">Categorienormen!$E$77</definedName>
    <definedName name="cattf_1_AHB_1">Categorienormen!$H$40</definedName>
    <definedName name="cattf_1_AHV_40">Categorienormen!$H$48</definedName>
    <definedName name="cattf_1_AZB_1">Categorienormen!$H$56</definedName>
    <definedName name="cattf_1_AZV_40">Categorienormen!$H$61</definedName>
    <definedName name="cattf_1_BHB_1">Categorienormen!$H$6</definedName>
    <definedName name="cattf_1_BHV_40">Categorienormen!$H$9</definedName>
    <definedName name="cattf_1_BZB_1">Categorienormen!$H$20</definedName>
    <definedName name="cattf_1_BZV_40">Categorienormen!$H$23</definedName>
    <definedName name="cattf_1_CHB_1">Categorienormen!$H$7</definedName>
    <definedName name="cattf_1_CHV_40">Categorienormen!$H$10</definedName>
    <definedName name="cattf_1_CZB_1">Categorienormen!$H$21</definedName>
    <definedName name="cattf_1_CZV_40">Categorienormen!$H$24</definedName>
    <definedName name="cattf_1_EHB_1">Categorienormen!$H$41</definedName>
    <definedName name="cattf_1_EHV_40">Categorienormen!$H$49</definedName>
    <definedName name="cattf_1_EZB_1">Categorienormen!$H$57</definedName>
    <definedName name="cattf_1_EZV_40">Categorienormen!$H$62</definedName>
    <definedName name="cattf_1_FHB_1">Categorienormen!$H$42</definedName>
    <definedName name="cattf_1_FHV_40">Categorienormen!$H$50</definedName>
    <definedName name="cattf_1_GHB_1">Categorienormen!$H$43</definedName>
    <definedName name="cattf_1_GHV_40">Categorienormen!$H$51</definedName>
    <definedName name="cattf_1_IHB_1">Categorienormen!$H$44</definedName>
    <definedName name="cattf_1_IHV_40">Categorienormen!$H$52</definedName>
    <definedName name="cattf_1_IZB_1">Categorienormen!$H$58</definedName>
    <definedName name="cattf_1_IZV_40">Categorienormen!$H$63</definedName>
    <definedName name="cattf_1_KHB_1">Categorienormen!$H$36</definedName>
    <definedName name="cattf_1_KHV_40">Categorienormen!$H$38</definedName>
    <definedName name="cattf_1_LHB_1">Categorienormen!$H$8</definedName>
    <definedName name="cattf_1_LHV_40">Categorienormen!$H$11</definedName>
    <definedName name="cattf_1_LZB_1">Categorienormen!$H$22</definedName>
    <definedName name="cattf_1_LZV_40">Categorienormen!$H$25</definedName>
    <definedName name="cattf_1_OHB_1">Categorienormen!$H$45</definedName>
    <definedName name="cattf_1_OHV_40">Categorienormen!$H$53</definedName>
    <definedName name="cattf_1_OLHB_1">Categorienormen!$H$12</definedName>
    <definedName name="cattf_1_OLHV_40">Categorienormen!$H$13</definedName>
    <definedName name="cattf_1_OLZB_1">Categorienormen!$H$14</definedName>
    <definedName name="cattf_1_OLZV_40">Categorienormen!$H$15</definedName>
    <definedName name="cattf_1_PMHB_1">Categorienormen!$H$26</definedName>
    <definedName name="cattf_1_PMHV_40">Categorienormen!$H$27</definedName>
    <definedName name="cattf_1_PSHB_1">Categorienormen!$H$28</definedName>
    <definedName name="cattf_1_PSHV_40">Categorienormen!$H$29</definedName>
    <definedName name="cattf_1_PTHB_1">Categorienormen!$H$30</definedName>
    <definedName name="cattf_1_PTHV_40">Categorienormen!$H$31</definedName>
    <definedName name="cattf_1_PUHB_1">Categorienormen!$H$32</definedName>
    <definedName name="cattf_1_PUHV_40">Categorienormen!$H$33</definedName>
    <definedName name="cattf_1_PUZB_1">Categorienormen!$H$34</definedName>
    <definedName name="cattf_1_PUZV_40">Categorienormen!$H$35</definedName>
    <definedName name="cattf_1_SHB_1">Categorienormen!$H$37</definedName>
    <definedName name="cattf_1_SHV_40">Categorienormen!$H$39</definedName>
    <definedName name="cattf_1_STHB_1">Categorienormen!$H$16</definedName>
    <definedName name="cattf_1_STHV_40">Categorienormen!$H$17</definedName>
    <definedName name="cattf_1_STZB_1">Categorienormen!$H$18</definedName>
    <definedName name="cattf_1_STZV_40">Categorienormen!$H$19</definedName>
    <definedName name="cattf_1_THB_1">Categorienormen!$H$46</definedName>
    <definedName name="cattf_1_THV_40">Categorienormen!$H$54</definedName>
    <definedName name="cattf_1_TZB_1">Categorienormen!$H$59</definedName>
    <definedName name="cattf_1_TZV_40">Categorienormen!$H$64</definedName>
    <definedName name="cattf_1_VHB_1">Categorienormen!$H$47</definedName>
    <definedName name="cattf_1_VHV_40">Categorienormen!$H$55</definedName>
    <definedName name="cattf_1_VZB_1">Categorienormen!$H$60</definedName>
    <definedName name="cattf_1_VZV_40">Categorienormen!$H$65</definedName>
    <definedName name="cattf_2_VBHB_1">Categorienormen!$H$68</definedName>
    <definedName name="cattf_2_VBZB_1">Categorienormen!$H$69</definedName>
    <definedName name="cattf_2_VEHB_1">Categorienormen!$H$71</definedName>
    <definedName name="cattf_2_VEZB_1">Categorienormen!$H$72</definedName>
    <definedName name="cattf_2_VIHB_1">Categorienormen!$H$73</definedName>
    <definedName name="cattf_2_VIZB_1">Categorienormen!$H$74</definedName>
    <definedName name="cattf_2_VSHB_1">Categorienormen!$H$70</definedName>
    <definedName name="cattf_2_VTHB_1">Categorienormen!$H$75</definedName>
    <definedName name="cattf_2_VVHB_1">Categorienormen!$H$76</definedName>
    <definedName name="cattf_2_VVZB_1">Categorienormen!$H$77</definedName>
    <definedName name="dagenperjaar1">Omreken!$B$9</definedName>
    <definedName name="dagenperweek1">Omreken!$B$10</definedName>
    <definedName name="dagsoorttabel1">Omreken!$A$13:$B$33</definedName>
    <definedName name="dagwerk10">'Regulier werk'!$H$7</definedName>
    <definedName name="dagwerk11">'Regulier werk'!$H$8</definedName>
    <definedName name="dagwerk12">'Regulier werk'!$H$9</definedName>
    <definedName name="dagwerk13">'Regulier werk'!$H$10</definedName>
    <definedName name="dagwerk14">'Regulier werk'!$H$11</definedName>
    <definedName name="dagwerk15">'Regulier werk'!$H$12</definedName>
    <definedName name="dagwerk16">'Regulier werk'!$H$13</definedName>
    <definedName name="dagwerk17">'Regulier werk'!$H$14</definedName>
    <definedName name="dagwerk18">'Regulier werk'!$H$15</definedName>
    <definedName name="dagwerk19">'Regulier werk'!$H$16</definedName>
    <definedName name="dagwerk20">'Regulier werk'!$H$17</definedName>
    <definedName name="dagwerk21">'Regulier werk'!$H$18</definedName>
    <definedName name="dagwerk22">'Regulier werk'!$H$19</definedName>
    <definedName name="dagwerk23">'Regulier werk'!$H$20</definedName>
    <definedName name="dagwerk24">'Regulier werk'!$H$21</definedName>
    <definedName name="dagwerk25">'Regulier werk'!$H$22</definedName>
    <definedName name="dagwerk26">'Regulier werk'!$H$23</definedName>
    <definedName name="dagwerk27">'Regulier werk'!$H$24</definedName>
    <definedName name="dagwerk28">'Regulier werk'!$H$25</definedName>
    <definedName name="dagwerk29">'Regulier werk'!$H$26</definedName>
    <definedName name="dagwerk30">'Regulier werk'!$H$27</definedName>
    <definedName name="dagwerk31">'Regulier werk'!$H$28</definedName>
    <definedName name="dagwerk32">'Regulier werk'!$H$29</definedName>
    <definedName name="dagwerk33">'Regulier werk'!$H$30</definedName>
    <definedName name="dagwerk34">'Regulier werk'!$H$31</definedName>
    <definedName name="dagwerk35">'Regulier werk'!$H$32</definedName>
    <definedName name="dagwerk36">'Regulier werk'!$H$33</definedName>
    <definedName name="dagwerk37">'Regulier werk'!$H$34</definedName>
    <definedName name="dagwerk38">'Regulier werk'!$H$35</definedName>
    <definedName name="dagwerk39">'Regulier werk'!$H$36</definedName>
    <definedName name="dagwerk40">'Regulier werk'!$H$37</definedName>
    <definedName name="dagwerk41">'Regulier werk'!$H$38</definedName>
    <definedName name="dagwerk42">'Regulier werk'!$H$39</definedName>
    <definedName name="dagwerk43">'Regulier werk'!$H$40</definedName>
    <definedName name="dagwerk44">'Regulier werk'!$H$41</definedName>
    <definedName name="dagwerk45">'Regulier werk'!$H$42</definedName>
    <definedName name="dagwerk48">'Regulier werk'!$H$50</definedName>
    <definedName name="dagwerk49">'Regulier werk'!$H$51</definedName>
    <definedName name="dagwerk50">'Regulier werk'!$H$52</definedName>
    <definedName name="dagwerk51">'Regulier werk'!$H$53</definedName>
    <definedName name="dagwerk52">'Regulier werk'!$H$54</definedName>
    <definedName name="dagwerk53">'Regulier werk'!$H$55</definedName>
    <definedName name="dagwerk54">'Regulier werk'!$H$56</definedName>
    <definedName name="dagwerk55">'Regulier werk'!$H$57</definedName>
    <definedName name="dagwerk56">'Regulier werk'!$H$58</definedName>
    <definedName name="dagwerk57">'Regulier werk'!$H$59</definedName>
    <definedName name="dagwerk58">'Regulier werk'!$H$60</definedName>
    <definedName name="dagwerk8">'Regulier werk'!$H$43</definedName>
    <definedName name="dagwerk9">'Regulier werk'!$H$6</definedName>
    <definedName name="dagwerktabel1">Objectinformatie!$H$5:$H$42</definedName>
    <definedName name="dagwerktabel2">Objectinformatie!$H$45:$H$55</definedName>
    <definedName name="gemuurtarief1">'Regulier werk'!$J$46</definedName>
    <definedName name="gemuurtarief2">'Regulier werk'!$J$63</definedName>
    <definedName name="kengetaltabel1">Objectinformatie!$G$5:$G$42</definedName>
    <definedName name="kengetaltabel2">Objectinformatie!$G$45:$G$55</definedName>
    <definedName name="object1_opptabel1">Objectinformatie!$J$5:$J$42</definedName>
    <definedName name="object1_opptabel2">Objectinformatie!$J$45:$J$55</definedName>
    <definedName name="object2_opptabel1">Objectinformatie!$K$5:$K$42</definedName>
    <definedName name="object2_opptabel2">Objectinformatie!$K$45:$K$55</definedName>
    <definedName name="object3_opptabel1">Objectinformatie!$L$5:$L$42</definedName>
    <definedName name="object3_opptabel2">Objectinformatie!$L$45:$L$55</definedName>
    <definedName name="object4_opptabel1">Objectinformatie!$M$5:$M$42</definedName>
    <definedName name="object4_opptabel2">Objectinformatie!$M$45:$M$55</definedName>
    <definedName name="object5_opptabel1">Objectinformatie!$N$5:$N$42</definedName>
    <definedName name="object5_opptabel2">Objectinformatie!$N$45:$N$55</definedName>
    <definedName name="object6_opptabel1">Objectinformatie!$O$5:$O$42</definedName>
    <definedName name="object6_opptabel2">Objectinformatie!$O$45:$O$55</definedName>
    <definedName name="objectprijs1_1">Objecten!$Q$6</definedName>
    <definedName name="objectprijs2_1">Objecten!$Q$7</definedName>
    <definedName name="objectprijs2_2">Objecten!$Q$16</definedName>
    <definedName name="objectprijs3_1">Objecten!$Q$8</definedName>
    <definedName name="objectprijs3_2">Objecten!$Q$17</definedName>
    <definedName name="objectprijs4_1">Objecten!$Q$9</definedName>
    <definedName name="objectprijs5_1">Objecten!$Q$10</definedName>
    <definedName name="objectprijs6_1">Objecten!$Q$11</definedName>
    <definedName name="objectprijs6_2">Objecten!$Q$18</definedName>
    <definedName name="objecturen1_1">Objecten!$P$6</definedName>
    <definedName name="objecturen2_1">Objecten!$P$7</definedName>
    <definedName name="objecturen2_2">Objecten!$P$16</definedName>
    <definedName name="objecturen3_1">Objecten!$P$8</definedName>
    <definedName name="objecturen3_2">Objecten!$P$17</definedName>
    <definedName name="objecturen4_1">Objecten!$P$9</definedName>
    <definedName name="objecturen5_1">Objecten!$P$10</definedName>
    <definedName name="objecturen6_1">Objecten!$P$11</definedName>
    <definedName name="objecturen6_2">Objecten!$P$18</definedName>
    <definedName name="objecturenhf1_1">Objecten!$O$6</definedName>
    <definedName name="objecturenhf2_1">Objecten!$O$7</definedName>
    <definedName name="objecturenhf2_2">Objecten!$O$16</definedName>
    <definedName name="objecturenhf3_1">Objecten!$O$8</definedName>
    <definedName name="objecturenhf3_2">Objecten!$O$17</definedName>
    <definedName name="objecturenhf4_1">Objecten!$O$9</definedName>
    <definedName name="objecturenhf5_1">Objecten!$O$10</definedName>
    <definedName name="objecturenhf6_1">Objecten!$O$11</definedName>
    <definedName name="objecturenhf6_2">Objecten!$O$18</definedName>
    <definedName name="prijsdag1">'Regulier werk'!$L$44</definedName>
    <definedName name="prijsdag2">'Regulier werk'!$L$61</definedName>
    <definedName name="prijsjaar">'Regulier werk'!$N$66</definedName>
    <definedName name="prijsjaar1">'Regulier werk'!$N$44</definedName>
    <definedName name="prijsjaar2">'Regulier werk'!$N$61</definedName>
    <definedName name="prijsjaarafroep">Afroep!$K$14</definedName>
    <definedName name="prijsjaarafroep1">Afroep!$K$12</definedName>
    <definedName name="prijsjaarglas">Glas!$K$12</definedName>
    <definedName name="prijsjaarglas1">Glas!$K$10</definedName>
    <definedName name="prijsjaarnietmeewerkend">'Niet-meewerkende objectleiding'!$J$94</definedName>
    <definedName name="prijsjaartotaal">Objecten!$Q$22</definedName>
    <definedName name="prijsjaartotaal1">Objecten!$Q$12</definedName>
    <definedName name="prijsjaartotaal2">Objecten!$Q$19</definedName>
    <definedName name="prijsjaartotaaloverzicht">'Totaalblad Objecten'!$G$11</definedName>
    <definedName name="prijsmaandtotaal1">Objecten!$R$12</definedName>
    <definedName name="prijsmaandtotaal2">Objecten!$R$19</definedName>
    <definedName name="prodnorm10">'Regulier werk'!$G$7</definedName>
    <definedName name="prodnorm11">'Regulier werk'!$G$8</definedName>
    <definedName name="prodnorm12">'Regulier werk'!$G$9</definedName>
    <definedName name="prodnorm13">'Regulier werk'!$G$10</definedName>
    <definedName name="prodnorm14">'Regulier werk'!$G$11</definedName>
    <definedName name="prodnorm15">'Regulier werk'!$G$12</definedName>
    <definedName name="prodnorm16">'Regulier werk'!$G$13</definedName>
    <definedName name="prodnorm17">'Regulier werk'!$G$14</definedName>
    <definedName name="prodnorm18">'Regulier werk'!$G$15</definedName>
    <definedName name="prodnorm19">'Regulier werk'!$G$16</definedName>
    <definedName name="prodnorm20">'Regulier werk'!$G$17</definedName>
    <definedName name="prodnorm21">'Regulier werk'!$G$18</definedName>
    <definedName name="prodnorm22">'Regulier werk'!$G$19</definedName>
    <definedName name="prodnorm23">'Regulier werk'!$G$20</definedName>
    <definedName name="prodnorm24">'Regulier werk'!$G$21</definedName>
    <definedName name="prodnorm25">'Regulier werk'!$G$22</definedName>
    <definedName name="prodnorm26">'Regulier werk'!$G$23</definedName>
    <definedName name="prodnorm27">'Regulier werk'!$G$24</definedName>
    <definedName name="prodnorm28">'Regulier werk'!$G$25</definedName>
    <definedName name="prodnorm29">'Regulier werk'!$G$26</definedName>
    <definedName name="prodnorm30">'Regulier werk'!$G$27</definedName>
    <definedName name="prodnorm31">'Regulier werk'!$G$28</definedName>
    <definedName name="prodnorm32">'Regulier werk'!$G$29</definedName>
    <definedName name="prodnorm33">'Regulier werk'!$G$30</definedName>
    <definedName name="prodnorm34">'Regulier werk'!$G$31</definedName>
    <definedName name="prodnorm35">'Regulier werk'!$G$32</definedName>
    <definedName name="prodnorm36">'Regulier werk'!$G$33</definedName>
    <definedName name="prodnorm37">'Regulier werk'!$G$34</definedName>
    <definedName name="prodnorm38">'Regulier werk'!$G$35</definedName>
    <definedName name="prodnorm39">'Regulier werk'!$G$36</definedName>
    <definedName name="prodnorm40">'Regulier werk'!$G$37</definedName>
    <definedName name="prodnorm41">'Regulier werk'!$G$38</definedName>
    <definedName name="prodnorm42">'Regulier werk'!$G$39</definedName>
    <definedName name="prodnorm43">'Regulier werk'!$G$40</definedName>
    <definedName name="prodnorm44">'Regulier werk'!$G$41</definedName>
    <definedName name="prodnorm45">'Regulier werk'!$G$42</definedName>
    <definedName name="prodnorm48">'Regulier werk'!$G$50</definedName>
    <definedName name="prodnorm49">'Regulier werk'!$G$51</definedName>
    <definedName name="prodnorm50">'Regulier werk'!$G$52</definedName>
    <definedName name="prodnorm51">'Regulier werk'!$G$53</definedName>
    <definedName name="prodnorm52">'Regulier werk'!$G$54</definedName>
    <definedName name="prodnorm53">'Regulier werk'!$G$55</definedName>
    <definedName name="prodnorm54">'Regulier werk'!$G$56</definedName>
    <definedName name="prodnorm55">'Regulier werk'!$G$57</definedName>
    <definedName name="prodnorm56">'Regulier werk'!$G$58</definedName>
    <definedName name="prodnorm57">'Regulier werk'!$G$59</definedName>
    <definedName name="prodnorm58">'Regulier werk'!$G$60</definedName>
    <definedName name="prodnorm8">'Regulier werk'!$G$43</definedName>
    <definedName name="prodnorm9">'Regulier werk'!$G$6</definedName>
    <definedName name="taakfreqtabel1">Objectinformatie!$E$5:$E$42</definedName>
    <definedName name="taakfreqtabel2">Objectinformatie!$E$45:$E$55</definedName>
    <definedName name="tabeltype">Omreken!$B$5:$B$5</definedName>
    <definedName name="tarieftabel1">Objectinformatie!$I$5:$I$42</definedName>
    <definedName name="tarieftabel2">Objectinformatie!$I$45:$I$55</definedName>
    <definedName name="tzpjt1">'Niet-meewerkende objectleiding'!$J$60</definedName>
    <definedName name="tzpjt1_1">'Niet-meewerkende objectleiding'!$J$13</definedName>
    <definedName name="tzpjt2">'Niet-meewerkende objectleiding'!$J$91</definedName>
    <definedName name="tzpjt2_1">'Niet-meewerkende objectleiding'!$J$22</definedName>
    <definedName name="tzpjt2_2">'Niet-meewerkende objectleiding'!$J$71</definedName>
    <definedName name="tzpjt3_1">'Niet-meewerkende objectleiding'!$J$31</definedName>
    <definedName name="tzpjt3_2">'Niet-meewerkende objectleiding'!$J$80</definedName>
    <definedName name="tzpjt4_1">'Niet-meewerkende objectleiding'!$J$40</definedName>
    <definedName name="tzpjt5_1">'Niet-meewerkende objectleiding'!$J$49</definedName>
    <definedName name="tzpjt6_1">'Niet-meewerkende objectleiding'!$J$58</definedName>
    <definedName name="tzpjt6_2">'Niet-meewerkende objectleiding'!$J$89</definedName>
    <definedName name="tzpmt1">'Niet-meewerkende objectleiding'!$K$60</definedName>
    <definedName name="tzpmt1_1">'Niet-meewerkende objectleiding'!$K$13</definedName>
    <definedName name="tzpmt2">'Niet-meewerkende objectleiding'!$K$91</definedName>
    <definedName name="tzpmt2_1">'Niet-meewerkende objectleiding'!$K$22</definedName>
    <definedName name="tzpmt2_2">'Niet-meewerkende objectleiding'!$K$71</definedName>
    <definedName name="tzpmt3_1">'Niet-meewerkende objectleiding'!$K$31</definedName>
    <definedName name="tzpmt3_2">'Niet-meewerkende objectleiding'!$K$80</definedName>
    <definedName name="tzpmt4_1">'Niet-meewerkende objectleiding'!$K$40</definedName>
    <definedName name="tzpmt5_1">'Niet-meewerkende objectleiding'!$K$49</definedName>
    <definedName name="tzpmt6_1">'Niet-meewerkende objectleiding'!$K$58</definedName>
    <definedName name="tzpmt6_2">'Niet-meewerkende objectleiding'!$K$89</definedName>
    <definedName name="tzujt1">'Niet-meewerkende objectleiding'!$H$60</definedName>
    <definedName name="tzujt1_1">'Niet-meewerkende objectleiding'!$H$13</definedName>
    <definedName name="tzujt2">'Niet-meewerkende objectleiding'!$H$91</definedName>
    <definedName name="tzujt2_1">'Niet-meewerkende objectleiding'!$H$22</definedName>
    <definedName name="tzujt2_2">'Niet-meewerkende objectleiding'!$H$71</definedName>
    <definedName name="tzujt3_1">'Niet-meewerkende objectleiding'!$H$31</definedName>
    <definedName name="tzujt3_2">'Niet-meewerkende objectleiding'!$H$80</definedName>
    <definedName name="tzujt4_1">'Niet-meewerkende objectleiding'!$H$40</definedName>
    <definedName name="tzujt5_1">'Niet-meewerkende objectleiding'!$H$49</definedName>
    <definedName name="tzujt6_1">'Niet-meewerkende objectleiding'!$H$58</definedName>
    <definedName name="tzujt6_2">'Niet-meewerkende objectleiding'!$H$89</definedName>
    <definedName name="urendag1">'Regulier werk'!$K$44</definedName>
    <definedName name="urendag2">'Regulier werk'!$K$61</definedName>
    <definedName name="urenjaar">'Regulier werk'!$M$66</definedName>
    <definedName name="urenjaar1">'Regulier werk'!$M$44</definedName>
    <definedName name="urenjaar2">'Regulier werk'!$M$61</definedName>
    <definedName name="urenjaarnietmeewerkend">'Niet-meewerkende objectleiding'!$H$94</definedName>
    <definedName name="urenjaartotaal">Objecten!$P$22</definedName>
    <definedName name="urenjaartotaal1">Objecten!$P$12</definedName>
    <definedName name="urenjaartotaal2">Objecten!$P$19</definedName>
    <definedName name="urenjaartotaalhf">Objecten!$O$22</definedName>
    <definedName name="urenjaartotaalhf1">Objecten!$O$12</definedName>
    <definedName name="urenjaartotaalhf2">Objecten!$O$19</definedName>
    <definedName name="urenjaartotaaloverzicht">'Totaalblad Objecten'!$F$11</definedName>
    <definedName name="urenjaartotaaloverzichthf">'Totaalblad Objecten'!$E$11</definedName>
    <definedName name="uurfactortabel1">Objectinformatie!$F$5:$F$42</definedName>
    <definedName name="uurfactortabel2">Objectinformatie!$F$45:$F$55</definedName>
    <definedName name="uurtarief10">'Regulier werk'!$J$7</definedName>
    <definedName name="uurtarief11">'Regulier werk'!$J$8</definedName>
    <definedName name="uurtarief12">'Regulier werk'!$J$9</definedName>
    <definedName name="uurtarief13">'Regulier werk'!$J$10</definedName>
    <definedName name="uurtarief14">'Regulier werk'!$J$11</definedName>
    <definedName name="uurtarief15">'Regulier werk'!$J$12</definedName>
    <definedName name="uurtarief16">'Regulier werk'!$J$13</definedName>
    <definedName name="uurtarief17">'Regulier werk'!$J$14</definedName>
    <definedName name="uurtarief18">'Regulier werk'!$J$15</definedName>
    <definedName name="uurtarief19">'Regulier werk'!$J$16</definedName>
    <definedName name="uurtarief20">'Regulier werk'!$J$17</definedName>
    <definedName name="uurtarief21">'Regulier werk'!$J$18</definedName>
    <definedName name="uurtarief22">'Regulier werk'!$J$19</definedName>
    <definedName name="uurtarief23">'Regulier werk'!$J$20</definedName>
    <definedName name="uurtarief24">'Regulier werk'!$J$21</definedName>
    <definedName name="uurtarief25">'Regulier werk'!$J$22</definedName>
    <definedName name="uurtarief26">'Regulier werk'!$J$23</definedName>
    <definedName name="uurtarief27">'Regulier werk'!$J$24</definedName>
    <definedName name="uurtarief28">'Regulier werk'!$J$25</definedName>
    <definedName name="uurtarief29">'Regulier werk'!$J$26</definedName>
    <definedName name="uurtarief30">'Regulier werk'!$J$27</definedName>
    <definedName name="uurtarief31">'Regulier werk'!$J$28</definedName>
    <definedName name="uurtarief32">'Regulier werk'!$J$29</definedName>
    <definedName name="uurtarief33">'Regulier werk'!$J$30</definedName>
    <definedName name="uurtarief34">'Regulier werk'!$J$31</definedName>
    <definedName name="uurtarief35">'Regulier werk'!$J$32</definedName>
    <definedName name="uurtarief36">'Regulier werk'!$J$33</definedName>
    <definedName name="uurtarief37">'Regulier werk'!$J$34</definedName>
    <definedName name="uurtarief38">'Regulier werk'!$J$35</definedName>
    <definedName name="uurtarief39">'Regulier werk'!$J$36</definedName>
    <definedName name="uurtarief40">'Regulier werk'!$J$37</definedName>
    <definedName name="uurtarief41">'Regulier werk'!$J$38</definedName>
    <definedName name="uurtarief42">'Regulier werk'!$J$39</definedName>
    <definedName name="uurtarief43">'Regulier werk'!$J$40</definedName>
    <definedName name="uurtarief44">'Regulier werk'!$J$41</definedName>
    <definedName name="uurtarief45">'Regulier werk'!$J$42</definedName>
    <definedName name="uurtarief48">'Regulier werk'!$J$50</definedName>
    <definedName name="uurtarief49">'Regulier werk'!$J$51</definedName>
    <definedName name="uurtarief50">'Regulier werk'!$J$52</definedName>
    <definedName name="uurtarief51">'Regulier werk'!$J$53</definedName>
    <definedName name="uurtarief52">'Regulier werk'!$J$54</definedName>
    <definedName name="uurtarief53">'Regulier werk'!$J$55</definedName>
    <definedName name="uurtarief54">'Regulier werk'!$J$56</definedName>
    <definedName name="uurtarief55">'Regulier werk'!$J$57</definedName>
    <definedName name="uurtarief56">'Regulier werk'!$J$58</definedName>
    <definedName name="uurtarief57">'Regulier werk'!$J$59</definedName>
    <definedName name="uurtarief58">'Regulier werk'!$J$60</definedName>
    <definedName name="uurtarief8">'Regulier werk'!$J$43</definedName>
    <definedName name="uurtarief9">'Regulier werk'!$J$6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" i="12" l="1"/>
  <c r="J32" i="11"/>
  <c r="K32" i="11" s="1"/>
  <c r="H32" i="11"/>
  <c r="C32" i="11"/>
  <c r="J31" i="11"/>
  <c r="K31" i="11" s="1"/>
  <c r="K33" i="11" s="1"/>
  <c r="H31" i="11"/>
  <c r="J27" i="11"/>
  <c r="K27" i="11" s="1"/>
  <c r="H27" i="11"/>
  <c r="J26" i="11"/>
  <c r="K26" i="11" s="1"/>
  <c r="H26" i="11"/>
  <c r="J25" i="11"/>
  <c r="K25" i="11" s="1"/>
  <c r="K28" i="11" s="1"/>
  <c r="H25" i="11"/>
  <c r="J21" i="11"/>
  <c r="K21" i="11" s="1"/>
  <c r="H21" i="11"/>
  <c r="C21" i="11"/>
  <c r="L21" i="11" s="1"/>
  <c r="M21" i="11" s="1"/>
  <c r="J20" i="11"/>
  <c r="K20" i="11" s="1"/>
  <c r="H20" i="11"/>
  <c r="J19" i="11"/>
  <c r="K19" i="11" s="1"/>
  <c r="H19" i="11"/>
  <c r="J18" i="11"/>
  <c r="K18" i="11" s="1"/>
  <c r="H18" i="11"/>
  <c r="C18" i="11"/>
  <c r="L18" i="11" s="1"/>
  <c r="J14" i="11"/>
  <c r="K14" i="11" s="1"/>
  <c r="H14" i="11"/>
  <c r="C14" i="11"/>
  <c r="L14" i="11" s="1"/>
  <c r="M14" i="11" s="1"/>
  <c r="J13" i="11"/>
  <c r="K13" i="11" s="1"/>
  <c r="H13" i="11"/>
  <c r="C13" i="11"/>
  <c r="L13" i="11" s="1"/>
  <c r="M13" i="11" s="1"/>
  <c r="K12" i="11"/>
  <c r="J12" i="11"/>
  <c r="H12" i="11"/>
  <c r="J8" i="11"/>
  <c r="K8" i="11" s="1"/>
  <c r="H8" i="11"/>
  <c r="C8" i="11"/>
  <c r="K7" i="11"/>
  <c r="J7" i="11"/>
  <c r="H7" i="11"/>
  <c r="J6" i="11"/>
  <c r="K6" i="11" s="1"/>
  <c r="K9" i="11" s="1"/>
  <c r="H6" i="11"/>
  <c r="C6" i="11"/>
  <c r="L6" i="11" s="1"/>
  <c r="A1" i="11"/>
  <c r="J9" i="10"/>
  <c r="J8" i="10"/>
  <c r="J7" i="10"/>
  <c r="J6" i="10"/>
  <c r="A1" i="10"/>
  <c r="A1" i="9"/>
  <c r="J11" i="8"/>
  <c r="C11" i="8"/>
  <c r="K11" i="8" s="1"/>
  <c r="L11" i="8" s="1"/>
  <c r="J10" i="8"/>
  <c r="J9" i="8"/>
  <c r="C9" i="8"/>
  <c r="K9" i="8" s="1"/>
  <c r="L9" i="8" s="1"/>
  <c r="K8" i="8"/>
  <c r="L8" i="8" s="1"/>
  <c r="J8" i="8"/>
  <c r="C8" i="8"/>
  <c r="J7" i="8"/>
  <c r="C7" i="8"/>
  <c r="K7" i="8" s="1"/>
  <c r="L7" i="8" s="1"/>
  <c r="J6" i="8"/>
  <c r="K6" i="8" s="1"/>
  <c r="C6" i="8"/>
  <c r="A1" i="8"/>
  <c r="H5" i="7"/>
  <c r="A1" i="7"/>
  <c r="K88" i="6"/>
  <c r="J88" i="6"/>
  <c r="H88" i="6"/>
  <c r="C88" i="6"/>
  <c r="I88" i="6" s="1"/>
  <c r="J87" i="6"/>
  <c r="K87" i="6" s="1"/>
  <c r="H87" i="6"/>
  <c r="I87" i="6" s="1"/>
  <c r="C87" i="6"/>
  <c r="K86" i="6"/>
  <c r="J86" i="6"/>
  <c r="H86" i="6"/>
  <c r="C86" i="6"/>
  <c r="I86" i="6" s="1"/>
  <c r="J85" i="6"/>
  <c r="K85" i="6" s="1"/>
  <c r="K89" i="6" s="1"/>
  <c r="H85" i="6"/>
  <c r="C85" i="6"/>
  <c r="I85" i="6" s="1"/>
  <c r="K84" i="6"/>
  <c r="J84" i="6"/>
  <c r="H84" i="6"/>
  <c r="H89" i="6" s="1"/>
  <c r="C84" i="6"/>
  <c r="I84" i="6" s="1"/>
  <c r="J79" i="6"/>
  <c r="K79" i="6" s="1"/>
  <c r="I79" i="6"/>
  <c r="H79" i="6"/>
  <c r="C79" i="6"/>
  <c r="J78" i="6"/>
  <c r="K78" i="6" s="1"/>
  <c r="H78" i="6"/>
  <c r="I78" i="6" s="1"/>
  <c r="C78" i="6"/>
  <c r="K77" i="6"/>
  <c r="J77" i="6"/>
  <c r="J80" i="6" s="1"/>
  <c r="I77" i="6"/>
  <c r="H77" i="6"/>
  <c r="C77" i="6"/>
  <c r="J76" i="6"/>
  <c r="K76" i="6" s="1"/>
  <c r="H76" i="6"/>
  <c r="I76" i="6" s="1"/>
  <c r="C76" i="6"/>
  <c r="K75" i="6"/>
  <c r="J75" i="6"/>
  <c r="I75" i="6"/>
  <c r="H75" i="6"/>
  <c r="H80" i="6" s="1"/>
  <c r="C75" i="6"/>
  <c r="H71" i="6"/>
  <c r="J70" i="6"/>
  <c r="K70" i="6" s="1"/>
  <c r="I70" i="6"/>
  <c r="H70" i="6"/>
  <c r="C70" i="6"/>
  <c r="K69" i="6"/>
  <c r="J69" i="6"/>
  <c r="H69" i="6"/>
  <c r="C69" i="6"/>
  <c r="I69" i="6" s="1"/>
  <c r="J68" i="6"/>
  <c r="K68" i="6" s="1"/>
  <c r="I68" i="6"/>
  <c r="H68" i="6"/>
  <c r="C68" i="6"/>
  <c r="J67" i="6"/>
  <c r="J71" i="6" s="1"/>
  <c r="H67" i="6"/>
  <c r="I67" i="6" s="1"/>
  <c r="C67" i="6"/>
  <c r="K66" i="6"/>
  <c r="J66" i="6"/>
  <c r="H66" i="6"/>
  <c r="C66" i="6"/>
  <c r="I66" i="6" s="1"/>
  <c r="K57" i="6"/>
  <c r="J57" i="6"/>
  <c r="I57" i="6"/>
  <c r="H57" i="6"/>
  <c r="C57" i="6"/>
  <c r="J56" i="6"/>
  <c r="K56" i="6" s="1"/>
  <c r="I56" i="6"/>
  <c r="H56" i="6"/>
  <c r="C56" i="6"/>
  <c r="J55" i="6"/>
  <c r="K55" i="6" s="1"/>
  <c r="H55" i="6"/>
  <c r="I55" i="6" s="1"/>
  <c r="C55" i="6"/>
  <c r="K54" i="6"/>
  <c r="J54" i="6"/>
  <c r="I54" i="6"/>
  <c r="H54" i="6"/>
  <c r="C54" i="6"/>
  <c r="J53" i="6"/>
  <c r="K53" i="6" s="1"/>
  <c r="K58" i="6" s="1"/>
  <c r="H53" i="6"/>
  <c r="J48" i="6"/>
  <c r="K48" i="6" s="1"/>
  <c r="H48" i="6"/>
  <c r="C48" i="6"/>
  <c r="I48" i="6" s="1"/>
  <c r="J47" i="6"/>
  <c r="K47" i="6" s="1"/>
  <c r="I47" i="6"/>
  <c r="H47" i="6"/>
  <c r="C47" i="6"/>
  <c r="K46" i="6"/>
  <c r="J46" i="6"/>
  <c r="H46" i="6"/>
  <c r="C46" i="6"/>
  <c r="I46" i="6" s="1"/>
  <c r="J45" i="6"/>
  <c r="K45" i="6" s="1"/>
  <c r="I45" i="6"/>
  <c r="H45" i="6"/>
  <c r="H49" i="6" s="1"/>
  <c r="H8" i="7" s="1"/>
  <c r="C45" i="6"/>
  <c r="J44" i="6"/>
  <c r="J49" i="6" s="1"/>
  <c r="I8" i="7" s="1"/>
  <c r="H44" i="6"/>
  <c r="J39" i="6"/>
  <c r="K39" i="6" s="1"/>
  <c r="H39" i="6"/>
  <c r="C39" i="6"/>
  <c r="I39" i="6" s="1"/>
  <c r="K38" i="6"/>
  <c r="J38" i="6"/>
  <c r="H38" i="6"/>
  <c r="C38" i="6"/>
  <c r="I38" i="6" s="1"/>
  <c r="K37" i="6"/>
  <c r="J37" i="6"/>
  <c r="H37" i="6"/>
  <c r="C37" i="6"/>
  <c r="I37" i="6" s="1"/>
  <c r="K36" i="6"/>
  <c r="J36" i="6"/>
  <c r="H36" i="6"/>
  <c r="C36" i="6"/>
  <c r="I36" i="6" s="1"/>
  <c r="J35" i="6"/>
  <c r="J40" i="6" s="1"/>
  <c r="I7" i="7" s="1"/>
  <c r="H35" i="6"/>
  <c r="H40" i="6" s="1"/>
  <c r="H7" i="7" s="1"/>
  <c r="K30" i="6"/>
  <c r="J30" i="6"/>
  <c r="H30" i="6"/>
  <c r="C30" i="6"/>
  <c r="I30" i="6" s="1"/>
  <c r="K29" i="6"/>
  <c r="J29" i="6"/>
  <c r="I29" i="6"/>
  <c r="H29" i="6"/>
  <c r="C29" i="6"/>
  <c r="J28" i="6"/>
  <c r="K28" i="6" s="1"/>
  <c r="H28" i="6"/>
  <c r="C28" i="6"/>
  <c r="I28" i="6" s="1"/>
  <c r="K27" i="6"/>
  <c r="J27" i="6"/>
  <c r="H27" i="6"/>
  <c r="C27" i="6"/>
  <c r="I27" i="6" s="1"/>
  <c r="J26" i="6"/>
  <c r="J31" i="6" s="1"/>
  <c r="I6" i="7" s="1"/>
  <c r="H26" i="6"/>
  <c r="H31" i="6" s="1"/>
  <c r="H22" i="6"/>
  <c r="J21" i="6"/>
  <c r="K21" i="6" s="1"/>
  <c r="H21" i="6"/>
  <c r="C21" i="6"/>
  <c r="I21" i="6" s="1"/>
  <c r="K20" i="6"/>
  <c r="J20" i="6"/>
  <c r="H20" i="6"/>
  <c r="C20" i="6"/>
  <c r="I20" i="6" s="1"/>
  <c r="J19" i="6"/>
  <c r="K19" i="6" s="1"/>
  <c r="H19" i="6"/>
  <c r="I19" i="6" s="1"/>
  <c r="C19" i="6"/>
  <c r="J18" i="6"/>
  <c r="K18" i="6" s="1"/>
  <c r="H18" i="6"/>
  <c r="I18" i="6" s="1"/>
  <c r="C18" i="6"/>
  <c r="J17" i="6"/>
  <c r="K17" i="6" s="1"/>
  <c r="K22" i="6" s="1"/>
  <c r="H17" i="6"/>
  <c r="J12" i="6"/>
  <c r="K12" i="6" s="1"/>
  <c r="H12" i="6"/>
  <c r="H13" i="6" s="1"/>
  <c r="C12" i="6"/>
  <c r="I12" i="6" s="1"/>
  <c r="K11" i="6"/>
  <c r="J11" i="6"/>
  <c r="H11" i="6"/>
  <c r="C11" i="6"/>
  <c r="I11" i="6" s="1"/>
  <c r="J10" i="6"/>
  <c r="K10" i="6" s="1"/>
  <c r="H10" i="6"/>
  <c r="I10" i="6" s="1"/>
  <c r="C10" i="6"/>
  <c r="K9" i="6"/>
  <c r="J9" i="6"/>
  <c r="H9" i="6"/>
  <c r="C9" i="6"/>
  <c r="I9" i="6" s="1"/>
  <c r="K8" i="6"/>
  <c r="J8" i="6"/>
  <c r="J13" i="6" s="1"/>
  <c r="H8" i="6"/>
  <c r="A1" i="6"/>
  <c r="A1" i="5"/>
  <c r="G55" i="4"/>
  <c r="E55" i="4"/>
  <c r="H54" i="4"/>
  <c r="G54" i="4"/>
  <c r="E54" i="4"/>
  <c r="E53" i="4"/>
  <c r="I52" i="4"/>
  <c r="H52" i="4"/>
  <c r="G52" i="4"/>
  <c r="E52" i="4"/>
  <c r="I51" i="4"/>
  <c r="E51" i="4"/>
  <c r="G50" i="4"/>
  <c r="E50" i="4"/>
  <c r="E49" i="4"/>
  <c r="G48" i="4"/>
  <c r="E48" i="4"/>
  <c r="G47" i="4"/>
  <c r="E47" i="4"/>
  <c r="H46" i="4"/>
  <c r="G46" i="4"/>
  <c r="E46" i="4"/>
  <c r="E45" i="4"/>
  <c r="I42" i="4"/>
  <c r="H42" i="4"/>
  <c r="G42" i="4"/>
  <c r="E42" i="4"/>
  <c r="I41" i="4"/>
  <c r="I40" i="4"/>
  <c r="I38" i="4"/>
  <c r="I37" i="4"/>
  <c r="H37" i="4"/>
  <c r="G37" i="4"/>
  <c r="I36" i="4"/>
  <c r="H36" i="4"/>
  <c r="G36" i="4"/>
  <c r="G35" i="4"/>
  <c r="I34" i="4"/>
  <c r="I33" i="4"/>
  <c r="I32" i="4"/>
  <c r="I30" i="4"/>
  <c r="E30" i="4"/>
  <c r="I29" i="4"/>
  <c r="H29" i="4"/>
  <c r="G29" i="4"/>
  <c r="I28" i="4"/>
  <c r="H28" i="4"/>
  <c r="G28" i="4"/>
  <c r="E28" i="4"/>
  <c r="G27" i="4"/>
  <c r="E27" i="4"/>
  <c r="I26" i="4"/>
  <c r="E26" i="4"/>
  <c r="I25" i="4"/>
  <c r="I24" i="4"/>
  <c r="I22" i="4"/>
  <c r="I21" i="4"/>
  <c r="H21" i="4"/>
  <c r="G21" i="4"/>
  <c r="I20" i="4"/>
  <c r="H20" i="4"/>
  <c r="G20" i="4"/>
  <c r="G19" i="4"/>
  <c r="E19" i="4"/>
  <c r="I18" i="4"/>
  <c r="E18" i="4"/>
  <c r="I17" i="4"/>
  <c r="I16" i="4"/>
  <c r="I14" i="4"/>
  <c r="I13" i="4"/>
  <c r="H13" i="4"/>
  <c r="G13" i="4"/>
  <c r="I12" i="4"/>
  <c r="H12" i="4"/>
  <c r="G12" i="4"/>
  <c r="G11" i="4"/>
  <c r="E11" i="4"/>
  <c r="I10" i="4"/>
  <c r="E10" i="4"/>
  <c r="I9" i="4"/>
  <c r="I8" i="4"/>
  <c r="I6" i="4"/>
  <c r="I5" i="4"/>
  <c r="H5" i="4"/>
  <c r="G5" i="4"/>
  <c r="M60" i="3"/>
  <c r="N60" i="3" s="1"/>
  <c r="K60" i="3"/>
  <c r="J60" i="3"/>
  <c r="I55" i="4" s="1"/>
  <c r="H60" i="3"/>
  <c r="H55" i="4" s="1"/>
  <c r="G60" i="3"/>
  <c r="F60" i="3"/>
  <c r="K59" i="3"/>
  <c r="M59" i="3" s="1"/>
  <c r="N59" i="3" s="1"/>
  <c r="J59" i="3"/>
  <c r="L59" i="3" s="1"/>
  <c r="H59" i="3"/>
  <c r="G59" i="3"/>
  <c r="F59" i="3"/>
  <c r="J58" i="3"/>
  <c r="H58" i="3"/>
  <c r="H53" i="4" s="1"/>
  <c r="G58" i="3"/>
  <c r="K58" i="3" s="1"/>
  <c r="M58" i="3" s="1"/>
  <c r="N58" i="3" s="1"/>
  <c r="F58" i="3"/>
  <c r="K57" i="3"/>
  <c r="M57" i="3" s="1"/>
  <c r="N57" i="3" s="1"/>
  <c r="J57" i="3"/>
  <c r="L57" i="3" s="1"/>
  <c r="H57" i="3"/>
  <c r="G57" i="3"/>
  <c r="F57" i="3"/>
  <c r="M56" i="3"/>
  <c r="N56" i="3" s="1"/>
  <c r="K56" i="3"/>
  <c r="J56" i="3"/>
  <c r="L56" i="3" s="1"/>
  <c r="H56" i="3"/>
  <c r="H51" i="4" s="1"/>
  <c r="G56" i="3"/>
  <c r="G51" i="4" s="1"/>
  <c r="F56" i="3"/>
  <c r="K55" i="3"/>
  <c r="M55" i="3" s="1"/>
  <c r="N55" i="3" s="1"/>
  <c r="J55" i="3"/>
  <c r="I50" i="4" s="1"/>
  <c r="H55" i="3"/>
  <c r="H50" i="4" s="1"/>
  <c r="G55" i="3"/>
  <c r="F55" i="3"/>
  <c r="J54" i="3"/>
  <c r="I49" i="4" s="1"/>
  <c r="H54" i="3"/>
  <c r="H49" i="4" s="1"/>
  <c r="G54" i="3"/>
  <c r="G49" i="4" s="1"/>
  <c r="F54" i="3"/>
  <c r="K53" i="3"/>
  <c r="M53" i="3" s="1"/>
  <c r="N53" i="3" s="1"/>
  <c r="J53" i="3"/>
  <c r="I48" i="4" s="1"/>
  <c r="H53" i="3"/>
  <c r="H48" i="4" s="1"/>
  <c r="G53" i="3"/>
  <c r="F53" i="3"/>
  <c r="M52" i="3"/>
  <c r="N52" i="3" s="1"/>
  <c r="K52" i="3"/>
  <c r="J52" i="3"/>
  <c r="I47" i="4" s="1"/>
  <c r="H52" i="3"/>
  <c r="H47" i="4" s="1"/>
  <c r="G52" i="3"/>
  <c r="F52" i="3"/>
  <c r="K51" i="3"/>
  <c r="M51" i="3" s="1"/>
  <c r="N51" i="3" s="1"/>
  <c r="J51" i="3"/>
  <c r="L51" i="3" s="1"/>
  <c r="H51" i="3"/>
  <c r="G51" i="3"/>
  <c r="J50" i="3"/>
  <c r="H50" i="3"/>
  <c r="H45" i="4" s="1"/>
  <c r="G50" i="3"/>
  <c r="K50" i="3" s="1"/>
  <c r="F50" i="3"/>
  <c r="K43" i="3"/>
  <c r="L43" i="3" s="1"/>
  <c r="F43" i="3"/>
  <c r="K42" i="3"/>
  <c r="L42" i="3" s="1"/>
  <c r="J42" i="3"/>
  <c r="H42" i="3"/>
  <c r="H41" i="4" s="1"/>
  <c r="G42" i="3"/>
  <c r="G41" i="4" s="1"/>
  <c r="K41" i="3"/>
  <c r="L41" i="3" s="1"/>
  <c r="J41" i="3"/>
  <c r="H41" i="3"/>
  <c r="H40" i="4" s="1"/>
  <c r="G41" i="3"/>
  <c r="G40" i="4" s="1"/>
  <c r="K40" i="3"/>
  <c r="M40" i="3" s="1"/>
  <c r="N40" i="3" s="1"/>
  <c r="J40" i="3"/>
  <c r="I39" i="4" s="1"/>
  <c r="H40" i="3"/>
  <c r="H39" i="4" s="1"/>
  <c r="G40" i="3"/>
  <c r="G39" i="4" s="1"/>
  <c r="J39" i="3"/>
  <c r="H39" i="3"/>
  <c r="H38" i="4" s="1"/>
  <c r="G39" i="3"/>
  <c r="G38" i="4" s="1"/>
  <c r="K38" i="3"/>
  <c r="L38" i="3" s="1"/>
  <c r="J38" i="3"/>
  <c r="H38" i="3"/>
  <c r="G38" i="3"/>
  <c r="K37" i="3"/>
  <c r="L37" i="3" s="1"/>
  <c r="J37" i="3"/>
  <c r="H37" i="3"/>
  <c r="G37" i="3"/>
  <c r="K36" i="3"/>
  <c r="M36" i="3" s="1"/>
  <c r="N36" i="3" s="1"/>
  <c r="J36" i="3"/>
  <c r="L36" i="3" s="1"/>
  <c r="H36" i="3"/>
  <c r="H35" i="4" s="1"/>
  <c r="G36" i="3"/>
  <c r="J35" i="3"/>
  <c r="H35" i="3"/>
  <c r="H34" i="4" s="1"/>
  <c r="G35" i="3"/>
  <c r="K35" i="3" s="1"/>
  <c r="K34" i="3"/>
  <c r="L34" i="3" s="1"/>
  <c r="J34" i="3"/>
  <c r="H34" i="3"/>
  <c r="H33" i="4" s="1"/>
  <c r="G34" i="3"/>
  <c r="G33" i="4" s="1"/>
  <c r="K33" i="3"/>
  <c r="L33" i="3" s="1"/>
  <c r="J33" i="3"/>
  <c r="H33" i="3"/>
  <c r="H32" i="4" s="1"/>
  <c r="G33" i="3"/>
  <c r="G32" i="4" s="1"/>
  <c r="K32" i="3"/>
  <c r="M32" i="3" s="1"/>
  <c r="N32" i="3" s="1"/>
  <c r="J32" i="3"/>
  <c r="I31" i="4" s="1"/>
  <c r="H32" i="3"/>
  <c r="H31" i="4" s="1"/>
  <c r="G32" i="3"/>
  <c r="G31" i="4" s="1"/>
  <c r="J31" i="3"/>
  <c r="H31" i="3"/>
  <c r="H30" i="4" s="1"/>
  <c r="G31" i="3"/>
  <c r="G30" i="4" s="1"/>
  <c r="F31" i="3"/>
  <c r="K30" i="3"/>
  <c r="L30" i="3" s="1"/>
  <c r="J30" i="3"/>
  <c r="H30" i="3"/>
  <c r="G30" i="3"/>
  <c r="K29" i="3"/>
  <c r="L29" i="3" s="1"/>
  <c r="J29" i="3"/>
  <c r="H29" i="3"/>
  <c r="G29" i="3"/>
  <c r="K28" i="3"/>
  <c r="M28" i="3" s="1"/>
  <c r="N28" i="3" s="1"/>
  <c r="J28" i="3"/>
  <c r="L28" i="3" s="1"/>
  <c r="H28" i="3"/>
  <c r="H27" i="4" s="1"/>
  <c r="G28" i="3"/>
  <c r="J27" i="3"/>
  <c r="H27" i="3"/>
  <c r="H26" i="4" s="1"/>
  <c r="G27" i="3"/>
  <c r="K27" i="3" s="1"/>
  <c r="F27" i="3"/>
  <c r="K26" i="3"/>
  <c r="L26" i="3" s="1"/>
  <c r="J26" i="3"/>
  <c r="H26" i="3"/>
  <c r="H25" i="4" s="1"/>
  <c r="G26" i="3"/>
  <c r="G25" i="4" s="1"/>
  <c r="K25" i="3"/>
  <c r="L25" i="3" s="1"/>
  <c r="J25" i="3"/>
  <c r="H25" i="3"/>
  <c r="H24" i="4" s="1"/>
  <c r="G25" i="3"/>
  <c r="G24" i="4" s="1"/>
  <c r="K24" i="3"/>
  <c r="M24" i="3" s="1"/>
  <c r="N24" i="3" s="1"/>
  <c r="J24" i="3"/>
  <c r="I23" i="4" s="1"/>
  <c r="H24" i="3"/>
  <c r="H23" i="4" s="1"/>
  <c r="G24" i="3"/>
  <c r="G23" i="4" s="1"/>
  <c r="J23" i="3"/>
  <c r="H23" i="3"/>
  <c r="H22" i="4" s="1"/>
  <c r="G23" i="3"/>
  <c r="G22" i="4" s="1"/>
  <c r="F23" i="3"/>
  <c r="K22" i="3"/>
  <c r="L22" i="3" s="1"/>
  <c r="J22" i="3"/>
  <c r="H22" i="3"/>
  <c r="G22" i="3"/>
  <c r="K21" i="3"/>
  <c r="M21" i="3" s="1"/>
  <c r="N21" i="3" s="1"/>
  <c r="J21" i="3"/>
  <c r="H21" i="3"/>
  <c r="G21" i="3"/>
  <c r="K20" i="3"/>
  <c r="M20" i="3" s="1"/>
  <c r="N20" i="3" s="1"/>
  <c r="J20" i="3"/>
  <c r="L20" i="3" s="1"/>
  <c r="H20" i="3"/>
  <c r="H19" i="4" s="1"/>
  <c r="G20" i="3"/>
  <c r="J19" i="3"/>
  <c r="H19" i="3"/>
  <c r="H18" i="4" s="1"/>
  <c r="G19" i="3"/>
  <c r="K19" i="3" s="1"/>
  <c r="F19" i="3"/>
  <c r="K18" i="3"/>
  <c r="M18" i="3" s="1"/>
  <c r="N18" i="3" s="1"/>
  <c r="J18" i="3"/>
  <c r="H18" i="3"/>
  <c r="H17" i="4" s="1"/>
  <c r="G18" i="3"/>
  <c r="G17" i="4" s="1"/>
  <c r="K17" i="3"/>
  <c r="M17" i="3" s="1"/>
  <c r="N17" i="3" s="1"/>
  <c r="J17" i="3"/>
  <c r="H17" i="3"/>
  <c r="H16" i="4" s="1"/>
  <c r="G17" i="3"/>
  <c r="G16" i="4" s="1"/>
  <c r="K16" i="3"/>
  <c r="M16" i="3" s="1"/>
  <c r="N16" i="3" s="1"/>
  <c r="J16" i="3"/>
  <c r="L16" i="3" s="1"/>
  <c r="H16" i="3"/>
  <c r="H15" i="4" s="1"/>
  <c r="G16" i="3"/>
  <c r="G15" i="4" s="1"/>
  <c r="J15" i="3"/>
  <c r="H15" i="3"/>
  <c r="H14" i="4" s="1"/>
  <c r="G15" i="3"/>
  <c r="G14" i="4" s="1"/>
  <c r="K14" i="3"/>
  <c r="L14" i="3" s="1"/>
  <c r="J14" i="3"/>
  <c r="H14" i="3"/>
  <c r="G14" i="3"/>
  <c r="K13" i="3"/>
  <c r="M13" i="3" s="1"/>
  <c r="N13" i="3" s="1"/>
  <c r="J13" i="3"/>
  <c r="H13" i="3"/>
  <c r="G13" i="3"/>
  <c r="K12" i="3"/>
  <c r="M12" i="3" s="1"/>
  <c r="N12" i="3" s="1"/>
  <c r="J12" i="3"/>
  <c r="L12" i="3" s="1"/>
  <c r="H12" i="3"/>
  <c r="H11" i="4" s="1"/>
  <c r="G12" i="3"/>
  <c r="J11" i="3"/>
  <c r="H11" i="3"/>
  <c r="H10" i="4" s="1"/>
  <c r="G11" i="3"/>
  <c r="K11" i="3" s="1"/>
  <c r="F11" i="3"/>
  <c r="K10" i="3"/>
  <c r="L10" i="3" s="1"/>
  <c r="J10" i="3"/>
  <c r="H10" i="3"/>
  <c r="H9" i="4" s="1"/>
  <c r="G10" i="3"/>
  <c r="G9" i="4" s="1"/>
  <c r="K9" i="3"/>
  <c r="L9" i="3" s="1"/>
  <c r="J9" i="3"/>
  <c r="H9" i="3"/>
  <c r="H8" i="4" s="1"/>
  <c r="G9" i="3"/>
  <c r="G8" i="4" s="1"/>
  <c r="K8" i="3"/>
  <c r="M8" i="3" s="1"/>
  <c r="N8" i="3" s="1"/>
  <c r="J8" i="3"/>
  <c r="I7" i="4" s="1"/>
  <c r="H8" i="3"/>
  <c r="H7" i="4" s="1"/>
  <c r="G8" i="3"/>
  <c r="G7" i="4" s="1"/>
  <c r="J7" i="3"/>
  <c r="H7" i="3"/>
  <c r="H6" i="4" s="1"/>
  <c r="G7" i="3"/>
  <c r="G6" i="4" s="1"/>
  <c r="F7" i="3"/>
  <c r="K6" i="3"/>
  <c r="M6" i="3" s="1"/>
  <c r="J6" i="3"/>
  <c r="H6" i="3"/>
  <c r="G6" i="3"/>
  <c r="A1" i="3"/>
  <c r="A1" i="2"/>
  <c r="B33" i="1"/>
  <c r="B32" i="1"/>
  <c r="C31" i="11" s="1"/>
  <c r="B31" i="1"/>
  <c r="B30" i="1"/>
  <c r="F51" i="3" s="1"/>
  <c r="B29" i="1"/>
  <c r="B28" i="1"/>
  <c r="B27" i="1"/>
  <c r="C10" i="8" s="1"/>
  <c r="K10" i="8" s="1"/>
  <c r="L10" i="8" s="1"/>
  <c r="B26" i="1"/>
  <c r="B25" i="1"/>
  <c r="B24" i="1"/>
  <c r="B23" i="1"/>
  <c r="B22" i="1"/>
  <c r="F30" i="3" s="1"/>
  <c r="B21" i="1"/>
  <c r="B20" i="1"/>
  <c r="B19" i="1"/>
  <c r="C44" i="6" s="1"/>
  <c r="I44" i="6" s="1"/>
  <c r="B18" i="1"/>
  <c r="B17" i="1"/>
  <c r="F14" i="3" s="1"/>
  <c r="B16" i="1"/>
  <c r="B15" i="1"/>
  <c r="E41" i="4" s="1"/>
  <c r="B14" i="1"/>
  <c r="B13" i="1"/>
  <c r="K15" i="11" l="1"/>
  <c r="L8" i="11"/>
  <c r="M8" i="11" s="1"/>
  <c r="L32" i="11"/>
  <c r="M32" i="11" s="1"/>
  <c r="K22" i="11"/>
  <c r="L31" i="11"/>
  <c r="M50" i="3"/>
  <c r="M18" i="11"/>
  <c r="H91" i="6"/>
  <c r="L11" i="3"/>
  <c r="M11" i="3"/>
  <c r="N11" i="3" s="1"/>
  <c r="H4" i="7"/>
  <c r="L35" i="3"/>
  <c r="M35" i="3"/>
  <c r="N35" i="3" s="1"/>
  <c r="H6" i="7"/>
  <c r="K80" i="6"/>
  <c r="M6" i="11"/>
  <c r="L50" i="3"/>
  <c r="N6" i="3"/>
  <c r="L33" i="11"/>
  <c r="M33" i="11" s="1"/>
  <c r="M31" i="11"/>
  <c r="L58" i="3"/>
  <c r="L6" i="8"/>
  <c r="K12" i="8"/>
  <c r="G16" i="5"/>
  <c r="K16" i="5" s="1"/>
  <c r="P16" i="5" s="1"/>
  <c r="L27" i="3"/>
  <c r="M27" i="3"/>
  <c r="N27" i="3" s="1"/>
  <c r="J91" i="6"/>
  <c r="I4" i="7"/>
  <c r="L19" i="3"/>
  <c r="M19" i="3"/>
  <c r="N19" i="3" s="1"/>
  <c r="K13" i="6"/>
  <c r="C35" i="6"/>
  <c r="I35" i="6" s="1"/>
  <c r="K44" i="6"/>
  <c r="K49" i="6" s="1"/>
  <c r="K67" i="6"/>
  <c r="K71" i="6" s="1"/>
  <c r="K91" i="6" s="1"/>
  <c r="M10" i="3"/>
  <c r="N10" i="3" s="1"/>
  <c r="M14" i="3"/>
  <c r="N14" i="3" s="1"/>
  <c r="M22" i="3"/>
  <c r="N22" i="3" s="1"/>
  <c r="M26" i="3"/>
  <c r="N26" i="3" s="1"/>
  <c r="M30" i="3"/>
  <c r="N30" i="3" s="1"/>
  <c r="M34" i="3"/>
  <c r="N34" i="3" s="1"/>
  <c r="M38" i="3"/>
  <c r="N38" i="3" s="1"/>
  <c r="M42" i="3"/>
  <c r="N42" i="3" s="1"/>
  <c r="G10" i="4"/>
  <c r="G18" i="4"/>
  <c r="G26" i="4"/>
  <c r="G34" i="4"/>
  <c r="L52" i="3"/>
  <c r="L60" i="3"/>
  <c r="J22" i="6"/>
  <c r="I5" i="7" s="1"/>
  <c r="M43" i="3"/>
  <c r="N43" i="3" s="1"/>
  <c r="E35" i="4"/>
  <c r="G45" i="4"/>
  <c r="H18" i="5" s="1"/>
  <c r="J18" i="5" s="1"/>
  <c r="O18" i="5" s="1"/>
  <c r="G53" i="4"/>
  <c r="K7" i="3"/>
  <c r="K15" i="3"/>
  <c r="K23" i="3"/>
  <c r="K31" i="3"/>
  <c r="K39" i="3"/>
  <c r="I11" i="4"/>
  <c r="I19" i="4"/>
  <c r="I27" i="4"/>
  <c r="I35" i="4"/>
  <c r="I45" i="4"/>
  <c r="I53" i="4"/>
  <c r="C17" i="6"/>
  <c r="I17" i="6" s="1"/>
  <c r="K26" i="6"/>
  <c r="K31" i="6" s="1"/>
  <c r="F35" i="3"/>
  <c r="J89" i="6"/>
  <c r="C25" i="11"/>
  <c r="L25" i="11" s="1"/>
  <c r="L6" i="3"/>
  <c r="C7" i="11"/>
  <c r="L7" i="11" s="1"/>
  <c r="M7" i="11" s="1"/>
  <c r="K35" i="6"/>
  <c r="K40" i="6" s="1"/>
  <c r="L53" i="3"/>
  <c r="F8" i="3"/>
  <c r="F12" i="3"/>
  <c r="F16" i="3"/>
  <c r="F20" i="3"/>
  <c r="F24" i="3"/>
  <c r="F28" i="3"/>
  <c r="F32" i="3"/>
  <c r="F36" i="3"/>
  <c r="F40" i="3"/>
  <c r="I46" i="4"/>
  <c r="I54" i="4"/>
  <c r="H8" i="5"/>
  <c r="J8" i="5" s="1"/>
  <c r="O8" i="5" s="1"/>
  <c r="C6" i="10"/>
  <c r="K6" i="10" s="1"/>
  <c r="F39" i="3"/>
  <c r="E5" i="4"/>
  <c r="E13" i="4"/>
  <c r="E21" i="4"/>
  <c r="E29" i="4"/>
  <c r="E37" i="4"/>
  <c r="C8" i="6"/>
  <c r="I8" i="6" s="1"/>
  <c r="F15" i="3"/>
  <c r="C7" i="10"/>
  <c r="K7" i="10" s="1"/>
  <c r="L7" i="10" s="1"/>
  <c r="C26" i="11"/>
  <c r="L26" i="11" s="1"/>
  <c r="M26" i="11" s="1"/>
  <c r="E36" i="4"/>
  <c r="K54" i="3"/>
  <c r="M54" i="3" s="1"/>
  <c r="N54" i="3" s="1"/>
  <c r="H58" i="6"/>
  <c r="H9" i="7" s="1"/>
  <c r="J58" i="6"/>
  <c r="I9" i="7" s="1"/>
  <c r="L32" i="3"/>
  <c r="F13" i="3"/>
  <c r="F17" i="3"/>
  <c r="F25" i="3"/>
  <c r="F29" i="3"/>
  <c r="F33" i="3"/>
  <c r="F37" i="3"/>
  <c r="F41" i="3"/>
  <c r="H6" i="5"/>
  <c r="J6" i="5" s="1"/>
  <c r="O6" i="5" s="1"/>
  <c r="C8" i="10"/>
  <c r="K8" i="10" s="1"/>
  <c r="L8" i="10" s="1"/>
  <c r="E22" i="4"/>
  <c r="E7" i="4"/>
  <c r="H10" i="5" s="1"/>
  <c r="J10" i="5" s="1"/>
  <c r="O10" i="5" s="1"/>
  <c r="E8" i="7" s="1"/>
  <c r="E15" i="4"/>
  <c r="E23" i="4"/>
  <c r="E31" i="4"/>
  <c r="E39" i="4"/>
  <c r="C19" i="11"/>
  <c r="L19" i="11" s="1"/>
  <c r="M19" i="11" s="1"/>
  <c r="E38" i="4"/>
  <c r="C27" i="11"/>
  <c r="L27" i="11" s="1"/>
  <c r="M27" i="11" s="1"/>
  <c r="E6" i="4"/>
  <c r="H11" i="5" s="1"/>
  <c r="J11" i="5" s="1"/>
  <c r="O11" i="5" s="1"/>
  <c r="E9" i="7" s="1"/>
  <c r="F9" i="3"/>
  <c r="F21" i="3"/>
  <c r="L18" i="3"/>
  <c r="C26" i="6"/>
  <c r="I26" i="6" s="1"/>
  <c r="L8" i="3"/>
  <c r="L21" i="3"/>
  <c r="C53" i="6"/>
  <c r="I53" i="6" s="1"/>
  <c r="E34" i="4"/>
  <c r="E14" i="4"/>
  <c r="L13" i="3"/>
  <c r="E40" i="4"/>
  <c r="M25" i="3"/>
  <c r="N25" i="3" s="1"/>
  <c r="M33" i="3"/>
  <c r="N33" i="3" s="1"/>
  <c r="M41" i="3"/>
  <c r="N41" i="3" s="1"/>
  <c r="C12" i="11"/>
  <c r="L12" i="11" s="1"/>
  <c r="I15" i="4"/>
  <c r="L17" i="3"/>
  <c r="E16" i="4"/>
  <c r="M9" i="3"/>
  <c r="N9" i="3" s="1"/>
  <c r="M29" i="3"/>
  <c r="N29" i="3" s="1"/>
  <c r="M37" i="3"/>
  <c r="N37" i="3" s="1"/>
  <c r="L55" i="3"/>
  <c r="L18" i="5"/>
  <c r="C20" i="11"/>
  <c r="L20" i="11" s="1"/>
  <c r="M20" i="11" s="1"/>
  <c r="F10" i="3"/>
  <c r="F26" i="3"/>
  <c r="F34" i="3"/>
  <c r="F38" i="3"/>
  <c r="F42" i="3"/>
  <c r="C9" i="10"/>
  <c r="K9" i="10" s="1"/>
  <c r="L9" i="10" s="1"/>
  <c r="E20" i="4"/>
  <c r="L24" i="3"/>
  <c r="L40" i="3"/>
  <c r="E32" i="4"/>
  <c r="F18" i="3"/>
  <c r="E17" i="4"/>
  <c r="E25" i="4"/>
  <c r="E12" i="4"/>
  <c r="E8" i="4"/>
  <c r="F6" i="3"/>
  <c r="F22" i="3"/>
  <c r="E9" i="4"/>
  <c r="E33" i="4"/>
  <c r="E24" i="4"/>
  <c r="L15" i="3" l="1"/>
  <c r="M15" i="3"/>
  <c r="N15" i="3" s="1"/>
  <c r="K14" i="8"/>
  <c r="L12" i="8"/>
  <c r="H7" i="5"/>
  <c r="J7" i="5" s="1"/>
  <c r="O7" i="5" s="1"/>
  <c r="E5" i="7" s="1"/>
  <c r="L23" i="3"/>
  <c r="M23" i="3"/>
  <c r="N23" i="3" s="1"/>
  <c r="M12" i="11"/>
  <c r="L15" i="11"/>
  <c r="M15" i="11" s="1"/>
  <c r="K10" i="10"/>
  <c r="L6" i="10"/>
  <c r="L7" i="3"/>
  <c r="M7" i="3"/>
  <c r="L54" i="3"/>
  <c r="L61" i="3" s="1"/>
  <c r="K44" i="3"/>
  <c r="E6" i="7"/>
  <c r="L9" i="11"/>
  <c r="M9" i="11" s="1"/>
  <c r="L28" i="11"/>
  <c r="M28" i="11" s="1"/>
  <c r="M25" i="11"/>
  <c r="H60" i="6"/>
  <c r="H94" i="6" s="1"/>
  <c r="D5" i="12" s="1"/>
  <c r="D9" i="12" s="1"/>
  <c r="E4" i="7"/>
  <c r="H11" i="7"/>
  <c r="G18" i="5"/>
  <c r="K18" i="5" s="1"/>
  <c r="P18" i="5" s="1"/>
  <c r="G17" i="5"/>
  <c r="K17" i="5" s="1"/>
  <c r="P17" i="5" s="1"/>
  <c r="P19" i="5" s="1"/>
  <c r="H16" i="5"/>
  <c r="J16" i="5" s="1"/>
  <c r="O16" i="5" s="1"/>
  <c r="O19" i="5" s="1"/>
  <c r="L17" i="5"/>
  <c r="L16" i="5"/>
  <c r="K60" i="6"/>
  <c r="K94" i="6" s="1"/>
  <c r="K96" i="6" s="1"/>
  <c r="H17" i="5"/>
  <c r="J17" i="5" s="1"/>
  <c r="O17" i="5" s="1"/>
  <c r="L22" i="11"/>
  <c r="M22" i="11" s="1"/>
  <c r="G7" i="5"/>
  <c r="K7" i="5" s="1"/>
  <c r="P7" i="5" s="1"/>
  <c r="F5" i="7" s="1"/>
  <c r="L9" i="5"/>
  <c r="G9" i="5"/>
  <c r="K9" i="5" s="1"/>
  <c r="P9" i="5" s="1"/>
  <c r="F7" i="7" s="1"/>
  <c r="L6" i="5"/>
  <c r="L8" i="5"/>
  <c r="G11" i="5"/>
  <c r="K11" i="5" s="1"/>
  <c r="P11" i="5" s="1"/>
  <c r="L11" i="5"/>
  <c r="G6" i="5"/>
  <c r="K6" i="5" s="1"/>
  <c r="P6" i="5" s="1"/>
  <c r="G8" i="5"/>
  <c r="K8" i="5" s="1"/>
  <c r="P8" i="5" s="1"/>
  <c r="L10" i="5"/>
  <c r="G10" i="5"/>
  <c r="K10" i="5" s="1"/>
  <c r="P10" i="5" s="1"/>
  <c r="F8" i="7" s="1"/>
  <c r="L7" i="5"/>
  <c r="H9" i="5"/>
  <c r="J9" i="5" s="1"/>
  <c r="O9" i="5" s="1"/>
  <c r="E7" i="7" s="1"/>
  <c r="L39" i="3"/>
  <c r="M39" i="3"/>
  <c r="N39" i="3" s="1"/>
  <c r="J60" i="6"/>
  <c r="J94" i="6" s="1"/>
  <c r="K61" i="3"/>
  <c r="M31" i="3"/>
  <c r="N31" i="3" s="1"/>
  <c r="L31" i="3"/>
  <c r="L44" i="3" s="1"/>
  <c r="I11" i="7"/>
  <c r="N50" i="3"/>
  <c r="N61" i="3" s="1"/>
  <c r="M61" i="3"/>
  <c r="J63" i="3" s="1"/>
  <c r="E5" i="12" l="1"/>
  <c r="F5" i="12" s="1"/>
  <c r="J96" i="6"/>
  <c r="F16" i="5"/>
  <c r="M16" i="5" s="1"/>
  <c r="F18" i="5"/>
  <c r="M18" i="5" s="1"/>
  <c r="N18" i="5" s="1"/>
  <c r="Q18" i="5" s="1"/>
  <c r="R18" i="5" s="1"/>
  <c r="F17" i="5"/>
  <c r="M17" i="5" s="1"/>
  <c r="N17" i="5" s="1"/>
  <c r="Q17" i="5" s="1"/>
  <c r="R17" i="5" s="1"/>
  <c r="N7" i="3"/>
  <c r="N44" i="3" s="1"/>
  <c r="N66" i="3" s="1"/>
  <c r="M44" i="3"/>
  <c r="O12" i="5"/>
  <c r="O22" i="5" s="1"/>
  <c r="K12" i="10"/>
  <c r="L10" i="10"/>
  <c r="P12" i="5"/>
  <c r="P22" i="5" s="1"/>
  <c r="F4" i="7"/>
  <c r="F6" i="7"/>
  <c r="F9" i="7"/>
  <c r="E6" i="12"/>
  <c r="F6" i="12" s="1"/>
  <c r="L14" i="8"/>
  <c r="E11" i="7"/>
  <c r="C4" i="12" s="1"/>
  <c r="C9" i="12" s="1"/>
  <c r="N16" i="5"/>
  <c r="Q16" i="5" s="1"/>
  <c r="F11" i="7" l="1"/>
  <c r="B4" i="12" s="1"/>
  <c r="B9" i="12" s="1"/>
  <c r="B11" i="12" s="1"/>
  <c r="M66" i="3"/>
  <c r="J46" i="3"/>
  <c r="E7" i="12"/>
  <c r="F7" i="12" s="1"/>
  <c r="L12" i="10"/>
  <c r="R16" i="5"/>
  <c r="R19" i="5" s="1"/>
  <c r="Q19" i="5"/>
  <c r="F7" i="5" l="1"/>
  <c r="M7" i="5" s="1"/>
  <c r="N7" i="5" s="1"/>
  <c r="Q7" i="5" s="1"/>
  <c r="F9" i="5"/>
  <c r="M9" i="5" s="1"/>
  <c r="N9" i="5" s="1"/>
  <c r="Q9" i="5" s="1"/>
  <c r="F6" i="5"/>
  <c r="M6" i="5" s="1"/>
  <c r="N6" i="5" s="1"/>
  <c r="Q6" i="5" s="1"/>
  <c r="F11" i="5"/>
  <c r="M11" i="5" s="1"/>
  <c r="N11" i="5" s="1"/>
  <c r="Q11" i="5" s="1"/>
  <c r="F8" i="5"/>
  <c r="M8" i="5" s="1"/>
  <c r="N8" i="5" s="1"/>
  <c r="Q8" i="5" s="1"/>
  <c r="F10" i="5"/>
  <c r="M10" i="5" s="1"/>
  <c r="N10" i="5" s="1"/>
  <c r="Q10" i="5" s="1"/>
  <c r="G8" i="7" l="1"/>
  <c r="J8" i="7" s="1"/>
  <c r="K8" i="7" s="1"/>
  <c r="L8" i="7" s="1"/>
  <c r="R10" i="5"/>
  <c r="R8" i="5"/>
  <c r="G6" i="7"/>
  <c r="J6" i="7" s="1"/>
  <c r="K6" i="7" s="1"/>
  <c r="L6" i="7" s="1"/>
  <c r="G9" i="7"/>
  <c r="J9" i="7" s="1"/>
  <c r="K9" i="7" s="1"/>
  <c r="L9" i="7" s="1"/>
  <c r="R11" i="5"/>
  <c r="R6" i="5"/>
  <c r="Q12" i="5"/>
  <c r="Q22" i="5" s="1"/>
  <c r="Q24" i="5" s="1"/>
  <c r="G4" i="7"/>
  <c r="G7" i="7"/>
  <c r="J7" i="7" s="1"/>
  <c r="K7" i="7" s="1"/>
  <c r="L7" i="7" s="1"/>
  <c r="R9" i="5"/>
  <c r="G5" i="7"/>
  <c r="J5" i="7" s="1"/>
  <c r="K5" i="7" s="1"/>
  <c r="L5" i="7" s="1"/>
  <c r="R7" i="5"/>
  <c r="R12" i="5" l="1"/>
  <c r="R22" i="5" s="1"/>
  <c r="R24" i="5" s="1"/>
  <c r="J4" i="7"/>
  <c r="G11" i="7"/>
  <c r="E4" i="12" s="1"/>
  <c r="E9" i="12" l="1"/>
  <c r="F9" i="12" s="1"/>
  <c r="F4" i="12"/>
  <c r="K4" i="7"/>
  <c r="J11" i="7"/>
  <c r="L4" i="7" l="1"/>
  <c r="L11" i="7" s="1"/>
  <c r="K11" i="7"/>
</calcChain>
</file>

<file path=xl/sharedStrings.xml><?xml version="1.0" encoding="utf-8"?>
<sst xmlns="http://schemas.openxmlformats.org/spreadsheetml/2006/main" count="1566" uniqueCount="531">
  <si>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</si>
  <si>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</si>
  <si>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</si>
  <si>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</si>
  <si>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</si>
  <si>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</si>
  <si>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</si>
  <si>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</si>
  <si>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</si>
  <si>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</si>
  <si>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</si>
  <si>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</si>
  <si>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</si>
  <si>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120J</t>
  </si>
  <si>
    <t>2W</t>
  </si>
  <si>
    <t>80J</t>
  </si>
  <si>
    <t>55J</t>
  </si>
  <si>
    <t>1W</t>
  </si>
  <si>
    <t>40J</t>
  </si>
  <si>
    <t>33J</t>
  </si>
  <si>
    <t>26J</t>
  </si>
  <si>
    <t>12J</t>
  </si>
  <si>
    <t>11J</t>
  </si>
  <si>
    <t>10J</t>
  </si>
  <si>
    <t>8J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</si>
  <si>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</si>
  <si>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</si>
  <si>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</si>
  <si>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</si>
  <si>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</si>
  <si>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</si>
  <si>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</si>
  <si>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</si>
  <si>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</si>
  <si>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</si>
  <si>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</si>
  <si>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</si>
  <si>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</si>
  <si>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</si>
  <si>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</si>
  <si>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</si>
  <si>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harde vloeren (basis)</t>
  </si>
  <si>
    <t>m²/uur</t>
  </si>
  <si>
    <t>CHB</t>
  </si>
  <si>
    <t>Computerlokaal - harde vloeren (basis)</t>
  </si>
  <si>
    <t>LHB</t>
  </si>
  <si>
    <t>Leslokalen/studieruimte - harde vloeren (basis)</t>
  </si>
  <si>
    <t>BHV</t>
  </si>
  <si>
    <t>Kantoor-/personeels-/vergaderruimte - harde vloeren (volledig)</t>
  </si>
  <si>
    <t>CHV</t>
  </si>
  <si>
    <t>Computerlokaal - harde vloeren (volledig)</t>
  </si>
  <si>
    <t>LHV</t>
  </si>
  <si>
    <t>Leslokalen/studieruimte - harde vloeren (volledig)</t>
  </si>
  <si>
    <t>OLHB</t>
  </si>
  <si>
    <t>Open studieruimte - harde vloeren (basis)</t>
  </si>
  <si>
    <t>OLHV</t>
  </si>
  <si>
    <t>Open studieruimte - harde vloeren (volledig)</t>
  </si>
  <si>
    <t>OLZB</t>
  </si>
  <si>
    <t>Open studieruimte - zachte vloeren (basis)</t>
  </si>
  <si>
    <t>OLZV</t>
  </si>
  <si>
    <t>Open studieruimte - zachte vloeren (volledig)</t>
  </si>
  <si>
    <t>STHB</t>
  </si>
  <si>
    <t>Zelfstudie ruimte - harde vloeren (basis)</t>
  </si>
  <si>
    <t>STHV</t>
  </si>
  <si>
    <t>Zelfstudie ruimte - harde vloeren (volledig)</t>
  </si>
  <si>
    <t>STZB</t>
  </si>
  <si>
    <t>Zelfstudie ruimte - zachte vloeren (basis)</t>
  </si>
  <si>
    <t>STZV</t>
  </si>
  <si>
    <t>Zelfstudie ruimte - zachte vloeren (volledig)</t>
  </si>
  <si>
    <t>BZB</t>
  </si>
  <si>
    <t>Kantoor-/personeels-/vergaderruimte - zachte vloeren (basis)</t>
  </si>
  <si>
    <t>CZB</t>
  </si>
  <si>
    <t>Computerlokaal - zachte vloeren (basis)</t>
  </si>
  <si>
    <t>LZB</t>
  </si>
  <si>
    <t>Leslokalen/studieruimte - zachte vloeren (basis)</t>
  </si>
  <si>
    <t>BZV</t>
  </si>
  <si>
    <t>Kantoor-/personeels-/vergaderruimte - zachte vloeren (volledig)</t>
  </si>
  <si>
    <t>CZV</t>
  </si>
  <si>
    <t>Computerlokaal - zachte vloeren (volledig)</t>
  </si>
  <si>
    <t>LZV</t>
  </si>
  <si>
    <t>Leslokalen/studieruimte - zachte vloeren (volledig)</t>
  </si>
  <si>
    <t>PMHB</t>
  </si>
  <si>
    <t xml:space="preserve">PM   </t>
  </si>
  <si>
    <t>Praktijklokaal minimaal - harde vloeren (basis)</t>
  </si>
  <si>
    <t>PMHV</t>
  </si>
  <si>
    <t>Praktijklokaal minimaal - harde vloeren (volledig)</t>
  </si>
  <si>
    <t>PSHB</t>
  </si>
  <si>
    <t xml:space="preserve">PS   </t>
  </si>
  <si>
    <t>Praktijklokaal specialistisch - harde vloeren (basis)</t>
  </si>
  <si>
    <t>PSHV</t>
  </si>
  <si>
    <t>Praktijklokaal specialistisch - harde vloeren (volledig)</t>
  </si>
  <si>
    <t>PTHB</t>
  </si>
  <si>
    <t xml:space="preserve">PT   </t>
  </si>
  <si>
    <t>Praktijklokaal techniek - harde vloeren (basis)</t>
  </si>
  <si>
    <t>PTHV</t>
  </si>
  <si>
    <t>Praktijklokaal techniek - harde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</si>
  <si>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</si>
  <si>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</si>
  <si>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</si>
  <si>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</si>
  <si>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</si>
  <si>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PUZB</t>
  </si>
  <si>
    <t>Praktijklokaal uitgebreid - zachte vloeren (basis)</t>
  </si>
  <si>
    <t>PUZV</t>
  </si>
  <si>
    <t>Praktijklokaal uitgebreid - zachte vloeren (volledig)</t>
  </si>
  <si>
    <t>KHB</t>
  </si>
  <si>
    <t xml:space="preserve">S    </t>
  </si>
  <si>
    <t>Kleedruimte - harde vloeren (basis)</t>
  </si>
  <si>
    <t>SHB</t>
  </si>
  <si>
    <t>Sanitaire ruimte/toiletgroep - harde vloeren (basis)</t>
  </si>
  <si>
    <t>KHV</t>
  </si>
  <si>
    <t>Kleedruimte - harde vloeren (volledig)</t>
  </si>
  <si>
    <t>SHV</t>
  </si>
  <si>
    <t>Sanitaire ruimte/toiletgroep - harde vloeren (volledig)</t>
  </si>
  <si>
    <t>AHB</t>
  </si>
  <si>
    <t xml:space="preserve">V    </t>
  </si>
  <si>
    <t>Aula/pauzeruimte - harde vloeren (basis)</t>
  </si>
  <si>
    <t>EHB</t>
  </si>
  <si>
    <t>Entree - harde vloeren (basis)</t>
  </si>
  <si>
    <t>FHB</t>
  </si>
  <si>
    <t>Fitness - harde vloeren (basis)</t>
  </si>
  <si>
    <t>GHB</t>
  </si>
  <si>
    <t>Gym-/speelzaal/multifunc ruimte - harde vloeren (basis)</t>
  </si>
  <si>
    <t>IHB</t>
  </si>
  <si>
    <t>Lift - harde vloeren (basis)</t>
  </si>
  <si>
    <t>OHB</t>
  </si>
  <si>
    <t>Archief/bergruimte/magazijn - harde vloeren (basis)</t>
  </si>
  <si>
    <t>THB</t>
  </si>
  <si>
    <t>Trap - harde vloeren (basis)</t>
  </si>
  <si>
    <t>VHB</t>
  </si>
  <si>
    <t>Verkeersruimte/garderobe/reprografie - harde vloeren (basis)</t>
  </si>
  <si>
    <t>AHV</t>
  </si>
  <si>
    <t>Aula/pauzeruimte - harde vloeren (volledig)</t>
  </si>
  <si>
    <t>EHV</t>
  </si>
  <si>
    <t>Entree - harde vloeren (volledig)</t>
  </si>
  <si>
    <t>FHV</t>
  </si>
  <si>
    <t>Fitness - harde vloeren (volledig)</t>
  </si>
  <si>
    <t>GHV</t>
  </si>
  <si>
    <t>Gym-l/speelzaal/multifunc ruimte - harde vloeren (volledig)</t>
  </si>
  <si>
    <t>IHV</t>
  </si>
  <si>
    <t>Lift - harde vloeren (volledig)</t>
  </si>
  <si>
    <t>OHV</t>
  </si>
  <si>
    <t>Archief/bergruimte/magazijn - harde vloeren (volledig)</t>
  </si>
  <si>
    <t>THV</t>
  </si>
  <si>
    <t>Trap - harde vloeren (volledig)</t>
  </si>
  <si>
    <t>VHV</t>
  </si>
  <si>
    <t>Verkeersruimte/garderobe/reprografie - harde vloeren (volledig)</t>
  </si>
  <si>
    <t>AZB</t>
  </si>
  <si>
    <t>Aula/pauzeruimte - zachte vloeren (basis)</t>
  </si>
  <si>
    <t>EZB</t>
  </si>
  <si>
    <t>Entree - zachte vloeren (basis)</t>
  </si>
  <si>
    <t>IZB</t>
  </si>
  <si>
    <t>Lift - zachte vloeren (basis)</t>
  </si>
  <si>
    <t>TZB</t>
  </si>
  <si>
    <t>Trap - zachte vloeren (basis)</t>
  </si>
  <si>
    <t>VZB</t>
  </si>
  <si>
    <t>Verkeersruimte/garderobe/reprografie - zachte vloeren (basis)</t>
  </si>
  <si>
    <t>AZV</t>
  </si>
  <si>
    <t>Aula/pauzeruimte - zachte vloeren (volledig)</t>
  </si>
  <si>
    <t>EZV</t>
  </si>
  <si>
    <t>Entree - zachte vloeren (volledig)</t>
  </si>
  <si>
    <t>IZV</t>
  </si>
  <si>
    <t>Lift - zachte vloeren (volledig)</t>
  </si>
  <si>
    <t>TZV</t>
  </si>
  <si>
    <t>Trap - zachte vloeren (volledig)</t>
  </si>
  <si>
    <t>VZV</t>
  </si>
  <si>
    <t>Verkeersruimte/garderobe/reprografie - zachte vloeren (volledig)</t>
  </si>
  <si>
    <t xml:space="preserve">WERKDAG VAKANTIE    </t>
  </si>
  <si>
    <t>VBHB</t>
  </si>
  <si>
    <t>VBZB</t>
  </si>
  <si>
    <t>VSHB</t>
  </si>
  <si>
    <t>VEHB</t>
  </si>
  <si>
    <t>VEZB</t>
  </si>
  <si>
    <t>VIHB</t>
  </si>
  <si>
    <t>VIZB</t>
  </si>
  <si>
    <t>VTHB</t>
  </si>
  <si>
    <t>VVHB</t>
  </si>
  <si>
    <t>VVZB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</si>
  <si>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</si>
  <si>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</si>
  <si>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</si>
  <si>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</si>
  <si>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</si>
  <si>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</si>
  <si>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</si>
  <si>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</si>
  <si>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</si>
  <si>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</si>
  <si>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- harde vloeren</t>
  </si>
  <si>
    <t>AZ</t>
  </si>
  <si>
    <t>Aula/pauzeruimte - zachte vloeren</t>
  </si>
  <si>
    <t>BH</t>
  </si>
  <si>
    <t>Kantoor/personeels-/vergaderrruimte - harde vloeren</t>
  </si>
  <si>
    <t>BZ</t>
  </si>
  <si>
    <t>Kantoor/personeels-/vergaderrruimte - zachte vloeren</t>
  </si>
  <si>
    <t>CH</t>
  </si>
  <si>
    <t>Computerlokaal - harde vloeren</t>
  </si>
  <si>
    <t>CZ</t>
  </si>
  <si>
    <t>Computerlokaal - zachte vloeren</t>
  </si>
  <si>
    <t>EH</t>
  </si>
  <si>
    <t>Entree - harde vloeren</t>
  </si>
  <si>
    <t>EZ</t>
  </si>
  <si>
    <t>Entree - zachte vloeren</t>
  </si>
  <si>
    <t>FH</t>
  </si>
  <si>
    <t>Fitness - harde vloeren</t>
  </si>
  <si>
    <t>GH</t>
  </si>
  <si>
    <t>Gymzaal/sportruimte/toestelberging - harde vloeren</t>
  </si>
  <si>
    <t>IH</t>
  </si>
  <si>
    <t>Lift - harde vloeren</t>
  </si>
  <si>
    <t>IZ</t>
  </si>
  <si>
    <t>Lift - zachte vloeren</t>
  </si>
  <si>
    <t>KLH</t>
  </si>
  <si>
    <t>Kleedruimte - harde vloeren</t>
  </si>
  <si>
    <t>LH</t>
  </si>
  <si>
    <t>Leslokaal/studieruimte - harde vloeren</t>
  </si>
  <si>
    <t>LZ</t>
  </si>
  <si>
    <t>Leslokaal/studieruimte - zachte vloeren</t>
  </si>
  <si>
    <t>OH</t>
  </si>
  <si>
    <t>Archief/magazijn/opslag - harde vloeren</t>
  </si>
  <si>
    <t>OLH</t>
  </si>
  <si>
    <t>Open lesruimte - harde vloeren</t>
  </si>
  <si>
    <t>OLZ</t>
  </si>
  <si>
    <t>Open lesruimte - zachte vloeren</t>
  </si>
  <si>
    <t>PMH</t>
  </si>
  <si>
    <t>Praktijklokaal minimaal - harde vloeren</t>
  </si>
  <si>
    <t>PSH</t>
  </si>
  <si>
    <t>Praktijklokaal specialistisch - harde vloeren</t>
  </si>
  <si>
    <t>PTH</t>
  </si>
  <si>
    <t>Praktijklokaal techniek - harde vloeren</t>
  </si>
  <si>
    <t>PUH</t>
  </si>
  <si>
    <t>Praktijklokaal uitgebreid - harde vloeren</t>
  </si>
  <si>
    <t>PUZ</t>
  </si>
  <si>
    <t>Praktijklokaal uitgebreid - zachte vloeren</t>
  </si>
  <si>
    <t>SH</t>
  </si>
  <si>
    <t>Sanitaire ruimte/toiletten - harde vloeren</t>
  </si>
  <si>
    <t>SHN</t>
  </si>
  <si>
    <t>Sanitaire ruimte/toiletten - harde vloeren - naloop</t>
  </si>
  <si>
    <t>STH</t>
  </si>
  <si>
    <t>Zelfstudieruimte - harde vloeren</t>
  </si>
  <si>
    <t>STZ</t>
  </si>
  <si>
    <t>Zelfstudieruimte - zachte vloeren</t>
  </si>
  <si>
    <t>TH</t>
  </si>
  <si>
    <t>Trap - harde vloeren</t>
  </si>
  <si>
    <t>TZ</t>
  </si>
  <si>
    <t>Trap - zachte vloeren</t>
  </si>
  <si>
    <t>VH</t>
  </si>
  <si>
    <t>Verkeersruimte/garderobe/reprografie - harde vloeren</t>
  </si>
  <si>
    <t>VZ</t>
  </si>
  <si>
    <t>Verkeersruimte/garderobe/reprografie - zachte vloeren</t>
  </si>
  <si>
    <t>Z003</t>
  </si>
  <si>
    <t>extra</t>
  </si>
  <si>
    <t>Dieptereinigingen keuken</t>
  </si>
  <si>
    <t xml:space="preserve">Totaal Werkdag             </t>
  </si>
  <si>
    <t xml:space="preserve">Gemiddeld uurtarief Werkdag             </t>
  </si>
  <si>
    <t>VBH</t>
  </si>
  <si>
    <t>VBZ</t>
  </si>
  <si>
    <t>VEH</t>
  </si>
  <si>
    <t>VEZ</t>
  </si>
  <si>
    <t>VIH</t>
  </si>
  <si>
    <t>VIZ</t>
  </si>
  <si>
    <t>Lift - zacht vloeren</t>
  </si>
  <si>
    <t>VSH</t>
  </si>
  <si>
    <t>VTH</t>
  </si>
  <si>
    <t>VVH</t>
  </si>
  <si>
    <t>VVZ</t>
  </si>
  <si>
    <t xml:space="preserve">Totaal werkdag vakantie    </t>
  </si>
  <si>
    <t xml:space="preserve">Gemiddeld uurtarief werkdag vakantie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</si>
  <si>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</si>
  <si>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</si>
  <si>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</si>
  <si>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</si>
  <si>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</si>
  <si>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</si>
  <si>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</si>
  <si>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</si>
  <si>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BSW167</t>
  </si>
  <si>
    <t xml:space="preserve">  DKW002</t>
  </si>
  <si>
    <t xml:space="preserve">  DKW010</t>
  </si>
  <si>
    <t xml:space="preserve">  KPE006</t>
  </si>
  <si>
    <t xml:space="preserve">  MNW004</t>
  </si>
  <si>
    <t xml:space="preserve">  MTW003</t>
  </si>
  <si>
    <t>Werkdag</t>
  </si>
  <si>
    <t>werkdag vakantie</t>
  </si>
  <si>
    <t>OBJECT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</si>
  <si>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</si>
  <si>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</si>
  <si>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</si>
  <si>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</si>
  <si>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</si>
  <si>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</si>
  <si>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</si>
  <si>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</si>
  <si>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</si>
  <si>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</si>
  <si>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</si>
  <si>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</si>
  <si>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</si>
  <si>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</si>
  <si>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</si>
  <si>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BSW167</t>
  </si>
  <si>
    <t>ROC Bisschopsweg</t>
  </si>
  <si>
    <t>Bisschopsweg 167</t>
  </si>
  <si>
    <t>Amersfoort</t>
  </si>
  <si>
    <t>DKW002</t>
  </si>
  <si>
    <t>ROC Disketteweg 2-4</t>
  </si>
  <si>
    <t>Disketteweg 2-4</t>
  </si>
  <si>
    <t>DKW010</t>
  </si>
  <si>
    <t>ROC Disketteweg 10</t>
  </si>
  <si>
    <t>Disketteweg 10</t>
  </si>
  <si>
    <t>KPE006</t>
  </si>
  <si>
    <t>ROC Kampereiland</t>
  </si>
  <si>
    <t>Kampereiland 6</t>
  </si>
  <si>
    <t>Utrecht</t>
  </si>
  <si>
    <t>MNW004</t>
  </si>
  <si>
    <t>ROC Magnesiumweg</t>
  </si>
  <si>
    <t>Magnesiumweg 4</t>
  </si>
  <si>
    <t>MTW003</t>
  </si>
  <si>
    <t>ROC Maatweg</t>
  </si>
  <si>
    <t>Maatweg 3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</si>
  <si>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</si>
  <si>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</si>
  <si>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</si>
  <si>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</si>
  <si>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</si>
  <si>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</si>
  <si>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</si>
  <si>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</si>
  <si>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</si>
  <si>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</si>
  <si>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</si>
  <si>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BSW167 - ROC Bisschopsweg, Bisschopsweg 167, Amersfoort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</si>
  <si>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</si>
  <si>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</si>
  <si>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</si>
  <si>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</si>
  <si>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BSW167 - ROC Bisschopsweg, Bisschopsweg 167, Amersfoort</t>
  </si>
  <si>
    <t>DKW002 - ROC Disketteweg 2-4, Disketteweg 2-4, Amersfoort</t>
  </si>
  <si>
    <t>Totaal DKW002 - ROC Disketteweg 2-4, Disketteweg 2-4, Amersfoort</t>
  </si>
  <si>
    <t>DKW010 - ROC Disketteweg 10, Disketteweg 10, Amersfoort</t>
  </si>
  <si>
    <t>Totaal DKW010 - ROC Disketteweg 10, Disketteweg 10, Amersfoort</t>
  </si>
  <si>
    <t>KPE006 - ROC Kampereiland, Kampereiland 6, Utrecht</t>
  </si>
  <si>
    <t>Totaal KPE006 - ROC Kampereiland, Kampereiland 6, Utrecht</t>
  </si>
  <si>
    <t>MNW004 - ROC Magnesiumweg, Magnesiumweg 4, Amersfoort</t>
  </si>
  <si>
    <t>Totaal MNW004 - ROC Magnesiumweg, Magnesiumweg 4, Amersfoort</t>
  </si>
  <si>
    <t>MTW003 - ROC Maatweg, Maatweg 3, Amersfoort</t>
  </si>
  <si>
    <t>Totaal MTW003 - ROC Maatweg, Maatweg 3, Amersfoort</t>
  </si>
  <si>
    <t>V1000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</si>
  <si>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</si>
  <si>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</si>
  <si>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</si>
  <si>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</si>
  <si>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</si>
  <si>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</si>
  <si>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</si>
  <si>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</si>
  <si>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</si>
  <si>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</si>
  <si>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</si>
  <si>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</si>
  <si>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</si>
  <si>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</si>
  <si>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</si>
  <si>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</si>
  <si>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</si>
  <si>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</si>
  <si>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</si>
  <si>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9100</t>
  </si>
  <si>
    <t>Medewerker specialistische werkzaamheden</t>
  </si>
  <si>
    <t>9300</t>
  </si>
  <si>
    <t>Uurtarief glasbewassing</t>
  </si>
  <si>
    <t>9500</t>
  </si>
  <si>
    <t>Uurtarief medewerker bouwschoonmaak</t>
  </si>
  <si>
    <t>9501</t>
  </si>
  <si>
    <t>Uurtarief medewerker specialitisch bouwschoonmaak</t>
  </si>
  <si>
    <t>XB</t>
  </si>
  <si>
    <t>Periodiek beschermde vloeren</t>
  </si>
  <si>
    <t>tijdsnorm in vloer m²/uur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</si>
  <si>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</si>
  <si>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</si>
  <si>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</si>
  <si>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</si>
  <si>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</si>
  <si>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</si>
  <si>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</si>
  <si>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</si>
  <si>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</si>
  <si>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</si>
  <si>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</si>
  <si>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</si>
  <si>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</si>
  <si>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</si>
  <si>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</si>
  <si>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</si>
  <si>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</si>
  <si>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</si>
  <si>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</si>
  <si>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</si>
  <si>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</si>
  <si>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</si>
  <si>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</si>
  <si>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</si>
  <si>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</si>
  <si>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</si>
  <si>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</si>
  <si>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</si>
  <si>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</si>
  <si>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</si>
  <si>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</si>
  <si>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</si>
  <si>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</si>
  <si>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</si>
  <si>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</si>
  <si>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</si>
  <si>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</si>
  <si>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</si>
  <si>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</si>
  <si>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</si>
  <si>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</si>
  <si>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</si>
  <si>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</si>
  <si>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</si>
  <si>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</si>
  <si>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</si>
  <si>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</si>
  <si>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</si>
  <si>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</si>
  <si>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</si>
  <si>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</si>
  <si>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</si>
  <si>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</si>
  <si>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</si>
  <si>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</si>
  <si>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</si>
  <si>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</si>
  <si>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</si>
  <si>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</si>
  <si>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</si>
  <si>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</si>
  <si>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</si>
  <si>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</si>
  <si>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</si>
  <si>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</si>
  <si>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</si>
  <si>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</si>
  <si>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3040A</t>
  </si>
  <si>
    <t>Stoel (kunststof) reinigen</t>
  </si>
  <si>
    <t>3040B</t>
  </si>
  <si>
    <t>3040C</t>
  </si>
  <si>
    <t>3040D</t>
  </si>
  <si>
    <t>3050A</t>
  </si>
  <si>
    <t>Stoel (stoffen bekleding) reinigen</t>
  </si>
  <si>
    <t>3050B</t>
  </si>
  <si>
    <t>3050C</t>
  </si>
  <si>
    <t>3050D</t>
  </si>
  <si>
    <t>3200A</t>
  </si>
  <si>
    <t>Trespa/gevelbeplating reinigen</t>
  </si>
  <si>
    <t>&lt; 500 m²</t>
  </si>
  <si>
    <t>3200B</t>
  </si>
  <si>
    <t>500 &lt; 1000 m²</t>
  </si>
  <si>
    <t>3200C</t>
  </si>
  <si>
    <t>1000 &lt; 2000 m²</t>
  </si>
  <si>
    <t>3200D</t>
  </si>
  <si>
    <t>&gt;= 2000 m²</t>
  </si>
  <si>
    <t>4000A</t>
  </si>
  <si>
    <t>Vloer schrobben/waterzuigen</t>
  </si>
  <si>
    <t>4000B</t>
  </si>
  <si>
    <t>4000C</t>
  </si>
  <si>
    <t>4000D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</si>
  <si>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</si>
  <si>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</si>
  <si>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</si>
  <si>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</si>
  <si>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</si>
  <si>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</si>
  <si>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</si>
  <si>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</si>
  <si>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</si>
  <si>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</si>
  <si>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</si>
  <si>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</si>
  <si>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</si>
  <si>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</si>
  <si>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</si>
  <si>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</si>
  <si>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</si>
  <si>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</si>
  <si>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</si>
  <si>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</si>
  <si>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</si>
  <si>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</si>
  <si>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</si>
  <si>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</si>
  <si>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</si>
  <si>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</si>
  <si>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</si>
  <si>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</si>
  <si>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</si>
  <si>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</si>
  <si>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</si>
  <si>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</si>
  <si>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</si>
  <si>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</si>
  <si>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</si>
  <si>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</si>
  <si>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</si>
  <si>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</si>
  <si>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</si>
  <si>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</si>
  <si>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</si>
  <si>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</si>
  <si>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</si>
  <si>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</si>
  <si>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</si>
  <si>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</si>
  <si>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</si>
  <si>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8502</t>
  </si>
  <si>
    <t>Hoogwerker t.b.v. Disketteweg</t>
  </si>
  <si>
    <t>totaalprijs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</si>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</sst>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4" xfId="0" applyFill="1" applyBorder="1"/>
    <xf numFmtId="0" fontId="0" fillId="3" borderId="8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7" xfId="0" applyFill="1" applyBorder="1"/>
    <xf numFmtId="49" fontId="0" fillId="2" borderId="12" xfId="0" applyNumberFormat="1" applyFill="1" applyBorder="1"/>
    <xf numFmtId="1" fontId="0" fillId="2" borderId="12" xfId="0" applyNumberFormat="1" applyFill="1" applyBorder="1"/>
    <xf numFmtId="4" fontId="0" fillId="0" borderId="12" xfId="0" applyNumberFormat="1" applyBorder="1" applyProtection="1">
      <protection locked="0"/>
    </xf>
    <xf numFmtId="10" fontId="0" fillId="0" borderId="12" xfId="0" applyNumberFormat="1" applyBorder="1" applyProtection="1">
      <protection locked="0"/>
    </xf>
    <xf numFmtId="164" fontId="0" fillId="0" borderId="12" xfId="0" applyNumberFormat="1" applyBorder="1" applyProtection="1">
      <protection locked="0"/>
    </xf>
    <xf numFmtId="49" fontId="0" fillId="2" borderId="13" xfId="0" applyNumberFormat="1" applyFill="1" applyBorder="1"/>
    <xf numFmtId="1" fontId="0" fillId="2" borderId="13" xfId="0" applyNumberFormat="1" applyFill="1" applyBorder="1"/>
    <xf numFmtId="4" fontId="0" fillId="0" borderId="13" xfId="0" applyNumberFormat="1" applyBorder="1" applyProtection="1">
      <protection locked="0"/>
    </xf>
    <xf numFmtId="10" fontId="0" fillId="0" borderId="13" xfId="0" applyNumberFormat="1" applyBorder="1" applyProtection="1">
      <protection locked="0"/>
    </xf>
    <xf numFmtId="164" fontId="0" fillId="0" borderId="13" xfId="0" applyNumberFormat="1" applyBorder="1" applyProtection="1">
      <protection locked="0"/>
    </xf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" fontId="0" fillId="2" borderId="12" xfId="0" applyNumberFormat="1" applyFill="1" applyBorder="1"/>
    <xf numFmtId="165" fontId="0" fillId="2" borderId="12" xfId="0" applyNumberFormat="1" applyFill="1" applyBorder="1"/>
    <xf numFmtId="10" fontId="0" fillId="2" borderId="12" xfId="0" applyNumberFormat="1" applyFill="1" applyBorder="1"/>
    <xf numFmtId="164" fontId="0" fillId="2" borderId="12" xfId="0" applyNumberFormat="1" applyFill="1" applyBorder="1"/>
    <xf numFmtId="4" fontId="0" fillId="2" borderId="13" xfId="0" applyNumberFormat="1" applyFill="1" applyBorder="1"/>
    <xf numFmtId="165" fontId="0" fillId="2" borderId="13" xfId="0" applyNumberFormat="1" applyFill="1" applyBorder="1"/>
    <xf numFmtId="10" fontId="0" fillId="2" borderId="13" xfId="0" applyNumberFormat="1" applyFill="1" applyBorder="1"/>
    <xf numFmtId="164" fontId="0" fillId="2" borderId="13" xfId="0" applyNumberFormat="1" applyFill="1" applyBorder="1"/>
    <xf numFmtId="4" fontId="0" fillId="2" borderId="14" xfId="0" applyNumberFormat="1" applyFill="1" applyBorder="1"/>
    <xf numFmtId="165" fontId="0" fillId="0" borderId="14" xfId="0" applyNumberFormat="1" applyBorder="1" applyProtection="1">
      <protection locked="0"/>
    </xf>
    <xf numFmtId="164" fontId="0" fillId="2" borderId="14" xfId="0" applyNumberFormat="1" applyFill="1" applyBorder="1"/>
    <xf numFmtId="49" fontId="0" fillId="3" borderId="9" xfId="0" applyNumberFormat="1" applyFill="1" applyBorder="1"/>
    <xf numFmtId="0" fontId="0" fillId="3" borderId="10" xfId="0" applyFill="1" applyBorder="1"/>
    <xf numFmtId="164" fontId="0" fillId="3" borderId="15" xfId="0" applyNumberFormat="1" applyFill="1" applyBorder="1"/>
    <xf numFmtId="0" fontId="0" fillId="3" borderId="9" xfId="0" applyFill="1" applyBorder="1"/>
    <xf numFmtId="0" fontId="0" fillId="3" borderId="16" xfId="0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49" fontId="0" fillId="3" borderId="3" xfId="0" applyNumberFormat="1" applyFill="1" applyBorder="1"/>
    <xf numFmtId="0" fontId="0" fillId="3" borderId="17" xfId="0" applyFill="1" applyBorder="1"/>
    <xf numFmtId="49" fontId="0" fillId="3" borderId="17" xfId="0" applyNumberFormat="1" applyFill="1" applyBorder="1"/>
    <xf numFmtId="49" fontId="0" fillId="4" borderId="12" xfId="0" applyNumberFormat="1" applyFill="1" applyBorder="1" applyProtection="1">
      <protection locked="0"/>
    </xf>
    <xf numFmtId="164" fontId="0" fillId="4" borderId="12" xfId="0" applyNumberFormat="1" applyFill="1" applyBorder="1" applyProtection="1">
      <protection locked="0"/>
    </xf>
    <xf numFmtId="4" fontId="0" fillId="0" borderId="12" xfId="0" applyNumberFormat="1" applyBorder="1"/>
    <xf numFmtId="49" fontId="0" fillId="4" borderId="13" xfId="0" applyNumberFormat="1" applyFill="1" applyBorder="1" applyProtection="1">
      <protection locked="0"/>
    </xf>
    <xf numFmtId="164" fontId="0" fillId="4" borderId="13" xfId="0" applyNumberFormat="1" applyFill="1" applyBorder="1" applyProtection="1">
      <protection locked="0"/>
    </xf>
    <xf numFmtId="4" fontId="0" fillId="0" borderId="13" xfId="0" applyNumberFormat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0" fontId="0" fillId="0" borderId="4" xfId="0" applyBorder="1"/>
    <xf numFmtId="0" fontId="0" fillId="0" borderId="8" xfId="0" applyBorder="1"/>
    <xf numFmtId="0" fontId="0" fillId="0" borderId="5" xfId="0" applyBorder="1"/>
    <xf numFmtId="4" fontId="0" fillId="3" borderId="12" xfId="0" applyNumberFormat="1" applyFill="1" applyBorder="1"/>
    <xf numFmtId="1" fontId="0" fillId="0" borderId="13" xfId="0" applyNumberFormat="1" applyBorder="1"/>
    <xf numFmtId="49" fontId="0" fillId="0" borderId="13" xfId="0" applyNumberFormat="1" applyBorder="1"/>
    <xf numFmtId="4" fontId="0" fillId="3" borderId="13" xfId="0" applyNumberFormat="1" applyFill="1" applyBorder="1"/>
    <xf numFmtId="10" fontId="0" fillId="3" borderId="13" xfId="0" applyNumberFormat="1" applyFill="1" applyBorder="1"/>
    <xf numFmtId="1" fontId="0" fillId="0" borderId="14" xfId="0" applyNumberFormat="1" applyBorder="1"/>
    <xf numFmtId="49" fontId="0" fillId="0" borderId="14" xfId="0" applyNumberFormat="1" applyBorder="1"/>
    <xf numFmtId="10" fontId="0" fillId="3" borderId="14" xfId="0" applyNumberFormat="1" applyFill="1" applyBorder="1"/>
    <xf numFmtId="4" fontId="0" fillId="4" borderId="12" xfId="0" applyNumberFormat="1" applyFill="1" applyBorder="1" applyProtection="1">
      <protection locked="0"/>
    </xf>
    <xf numFmtId="4" fontId="0" fillId="3" borderId="12" xfId="0" applyNumberFormat="1" applyFill="1" applyBorder="1" applyProtection="1">
      <protection locked="0"/>
    </xf>
    <xf numFmtId="4" fontId="0" fillId="4" borderId="13" xfId="0" applyNumberFormat="1" applyFill="1" applyBorder="1" applyProtection="1">
      <protection locked="0"/>
    </xf>
    <xf numFmtId="4" fontId="0" fillId="3" borderId="13" xfId="0" applyNumberFormat="1" applyFill="1" applyBorder="1" applyProtection="1">
      <protection locked="0"/>
    </xf>
    <xf numFmtId="4" fontId="0" fillId="4" borderId="14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49" fontId="0" fillId="3" borderId="12" xfId="0" applyNumberFormat="1" applyFill="1" applyBorder="1" applyAlignment="1">
      <alignment wrapText="1"/>
    </xf>
    <xf numFmtId="49" fontId="0" fillId="3" borderId="13" xfId="0" applyNumberFormat="1" applyFill="1" applyBorder="1" applyAlignment="1">
      <alignment wrapText="1"/>
    </xf>
    <xf numFmtId="49" fontId="0" fillId="3" borderId="14" xfId="0" applyNumberFormat="1" applyFill="1" applyBorder="1" applyAlignment="1">
      <alignment wrapText="1"/>
    </xf>
    <xf numFmtId="4" fontId="0" fillId="3" borderId="14" xfId="0" applyNumberFormat="1" applyFill="1" applyBorder="1"/>
    <xf numFmtId="49" fontId="0" fillId="3" borderId="15" xfId="0" applyNumberFormat="1" applyFill="1" applyBorder="1" applyAlignment="1">
      <alignment wrapText="1"/>
    </xf>
    <xf numFmtId="4" fontId="0" fillId="3" borderId="15" xfId="0" applyNumberFormat="1" applyFill="1" applyBorder="1"/>
    <xf numFmtId="0" fontId="0" fillId="3" borderId="15" xfId="0" applyFill="1" applyBorder="1"/>
    <xf numFmtId="164" fontId="0" fillId="3" borderId="16" xfId="0" applyNumberFormat="1" applyFill="1" applyBorder="1"/>
    <xf numFmtId="10" fontId="0" fillId="3" borderId="15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5850-09D9-4D57-940C-1A4DA79787B1}">
  <dimension ref="A1:B33"/>
  <sheetViews>
    <sheetView workbookViewId="0"/>
  </sheetViews>
  <sheetFormatPr defaultRowHeight="12.75"/>
  <sheetData>
    <row r="1" spans="1:2">
      <c r="A1" s="1" t="s">
        <v>0</v>
      </c>
    </row>
    <row r="3" spans="1:2">
      <c r="A3" t="s">
        <v>1</v>
      </c>
    </row>
    <row r="5" spans="1:2">
      <c r="A5" t="s">
        <v>2</v>
      </c>
      <c r="B5" t="s">
        <v>3</v>
      </c>
    </row>
    <row r="7" spans="1:2">
      <c r="A7" s="4" t="s">
        <v>4</v>
      </c>
      <c r="B7" s="5"/>
    </row>
    <row r="8" spans="1:2">
      <c r="A8" s="2"/>
      <c r="B8" s="3"/>
    </row>
    <row r="9" spans="1:2">
      <c r="A9" s="2" t="s">
        <v>5</v>
      </c>
      <c r="B9" s="3">
        <v>255</v>
      </c>
    </row>
    <row r="10" spans="1:2">
      <c r="A10" s="2" t="s">
        <v>6</v>
      </c>
      <c r="B10" s="3">
        <v>5</v>
      </c>
    </row>
    <row r="11" spans="1:2">
      <c r="A11" s="2"/>
      <c r="B11" s="3"/>
    </row>
    <row r="12" spans="1:2">
      <c r="A12" s="2" t="s">
        <v>7</v>
      </c>
      <c r="B12" s="3" t="s">
        <v>8</v>
      </c>
    </row>
    <row r="13" spans="1: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</v>
      </c>
    </row>
    <row r="15" spans="1: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0.78431372549019607</v>
      </c>
    </row>
    <row r="16" spans="1: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</v>
      </c>
    </row>
    <row r="17" spans="1: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0.47058823529411764</v>
      </c>
    </row>
    <row r="18" spans="1: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0.4</v>
      </c>
    </row>
    <row r="19" spans="1: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0.31372549019607843</v>
      </c>
    </row>
    <row r="20" spans="1: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0.21568627450980393</v>
      </c>
    </row>
    <row r="21" spans="1: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0.2</v>
      </c>
    </row>
    <row r="22" spans="1: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0.15686274509803921</v>
      </c>
    </row>
    <row r="23" spans="1: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0.12941176470588237</v>
      </c>
    </row>
    <row r="24" spans="1: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0.10196078431372549</v>
      </c>
    </row>
    <row r="25" spans="1: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4.7058823529411764E-2</v>
      </c>
    </row>
    <row r="26" spans="1: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4.3137254901960784E-2</v>
      </c>
    </row>
    <row r="27" spans="1: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3.9215686274509803E-2</v>
      </c>
    </row>
    <row r="28" spans="1: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3.1372549019607843E-2</v>
      </c>
    </row>
    <row r="29" spans="1:2">
      <c r="A29" s="2" t="s">
        <v>25</v>
      </c>
      <c r="B29" s="3">
        <f>IF(A29="2½W",2.5/dagenperweek1,IF(RIGHT(A29,1)="W",VALUE(LEFT(A29,LEN(A29)-1))/dagenperweek1,IF(RIGHT(A29,1)="J",VALUE(LEFT(A29,LEN(A29)-1))/dagenperjaar1,"handmatig!")))</f>
        <v>2.3529411764705882E-2</v>
      </c>
    </row>
    <row r="30" spans="1:2">
      <c r="A30" s="2" t="s">
        <v>26</v>
      </c>
      <c r="B30" s="3">
        <f>IF(A30="2½W",2.5/dagenperweek1,IF(RIGHT(A30,1)="W",VALUE(LEFT(A30,LEN(A30)-1))/dagenperweek1,IF(RIGHT(A30,1)="J",VALUE(LEFT(A30,LEN(A30)-1))/dagenperjaar1,"handmatig!")))</f>
        <v>1.5686274509803921E-2</v>
      </c>
    </row>
    <row r="31" spans="1:2">
      <c r="A31" s="2" t="s">
        <v>27</v>
      </c>
      <c r="B31" s="3">
        <f>IF(A31="2½W",2.5/dagenperweek1,IF(RIGHT(A31,1)="W",VALUE(LEFT(A31,LEN(A31)-1))/dagenperweek1,IF(RIGHT(A31,1)="J",VALUE(LEFT(A31,LEN(A31)-1))/dagenperjaar1,"handmatig!")))</f>
        <v>1.1764705882352941E-2</v>
      </c>
    </row>
    <row r="32" spans="1:2">
      <c r="A32" s="2" t="s">
        <v>28</v>
      </c>
      <c r="B32" s="3">
        <f>IF(A32="2½W",2.5/dagenperweek1,IF(RIGHT(A32,1)="W",VALUE(LEFT(A32,LEN(A32)-1))/dagenperweek1,IF(RIGHT(A32,1)="J",VALUE(LEFT(A32,LEN(A32)-1))/dagenperjaar1,"handmatig!")))</f>
        <v>7.8431372549019607E-3</v>
      </c>
    </row>
    <row r="33" spans="1:2">
      <c r="A33" s="6" t="s">
        <v>29</v>
      </c>
      <c r="B33" s="7">
        <f>IF(A33="2½W",2.5/dagenperweek1,IF(RIGHT(A33,1)="W",VALUE(LEFT(A33,LEN(A33)-1))/dagenperweek1,IF(RIGHT(A33,1)="J",VALUE(LEFT(A33,LEN(A33)-1))/dagenperjaar1,"handmatig!")))</f>
        <v>3.9215686274509803E-3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6759-C06A-4AAD-B258-62DBCC645C82}">
  <dimension ref="A1:L12"/>
  <sheetViews>
    <sheetView tabSelected="1" workbookViewId="0">
      <selection activeCell="D24" sqref="D24"/>
    </sheetView>
  </sheetViews>
  <sheetFormatPr defaultRowHeight="12.75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>
      <c r="A1" s="1" t="str">
        <f>CONCATENATE("Bijlage I2.8: ",tabeltype," glas")</f>
        <v>Bijlage I2.8: Invultabel glas</v>
      </c>
    </row>
    <row r="3" spans="1:12" ht="38.25">
      <c r="A3" s="84" t="s">
        <v>356</v>
      </c>
      <c r="B3" s="84" t="s">
        <v>7</v>
      </c>
      <c r="C3" s="84" t="s">
        <v>357</v>
      </c>
      <c r="D3" s="84" t="s">
        <v>33</v>
      </c>
      <c r="E3" s="84" t="s">
        <v>36</v>
      </c>
      <c r="F3" s="84" t="s">
        <v>358</v>
      </c>
      <c r="G3" s="84" t="s">
        <v>359</v>
      </c>
      <c r="H3" s="84" t="s">
        <v>360</v>
      </c>
      <c r="I3" s="84" t="s">
        <v>361</v>
      </c>
      <c r="J3" s="84" t="s">
        <v>362</v>
      </c>
      <c r="K3" s="84" t="s">
        <v>185</v>
      </c>
      <c r="L3" s="84" t="s">
        <v>298</v>
      </c>
    </row>
    <row r="4" spans="1:1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spans="1:12">
      <c r="A5" s="11" t="s">
        <v>38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2">
      <c r="A6" s="14" t="s">
        <v>509</v>
      </c>
      <c r="B6" s="14" t="s">
        <v>28</v>
      </c>
      <c r="C6" s="15">
        <f>IF(ISBLANK(B6),0,IF(ISERROR(VALUE(B6)),VLOOKUP(B6,dagsoorttabel1,2,FALSE)*dagenperjaar1,VALUE(B6)))</f>
        <v>2</v>
      </c>
      <c r="D6" s="14" t="s">
        <v>510</v>
      </c>
      <c r="E6" s="14" t="s">
        <v>406</v>
      </c>
      <c r="F6" s="70">
        <v>4430.0999999999995</v>
      </c>
      <c r="G6" s="18"/>
      <c r="H6" s="71"/>
      <c r="I6" s="18"/>
      <c r="J6" s="32">
        <f>IF(ISBLANK(F6),0,F6)*I6</f>
        <v>0</v>
      </c>
      <c r="K6" s="32">
        <f>C6*J6</f>
        <v>0</v>
      </c>
      <c r="L6" s="32">
        <f>K6/12</f>
        <v>0</v>
      </c>
    </row>
    <row r="7" spans="1:12">
      <c r="A7" s="19" t="s">
        <v>511</v>
      </c>
      <c r="B7" s="19" t="s">
        <v>28</v>
      </c>
      <c r="C7" s="20">
        <f>IF(ISBLANK(B7),0,IF(ISERROR(VALUE(B7)),VLOOKUP(B7,dagsoorttabel1,2,FALSE)*dagenperjaar1,VALUE(B7)))</f>
        <v>2</v>
      </c>
      <c r="D7" s="19" t="s">
        <v>512</v>
      </c>
      <c r="E7" s="19" t="s">
        <v>406</v>
      </c>
      <c r="F7" s="72">
        <v>3975.9999999999995</v>
      </c>
      <c r="G7" s="23"/>
      <c r="H7" s="73"/>
      <c r="I7" s="23"/>
      <c r="J7" s="36">
        <f>IF(ISBLANK(F7),0,F7)*I7</f>
        <v>0</v>
      </c>
      <c r="K7" s="36">
        <f>C7*J7</f>
        <v>0</v>
      </c>
      <c r="L7" s="36">
        <f>K7/12</f>
        <v>0</v>
      </c>
    </row>
    <row r="8" spans="1:12">
      <c r="A8" s="19" t="s">
        <v>513</v>
      </c>
      <c r="B8" s="19" t="s">
        <v>28</v>
      </c>
      <c r="C8" s="20">
        <f>IF(ISBLANK(B8),0,IF(ISERROR(VALUE(B8)),VLOOKUP(B8,dagsoorttabel1,2,FALSE)*dagenperjaar1,VALUE(B8)))</f>
        <v>2</v>
      </c>
      <c r="D8" s="19" t="s">
        <v>514</v>
      </c>
      <c r="E8" s="19" t="s">
        <v>406</v>
      </c>
      <c r="F8" s="72">
        <v>4470.8</v>
      </c>
      <c r="G8" s="23"/>
      <c r="H8" s="73"/>
      <c r="I8" s="23"/>
      <c r="J8" s="36">
        <f>IF(ISBLANK(F8),0,F8)*I8</f>
        <v>0</v>
      </c>
      <c r="K8" s="36">
        <f>C8*J8</f>
        <v>0</v>
      </c>
      <c r="L8" s="36">
        <f>K8/12</f>
        <v>0</v>
      </c>
    </row>
    <row r="9" spans="1:12">
      <c r="A9" s="24" t="s">
        <v>515</v>
      </c>
      <c r="B9" s="24" t="s">
        <v>28</v>
      </c>
      <c r="C9" s="25">
        <f>IF(ISBLANK(B9),0,IF(ISERROR(VALUE(B9)),VLOOKUP(B9,dagsoorttabel1,2,FALSE)*dagenperjaar1,VALUE(B9)))</f>
        <v>2</v>
      </c>
      <c r="D9" s="24" t="s">
        <v>516</v>
      </c>
      <c r="E9" s="24" t="s">
        <v>517</v>
      </c>
      <c r="F9" s="74">
        <v>1</v>
      </c>
      <c r="G9" s="28"/>
      <c r="H9" s="76"/>
      <c r="I9" s="28"/>
      <c r="J9" s="39">
        <f>IF(ISBLANK(F9),1,F9)*I9</f>
        <v>0</v>
      </c>
      <c r="K9" s="39">
        <f>C9*J9</f>
        <v>0</v>
      </c>
      <c r="L9" s="39">
        <f>K9/12</f>
        <v>0</v>
      </c>
    </row>
    <row r="10" spans="1:12">
      <c r="A10" s="40" t="s">
        <v>252</v>
      </c>
      <c r="B10" s="41"/>
      <c r="C10" s="41"/>
      <c r="D10" s="41"/>
      <c r="E10" s="41"/>
      <c r="F10" s="41"/>
      <c r="G10" s="41"/>
      <c r="H10" s="41"/>
      <c r="I10" s="41"/>
      <c r="J10" s="41"/>
      <c r="K10" s="42">
        <f>SUM(K6:K9)</f>
        <v>0</v>
      </c>
      <c r="L10" s="87">
        <f>K10/12</f>
        <v>0</v>
      </c>
    </row>
    <row r="12" spans="1:12">
      <c r="A12" s="40" t="s">
        <v>518</v>
      </c>
      <c r="B12" s="41"/>
      <c r="C12" s="41"/>
      <c r="D12" s="41"/>
      <c r="E12" s="41"/>
      <c r="F12" s="41"/>
      <c r="G12" s="41"/>
      <c r="H12" s="41"/>
      <c r="I12" s="41"/>
      <c r="J12" s="41"/>
      <c r="K12" s="42">
        <f>prijsjaarglas1</f>
        <v>0</v>
      </c>
      <c r="L12" s="87">
        <f>K12/12</f>
        <v>0</v>
      </c>
    </row>
  </sheetData>
  <pageMargins left="0.7" right="0.7" top="0.75" bottom="0.75" header="0.3" footer="0.3"/>
  <pageSetup paperSize="9" scale="65" orientation="landscape" r:id="rId1"/>
  <headerFooter>
    <oddFooter>&amp;LROC Midden Nederland EA 2022                                &amp;ROpmaakdatum: 02-06-2022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92FA-017D-4A59-9639-BEFCF036C012}">
  <dimension ref="A1:M33"/>
  <sheetViews>
    <sheetView workbookViewId="0"/>
  </sheetViews>
  <sheetFormatPr defaultRowHeight="12.75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>
      <c r="A1" s="1" t="str">
        <f>CONCATENATE("Bijlage I2.9: ",tabeltype," glas per locatie")</f>
        <v>Bijlage I2.9: Invultabel glas per locatie</v>
      </c>
    </row>
    <row r="3" spans="1:13" ht="38.25">
      <c r="A3" s="84" t="s">
        <v>356</v>
      </c>
      <c r="B3" s="84" t="s">
        <v>7</v>
      </c>
      <c r="C3" s="84" t="s">
        <v>357</v>
      </c>
      <c r="D3" s="84" t="s">
        <v>269</v>
      </c>
      <c r="E3" s="84" t="s">
        <v>33</v>
      </c>
      <c r="F3" s="84" t="s">
        <v>36</v>
      </c>
      <c r="G3" s="84" t="s">
        <v>358</v>
      </c>
      <c r="H3" s="84" t="s">
        <v>359</v>
      </c>
      <c r="I3" s="84" t="s">
        <v>360</v>
      </c>
      <c r="J3" s="84" t="s">
        <v>361</v>
      </c>
      <c r="K3" s="84" t="s">
        <v>362</v>
      </c>
      <c r="L3" s="84" t="s">
        <v>185</v>
      </c>
      <c r="M3" s="84" t="s">
        <v>298</v>
      </c>
    </row>
    <row r="5" spans="1:13">
      <c r="A5" s="43" t="s">
        <v>330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4"/>
    </row>
    <row r="6" spans="1:13">
      <c r="A6" s="14" t="s">
        <v>509</v>
      </c>
      <c r="B6" s="14" t="s">
        <v>28</v>
      </c>
      <c r="C6" s="15">
        <f>IF(ISBLANK(B6),0,IF(ISERROR(VALUE(B6)),VLOOKUP(B6,dagsoorttabel1,2,FALSE)*dagenperjaar1,VALUE(B6)))</f>
        <v>2</v>
      </c>
      <c r="D6" s="14" t="s">
        <v>281</v>
      </c>
      <c r="E6" s="14" t="s">
        <v>510</v>
      </c>
      <c r="F6" s="14" t="s">
        <v>406</v>
      </c>
      <c r="G6" s="70">
        <v>185</v>
      </c>
      <c r="H6" s="77">
        <f>Glas!G6</f>
        <v>0</v>
      </c>
      <c r="I6" s="71"/>
      <c r="J6" s="77">
        <f>Glas!I6</f>
        <v>0</v>
      </c>
      <c r="K6" s="32">
        <f>IF(ISBLANK(G6),0,G6)*J6</f>
        <v>0</v>
      </c>
      <c r="L6" s="32">
        <f>C6*K6</f>
        <v>0</v>
      </c>
      <c r="M6" s="32">
        <f>L6/12</f>
        <v>0</v>
      </c>
    </row>
    <row r="7" spans="1:13">
      <c r="A7" s="19" t="s">
        <v>511</v>
      </c>
      <c r="B7" s="19" t="s">
        <v>28</v>
      </c>
      <c r="C7" s="20">
        <f>IF(ISBLANK(B7),0,IF(ISERROR(VALUE(B7)),VLOOKUP(B7,dagsoorttabel1,2,FALSE)*dagenperjaar1,VALUE(B7)))</f>
        <v>2</v>
      </c>
      <c r="D7" s="19" t="s">
        <v>281</v>
      </c>
      <c r="E7" s="19" t="s">
        <v>512</v>
      </c>
      <c r="F7" s="19" t="s">
        <v>406</v>
      </c>
      <c r="G7" s="72">
        <v>185</v>
      </c>
      <c r="H7" s="78">
        <f>Glas!G7</f>
        <v>0</v>
      </c>
      <c r="I7" s="73"/>
      <c r="J7" s="78">
        <f>Glas!I7</f>
        <v>0</v>
      </c>
      <c r="K7" s="36">
        <f>IF(ISBLANK(G7),0,G7)*J7</f>
        <v>0</v>
      </c>
      <c r="L7" s="36">
        <f>C7*K7</f>
        <v>0</v>
      </c>
      <c r="M7" s="36">
        <f>L7/12</f>
        <v>0</v>
      </c>
    </row>
    <row r="8" spans="1:13">
      <c r="A8" s="24" t="s">
        <v>513</v>
      </c>
      <c r="B8" s="24" t="s">
        <v>28</v>
      </c>
      <c r="C8" s="25">
        <f>IF(ISBLANK(B8),0,IF(ISERROR(VALUE(B8)),VLOOKUP(B8,dagsoorttabel1,2,FALSE)*dagenperjaar1,VALUE(B8)))</f>
        <v>2</v>
      </c>
      <c r="D8" s="24" t="s">
        <v>281</v>
      </c>
      <c r="E8" s="24" t="s">
        <v>514</v>
      </c>
      <c r="F8" s="24" t="s">
        <v>406</v>
      </c>
      <c r="G8" s="74">
        <v>193</v>
      </c>
      <c r="H8" s="79">
        <f>Glas!G8</f>
        <v>0</v>
      </c>
      <c r="I8" s="76"/>
      <c r="J8" s="79">
        <f>Glas!I8</f>
        <v>0</v>
      </c>
      <c r="K8" s="39">
        <f>IF(ISBLANK(G8),0,G8)*J8</f>
        <v>0</v>
      </c>
      <c r="L8" s="39">
        <f>C8*K8</f>
        <v>0</v>
      </c>
      <c r="M8" s="39">
        <f>L8/12</f>
        <v>0</v>
      </c>
    </row>
    <row r="9" spans="1:13">
      <c r="A9" s="40" t="s">
        <v>335</v>
      </c>
      <c r="B9" s="41"/>
      <c r="C9" s="41"/>
      <c r="D9" s="41"/>
      <c r="E9" s="41"/>
      <c r="F9" s="41"/>
      <c r="G9" s="41"/>
      <c r="H9" s="41"/>
      <c r="I9" s="41"/>
      <c r="J9" s="41"/>
      <c r="K9" s="42">
        <f>SUM(K6:K8)</f>
        <v>0</v>
      </c>
      <c r="L9" s="42">
        <f>SUM(L6:L8)</f>
        <v>0</v>
      </c>
      <c r="M9" s="87">
        <f>L9/12</f>
        <v>0</v>
      </c>
    </row>
    <row r="11" spans="1:13">
      <c r="A11" s="43" t="s">
        <v>336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4"/>
    </row>
    <row r="12" spans="1:13">
      <c r="A12" s="14" t="s">
        <v>509</v>
      </c>
      <c r="B12" s="14" t="s">
        <v>28</v>
      </c>
      <c r="C12" s="15">
        <f>IF(ISBLANK(B12),0,IF(ISERROR(VALUE(B12)),VLOOKUP(B12,dagsoorttabel1,2,FALSE)*dagenperjaar1,VALUE(B12)))</f>
        <v>2</v>
      </c>
      <c r="D12" s="14" t="s">
        <v>281</v>
      </c>
      <c r="E12" s="14" t="s">
        <v>510</v>
      </c>
      <c r="F12" s="14" t="s">
        <v>406</v>
      </c>
      <c r="G12" s="70">
        <v>1913.0999999999997</v>
      </c>
      <c r="H12" s="77">
        <f>Glas!G6</f>
        <v>0</v>
      </c>
      <c r="I12" s="71"/>
      <c r="J12" s="77">
        <f>Glas!I6</f>
        <v>0</v>
      </c>
      <c r="K12" s="32">
        <f>IF(ISBLANK(G12),0,G12)*J12</f>
        <v>0</v>
      </c>
      <c r="L12" s="32">
        <f>C12*K12</f>
        <v>0</v>
      </c>
      <c r="M12" s="32">
        <f>L12/12</f>
        <v>0</v>
      </c>
    </row>
    <row r="13" spans="1:13">
      <c r="A13" s="19" t="s">
        <v>511</v>
      </c>
      <c r="B13" s="19" t="s">
        <v>28</v>
      </c>
      <c r="C13" s="20">
        <f>IF(ISBLANK(B13),0,IF(ISERROR(VALUE(B13)),VLOOKUP(B13,dagsoorttabel1,2,FALSE)*dagenperjaar1,VALUE(B13)))</f>
        <v>2</v>
      </c>
      <c r="D13" s="19" t="s">
        <v>281</v>
      </c>
      <c r="E13" s="19" t="s">
        <v>512</v>
      </c>
      <c r="F13" s="19" t="s">
        <v>406</v>
      </c>
      <c r="G13" s="72">
        <v>1247.3999999999999</v>
      </c>
      <c r="H13" s="78">
        <f>Glas!G7</f>
        <v>0</v>
      </c>
      <c r="I13" s="73"/>
      <c r="J13" s="78">
        <f>Glas!I7</f>
        <v>0</v>
      </c>
      <c r="K13" s="36">
        <f>IF(ISBLANK(G13),0,G13)*J13</f>
        <v>0</v>
      </c>
      <c r="L13" s="36">
        <f>C13*K13</f>
        <v>0</v>
      </c>
      <c r="M13" s="36">
        <f>L13/12</f>
        <v>0</v>
      </c>
    </row>
    <row r="14" spans="1:13">
      <c r="A14" s="24" t="s">
        <v>513</v>
      </c>
      <c r="B14" s="24" t="s">
        <v>28</v>
      </c>
      <c r="C14" s="25">
        <f>IF(ISBLANK(B14),0,IF(ISERROR(VALUE(B14)),VLOOKUP(B14,dagsoorttabel1,2,FALSE)*dagenperjaar1,VALUE(B14)))</f>
        <v>2</v>
      </c>
      <c r="D14" s="24" t="s">
        <v>281</v>
      </c>
      <c r="E14" s="24" t="s">
        <v>514</v>
      </c>
      <c r="F14" s="24" t="s">
        <v>406</v>
      </c>
      <c r="G14" s="74">
        <v>1282</v>
      </c>
      <c r="H14" s="79">
        <f>Glas!G8</f>
        <v>0</v>
      </c>
      <c r="I14" s="76"/>
      <c r="J14" s="79">
        <f>Glas!I8</f>
        <v>0</v>
      </c>
      <c r="K14" s="39">
        <f>IF(ISBLANK(G14),0,G14)*J14</f>
        <v>0</v>
      </c>
      <c r="L14" s="39">
        <f>C14*K14</f>
        <v>0</v>
      </c>
      <c r="M14" s="39">
        <f>L14/12</f>
        <v>0</v>
      </c>
    </row>
    <row r="15" spans="1:13">
      <c r="A15" s="40" t="s">
        <v>337</v>
      </c>
      <c r="B15" s="41"/>
      <c r="C15" s="41"/>
      <c r="D15" s="41"/>
      <c r="E15" s="41"/>
      <c r="F15" s="41"/>
      <c r="G15" s="41"/>
      <c r="H15" s="41"/>
      <c r="I15" s="41"/>
      <c r="J15" s="41"/>
      <c r="K15" s="42">
        <f>SUM(K12:K14)</f>
        <v>0</v>
      </c>
      <c r="L15" s="42">
        <f>SUM(L12:L14)</f>
        <v>0</v>
      </c>
      <c r="M15" s="87">
        <f>L15/12</f>
        <v>0</v>
      </c>
    </row>
    <row r="17" spans="1:13">
      <c r="A17" s="43" t="s">
        <v>338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4"/>
    </row>
    <row r="18" spans="1:13">
      <c r="A18" s="14" t="s">
        <v>509</v>
      </c>
      <c r="B18" s="14" t="s">
        <v>28</v>
      </c>
      <c r="C18" s="15">
        <f>IF(ISBLANK(B18),0,IF(ISERROR(VALUE(B18)),VLOOKUP(B18,dagsoorttabel1,2,FALSE)*dagenperjaar1,VALUE(B18)))</f>
        <v>2</v>
      </c>
      <c r="D18" s="14" t="s">
        <v>281</v>
      </c>
      <c r="E18" s="14" t="s">
        <v>510</v>
      </c>
      <c r="F18" s="14" t="s">
        <v>406</v>
      </c>
      <c r="G18" s="70">
        <v>1677</v>
      </c>
      <c r="H18" s="77">
        <f>Glas!G6</f>
        <v>0</v>
      </c>
      <c r="I18" s="71"/>
      <c r="J18" s="77">
        <f>Glas!I6</f>
        <v>0</v>
      </c>
      <c r="K18" s="32">
        <f>IF(ISBLANK(G18),0,G18)*J18</f>
        <v>0</v>
      </c>
      <c r="L18" s="32">
        <f>C18*K18</f>
        <v>0</v>
      </c>
      <c r="M18" s="32">
        <f>L18/12</f>
        <v>0</v>
      </c>
    </row>
    <row r="19" spans="1:13">
      <c r="A19" s="19" t="s">
        <v>511</v>
      </c>
      <c r="B19" s="19" t="s">
        <v>28</v>
      </c>
      <c r="C19" s="20">
        <f>IF(ISBLANK(B19),0,IF(ISERROR(VALUE(B19)),VLOOKUP(B19,dagsoorttabel1,2,FALSE)*dagenperjaar1,VALUE(B19)))</f>
        <v>2</v>
      </c>
      <c r="D19" s="19" t="s">
        <v>281</v>
      </c>
      <c r="E19" s="19" t="s">
        <v>512</v>
      </c>
      <c r="F19" s="19" t="s">
        <v>406</v>
      </c>
      <c r="G19" s="72">
        <v>1677</v>
      </c>
      <c r="H19" s="78">
        <f>Glas!G7</f>
        <v>0</v>
      </c>
      <c r="I19" s="73"/>
      <c r="J19" s="78">
        <f>Glas!I7</f>
        <v>0</v>
      </c>
      <c r="K19" s="36">
        <f>IF(ISBLANK(G19),0,G19)*J19</f>
        <v>0</v>
      </c>
      <c r="L19" s="36">
        <f>C19*K19</f>
        <v>0</v>
      </c>
      <c r="M19" s="36">
        <f>L19/12</f>
        <v>0</v>
      </c>
    </row>
    <row r="20" spans="1:13">
      <c r="A20" s="19" t="s">
        <v>513</v>
      </c>
      <c r="B20" s="19" t="s">
        <v>28</v>
      </c>
      <c r="C20" s="20">
        <f>IF(ISBLANK(B20),0,IF(ISERROR(VALUE(B20)),VLOOKUP(B20,dagsoorttabel1,2,FALSE)*dagenperjaar1,VALUE(B20)))</f>
        <v>2</v>
      </c>
      <c r="D20" s="19" t="s">
        <v>281</v>
      </c>
      <c r="E20" s="19" t="s">
        <v>514</v>
      </c>
      <c r="F20" s="19" t="s">
        <v>406</v>
      </c>
      <c r="G20" s="72">
        <v>2371.8000000000002</v>
      </c>
      <c r="H20" s="78">
        <f>Glas!G8</f>
        <v>0</v>
      </c>
      <c r="I20" s="73"/>
      <c r="J20" s="78">
        <f>Glas!I8</f>
        <v>0</v>
      </c>
      <c r="K20" s="36">
        <f>IF(ISBLANK(G20),0,G20)*J20</f>
        <v>0</v>
      </c>
      <c r="L20" s="36">
        <f>C20*K20</f>
        <v>0</v>
      </c>
      <c r="M20" s="36">
        <f>L20/12</f>
        <v>0</v>
      </c>
    </row>
    <row r="21" spans="1:13">
      <c r="A21" s="24" t="s">
        <v>515</v>
      </c>
      <c r="B21" s="24" t="s">
        <v>28</v>
      </c>
      <c r="C21" s="25">
        <f>IF(ISBLANK(B21),0,IF(ISERROR(VALUE(B21)),VLOOKUP(B21,dagsoorttabel1,2,FALSE)*dagenperjaar1,VALUE(B21)))</f>
        <v>2</v>
      </c>
      <c r="D21" s="24" t="s">
        <v>281</v>
      </c>
      <c r="E21" s="24" t="s">
        <v>516</v>
      </c>
      <c r="F21" s="24" t="s">
        <v>517</v>
      </c>
      <c r="G21" s="74">
        <v>1</v>
      </c>
      <c r="H21" s="79">
        <f>Glas!G9</f>
        <v>0</v>
      </c>
      <c r="I21" s="76"/>
      <c r="J21" s="79">
        <f>Glas!I9</f>
        <v>0</v>
      </c>
      <c r="K21" s="39">
        <f>IF(ISBLANK(G21),1,G21)*J21</f>
        <v>0</v>
      </c>
      <c r="L21" s="39">
        <f>C21*K21</f>
        <v>0</v>
      </c>
      <c r="M21" s="39">
        <f>L21/12</f>
        <v>0</v>
      </c>
    </row>
    <row r="22" spans="1:13">
      <c r="A22" s="40" t="s">
        <v>339</v>
      </c>
      <c r="B22" s="41"/>
      <c r="C22" s="41"/>
      <c r="D22" s="41"/>
      <c r="E22" s="41"/>
      <c r="F22" s="41"/>
      <c r="G22" s="41"/>
      <c r="H22" s="41"/>
      <c r="I22" s="41"/>
      <c r="J22" s="41"/>
      <c r="K22" s="42">
        <f>SUM(K18:K21)</f>
        <v>0</v>
      </c>
      <c r="L22" s="42">
        <f>SUM(L18:L21)</f>
        <v>0</v>
      </c>
      <c r="M22" s="87">
        <f>L22/12</f>
        <v>0</v>
      </c>
    </row>
    <row r="24" spans="1:13">
      <c r="A24" s="43" t="s">
        <v>340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4"/>
    </row>
    <row r="25" spans="1:13">
      <c r="A25" s="14" t="s">
        <v>509</v>
      </c>
      <c r="B25" s="14" t="s">
        <v>28</v>
      </c>
      <c r="C25" s="15">
        <f>IF(ISBLANK(B25),0,IF(ISERROR(VALUE(B25)),VLOOKUP(B25,dagsoorttabel1,2,FALSE)*dagenperjaar1,VALUE(B25)))</f>
        <v>2</v>
      </c>
      <c r="D25" s="14" t="s">
        <v>281</v>
      </c>
      <c r="E25" s="14" t="s">
        <v>510</v>
      </c>
      <c r="F25" s="14" t="s">
        <v>406</v>
      </c>
      <c r="G25" s="70">
        <v>655</v>
      </c>
      <c r="H25" s="77">
        <f>Glas!G6</f>
        <v>0</v>
      </c>
      <c r="I25" s="71"/>
      <c r="J25" s="77">
        <f>Glas!I6</f>
        <v>0</v>
      </c>
      <c r="K25" s="32">
        <f>IF(ISBLANK(G25),0,G25)*J25</f>
        <v>0</v>
      </c>
      <c r="L25" s="32">
        <f>C25*K25</f>
        <v>0</v>
      </c>
      <c r="M25" s="32">
        <f>L25/12</f>
        <v>0</v>
      </c>
    </row>
    <row r="26" spans="1:13">
      <c r="A26" s="19" t="s">
        <v>511</v>
      </c>
      <c r="B26" s="19" t="s">
        <v>28</v>
      </c>
      <c r="C26" s="20">
        <f>IF(ISBLANK(B26),0,IF(ISERROR(VALUE(B26)),VLOOKUP(B26,dagsoorttabel1,2,FALSE)*dagenperjaar1,VALUE(B26)))</f>
        <v>2</v>
      </c>
      <c r="D26" s="19" t="s">
        <v>281</v>
      </c>
      <c r="E26" s="19" t="s">
        <v>512</v>
      </c>
      <c r="F26" s="19" t="s">
        <v>406</v>
      </c>
      <c r="G26" s="72">
        <v>655</v>
      </c>
      <c r="H26" s="78">
        <f>Glas!G7</f>
        <v>0</v>
      </c>
      <c r="I26" s="73"/>
      <c r="J26" s="78">
        <f>Glas!I7</f>
        <v>0</v>
      </c>
      <c r="K26" s="36">
        <f>IF(ISBLANK(G26),0,G26)*J26</f>
        <v>0</v>
      </c>
      <c r="L26" s="36">
        <f>C26*K26</f>
        <v>0</v>
      </c>
      <c r="M26" s="36">
        <f>L26/12</f>
        <v>0</v>
      </c>
    </row>
    <row r="27" spans="1:13">
      <c r="A27" s="24" t="s">
        <v>513</v>
      </c>
      <c r="B27" s="24" t="s">
        <v>28</v>
      </c>
      <c r="C27" s="25">
        <f>IF(ISBLANK(B27),0,IF(ISERROR(VALUE(B27)),VLOOKUP(B27,dagsoorttabel1,2,FALSE)*dagenperjaar1,VALUE(B27)))</f>
        <v>2</v>
      </c>
      <c r="D27" s="24" t="s">
        <v>281</v>
      </c>
      <c r="E27" s="24" t="s">
        <v>514</v>
      </c>
      <c r="F27" s="24" t="s">
        <v>406</v>
      </c>
      <c r="G27" s="74">
        <v>244</v>
      </c>
      <c r="H27" s="79">
        <f>Glas!G8</f>
        <v>0</v>
      </c>
      <c r="I27" s="76"/>
      <c r="J27" s="79">
        <f>Glas!I8</f>
        <v>0</v>
      </c>
      <c r="K27" s="39">
        <f>IF(ISBLANK(G27),0,G27)*J27</f>
        <v>0</v>
      </c>
      <c r="L27" s="39">
        <f>C27*K27</f>
        <v>0</v>
      </c>
      <c r="M27" s="39">
        <f>L27/12</f>
        <v>0</v>
      </c>
    </row>
    <row r="28" spans="1:13">
      <c r="A28" s="40" t="s">
        <v>341</v>
      </c>
      <c r="B28" s="41"/>
      <c r="C28" s="41"/>
      <c r="D28" s="41"/>
      <c r="E28" s="41"/>
      <c r="F28" s="41"/>
      <c r="G28" s="41"/>
      <c r="H28" s="41"/>
      <c r="I28" s="41"/>
      <c r="J28" s="41"/>
      <c r="K28" s="42">
        <f>SUM(K25:K27)</f>
        <v>0</v>
      </c>
      <c r="L28" s="42">
        <f>SUM(L25:L27)</f>
        <v>0</v>
      </c>
      <c r="M28" s="87">
        <f>L28/12</f>
        <v>0</v>
      </c>
    </row>
    <row r="30" spans="1:13">
      <c r="A30" s="43" t="s">
        <v>344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4"/>
    </row>
    <row r="31" spans="1:13">
      <c r="A31" s="14" t="s">
        <v>511</v>
      </c>
      <c r="B31" s="14" t="s">
        <v>28</v>
      </c>
      <c r="C31" s="15">
        <f>IF(ISBLANK(B31),0,IF(ISERROR(VALUE(B31)),VLOOKUP(B31,dagsoorttabel1,2,FALSE)*dagenperjaar1,VALUE(B31)))</f>
        <v>2</v>
      </c>
      <c r="D31" s="14" t="s">
        <v>281</v>
      </c>
      <c r="E31" s="14" t="s">
        <v>512</v>
      </c>
      <c r="F31" s="14" t="s">
        <v>406</v>
      </c>
      <c r="G31" s="70">
        <v>211.6</v>
      </c>
      <c r="H31" s="77">
        <f>Glas!G7</f>
        <v>0</v>
      </c>
      <c r="I31" s="71"/>
      <c r="J31" s="77">
        <f>Glas!I7</f>
        <v>0</v>
      </c>
      <c r="K31" s="32">
        <f>IF(ISBLANK(G31),0,G31)*J31</f>
        <v>0</v>
      </c>
      <c r="L31" s="32">
        <f>C31*K31</f>
        <v>0</v>
      </c>
      <c r="M31" s="32">
        <f>L31/12</f>
        <v>0</v>
      </c>
    </row>
    <row r="32" spans="1:13">
      <c r="A32" s="24" t="s">
        <v>513</v>
      </c>
      <c r="B32" s="24" t="s">
        <v>28</v>
      </c>
      <c r="C32" s="25">
        <f>IF(ISBLANK(B32),0,IF(ISERROR(VALUE(B32)),VLOOKUP(B32,dagsoorttabel1,2,FALSE)*dagenperjaar1,VALUE(B32)))</f>
        <v>2</v>
      </c>
      <c r="D32" s="24" t="s">
        <v>281</v>
      </c>
      <c r="E32" s="24" t="s">
        <v>514</v>
      </c>
      <c r="F32" s="24" t="s">
        <v>406</v>
      </c>
      <c r="G32" s="74">
        <v>380</v>
      </c>
      <c r="H32" s="79">
        <f>Glas!G8</f>
        <v>0</v>
      </c>
      <c r="I32" s="76"/>
      <c r="J32" s="79">
        <f>Glas!I8</f>
        <v>0</v>
      </c>
      <c r="K32" s="39">
        <f>IF(ISBLANK(G32),0,G32)*J32</f>
        <v>0</v>
      </c>
      <c r="L32" s="39">
        <f>C32*K32</f>
        <v>0</v>
      </c>
      <c r="M32" s="39">
        <f>L32/12</f>
        <v>0</v>
      </c>
    </row>
    <row r="33" spans="1:13">
      <c r="A33" s="40" t="s">
        <v>345</v>
      </c>
      <c r="B33" s="41"/>
      <c r="C33" s="41"/>
      <c r="D33" s="41"/>
      <c r="E33" s="41"/>
      <c r="F33" s="41"/>
      <c r="G33" s="41"/>
      <c r="H33" s="41"/>
      <c r="I33" s="41"/>
      <c r="J33" s="41"/>
      <c r="K33" s="42">
        <f>SUM(K31:K32)</f>
        <v>0</v>
      </c>
      <c r="L33" s="42">
        <f>SUM(L31:L32)</f>
        <v>0</v>
      </c>
      <c r="M33" s="87">
        <f>L33/12</f>
        <v>0</v>
      </c>
    </row>
  </sheetData>
  <pageMargins left="0.7" right="0.7" top="0.75" bottom="0.75" header="0.3" footer="0.3"/>
  <pageSetup paperSize="9" scale="65" orientation="landscape" r:id="rId1"/>
  <headerFooter>
    <oddFooter>&amp;LROC Midden Nederland EA 2022                                &amp;ROpmaakdatum: 02-06-2022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202EE-8F1D-4E4D-996F-7045EFF4169C}">
  <dimension ref="A1:F11"/>
  <sheetViews>
    <sheetView workbookViewId="0"/>
  </sheetViews>
  <sheetFormatPr defaultRowHeight="12.75"/>
  <cols>
    <col min="1" max="1" width="30.625" customWidth="1"/>
    <col min="2" max="6" width="20.625" customWidth="1"/>
  </cols>
  <sheetData>
    <row r="1" spans="1:6">
      <c r="A1" s="1" t="str">
        <f>CONCATENATE("Bijlage I2.10: ",tabeltype," totaalblad schoonmaakwerk")</f>
        <v>Bijlage I2.10: Invultabel totaalblad schoonmaakwerk</v>
      </c>
    </row>
    <row r="3" spans="1:6" ht="25.5">
      <c r="A3" s="84" t="s">
        <v>519</v>
      </c>
      <c r="B3" s="84" t="s">
        <v>520</v>
      </c>
      <c r="C3" s="84" t="s">
        <v>521</v>
      </c>
      <c r="D3" s="84" t="s">
        <v>522</v>
      </c>
      <c r="E3" s="84" t="s">
        <v>523</v>
      </c>
      <c r="F3" s="84" t="s">
        <v>524</v>
      </c>
    </row>
    <row r="4" spans="1:6">
      <c r="A4" s="80" t="s">
        <v>525</v>
      </c>
      <c r="B4" s="29">
        <f>urenjaartotaaloverzicht</f>
        <v>0</v>
      </c>
      <c r="C4" s="29">
        <f>urenjaartotaaloverzichthf</f>
        <v>0</v>
      </c>
      <c r="D4" s="62"/>
      <c r="E4" s="32">
        <f>prijsjaartotaaloverzicht</f>
        <v>0</v>
      </c>
      <c r="F4" s="32">
        <f>E4*1.21</f>
        <v>0</v>
      </c>
    </row>
    <row r="5" spans="1:6">
      <c r="A5" s="81" t="s">
        <v>526</v>
      </c>
      <c r="B5" s="65"/>
      <c r="C5" s="65"/>
      <c r="D5" s="33">
        <f>urenjaarnietmeewerkend</f>
        <v>0</v>
      </c>
      <c r="E5" s="36">
        <f>prijsjaarnietmeewerkend</f>
        <v>0</v>
      </c>
      <c r="F5" s="36">
        <f>E5*1.21</f>
        <v>0</v>
      </c>
    </row>
    <row r="6" spans="1:6" ht="25.5">
      <c r="A6" s="81" t="s">
        <v>527</v>
      </c>
      <c r="B6" s="65"/>
      <c r="C6" s="65"/>
      <c r="D6" s="65"/>
      <c r="E6" s="36">
        <f>prijsjaarafroep</f>
        <v>0</v>
      </c>
      <c r="F6" s="36">
        <f>E6*1.21</f>
        <v>0</v>
      </c>
    </row>
    <row r="7" spans="1:6">
      <c r="A7" s="82" t="s">
        <v>528</v>
      </c>
      <c r="B7" s="83"/>
      <c r="C7" s="83"/>
      <c r="D7" s="83"/>
      <c r="E7" s="39">
        <f>prijsjaarglas</f>
        <v>0</v>
      </c>
      <c r="F7" s="39">
        <f>E7*1.21</f>
        <v>0</v>
      </c>
    </row>
    <row r="9" spans="1:6">
      <c r="A9" s="84" t="s">
        <v>529</v>
      </c>
      <c r="B9" s="85">
        <f>SUM(B4:B7)</f>
        <v>0</v>
      </c>
      <c r="C9" s="85">
        <f>SUM(C4:C7)</f>
        <v>0</v>
      </c>
      <c r="D9" s="85">
        <f>SUM(D4:D7)</f>
        <v>0</v>
      </c>
      <c r="E9" s="42">
        <f>SUM(E4:E7)</f>
        <v>0</v>
      </c>
      <c r="F9" s="42">
        <f>E9*1.21</f>
        <v>0</v>
      </c>
    </row>
    <row r="11" spans="1:6">
      <c r="A11" s="84" t="s">
        <v>530</v>
      </c>
      <c r="B11" s="88">
        <f>IF(B9&gt;0,D9/B9,0)</f>
        <v>0</v>
      </c>
    </row>
  </sheetData>
  <pageMargins left="0.7" right="0.7" top="0.75" bottom="0.75" header="0.3" footer="0.3"/>
  <pageSetup paperSize="9" scale="70" orientation="landscape" r:id="rId1"/>
  <headerFooter>
    <oddFooter>&amp;LROC Midden Nederland EA 2022                                &amp;ROpmaakdatum: 02-06-2022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A22D7-A618-460E-8F66-E79637E6CCA2}">
  <dimension ref="A1:H77"/>
  <sheetViews>
    <sheetView workbookViewId="0"/>
  </sheetViews>
  <sheetFormatPr defaultRowHeight="12.75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>
      <c r="A1" s="1" t="str">
        <f>CONCATENATE("Bijlage I2.1: ",tabeltype," categorienormen")</f>
        <v>Bijlage I2.1: Invultabel categorienormen</v>
      </c>
    </row>
    <row r="3" spans="1:8" ht="38.25">
      <c r="A3" s="84" t="s">
        <v>30</v>
      </c>
      <c r="B3" s="84" t="s">
        <v>31</v>
      </c>
      <c r="C3" s="84" t="s">
        <v>32</v>
      </c>
      <c r="D3" s="84" t="s">
        <v>33</v>
      </c>
      <c r="E3" s="84" t="s">
        <v>34</v>
      </c>
      <c r="F3" s="84" t="s">
        <v>35</v>
      </c>
      <c r="G3" s="84" t="s">
        <v>36</v>
      </c>
      <c r="H3" s="84" t="s">
        <v>37</v>
      </c>
    </row>
    <row r="4" spans="1:8">
      <c r="A4" s="8"/>
      <c r="B4" s="9"/>
      <c r="C4" s="9"/>
      <c r="D4" s="9"/>
      <c r="E4" s="9"/>
      <c r="F4" s="9"/>
      <c r="G4" s="9"/>
      <c r="H4" s="10"/>
    </row>
    <row r="5" spans="1:8">
      <c r="A5" s="11" t="s">
        <v>38</v>
      </c>
      <c r="B5" s="12"/>
      <c r="C5" s="12"/>
      <c r="D5" s="12"/>
      <c r="E5" s="12"/>
      <c r="F5" s="12"/>
      <c r="G5" s="12"/>
      <c r="H5" s="13"/>
    </row>
    <row r="6" spans="1:8">
      <c r="A6" s="14" t="s">
        <v>39</v>
      </c>
      <c r="B6" s="15" t="s">
        <v>40</v>
      </c>
      <c r="C6" s="14">
        <v>1</v>
      </c>
      <c r="D6" s="14" t="s">
        <v>41</v>
      </c>
      <c r="E6" s="16"/>
      <c r="F6" s="17"/>
      <c r="G6" s="14" t="s">
        <v>42</v>
      </c>
      <c r="H6" s="18"/>
    </row>
    <row r="7" spans="1:8">
      <c r="A7" s="19" t="s">
        <v>43</v>
      </c>
      <c r="B7" s="20" t="s">
        <v>40</v>
      </c>
      <c r="C7" s="19">
        <v>1</v>
      </c>
      <c r="D7" s="19" t="s">
        <v>44</v>
      </c>
      <c r="E7" s="21"/>
      <c r="F7" s="22"/>
      <c r="G7" s="19" t="s">
        <v>42</v>
      </c>
      <c r="H7" s="23"/>
    </row>
    <row r="8" spans="1:8">
      <c r="A8" s="19" t="s">
        <v>45</v>
      </c>
      <c r="B8" s="20" t="s">
        <v>40</v>
      </c>
      <c r="C8" s="19">
        <v>1</v>
      </c>
      <c r="D8" s="19" t="s">
        <v>46</v>
      </c>
      <c r="E8" s="21"/>
      <c r="F8" s="22"/>
      <c r="G8" s="19" t="s">
        <v>42</v>
      </c>
      <c r="H8" s="23"/>
    </row>
    <row r="9" spans="1:8">
      <c r="A9" s="19" t="s">
        <v>47</v>
      </c>
      <c r="B9" s="20" t="s">
        <v>40</v>
      </c>
      <c r="C9" s="19">
        <v>40</v>
      </c>
      <c r="D9" s="19" t="s">
        <v>48</v>
      </c>
      <c r="E9" s="21"/>
      <c r="F9" s="22"/>
      <c r="G9" s="19" t="s">
        <v>42</v>
      </c>
      <c r="H9" s="23"/>
    </row>
    <row r="10" spans="1:8">
      <c r="A10" s="19" t="s">
        <v>49</v>
      </c>
      <c r="B10" s="20" t="s">
        <v>40</v>
      </c>
      <c r="C10" s="19">
        <v>40</v>
      </c>
      <c r="D10" s="19" t="s">
        <v>50</v>
      </c>
      <c r="E10" s="21"/>
      <c r="F10" s="22"/>
      <c r="G10" s="19" t="s">
        <v>42</v>
      </c>
      <c r="H10" s="23"/>
    </row>
    <row r="11" spans="1:8">
      <c r="A11" s="19" t="s">
        <v>51</v>
      </c>
      <c r="B11" s="20" t="s">
        <v>40</v>
      </c>
      <c r="C11" s="19">
        <v>40</v>
      </c>
      <c r="D11" s="19" t="s">
        <v>52</v>
      </c>
      <c r="E11" s="21"/>
      <c r="F11" s="22"/>
      <c r="G11" s="19" t="s">
        <v>42</v>
      </c>
      <c r="H11" s="23"/>
    </row>
    <row r="12" spans="1:8">
      <c r="A12" s="19" t="s">
        <v>53</v>
      </c>
      <c r="B12" s="20" t="s">
        <v>40</v>
      </c>
      <c r="C12" s="19">
        <v>1</v>
      </c>
      <c r="D12" s="19" t="s">
        <v>54</v>
      </c>
      <c r="E12" s="21"/>
      <c r="F12" s="22"/>
      <c r="G12" s="19" t="s">
        <v>42</v>
      </c>
      <c r="H12" s="23"/>
    </row>
    <row r="13" spans="1:8">
      <c r="A13" s="19" t="s">
        <v>55</v>
      </c>
      <c r="B13" s="20" t="s">
        <v>40</v>
      </c>
      <c r="C13" s="19">
        <v>40</v>
      </c>
      <c r="D13" s="19" t="s">
        <v>56</v>
      </c>
      <c r="E13" s="21"/>
      <c r="F13" s="22"/>
      <c r="G13" s="19" t="s">
        <v>42</v>
      </c>
      <c r="H13" s="23"/>
    </row>
    <row r="14" spans="1:8">
      <c r="A14" s="19" t="s">
        <v>57</v>
      </c>
      <c r="B14" s="20" t="s">
        <v>40</v>
      </c>
      <c r="C14" s="19">
        <v>1</v>
      </c>
      <c r="D14" s="19" t="s">
        <v>58</v>
      </c>
      <c r="E14" s="21"/>
      <c r="F14" s="22"/>
      <c r="G14" s="19" t="s">
        <v>42</v>
      </c>
      <c r="H14" s="23"/>
    </row>
    <row r="15" spans="1:8">
      <c r="A15" s="19" t="s">
        <v>59</v>
      </c>
      <c r="B15" s="20" t="s">
        <v>40</v>
      </c>
      <c r="C15" s="19">
        <v>40</v>
      </c>
      <c r="D15" s="19" t="s">
        <v>60</v>
      </c>
      <c r="E15" s="21"/>
      <c r="F15" s="22"/>
      <c r="G15" s="19" t="s">
        <v>42</v>
      </c>
      <c r="H15" s="23"/>
    </row>
    <row r="16" spans="1:8">
      <c r="A16" s="19" t="s">
        <v>61</v>
      </c>
      <c r="B16" s="20" t="s">
        <v>40</v>
      </c>
      <c r="C16" s="19">
        <v>1</v>
      </c>
      <c r="D16" s="19" t="s">
        <v>62</v>
      </c>
      <c r="E16" s="21"/>
      <c r="F16" s="22"/>
      <c r="G16" s="19" t="s">
        <v>42</v>
      </c>
      <c r="H16" s="23"/>
    </row>
    <row r="17" spans="1:8">
      <c r="A17" s="19" t="s">
        <v>63</v>
      </c>
      <c r="B17" s="20" t="s">
        <v>40</v>
      </c>
      <c r="C17" s="19">
        <v>40</v>
      </c>
      <c r="D17" s="19" t="s">
        <v>64</v>
      </c>
      <c r="E17" s="21"/>
      <c r="F17" s="22"/>
      <c r="G17" s="19" t="s">
        <v>42</v>
      </c>
      <c r="H17" s="23"/>
    </row>
    <row r="18" spans="1:8">
      <c r="A18" s="19" t="s">
        <v>65</v>
      </c>
      <c r="B18" s="20" t="s">
        <v>40</v>
      </c>
      <c r="C18" s="19">
        <v>1</v>
      </c>
      <c r="D18" s="19" t="s">
        <v>66</v>
      </c>
      <c r="E18" s="21"/>
      <c r="F18" s="22"/>
      <c r="G18" s="19" t="s">
        <v>42</v>
      </c>
      <c r="H18" s="23"/>
    </row>
    <row r="19" spans="1:8">
      <c r="A19" s="19" t="s">
        <v>67</v>
      </c>
      <c r="B19" s="20" t="s">
        <v>40</v>
      </c>
      <c r="C19" s="19">
        <v>40</v>
      </c>
      <c r="D19" s="19" t="s">
        <v>68</v>
      </c>
      <c r="E19" s="21"/>
      <c r="F19" s="22"/>
      <c r="G19" s="19" t="s">
        <v>42</v>
      </c>
      <c r="H19" s="23"/>
    </row>
    <row r="20" spans="1:8">
      <c r="A20" s="19" t="s">
        <v>69</v>
      </c>
      <c r="B20" s="20" t="s">
        <v>40</v>
      </c>
      <c r="C20" s="19">
        <v>1</v>
      </c>
      <c r="D20" s="19" t="s">
        <v>70</v>
      </c>
      <c r="E20" s="21"/>
      <c r="F20" s="22"/>
      <c r="G20" s="19" t="s">
        <v>42</v>
      </c>
      <c r="H20" s="23"/>
    </row>
    <row r="21" spans="1:8">
      <c r="A21" s="19" t="s">
        <v>71</v>
      </c>
      <c r="B21" s="20" t="s">
        <v>40</v>
      </c>
      <c r="C21" s="19">
        <v>1</v>
      </c>
      <c r="D21" s="19" t="s">
        <v>72</v>
      </c>
      <c r="E21" s="21"/>
      <c r="F21" s="22"/>
      <c r="G21" s="19" t="s">
        <v>42</v>
      </c>
      <c r="H21" s="23"/>
    </row>
    <row r="22" spans="1:8">
      <c r="A22" s="19" t="s">
        <v>73</v>
      </c>
      <c r="B22" s="20" t="s">
        <v>40</v>
      </c>
      <c r="C22" s="19">
        <v>1</v>
      </c>
      <c r="D22" s="19" t="s">
        <v>74</v>
      </c>
      <c r="E22" s="21"/>
      <c r="F22" s="22"/>
      <c r="G22" s="19" t="s">
        <v>42</v>
      </c>
      <c r="H22" s="23"/>
    </row>
    <row r="23" spans="1:8">
      <c r="A23" s="19" t="s">
        <v>75</v>
      </c>
      <c r="B23" s="20" t="s">
        <v>40</v>
      </c>
      <c r="C23" s="19">
        <v>40</v>
      </c>
      <c r="D23" s="19" t="s">
        <v>76</v>
      </c>
      <c r="E23" s="21"/>
      <c r="F23" s="22"/>
      <c r="G23" s="19" t="s">
        <v>42</v>
      </c>
      <c r="H23" s="23"/>
    </row>
    <row r="24" spans="1:8">
      <c r="A24" s="19" t="s">
        <v>77</v>
      </c>
      <c r="B24" s="20" t="s">
        <v>40</v>
      </c>
      <c r="C24" s="19">
        <v>40</v>
      </c>
      <c r="D24" s="19" t="s">
        <v>78</v>
      </c>
      <c r="E24" s="21"/>
      <c r="F24" s="22"/>
      <c r="G24" s="19" t="s">
        <v>42</v>
      </c>
      <c r="H24" s="23"/>
    </row>
    <row r="25" spans="1:8">
      <c r="A25" s="19" t="s">
        <v>79</v>
      </c>
      <c r="B25" s="20" t="s">
        <v>40</v>
      </c>
      <c r="C25" s="19">
        <v>40</v>
      </c>
      <c r="D25" s="19" t="s">
        <v>80</v>
      </c>
      <c r="E25" s="21"/>
      <c r="F25" s="22"/>
      <c r="G25" s="19" t="s">
        <v>42</v>
      </c>
      <c r="H25" s="23"/>
    </row>
    <row r="26" spans="1:8">
      <c r="A26" s="19" t="s">
        <v>81</v>
      </c>
      <c r="B26" s="20" t="s">
        <v>82</v>
      </c>
      <c r="C26" s="19">
        <v>1</v>
      </c>
      <c r="D26" s="19" t="s">
        <v>83</v>
      </c>
      <c r="E26" s="21"/>
      <c r="F26" s="22"/>
      <c r="G26" s="19" t="s">
        <v>42</v>
      </c>
      <c r="H26" s="23"/>
    </row>
    <row r="27" spans="1:8">
      <c r="A27" s="19" t="s">
        <v>84</v>
      </c>
      <c r="B27" s="20" t="s">
        <v>82</v>
      </c>
      <c r="C27" s="19">
        <v>40</v>
      </c>
      <c r="D27" s="19" t="s">
        <v>85</v>
      </c>
      <c r="E27" s="21"/>
      <c r="F27" s="22"/>
      <c r="G27" s="19" t="s">
        <v>42</v>
      </c>
      <c r="H27" s="23"/>
    </row>
    <row r="28" spans="1:8">
      <c r="A28" s="19" t="s">
        <v>86</v>
      </c>
      <c r="B28" s="20" t="s">
        <v>87</v>
      </c>
      <c r="C28" s="19">
        <v>1</v>
      </c>
      <c r="D28" s="19" t="s">
        <v>88</v>
      </c>
      <c r="E28" s="21"/>
      <c r="F28" s="22"/>
      <c r="G28" s="19" t="s">
        <v>42</v>
      </c>
      <c r="H28" s="23"/>
    </row>
    <row r="29" spans="1:8">
      <c r="A29" s="19" t="s">
        <v>89</v>
      </c>
      <c r="B29" s="20" t="s">
        <v>87</v>
      </c>
      <c r="C29" s="19">
        <v>40</v>
      </c>
      <c r="D29" s="19" t="s">
        <v>90</v>
      </c>
      <c r="E29" s="21"/>
      <c r="F29" s="22"/>
      <c r="G29" s="19" t="s">
        <v>42</v>
      </c>
      <c r="H29" s="23"/>
    </row>
    <row r="30" spans="1:8">
      <c r="A30" s="19" t="s">
        <v>91</v>
      </c>
      <c r="B30" s="20" t="s">
        <v>92</v>
      </c>
      <c r="C30" s="19">
        <v>1</v>
      </c>
      <c r="D30" s="19" t="s">
        <v>93</v>
      </c>
      <c r="E30" s="21"/>
      <c r="F30" s="22"/>
      <c r="G30" s="19" t="s">
        <v>42</v>
      </c>
      <c r="H30" s="23"/>
    </row>
    <row r="31" spans="1:8">
      <c r="A31" s="19" t="s">
        <v>94</v>
      </c>
      <c r="B31" s="20" t="s">
        <v>92</v>
      </c>
      <c r="C31" s="19">
        <v>40</v>
      </c>
      <c r="D31" s="19" t="s">
        <v>95</v>
      </c>
      <c r="E31" s="21"/>
      <c r="F31" s="22"/>
      <c r="G31" s="19" t="s">
        <v>42</v>
      </c>
      <c r="H31" s="23"/>
    </row>
    <row r="32" spans="1:8">
      <c r="A32" s="19" t="s">
        <v>96</v>
      </c>
      <c r="B32" s="20" t="s">
        <v>97</v>
      </c>
      <c r="C32" s="19">
        <v>1</v>
      </c>
      <c r="D32" s="19" t="s">
        <v>98</v>
      </c>
      <c r="E32" s="21"/>
      <c r="F32" s="22"/>
      <c r="G32" s="19" t="s">
        <v>42</v>
      </c>
      <c r="H32" s="23"/>
    </row>
    <row r="33" spans="1:8">
      <c r="A33" s="19" t="s">
        <v>99</v>
      </c>
      <c r="B33" s="20" t="s">
        <v>97</v>
      </c>
      <c r="C33" s="19">
        <v>40</v>
      </c>
      <c r="D33" s="19" t="s">
        <v>100</v>
      </c>
      <c r="E33" s="21"/>
      <c r="F33" s="22"/>
      <c r="G33" s="19" t="s">
        <v>42</v>
      </c>
      <c r="H33" s="23"/>
    </row>
    <row r="34" spans="1:8">
      <c r="A34" s="19" t="s">
        <v>101</v>
      </c>
      <c r="B34" s="20" t="s">
        <v>97</v>
      </c>
      <c r="C34" s="19">
        <v>1</v>
      </c>
      <c r="D34" s="19" t="s">
        <v>102</v>
      </c>
      <c r="E34" s="21"/>
      <c r="F34" s="22"/>
      <c r="G34" s="19" t="s">
        <v>42</v>
      </c>
      <c r="H34" s="23"/>
    </row>
    <row r="35" spans="1:8">
      <c r="A35" s="19" t="s">
        <v>103</v>
      </c>
      <c r="B35" s="20" t="s">
        <v>97</v>
      </c>
      <c r="C35" s="19">
        <v>40</v>
      </c>
      <c r="D35" s="19" t="s">
        <v>104</v>
      </c>
      <c r="E35" s="21"/>
      <c r="F35" s="22"/>
      <c r="G35" s="19" t="s">
        <v>42</v>
      </c>
      <c r="H35" s="23"/>
    </row>
    <row r="36" spans="1:8">
      <c r="A36" s="19" t="s">
        <v>105</v>
      </c>
      <c r="B36" s="20" t="s">
        <v>106</v>
      </c>
      <c r="C36" s="19">
        <v>1</v>
      </c>
      <c r="D36" s="19" t="s">
        <v>107</v>
      </c>
      <c r="E36" s="21"/>
      <c r="F36" s="22"/>
      <c r="G36" s="19" t="s">
        <v>42</v>
      </c>
      <c r="H36" s="23"/>
    </row>
    <row r="37" spans="1:8">
      <c r="A37" s="19" t="s">
        <v>108</v>
      </c>
      <c r="B37" s="20" t="s">
        <v>106</v>
      </c>
      <c r="C37" s="19">
        <v>1</v>
      </c>
      <c r="D37" s="19" t="s">
        <v>109</v>
      </c>
      <c r="E37" s="21"/>
      <c r="F37" s="22"/>
      <c r="G37" s="19" t="s">
        <v>42</v>
      </c>
      <c r="H37" s="23"/>
    </row>
    <row r="38" spans="1:8">
      <c r="A38" s="19" t="s">
        <v>110</v>
      </c>
      <c r="B38" s="20" t="s">
        <v>106</v>
      </c>
      <c r="C38" s="19">
        <v>40</v>
      </c>
      <c r="D38" s="19" t="s">
        <v>111</v>
      </c>
      <c r="E38" s="21"/>
      <c r="F38" s="22"/>
      <c r="G38" s="19" t="s">
        <v>42</v>
      </c>
      <c r="H38" s="23"/>
    </row>
    <row r="39" spans="1:8">
      <c r="A39" s="19" t="s">
        <v>112</v>
      </c>
      <c r="B39" s="20" t="s">
        <v>106</v>
      </c>
      <c r="C39" s="19">
        <v>40</v>
      </c>
      <c r="D39" s="19" t="s">
        <v>113</v>
      </c>
      <c r="E39" s="21"/>
      <c r="F39" s="22"/>
      <c r="G39" s="19" t="s">
        <v>42</v>
      </c>
      <c r="H39" s="23"/>
    </row>
    <row r="40" spans="1:8">
      <c r="A40" s="19" t="s">
        <v>114</v>
      </c>
      <c r="B40" s="20" t="s">
        <v>115</v>
      </c>
      <c r="C40" s="19">
        <v>1</v>
      </c>
      <c r="D40" s="19" t="s">
        <v>116</v>
      </c>
      <c r="E40" s="21"/>
      <c r="F40" s="22"/>
      <c r="G40" s="19" t="s">
        <v>42</v>
      </c>
      <c r="H40" s="23"/>
    </row>
    <row r="41" spans="1:8">
      <c r="A41" s="19" t="s">
        <v>117</v>
      </c>
      <c r="B41" s="20" t="s">
        <v>115</v>
      </c>
      <c r="C41" s="19">
        <v>1</v>
      </c>
      <c r="D41" s="19" t="s">
        <v>118</v>
      </c>
      <c r="E41" s="21"/>
      <c r="F41" s="22"/>
      <c r="G41" s="19" t="s">
        <v>42</v>
      </c>
      <c r="H41" s="23"/>
    </row>
    <row r="42" spans="1:8">
      <c r="A42" s="19" t="s">
        <v>119</v>
      </c>
      <c r="B42" s="20" t="s">
        <v>115</v>
      </c>
      <c r="C42" s="19">
        <v>1</v>
      </c>
      <c r="D42" s="19" t="s">
        <v>120</v>
      </c>
      <c r="E42" s="21"/>
      <c r="F42" s="22"/>
      <c r="G42" s="19" t="s">
        <v>42</v>
      </c>
      <c r="H42" s="23"/>
    </row>
    <row r="43" spans="1:8">
      <c r="A43" s="19" t="s">
        <v>121</v>
      </c>
      <c r="B43" s="20" t="s">
        <v>115</v>
      </c>
      <c r="C43" s="19">
        <v>1</v>
      </c>
      <c r="D43" s="19" t="s">
        <v>122</v>
      </c>
      <c r="E43" s="21"/>
      <c r="F43" s="22"/>
      <c r="G43" s="19" t="s">
        <v>42</v>
      </c>
      <c r="H43" s="23"/>
    </row>
    <row r="44" spans="1:8">
      <c r="A44" s="19" t="s">
        <v>123</v>
      </c>
      <c r="B44" s="20" t="s">
        <v>115</v>
      </c>
      <c r="C44" s="19">
        <v>1</v>
      </c>
      <c r="D44" s="19" t="s">
        <v>124</v>
      </c>
      <c r="E44" s="21"/>
      <c r="F44" s="22"/>
      <c r="G44" s="19" t="s">
        <v>42</v>
      </c>
      <c r="H44" s="23"/>
    </row>
    <row r="45" spans="1:8">
      <c r="A45" s="19" t="s">
        <v>125</v>
      </c>
      <c r="B45" s="20" t="s">
        <v>115</v>
      </c>
      <c r="C45" s="19">
        <v>1</v>
      </c>
      <c r="D45" s="19" t="s">
        <v>126</v>
      </c>
      <c r="E45" s="21"/>
      <c r="F45" s="22"/>
      <c r="G45" s="19" t="s">
        <v>42</v>
      </c>
      <c r="H45" s="23"/>
    </row>
    <row r="46" spans="1:8">
      <c r="A46" s="19" t="s">
        <v>127</v>
      </c>
      <c r="B46" s="20" t="s">
        <v>115</v>
      </c>
      <c r="C46" s="19">
        <v>1</v>
      </c>
      <c r="D46" s="19" t="s">
        <v>128</v>
      </c>
      <c r="E46" s="21"/>
      <c r="F46" s="22"/>
      <c r="G46" s="19" t="s">
        <v>42</v>
      </c>
      <c r="H46" s="23"/>
    </row>
    <row r="47" spans="1:8">
      <c r="A47" s="19" t="s">
        <v>129</v>
      </c>
      <c r="B47" s="20" t="s">
        <v>115</v>
      </c>
      <c r="C47" s="19">
        <v>1</v>
      </c>
      <c r="D47" s="19" t="s">
        <v>130</v>
      </c>
      <c r="E47" s="21"/>
      <c r="F47" s="22"/>
      <c r="G47" s="19" t="s">
        <v>42</v>
      </c>
      <c r="H47" s="23"/>
    </row>
    <row r="48" spans="1:8">
      <c r="A48" s="19" t="s">
        <v>131</v>
      </c>
      <c r="B48" s="20" t="s">
        <v>115</v>
      </c>
      <c r="C48" s="19">
        <v>40</v>
      </c>
      <c r="D48" s="19" t="s">
        <v>132</v>
      </c>
      <c r="E48" s="21"/>
      <c r="F48" s="22"/>
      <c r="G48" s="19" t="s">
        <v>42</v>
      </c>
      <c r="H48" s="23"/>
    </row>
    <row r="49" spans="1:8">
      <c r="A49" s="19" t="s">
        <v>133</v>
      </c>
      <c r="B49" s="20" t="s">
        <v>115</v>
      </c>
      <c r="C49" s="19">
        <v>40</v>
      </c>
      <c r="D49" s="19" t="s">
        <v>134</v>
      </c>
      <c r="E49" s="21"/>
      <c r="F49" s="22"/>
      <c r="G49" s="19" t="s">
        <v>42</v>
      </c>
      <c r="H49" s="23"/>
    </row>
    <row r="50" spans="1:8">
      <c r="A50" s="19" t="s">
        <v>135</v>
      </c>
      <c r="B50" s="20" t="s">
        <v>115</v>
      </c>
      <c r="C50" s="19">
        <v>40</v>
      </c>
      <c r="D50" s="19" t="s">
        <v>136</v>
      </c>
      <c r="E50" s="21"/>
      <c r="F50" s="22"/>
      <c r="G50" s="19" t="s">
        <v>42</v>
      </c>
      <c r="H50" s="23"/>
    </row>
    <row r="51" spans="1:8">
      <c r="A51" s="19" t="s">
        <v>137</v>
      </c>
      <c r="B51" s="20" t="s">
        <v>115</v>
      </c>
      <c r="C51" s="19">
        <v>40</v>
      </c>
      <c r="D51" s="19" t="s">
        <v>138</v>
      </c>
      <c r="E51" s="21"/>
      <c r="F51" s="22"/>
      <c r="G51" s="19" t="s">
        <v>42</v>
      </c>
      <c r="H51" s="23"/>
    </row>
    <row r="52" spans="1:8">
      <c r="A52" s="19" t="s">
        <v>139</v>
      </c>
      <c r="B52" s="20" t="s">
        <v>115</v>
      </c>
      <c r="C52" s="19">
        <v>40</v>
      </c>
      <c r="D52" s="19" t="s">
        <v>140</v>
      </c>
      <c r="E52" s="21"/>
      <c r="F52" s="22"/>
      <c r="G52" s="19" t="s">
        <v>42</v>
      </c>
      <c r="H52" s="23"/>
    </row>
    <row r="53" spans="1:8">
      <c r="A53" s="19" t="s">
        <v>141</v>
      </c>
      <c r="B53" s="20" t="s">
        <v>115</v>
      </c>
      <c r="C53" s="19">
        <v>40</v>
      </c>
      <c r="D53" s="19" t="s">
        <v>142</v>
      </c>
      <c r="E53" s="21"/>
      <c r="F53" s="22"/>
      <c r="G53" s="19" t="s">
        <v>42</v>
      </c>
      <c r="H53" s="23"/>
    </row>
    <row r="54" spans="1:8">
      <c r="A54" s="19" t="s">
        <v>143</v>
      </c>
      <c r="B54" s="20" t="s">
        <v>115</v>
      </c>
      <c r="C54" s="19">
        <v>40</v>
      </c>
      <c r="D54" s="19" t="s">
        <v>144</v>
      </c>
      <c r="E54" s="21"/>
      <c r="F54" s="22"/>
      <c r="G54" s="19" t="s">
        <v>42</v>
      </c>
      <c r="H54" s="23"/>
    </row>
    <row r="55" spans="1:8">
      <c r="A55" s="19" t="s">
        <v>145</v>
      </c>
      <c r="B55" s="20" t="s">
        <v>115</v>
      </c>
      <c r="C55" s="19">
        <v>40</v>
      </c>
      <c r="D55" s="19" t="s">
        <v>146</v>
      </c>
      <c r="E55" s="21"/>
      <c r="F55" s="22"/>
      <c r="G55" s="19" t="s">
        <v>42</v>
      </c>
      <c r="H55" s="23"/>
    </row>
    <row r="56" spans="1:8">
      <c r="A56" s="19" t="s">
        <v>147</v>
      </c>
      <c r="B56" s="20" t="s">
        <v>115</v>
      </c>
      <c r="C56" s="19">
        <v>1</v>
      </c>
      <c r="D56" s="19" t="s">
        <v>148</v>
      </c>
      <c r="E56" s="21"/>
      <c r="F56" s="22"/>
      <c r="G56" s="19" t="s">
        <v>42</v>
      </c>
      <c r="H56" s="23"/>
    </row>
    <row r="57" spans="1:8">
      <c r="A57" s="19" t="s">
        <v>149</v>
      </c>
      <c r="B57" s="20" t="s">
        <v>115</v>
      </c>
      <c r="C57" s="19">
        <v>1</v>
      </c>
      <c r="D57" s="19" t="s">
        <v>150</v>
      </c>
      <c r="E57" s="21"/>
      <c r="F57" s="22"/>
      <c r="G57" s="19" t="s">
        <v>42</v>
      </c>
      <c r="H57" s="23"/>
    </row>
    <row r="58" spans="1:8">
      <c r="A58" s="19" t="s">
        <v>151</v>
      </c>
      <c r="B58" s="20" t="s">
        <v>115</v>
      </c>
      <c r="C58" s="19">
        <v>1</v>
      </c>
      <c r="D58" s="19" t="s">
        <v>152</v>
      </c>
      <c r="E58" s="21"/>
      <c r="F58" s="22"/>
      <c r="G58" s="19" t="s">
        <v>42</v>
      </c>
      <c r="H58" s="23"/>
    </row>
    <row r="59" spans="1:8">
      <c r="A59" s="19" t="s">
        <v>153</v>
      </c>
      <c r="B59" s="20" t="s">
        <v>115</v>
      </c>
      <c r="C59" s="19">
        <v>1</v>
      </c>
      <c r="D59" s="19" t="s">
        <v>154</v>
      </c>
      <c r="E59" s="21"/>
      <c r="F59" s="22"/>
      <c r="G59" s="19" t="s">
        <v>42</v>
      </c>
      <c r="H59" s="23"/>
    </row>
    <row r="60" spans="1:8">
      <c r="A60" s="19" t="s">
        <v>155</v>
      </c>
      <c r="B60" s="20" t="s">
        <v>115</v>
      </c>
      <c r="C60" s="19">
        <v>1</v>
      </c>
      <c r="D60" s="19" t="s">
        <v>156</v>
      </c>
      <c r="E60" s="21"/>
      <c r="F60" s="22"/>
      <c r="G60" s="19" t="s">
        <v>42</v>
      </c>
      <c r="H60" s="23"/>
    </row>
    <row r="61" spans="1:8">
      <c r="A61" s="19" t="s">
        <v>157</v>
      </c>
      <c r="B61" s="20" t="s">
        <v>115</v>
      </c>
      <c r="C61" s="19">
        <v>40</v>
      </c>
      <c r="D61" s="19" t="s">
        <v>158</v>
      </c>
      <c r="E61" s="21"/>
      <c r="F61" s="22"/>
      <c r="G61" s="19" t="s">
        <v>42</v>
      </c>
      <c r="H61" s="23"/>
    </row>
    <row r="62" spans="1:8">
      <c r="A62" s="19" t="s">
        <v>159</v>
      </c>
      <c r="B62" s="20" t="s">
        <v>115</v>
      </c>
      <c r="C62" s="19">
        <v>40</v>
      </c>
      <c r="D62" s="19" t="s">
        <v>160</v>
      </c>
      <c r="E62" s="21"/>
      <c r="F62" s="22"/>
      <c r="G62" s="19" t="s">
        <v>42</v>
      </c>
      <c r="H62" s="23"/>
    </row>
    <row r="63" spans="1:8">
      <c r="A63" s="19" t="s">
        <v>161</v>
      </c>
      <c r="B63" s="20" t="s">
        <v>115</v>
      </c>
      <c r="C63" s="19">
        <v>40</v>
      </c>
      <c r="D63" s="19" t="s">
        <v>162</v>
      </c>
      <c r="E63" s="21"/>
      <c r="F63" s="22"/>
      <c r="G63" s="19" t="s">
        <v>42</v>
      </c>
      <c r="H63" s="23"/>
    </row>
    <row r="64" spans="1:8">
      <c r="A64" s="19" t="s">
        <v>163</v>
      </c>
      <c r="B64" s="20" t="s">
        <v>115</v>
      </c>
      <c r="C64" s="19">
        <v>40</v>
      </c>
      <c r="D64" s="19" t="s">
        <v>164</v>
      </c>
      <c r="E64" s="21"/>
      <c r="F64" s="22"/>
      <c r="G64" s="19" t="s">
        <v>42</v>
      </c>
      <c r="H64" s="23"/>
    </row>
    <row r="65" spans="1:8">
      <c r="A65" s="24" t="s">
        <v>165</v>
      </c>
      <c r="B65" s="25" t="s">
        <v>115</v>
      </c>
      <c r="C65" s="24">
        <v>40</v>
      </c>
      <c r="D65" s="24" t="s">
        <v>166</v>
      </c>
      <c r="E65" s="26"/>
      <c r="F65" s="27"/>
      <c r="G65" s="24" t="s">
        <v>42</v>
      </c>
      <c r="H65" s="28"/>
    </row>
    <row r="66" spans="1:8">
      <c r="A66" s="8"/>
      <c r="B66" s="9"/>
      <c r="C66" s="9"/>
      <c r="D66" s="9"/>
      <c r="E66" s="9"/>
      <c r="F66" s="9"/>
      <c r="G66" s="9"/>
      <c r="H66" s="10"/>
    </row>
    <row r="67" spans="1:8">
      <c r="A67" s="11" t="s">
        <v>167</v>
      </c>
      <c r="B67" s="12"/>
      <c r="C67" s="12"/>
      <c r="D67" s="12"/>
      <c r="E67" s="12"/>
      <c r="F67" s="12"/>
      <c r="G67" s="12"/>
      <c r="H67" s="13"/>
    </row>
    <row r="68" spans="1:8">
      <c r="A68" s="14" t="s">
        <v>168</v>
      </c>
      <c r="B68" s="15" t="s">
        <v>40</v>
      </c>
      <c r="C68" s="14">
        <v>1</v>
      </c>
      <c r="D68" s="14" t="s">
        <v>41</v>
      </c>
      <c r="E68" s="16"/>
      <c r="F68" s="17"/>
      <c r="G68" s="14" t="s">
        <v>42</v>
      </c>
      <c r="H68" s="18"/>
    </row>
    <row r="69" spans="1:8">
      <c r="A69" s="19" t="s">
        <v>169</v>
      </c>
      <c r="B69" s="20" t="s">
        <v>40</v>
      </c>
      <c r="C69" s="19">
        <v>1</v>
      </c>
      <c r="D69" s="19" t="s">
        <v>70</v>
      </c>
      <c r="E69" s="21"/>
      <c r="F69" s="22"/>
      <c r="G69" s="19" t="s">
        <v>42</v>
      </c>
      <c r="H69" s="23"/>
    </row>
    <row r="70" spans="1:8">
      <c r="A70" s="19" t="s">
        <v>170</v>
      </c>
      <c r="B70" s="20" t="s">
        <v>106</v>
      </c>
      <c r="C70" s="19">
        <v>1</v>
      </c>
      <c r="D70" s="19" t="s">
        <v>109</v>
      </c>
      <c r="E70" s="21"/>
      <c r="F70" s="22"/>
      <c r="G70" s="19" t="s">
        <v>42</v>
      </c>
      <c r="H70" s="23"/>
    </row>
    <row r="71" spans="1:8">
      <c r="A71" s="19" t="s">
        <v>171</v>
      </c>
      <c r="B71" s="20" t="s">
        <v>115</v>
      </c>
      <c r="C71" s="19">
        <v>1</v>
      </c>
      <c r="D71" s="19" t="s">
        <v>118</v>
      </c>
      <c r="E71" s="21"/>
      <c r="F71" s="22"/>
      <c r="G71" s="19" t="s">
        <v>42</v>
      </c>
      <c r="H71" s="23"/>
    </row>
    <row r="72" spans="1:8">
      <c r="A72" s="19" t="s">
        <v>172</v>
      </c>
      <c r="B72" s="20" t="s">
        <v>115</v>
      </c>
      <c r="C72" s="19">
        <v>1</v>
      </c>
      <c r="D72" s="19" t="s">
        <v>150</v>
      </c>
      <c r="E72" s="21"/>
      <c r="F72" s="22"/>
      <c r="G72" s="19" t="s">
        <v>42</v>
      </c>
      <c r="H72" s="23"/>
    </row>
    <row r="73" spans="1:8">
      <c r="A73" s="19" t="s">
        <v>173</v>
      </c>
      <c r="B73" s="20" t="s">
        <v>115</v>
      </c>
      <c r="C73" s="19">
        <v>1</v>
      </c>
      <c r="D73" s="19" t="s">
        <v>124</v>
      </c>
      <c r="E73" s="21"/>
      <c r="F73" s="22"/>
      <c r="G73" s="19" t="s">
        <v>42</v>
      </c>
      <c r="H73" s="23"/>
    </row>
    <row r="74" spans="1:8">
      <c r="A74" s="19" t="s">
        <v>174</v>
      </c>
      <c r="B74" s="20" t="s">
        <v>115</v>
      </c>
      <c r="C74" s="19">
        <v>1</v>
      </c>
      <c r="D74" s="19" t="s">
        <v>152</v>
      </c>
      <c r="E74" s="21"/>
      <c r="F74" s="22"/>
      <c r="G74" s="19" t="s">
        <v>42</v>
      </c>
      <c r="H74" s="23"/>
    </row>
    <row r="75" spans="1:8">
      <c r="A75" s="19" t="s">
        <v>175</v>
      </c>
      <c r="B75" s="20" t="s">
        <v>115</v>
      </c>
      <c r="C75" s="19">
        <v>1</v>
      </c>
      <c r="D75" s="19" t="s">
        <v>128</v>
      </c>
      <c r="E75" s="21"/>
      <c r="F75" s="22"/>
      <c r="G75" s="19" t="s">
        <v>42</v>
      </c>
      <c r="H75" s="23"/>
    </row>
    <row r="76" spans="1:8">
      <c r="A76" s="19" t="s">
        <v>176</v>
      </c>
      <c r="B76" s="20" t="s">
        <v>115</v>
      </c>
      <c r="C76" s="19">
        <v>1</v>
      </c>
      <c r="D76" s="19" t="s">
        <v>130</v>
      </c>
      <c r="E76" s="21"/>
      <c r="F76" s="22"/>
      <c r="G76" s="19" t="s">
        <v>42</v>
      </c>
      <c r="H76" s="23"/>
    </row>
    <row r="77" spans="1:8">
      <c r="A77" s="24" t="s">
        <v>177</v>
      </c>
      <c r="B77" s="25" t="s">
        <v>115</v>
      </c>
      <c r="C77" s="24">
        <v>1</v>
      </c>
      <c r="D77" s="24" t="s">
        <v>156</v>
      </c>
      <c r="E77" s="26"/>
      <c r="F77" s="27"/>
      <c r="G77" s="24" t="s">
        <v>42</v>
      </c>
      <c r="H77" s="28"/>
    </row>
  </sheetData>
  <pageMargins left="0.7" right="0.7" top="0.75" bottom="0.75" header="0.3" footer="0.3"/>
  <pageSetup paperSize="9" scale="70" orientation="landscape" r:id="rId1"/>
  <headerFooter>
    <oddFooter>&amp;LROC Midden Nederland EA 2022                                &amp;ROpmaakdatum: 02-06-2022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271E2-53CB-4DEC-8221-CBF35E395877}">
  <dimension ref="A1:N66"/>
  <sheetViews>
    <sheetView topLeftCell="A22" workbookViewId="0"/>
  </sheetViews>
  <sheetFormatPr defaultRowHeight="12.75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>
      <c r="A1" s="1" t="str">
        <f>CONCATENATE("Bijlage I2.2: ",tabeltype," regulier werk")</f>
        <v>Bijlage I2.2: Invultabel regulier werk</v>
      </c>
    </row>
    <row r="3" spans="1:14" ht="38.25">
      <c r="A3" s="84" t="s">
        <v>178</v>
      </c>
      <c r="B3" s="84" t="s">
        <v>7</v>
      </c>
      <c r="C3" s="84" t="s">
        <v>179</v>
      </c>
      <c r="D3" s="84" t="s">
        <v>33</v>
      </c>
      <c r="E3" s="84" t="s">
        <v>180</v>
      </c>
      <c r="F3" s="84" t="s">
        <v>181</v>
      </c>
      <c r="G3" s="84" t="s">
        <v>34</v>
      </c>
      <c r="H3" s="84" t="s">
        <v>35</v>
      </c>
      <c r="I3" s="84" t="s">
        <v>36</v>
      </c>
      <c r="J3" s="84" t="s">
        <v>37</v>
      </c>
      <c r="K3" s="84" t="s">
        <v>182</v>
      </c>
      <c r="L3" s="84" t="s">
        <v>183</v>
      </c>
      <c r="M3" s="84" t="s">
        <v>184</v>
      </c>
      <c r="N3" s="84" t="s">
        <v>185</v>
      </c>
    </row>
    <row r="4" spans="1:14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1:14">
      <c r="A5" s="11" t="s">
        <v>38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1:14">
      <c r="A6" s="14" t="s">
        <v>186</v>
      </c>
      <c r="B6" s="14" t="s">
        <v>11</v>
      </c>
      <c r="C6" s="14" t="s">
        <v>187</v>
      </c>
      <c r="D6" s="14" t="s">
        <v>188</v>
      </c>
      <c r="E6" s="29">
        <v>1946.17</v>
      </c>
      <c r="F6" s="29">
        <f>E6*VLOOKUP(B6,dagsoorttabel1,2,FALSE)</f>
        <v>1526.407843137255</v>
      </c>
      <c r="G6" s="30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31">
        <f>IF(AND(catpn_1_AHB_1&gt;0,catpn_1_AHV_40&gt;0),(catdw_1_AHB_1*((dagenperjaar1*VLOOKUP(B6,dagsoorttabel1,2,FALSE))-catfd_1_AHV_40)/catpn_1_AHB_1+catdw_1_AHV_40*catfd_1_AHV_40/catpn_1_AHV_40)/(((dagenperjaar1*VLOOKUP(B6,dagsoorttabel1,2,FALSE))-catfd_1_AHV_40)/catpn_1_AHB_1+catfd_1_AHV_40/catpn_1_AHV_40),0)</f>
        <v>0</v>
      </c>
      <c r="I6" s="14" t="s">
        <v>42</v>
      </c>
      <c r="J6" s="32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29">
        <f>IF(OR(ISBLANK(G6),G6=0),0,F6/ROUND(G6,4))</f>
        <v>0</v>
      </c>
      <c r="L6" s="32">
        <f>ROUND(J6,2)*K6</f>
        <v>0</v>
      </c>
      <c r="M6" s="29">
        <f>K6*dagenperjaar1</f>
        <v>0</v>
      </c>
      <c r="N6" s="32">
        <f>M6*ROUND(J6,2)</f>
        <v>0</v>
      </c>
    </row>
    <row r="7" spans="1:14">
      <c r="A7" s="19" t="s">
        <v>186</v>
      </c>
      <c r="B7" s="19" t="s">
        <v>15</v>
      </c>
      <c r="C7" s="19" t="s">
        <v>187</v>
      </c>
      <c r="D7" s="19" t="s">
        <v>188</v>
      </c>
      <c r="E7" s="33">
        <v>34.42</v>
      </c>
      <c r="F7" s="33">
        <f>E7*VLOOKUP(B7,dagsoorttabel1,2,FALSE)</f>
        <v>10.79843137254902</v>
      </c>
      <c r="G7" s="34">
        <f>IF(AND(catpn_1_AHB_1&gt;0,catpn_1_AHV_40&gt;0),(dagenperjaar1*VLOOKUP(B7,dagsoorttabel1,2,FALSE))/(((dagenperjaar1*VLOOKUP(B7,dagsoorttabel1,2,FALSE))-catfd_1_AHV_40)/catpn_1_AHB_1+catfd_1_AHV_40/catpn_1_AHV_40),0)</f>
        <v>0</v>
      </c>
      <c r="H7" s="35">
        <f>IF(AND(catpn_1_AHB_1&gt;0,catpn_1_AHV_40&gt;0),(catdw_1_AHB_1*((dagenperjaar1*VLOOKUP(B7,dagsoorttabel1,2,FALSE))-catfd_1_AHV_40)/catpn_1_AHB_1+catdw_1_AHV_40*catfd_1_AHV_40/catpn_1_AHV_40)/(((dagenperjaar1*VLOOKUP(B7,dagsoorttabel1,2,FALSE))-catfd_1_AHV_40)/catpn_1_AHB_1+catfd_1_AHV_40/catpn_1_AHV_40),0)</f>
        <v>0</v>
      </c>
      <c r="I7" s="19" t="s">
        <v>42</v>
      </c>
      <c r="J7" s="36">
        <f>IF(AND(catpn_1_AHB_1&gt;0,catpn_1_AHV_40&gt;0),(cattf_1_AHB_1*((dagenperjaar1*VLOOKUP(B7,dagsoorttabel1,2,FALSE))-catfd_1_AHV_40)/catpn_1_AHB_1+cattf_1_AHV_40*catfd_1_AHV_40/catpn_1_AHV_40)/(((dagenperjaar1*VLOOKUP(B7,dagsoorttabel1,2,FALSE))-catfd_1_AHV_40)/catpn_1_AHB_1+catfd_1_AHV_40/catpn_1_AHV_40),0)</f>
        <v>0</v>
      </c>
      <c r="K7" s="33">
        <f>IF(OR(ISBLANK(G7),G7=0),0,F7/ROUND(G7,4))</f>
        <v>0</v>
      </c>
      <c r="L7" s="36">
        <f>ROUND(J7,2)*K7</f>
        <v>0</v>
      </c>
      <c r="M7" s="33">
        <f>K7*dagenperjaar1</f>
        <v>0</v>
      </c>
      <c r="N7" s="36">
        <f>M7*ROUND(J7,2)</f>
        <v>0</v>
      </c>
    </row>
    <row r="8" spans="1:14">
      <c r="A8" s="19" t="s">
        <v>189</v>
      </c>
      <c r="B8" s="19" t="s">
        <v>11</v>
      </c>
      <c r="C8" s="19" t="s">
        <v>187</v>
      </c>
      <c r="D8" s="19" t="s">
        <v>190</v>
      </c>
      <c r="E8" s="33">
        <v>108.05</v>
      </c>
      <c r="F8" s="33">
        <f>E8*VLOOKUP(B8,dagsoorttabel1,2,FALSE)</f>
        <v>84.745098039215677</v>
      </c>
      <c r="G8" s="34">
        <f>IF(AND(catpn_1_AZB_1&gt;0,catpn_1_AZV_40&gt;0),(dagenperjaar1*VLOOKUP(B8,dagsoorttabel1,2,FALSE))/(((dagenperjaar1*VLOOKUP(B8,dagsoorttabel1,2,FALSE))-catfd_1_AZV_40)/catpn_1_AZB_1+catfd_1_AZV_40/catpn_1_AZV_40),0)</f>
        <v>0</v>
      </c>
      <c r="H8" s="35">
        <f>IF(AND(catpn_1_AZB_1&gt;0,catpn_1_AZV_40&gt;0),(catdw_1_AZB_1*((dagenperjaar1*VLOOKUP(B8,dagsoorttabel1,2,FALSE))-catfd_1_AZV_40)/catpn_1_AZB_1+catdw_1_AZV_40*catfd_1_AZV_40/catpn_1_AZV_40)/(((dagenperjaar1*VLOOKUP(B8,dagsoorttabel1,2,FALSE))-catfd_1_AZV_40)/catpn_1_AZB_1+catfd_1_AZV_40/catpn_1_AZV_40),0)</f>
        <v>0</v>
      </c>
      <c r="I8" s="19" t="s">
        <v>42</v>
      </c>
      <c r="J8" s="36">
        <f>IF(AND(catpn_1_AZB_1&gt;0,catpn_1_AZV_40&gt;0),(cattf_1_AZB_1*((dagenperjaar1*VLOOKUP(B8,dagsoorttabel1,2,FALSE))-catfd_1_AZV_40)/catpn_1_AZB_1+cattf_1_AZV_40*catfd_1_AZV_40/catpn_1_AZV_40)/(((dagenperjaar1*VLOOKUP(B8,dagsoorttabel1,2,FALSE))-catfd_1_AZV_40)/catpn_1_AZB_1+catfd_1_AZV_40/catpn_1_AZV_40),0)</f>
        <v>0</v>
      </c>
      <c r="K8" s="33">
        <f>IF(OR(ISBLANK(G8),G8=0),0,F8/ROUND(G8,4))</f>
        <v>0</v>
      </c>
      <c r="L8" s="36">
        <f>ROUND(J8,2)*K8</f>
        <v>0</v>
      </c>
      <c r="M8" s="33">
        <f>K8*dagenperjaar1</f>
        <v>0</v>
      </c>
      <c r="N8" s="36">
        <f>M8*ROUND(J8,2)</f>
        <v>0</v>
      </c>
    </row>
    <row r="9" spans="1:14">
      <c r="A9" s="19" t="s">
        <v>191</v>
      </c>
      <c r="B9" s="19" t="s">
        <v>13</v>
      </c>
      <c r="C9" s="19" t="s">
        <v>187</v>
      </c>
      <c r="D9" s="19" t="s">
        <v>192</v>
      </c>
      <c r="E9" s="33">
        <v>2377.5899999999997</v>
      </c>
      <c r="F9" s="33">
        <f>E9*VLOOKUP(B9,dagsoorttabel1,2,FALSE)</f>
        <v>1118.8658823529411</v>
      </c>
      <c r="G9" s="34">
        <f>IF(AND(catpn_1_BHB_1&gt;0,catpn_1_BHV_40&gt;0),(dagenperjaar1*VLOOKUP(B9,dagsoorttabel1,2,FALSE))/(((dagenperjaar1*VLOOKUP(B9,dagsoorttabel1,2,FALSE))-catfd_1_BHV_40)/catpn_1_BHB_1+catfd_1_BHV_40/catpn_1_BHV_40),0)</f>
        <v>0</v>
      </c>
      <c r="H9" s="35">
        <f>IF(AND(catpn_1_BHB_1&gt;0,catpn_1_BHV_40&gt;0),(catdw_1_BHB_1*((dagenperjaar1*VLOOKUP(B9,dagsoorttabel1,2,FALSE))-catfd_1_BHV_40)/catpn_1_BHB_1+catdw_1_BHV_40*catfd_1_BHV_40/catpn_1_BHV_40)/(((dagenperjaar1*VLOOKUP(B9,dagsoorttabel1,2,FALSE))-catfd_1_BHV_40)/catpn_1_BHB_1+catfd_1_BHV_40/catpn_1_BHV_40),0)</f>
        <v>0</v>
      </c>
      <c r="I9" s="19" t="s">
        <v>42</v>
      </c>
      <c r="J9" s="36">
        <f>IF(AND(catpn_1_BHB_1&gt;0,catpn_1_BHV_40&gt;0),(cattf_1_BHB_1*((dagenperjaar1*VLOOKUP(B9,dagsoorttabel1,2,FALSE))-catfd_1_BHV_40)/catpn_1_BHB_1+cattf_1_BHV_40*catfd_1_BHV_40/catpn_1_BHV_40)/(((dagenperjaar1*VLOOKUP(B9,dagsoorttabel1,2,FALSE))-catfd_1_BHV_40)/catpn_1_BHB_1+catfd_1_BHV_40/catpn_1_BHV_40),0)</f>
        <v>0</v>
      </c>
      <c r="K9" s="33">
        <f>IF(OR(ISBLANK(G9),G9=0),0,F9/ROUND(G9,4))</f>
        <v>0</v>
      </c>
      <c r="L9" s="36">
        <f>ROUND(J9,2)*K9</f>
        <v>0</v>
      </c>
      <c r="M9" s="33">
        <f>K9*dagenperjaar1</f>
        <v>0</v>
      </c>
      <c r="N9" s="36">
        <f>M9*ROUND(J9,2)</f>
        <v>0</v>
      </c>
    </row>
    <row r="10" spans="1:14">
      <c r="A10" s="19" t="s">
        <v>191</v>
      </c>
      <c r="B10" s="19" t="s">
        <v>11</v>
      </c>
      <c r="C10" s="19" t="s">
        <v>187</v>
      </c>
      <c r="D10" s="19" t="s">
        <v>192</v>
      </c>
      <c r="E10" s="33">
        <v>31.9</v>
      </c>
      <c r="F10" s="33">
        <f>E10*VLOOKUP(B10,dagsoorttabel1,2,FALSE)</f>
        <v>25.019607843137255</v>
      </c>
      <c r="G10" s="34">
        <f>IF(AND(catpn_1_BHB_1&gt;0,catpn_1_BHV_40&gt;0),(dagenperjaar1*VLOOKUP(B10,dagsoorttabel1,2,FALSE))/(((dagenperjaar1*VLOOKUP(B10,dagsoorttabel1,2,FALSE))-catfd_1_BHV_40)/catpn_1_BHB_1+catfd_1_BHV_40/catpn_1_BHV_40),0)</f>
        <v>0</v>
      </c>
      <c r="H10" s="35">
        <f>IF(AND(catpn_1_BHB_1&gt;0,catpn_1_BHV_40&gt;0),(catdw_1_BHB_1*((dagenperjaar1*VLOOKUP(B10,dagsoorttabel1,2,FALSE))-catfd_1_BHV_40)/catpn_1_BHB_1+catdw_1_BHV_40*catfd_1_BHV_40/catpn_1_BHV_40)/(((dagenperjaar1*VLOOKUP(B10,dagsoorttabel1,2,FALSE))-catfd_1_BHV_40)/catpn_1_BHB_1+catfd_1_BHV_40/catpn_1_BHV_40),0)</f>
        <v>0</v>
      </c>
      <c r="I10" s="19" t="s">
        <v>42</v>
      </c>
      <c r="J10" s="36">
        <f>IF(AND(catpn_1_BHB_1&gt;0,catpn_1_BHV_40&gt;0),(cattf_1_BHB_1*((dagenperjaar1*VLOOKUP(B10,dagsoorttabel1,2,FALSE))-catfd_1_BHV_40)/catpn_1_BHB_1+cattf_1_BHV_40*catfd_1_BHV_40/catpn_1_BHV_40)/(((dagenperjaar1*VLOOKUP(B10,dagsoorttabel1,2,FALSE))-catfd_1_BHV_40)/catpn_1_BHB_1+catfd_1_BHV_40/catpn_1_BHV_40),0)</f>
        <v>0</v>
      </c>
      <c r="K10" s="33">
        <f>IF(OR(ISBLANK(G10),G10=0),0,F10/ROUND(G10,4))</f>
        <v>0</v>
      </c>
      <c r="L10" s="36">
        <f>ROUND(J10,2)*K10</f>
        <v>0</v>
      </c>
      <c r="M10" s="33">
        <f>K10*dagenperjaar1</f>
        <v>0</v>
      </c>
      <c r="N10" s="36">
        <f>M10*ROUND(J10,2)</f>
        <v>0</v>
      </c>
    </row>
    <row r="11" spans="1:14">
      <c r="A11" s="19" t="s">
        <v>191</v>
      </c>
      <c r="B11" s="19" t="s">
        <v>15</v>
      </c>
      <c r="C11" s="19" t="s">
        <v>187</v>
      </c>
      <c r="D11" s="19" t="s">
        <v>192</v>
      </c>
      <c r="E11" s="33">
        <v>16.52</v>
      </c>
      <c r="F11" s="33">
        <f>E11*VLOOKUP(B11,dagsoorttabel1,2,FALSE)</f>
        <v>5.1827450980392156</v>
      </c>
      <c r="G11" s="34">
        <f>IF(AND(catpn_1_BHB_1&gt;0,catpn_1_BHV_40&gt;0),(dagenperjaar1*VLOOKUP(B11,dagsoorttabel1,2,FALSE))/(((dagenperjaar1*VLOOKUP(B11,dagsoorttabel1,2,FALSE))-catfd_1_BHV_40)/catpn_1_BHB_1+catfd_1_BHV_40/catpn_1_BHV_40),0)</f>
        <v>0</v>
      </c>
      <c r="H11" s="35">
        <f>IF(AND(catpn_1_BHB_1&gt;0,catpn_1_BHV_40&gt;0),(catdw_1_BHB_1*((dagenperjaar1*VLOOKUP(B11,dagsoorttabel1,2,FALSE))-catfd_1_BHV_40)/catpn_1_BHB_1+catdw_1_BHV_40*catfd_1_BHV_40/catpn_1_BHV_40)/(((dagenperjaar1*VLOOKUP(B11,dagsoorttabel1,2,FALSE))-catfd_1_BHV_40)/catpn_1_BHB_1+catfd_1_BHV_40/catpn_1_BHV_40),0)</f>
        <v>0</v>
      </c>
      <c r="I11" s="19" t="s">
        <v>42</v>
      </c>
      <c r="J11" s="36">
        <f>IF(AND(catpn_1_BHB_1&gt;0,catpn_1_BHV_40&gt;0),(cattf_1_BHB_1*((dagenperjaar1*VLOOKUP(B11,dagsoorttabel1,2,FALSE))-catfd_1_BHV_40)/catpn_1_BHB_1+cattf_1_BHV_40*catfd_1_BHV_40/catpn_1_BHV_40)/(((dagenperjaar1*VLOOKUP(B11,dagsoorttabel1,2,FALSE))-catfd_1_BHV_40)/catpn_1_BHB_1+catfd_1_BHV_40/catpn_1_BHV_40),0)</f>
        <v>0</v>
      </c>
      <c r="K11" s="33">
        <f>IF(OR(ISBLANK(G11),G11=0),0,F11/ROUND(G11,4))</f>
        <v>0</v>
      </c>
      <c r="L11" s="36">
        <f>ROUND(J11,2)*K11</f>
        <v>0</v>
      </c>
      <c r="M11" s="33">
        <f>K11*dagenperjaar1</f>
        <v>0</v>
      </c>
      <c r="N11" s="36">
        <f>M11*ROUND(J11,2)</f>
        <v>0</v>
      </c>
    </row>
    <row r="12" spans="1:14">
      <c r="A12" s="19" t="s">
        <v>193</v>
      </c>
      <c r="B12" s="19" t="s">
        <v>13</v>
      </c>
      <c r="C12" s="19" t="s">
        <v>187</v>
      </c>
      <c r="D12" s="19" t="s">
        <v>194</v>
      </c>
      <c r="E12" s="33">
        <v>798.96</v>
      </c>
      <c r="F12" s="33">
        <f>E12*VLOOKUP(B12,dagsoorttabel1,2,FALSE)</f>
        <v>375.98117647058825</v>
      </c>
      <c r="G12" s="34">
        <f>IF(AND(catpn_1_BZB_1&gt;0,catpn_1_BZV_40&gt;0),(dagenperjaar1*VLOOKUP(B12,dagsoorttabel1,2,FALSE))/(((dagenperjaar1*VLOOKUP(B12,dagsoorttabel1,2,FALSE))-catfd_1_BZV_40)/catpn_1_BZB_1+catfd_1_BZV_40/catpn_1_BZV_40),0)</f>
        <v>0</v>
      </c>
      <c r="H12" s="35">
        <f>IF(AND(catpn_1_BZB_1&gt;0,catpn_1_BZV_40&gt;0),(catdw_1_BZB_1*((dagenperjaar1*VLOOKUP(B12,dagsoorttabel1,2,FALSE))-catfd_1_BZV_40)/catpn_1_BZB_1+catdw_1_BZV_40*catfd_1_BZV_40/catpn_1_BZV_40)/(((dagenperjaar1*VLOOKUP(B12,dagsoorttabel1,2,FALSE))-catfd_1_BZV_40)/catpn_1_BZB_1+catfd_1_BZV_40/catpn_1_BZV_40),0)</f>
        <v>0</v>
      </c>
      <c r="I12" s="19" t="s">
        <v>42</v>
      </c>
      <c r="J12" s="36">
        <f>IF(AND(catpn_1_BZB_1&gt;0,catpn_1_BZV_40&gt;0),(cattf_1_BZB_1*((dagenperjaar1*VLOOKUP(B12,dagsoorttabel1,2,FALSE))-catfd_1_BZV_40)/catpn_1_BZB_1+cattf_1_BZV_40*catfd_1_BZV_40/catpn_1_BZV_40)/(((dagenperjaar1*VLOOKUP(B12,dagsoorttabel1,2,FALSE))-catfd_1_BZV_40)/catpn_1_BZB_1+catfd_1_BZV_40/catpn_1_BZV_40),0)</f>
        <v>0</v>
      </c>
      <c r="K12" s="33">
        <f>IF(OR(ISBLANK(G12),G12=0),0,F12/ROUND(G12,4))</f>
        <v>0</v>
      </c>
      <c r="L12" s="36">
        <f>ROUND(J12,2)*K12</f>
        <v>0</v>
      </c>
      <c r="M12" s="33">
        <f>K12*dagenperjaar1</f>
        <v>0</v>
      </c>
      <c r="N12" s="36">
        <f>M12*ROUND(J12,2)</f>
        <v>0</v>
      </c>
    </row>
    <row r="13" spans="1:14">
      <c r="A13" s="19" t="s">
        <v>195</v>
      </c>
      <c r="B13" s="19" t="s">
        <v>13</v>
      </c>
      <c r="C13" s="19" t="s">
        <v>187</v>
      </c>
      <c r="D13" s="19" t="s">
        <v>196</v>
      </c>
      <c r="E13" s="33">
        <v>645.6</v>
      </c>
      <c r="F13" s="33">
        <f>E13*VLOOKUP(B13,dagsoorttabel1,2,FALSE)</f>
        <v>303.81176470588235</v>
      </c>
      <c r="G13" s="34">
        <f>IF(AND(catpn_1_CHB_1&gt;0,catpn_1_CHV_40&gt;0),(dagenperjaar1*VLOOKUP(B13,dagsoorttabel1,2,FALSE))/(((dagenperjaar1*VLOOKUP(B13,dagsoorttabel1,2,FALSE))-catfd_1_CHV_40)/catpn_1_CHB_1+catfd_1_CHV_40/catpn_1_CHV_40),0)</f>
        <v>0</v>
      </c>
      <c r="H13" s="35">
        <f>IF(AND(catpn_1_CHB_1&gt;0,catpn_1_CHV_40&gt;0),(catdw_1_CHB_1*((dagenperjaar1*VLOOKUP(B13,dagsoorttabel1,2,FALSE))-catfd_1_CHV_40)/catpn_1_CHB_1+catdw_1_CHV_40*catfd_1_CHV_40/catpn_1_CHV_40)/(((dagenperjaar1*VLOOKUP(B13,dagsoorttabel1,2,FALSE))-catfd_1_CHV_40)/catpn_1_CHB_1+catfd_1_CHV_40/catpn_1_CHV_40),0)</f>
        <v>0</v>
      </c>
      <c r="I13" s="19" t="s">
        <v>42</v>
      </c>
      <c r="J13" s="36">
        <f>IF(AND(catpn_1_CHB_1&gt;0,catpn_1_CHV_40&gt;0),(cattf_1_CHB_1*((dagenperjaar1*VLOOKUP(B13,dagsoorttabel1,2,FALSE))-catfd_1_CHV_40)/catpn_1_CHB_1+cattf_1_CHV_40*catfd_1_CHV_40/catpn_1_CHV_40)/(((dagenperjaar1*VLOOKUP(B13,dagsoorttabel1,2,FALSE))-catfd_1_CHV_40)/catpn_1_CHB_1+catfd_1_CHV_40/catpn_1_CHV_40),0)</f>
        <v>0</v>
      </c>
      <c r="K13" s="33">
        <f>IF(OR(ISBLANK(G13),G13=0),0,F13/ROUND(G13,4))</f>
        <v>0</v>
      </c>
      <c r="L13" s="36">
        <f>ROUND(J13,2)*K13</f>
        <v>0</v>
      </c>
      <c r="M13" s="33">
        <f>K13*dagenperjaar1</f>
        <v>0</v>
      </c>
      <c r="N13" s="36">
        <f>M13*ROUND(J13,2)</f>
        <v>0</v>
      </c>
    </row>
    <row r="14" spans="1:14">
      <c r="A14" s="19" t="s">
        <v>197</v>
      </c>
      <c r="B14" s="19" t="s">
        <v>13</v>
      </c>
      <c r="C14" s="19" t="s">
        <v>187</v>
      </c>
      <c r="D14" s="19" t="s">
        <v>198</v>
      </c>
      <c r="E14" s="33">
        <v>50.8</v>
      </c>
      <c r="F14" s="33">
        <f>E14*VLOOKUP(B14,dagsoorttabel1,2,FALSE)</f>
        <v>23.905882352941173</v>
      </c>
      <c r="G14" s="34">
        <f>IF(AND(catpn_1_CZB_1&gt;0,catpn_1_CZV_40&gt;0),(dagenperjaar1*VLOOKUP(B14,dagsoorttabel1,2,FALSE))/(((dagenperjaar1*VLOOKUP(B14,dagsoorttabel1,2,FALSE))-catfd_1_CZV_40)/catpn_1_CZB_1+catfd_1_CZV_40/catpn_1_CZV_40),0)</f>
        <v>0</v>
      </c>
      <c r="H14" s="35">
        <f>IF(AND(catpn_1_CZB_1&gt;0,catpn_1_CZV_40&gt;0),(catdw_1_CZB_1*((dagenperjaar1*VLOOKUP(B14,dagsoorttabel1,2,FALSE))-catfd_1_CZV_40)/catpn_1_CZB_1+catdw_1_CZV_40*catfd_1_CZV_40/catpn_1_CZV_40)/(((dagenperjaar1*VLOOKUP(B14,dagsoorttabel1,2,FALSE))-catfd_1_CZV_40)/catpn_1_CZB_1+catfd_1_CZV_40/catpn_1_CZV_40),0)</f>
        <v>0</v>
      </c>
      <c r="I14" s="19" t="s">
        <v>42</v>
      </c>
      <c r="J14" s="36">
        <f>IF(AND(catpn_1_CZB_1&gt;0,catpn_1_CZV_40&gt;0),(cattf_1_CZB_1*((dagenperjaar1*VLOOKUP(B14,dagsoorttabel1,2,FALSE))-catfd_1_CZV_40)/catpn_1_CZB_1+cattf_1_CZV_40*catfd_1_CZV_40/catpn_1_CZV_40)/(((dagenperjaar1*VLOOKUP(B14,dagsoorttabel1,2,FALSE))-catfd_1_CZV_40)/catpn_1_CZB_1+catfd_1_CZV_40/catpn_1_CZV_40),0)</f>
        <v>0</v>
      </c>
      <c r="K14" s="33">
        <f>IF(OR(ISBLANK(G14),G14=0),0,F14/ROUND(G14,4))</f>
        <v>0</v>
      </c>
      <c r="L14" s="36">
        <f>ROUND(J14,2)*K14</f>
        <v>0</v>
      </c>
      <c r="M14" s="33">
        <f>K14*dagenperjaar1</f>
        <v>0</v>
      </c>
      <c r="N14" s="36">
        <f>M14*ROUND(J14,2)</f>
        <v>0</v>
      </c>
    </row>
    <row r="15" spans="1:14">
      <c r="A15" s="19" t="s">
        <v>199</v>
      </c>
      <c r="B15" s="19" t="s">
        <v>11</v>
      </c>
      <c r="C15" s="19" t="s">
        <v>187</v>
      </c>
      <c r="D15" s="19" t="s">
        <v>200</v>
      </c>
      <c r="E15" s="33">
        <v>177.70000000000002</v>
      </c>
      <c r="F15" s="33">
        <f>E15*VLOOKUP(B15,dagsoorttabel1,2,FALSE)</f>
        <v>139.37254901960785</v>
      </c>
      <c r="G15" s="34">
        <f>IF(AND(catpn_1_EHB_1&gt;0,catpn_1_EHV_40&gt;0),(dagenperjaar1*VLOOKUP(B15,dagsoorttabel1,2,FALSE))/(((dagenperjaar1*VLOOKUP(B15,dagsoorttabel1,2,FALSE))-catfd_1_EHV_40)/catpn_1_EHB_1+catfd_1_EHV_40/catpn_1_EHV_40),0)</f>
        <v>0</v>
      </c>
      <c r="H15" s="35">
        <f>IF(AND(catpn_1_EHB_1&gt;0,catpn_1_EHV_40&gt;0),(catdw_1_EHB_1*((dagenperjaar1*VLOOKUP(B15,dagsoorttabel1,2,FALSE))-catfd_1_EHV_40)/catpn_1_EHB_1+catdw_1_EHV_40*catfd_1_EHV_40/catpn_1_EHV_40)/(((dagenperjaar1*VLOOKUP(B15,dagsoorttabel1,2,FALSE))-catfd_1_EHV_40)/catpn_1_EHB_1+catfd_1_EHV_40/catpn_1_EHV_40),0)</f>
        <v>0</v>
      </c>
      <c r="I15" s="19" t="s">
        <v>42</v>
      </c>
      <c r="J15" s="36">
        <f>IF(AND(catpn_1_EHB_1&gt;0,catpn_1_EHV_40&gt;0),(cattf_1_EHB_1*((dagenperjaar1*VLOOKUP(B15,dagsoorttabel1,2,FALSE))-catfd_1_EHV_40)/catpn_1_EHB_1+cattf_1_EHV_40*catfd_1_EHV_40/catpn_1_EHV_40)/(((dagenperjaar1*VLOOKUP(B15,dagsoorttabel1,2,FALSE))-catfd_1_EHV_40)/catpn_1_EHB_1+catfd_1_EHV_40/catpn_1_EHV_40),0)</f>
        <v>0</v>
      </c>
      <c r="K15" s="33">
        <f>IF(OR(ISBLANK(G15),G15=0),0,F15/ROUND(G15,4))</f>
        <v>0</v>
      </c>
      <c r="L15" s="36">
        <f>ROUND(J15,2)*K15</f>
        <v>0</v>
      </c>
      <c r="M15" s="33">
        <f>K15*dagenperjaar1</f>
        <v>0</v>
      </c>
      <c r="N15" s="36">
        <f>M15*ROUND(J15,2)</f>
        <v>0</v>
      </c>
    </row>
    <row r="16" spans="1:14">
      <c r="A16" s="19" t="s">
        <v>201</v>
      </c>
      <c r="B16" s="19" t="s">
        <v>11</v>
      </c>
      <c r="C16" s="19" t="s">
        <v>187</v>
      </c>
      <c r="D16" s="19" t="s">
        <v>202</v>
      </c>
      <c r="E16" s="33">
        <v>83.89</v>
      </c>
      <c r="F16" s="33">
        <f>E16*VLOOKUP(B16,dagsoorttabel1,2,FALSE)</f>
        <v>65.79607843137255</v>
      </c>
      <c r="G16" s="34">
        <f>IF(AND(catpn_1_EZB_1&gt;0,catpn_1_EZV_40&gt;0),(dagenperjaar1*VLOOKUP(B16,dagsoorttabel1,2,FALSE))/(((dagenperjaar1*VLOOKUP(B16,dagsoorttabel1,2,FALSE))-catfd_1_EZV_40)/catpn_1_EZB_1+catfd_1_EZV_40/catpn_1_EZV_40),0)</f>
        <v>0</v>
      </c>
      <c r="H16" s="35">
        <f>IF(AND(catpn_1_EZB_1&gt;0,catpn_1_EZV_40&gt;0),(catdw_1_EZB_1*((dagenperjaar1*VLOOKUP(B16,dagsoorttabel1,2,FALSE))-catfd_1_EZV_40)/catpn_1_EZB_1+catdw_1_EZV_40*catfd_1_EZV_40/catpn_1_EZV_40)/(((dagenperjaar1*VLOOKUP(B16,dagsoorttabel1,2,FALSE))-catfd_1_EZV_40)/catpn_1_EZB_1+catfd_1_EZV_40/catpn_1_EZV_40),0)</f>
        <v>0</v>
      </c>
      <c r="I16" s="19" t="s">
        <v>42</v>
      </c>
      <c r="J16" s="36">
        <f>IF(AND(catpn_1_EZB_1&gt;0,catpn_1_EZV_40&gt;0),(cattf_1_EZB_1*((dagenperjaar1*VLOOKUP(B16,dagsoorttabel1,2,FALSE))-catfd_1_EZV_40)/catpn_1_EZB_1+cattf_1_EZV_40*catfd_1_EZV_40/catpn_1_EZV_40)/(((dagenperjaar1*VLOOKUP(B16,dagsoorttabel1,2,FALSE))-catfd_1_EZV_40)/catpn_1_EZB_1+catfd_1_EZV_40/catpn_1_EZV_40),0)</f>
        <v>0</v>
      </c>
      <c r="K16" s="33">
        <f>IF(OR(ISBLANK(G16),G16=0),0,F16/ROUND(G16,4))</f>
        <v>0</v>
      </c>
      <c r="L16" s="36">
        <f>ROUND(J16,2)*K16</f>
        <v>0</v>
      </c>
      <c r="M16" s="33">
        <f>K16*dagenperjaar1</f>
        <v>0</v>
      </c>
      <c r="N16" s="36">
        <f>M16*ROUND(J16,2)</f>
        <v>0</v>
      </c>
    </row>
    <row r="17" spans="1:14">
      <c r="A17" s="19" t="s">
        <v>203</v>
      </c>
      <c r="B17" s="19" t="s">
        <v>11</v>
      </c>
      <c r="C17" s="19" t="s">
        <v>187</v>
      </c>
      <c r="D17" s="19" t="s">
        <v>204</v>
      </c>
      <c r="E17" s="33">
        <v>209.02</v>
      </c>
      <c r="F17" s="33">
        <f>E17*VLOOKUP(B17,dagsoorttabel1,2,FALSE)</f>
        <v>163.93725490196078</v>
      </c>
      <c r="G17" s="34">
        <f>IF(AND(catpn_1_FHB_1&gt;0,catpn_1_FHV_40&gt;0),(dagenperjaar1*VLOOKUP(B17,dagsoorttabel1,2,FALSE))/(((dagenperjaar1*VLOOKUP(B17,dagsoorttabel1,2,FALSE))-catfd_1_FHV_40)/catpn_1_FHB_1+catfd_1_FHV_40/catpn_1_FHV_40),0)</f>
        <v>0</v>
      </c>
      <c r="H17" s="35">
        <f>IF(AND(catpn_1_FHB_1&gt;0,catpn_1_FHV_40&gt;0),(catdw_1_FHB_1*((dagenperjaar1*VLOOKUP(B17,dagsoorttabel1,2,FALSE))-catfd_1_FHV_40)/catpn_1_FHB_1+catdw_1_FHV_40*catfd_1_FHV_40/catpn_1_FHV_40)/(((dagenperjaar1*VLOOKUP(B17,dagsoorttabel1,2,FALSE))-catfd_1_FHV_40)/catpn_1_FHB_1+catfd_1_FHV_40/catpn_1_FHV_40),0)</f>
        <v>0</v>
      </c>
      <c r="I17" s="19" t="s">
        <v>42</v>
      </c>
      <c r="J17" s="36">
        <f>IF(AND(catpn_1_FHB_1&gt;0,catpn_1_FHV_40&gt;0),(cattf_1_FHB_1*((dagenperjaar1*VLOOKUP(B17,dagsoorttabel1,2,FALSE))-catfd_1_FHV_40)/catpn_1_FHB_1+cattf_1_FHV_40*catfd_1_FHV_40/catpn_1_FHV_40)/(((dagenperjaar1*VLOOKUP(B17,dagsoorttabel1,2,FALSE))-catfd_1_FHV_40)/catpn_1_FHB_1+catfd_1_FHV_40/catpn_1_FHV_40),0)</f>
        <v>0</v>
      </c>
      <c r="K17" s="33">
        <f>IF(OR(ISBLANK(G17),G17=0),0,F17/ROUND(G17,4))</f>
        <v>0</v>
      </c>
      <c r="L17" s="36">
        <f>ROUND(J17,2)*K17</f>
        <v>0</v>
      </c>
      <c r="M17" s="33">
        <f>K17*dagenperjaar1</f>
        <v>0</v>
      </c>
      <c r="N17" s="36">
        <f>M17*ROUND(J17,2)</f>
        <v>0</v>
      </c>
    </row>
    <row r="18" spans="1:14">
      <c r="A18" s="19" t="s">
        <v>205</v>
      </c>
      <c r="B18" s="19" t="s">
        <v>11</v>
      </c>
      <c r="C18" s="19" t="s">
        <v>187</v>
      </c>
      <c r="D18" s="19" t="s">
        <v>206</v>
      </c>
      <c r="E18" s="33">
        <v>534.91000000000008</v>
      </c>
      <c r="F18" s="33">
        <f>E18*VLOOKUP(B18,dagsoorttabel1,2,FALSE)</f>
        <v>419.53725490196086</v>
      </c>
      <c r="G18" s="34">
        <f>IF(AND(catpn_1_GHB_1&gt;0,catpn_1_GHV_40&gt;0),(dagenperjaar1*VLOOKUP(B18,dagsoorttabel1,2,FALSE))/(((dagenperjaar1*VLOOKUP(B18,dagsoorttabel1,2,FALSE))-catfd_1_GHV_40)/catpn_1_GHB_1+catfd_1_GHV_40/catpn_1_GHV_40),0)</f>
        <v>0</v>
      </c>
      <c r="H18" s="35">
        <f>IF(AND(catpn_1_GHB_1&gt;0,catpn_1_GHV_40&gt;0),(catdw_1_GHB_1*((dagenperjaar1*VLOOKUP(B18,dagsoorttabel1,2,FALSE))-catfd_1_GHV_40)/catpn_1_GHB_1+catdw_1_GHV_40*catfd_1_GHV_40/catpn_1_GHV_40)/(((dagenperjaar1*VLOOKUP(B18,dagsoorttabel1,2,FALSE))-catfd_1_GHV_40)/catpn_1_GHB_1+catfd_1_GHV_40/catpn_1_GHV_40),0)</f>
        <v>0</v>
      </c>
      <c r="I18" s="19" t="s">
        <v>42</v>
      </c>
      <c r="J18" s="36">
        <f>IF(AND(catpn_1_GHB_1&gt;0,catpn_1_GHV_40&gt;0),(cattf_1_GHB_1*((dagenperjaar1*VLOOKUP(B18,dagsoorttabel1,2,FALSE))-catfd_1_GHV_40)/catpn_1_GHB_1+cattf_1_GHV_40*catfd_1_GHV_40/catpn_1_GHV_40)/(((dagenperjaar1*VLOOKUP(B18,dagsoorttabel1,2,FALSE))-catfd_1_GHV_40)/catpn_1_GHB_1+catfd_1_GHV_40/catpn_1_GHV_40),0)</f>
        <v>0</v>
      </c>
      <c r="K18" s="33">
        <f>IF(OR(ISBLANK(G18),G18=0),0,F18/ROUND(G18,4))</f>
        <v>0</v>
      </c>
      <c r="L18" s="36">
        <f>ROUND(J18,2)*K18</f>
        <v>0</v>
      </c>
      <c r="M18" s="33">
        <f>K18*dagenperjaar1</f>
        <v>0</v>
      </c>
      <c r="N18" s="36">
        <f>M18*ROUND(J18,2)</f>
        <v>0</v>
      </c>
    </row>
    <row r="19" spans="1:14">
      <c r="A19" s="19" t="s">
        <v>207</v>
      </c>
      <c r="B19" s="19" t="s">
        <v>18</v>
      </c>
      <c r="C19" s="19" t="s">
        <v>187</v>
      </c>
      <c r="D19" s="19" t="s">
        <v>208</v>
      </c>
      <c r="E19" s="33">
        <v>11.66</v>
      </c>
      <c r="F19" s="33">
        <f>E19*VLOOKUP(B19,dagsoorttabel1,2,FALSE)</f>
        <v>1.8290196078431373</v>
      </c>
      <c r="G19" s="34">
        <f>IF(AND(catpn_1_IHB_1&gt;0,catpn_1_IHV_40&gt;0),(dagenperjaar1*VLOOKUP(B19,dagsoorttabel1,2,FALSE))/(((dagenperjaar1*VLOOKUP(B19,dagsoorttabel1,2,FALSE))-catfd_1_IHV_40)/catpn_1_IHB_1+catfd_1_IHV_40/catpn_1_IHV_40),0)</f>
        <v>0</v>
      </c>
      <c r="H19" s="35">
        <f>IF(AND(catpn_1_IHB_1&gt;0,catpn_1_IHV_40&gt;0),(catdw_1_IHB_1*((dagenperjaar1*VLOOKUP(B19,dagsoorttabel1,2,FALSE))-catfd_1_IHV_40)/catpn_1_IHB_1+catdw_1_IHV_40*catfd_1_IHV_40/catpn_1_IHV_40)/(((dagenperjaar1*VLOOKUP(B19,dagsoorttabel1,2,FALSE))-catfd_1_IHV_40)/catpn_1_IHB_1+catfd_1_IHV_40/catpn_1_IHV_40),0)</f>
        <v>0</v>
      </c>
      <c r="I19" s="19" t="s">
        <v>42</v>
      </c>
      <c r="J19" s="36">
        <f>IF(AND(catpn_1_IHB_1&gt;0,catpn_1_IHV_40&gt;0),(cattf_1_IHB_1*((dagenperjaar1*VLOOKUP(B19,dagsoorttabel1,2,FALSE))-catfd_1_IHV_40)/catpn_1_IHB_1+cattf_1_IHV_40*catfd_1_IHV_40/catpn_1_IHV_40)/(((dagenperjaar1*VLOOKUP(B19,dagsoorttabel1,2,FALSE))-catfd_1_IHV_40)/catpn_1_IHB_1+catfd_1_IHV_40/catpn_1_IHV_40),0)</f>
        <v>0</v>
      </c>
      <c r="K19" s="33">
        <f>IF(OR(ISBLANK(G19),G19=0),0,F19/ROUND(G19,4))</f>
        <v>0</v>
      </c>
      <c r="L19" s="36">
        <f>ROUND(J19,2)*K19</f>
        <v>0</v>
      </c>
      <c r="M19" s="33">
        <f>K19*dagenperjaar1</f>
        <v>0</v>
      </c>
      <c r="N19" s="36">
        <f>M19*ROUND(J19,2)</f>
        <v>0</v>
      </c>
    </row>
    <row r="20" spans="1:14">
      <c r="A20" s="19" t="s">
        <v>209</v>
      </c>
      <c r="B20" s="19" t="s">
        <v>18</v>
      </c>
      <c r="C20" s="19" t="s">
        <v>187</v>
      </c>
      <c r="D20" s="19" t="s">
        <v>210</v>
      </c>
      <c r="E20" s="33">
        <v>4.37</v>
      </c>
      <c r="F20" s="33">
        <f>E20*VLOOKUP(B20,dagsoorttabel1,2,FALSE)</f>
        <v>0.68549019607843142</v>
      </c>
      <c r="G20" s="34">
        <f>IF(AND(catpn_1_IZB_1&gt;0,catpn_1_IZV_40&gt;0),(dagenperjaar1*VLOOKUP(B20,dagsoorttabel1,2,FALSE))/(((dagenperjaar1*VLOOKUP(B20,dagsoorttabel1,2,FALSE))-catfd_1_IZV_40)/catpn_1_IZB_1+catfd_1_IZV_40/catpn_1_IZV_40),0)</f>
        <v>0</v>
      </c>
      <c r="H20" s="35">
        <f>IF(AND(catpn_1_IZB_1&gt;0,catpn_1_IZV_40&gt;0),(catdw_1_IZB_1*((dagenperjaar1*VLOOKUP(B20,dagsoorttabel1,2,FALSE))-catfd_1_IZV_40)/catpn_1_IZB_1+catdw_1_IZV_40*catfd_1_IZV_40/catpn_1_IZV_40)/(((dagenperjaar1*VLOOKUP(B20,dagsoorttabel1,2,FALSE))-catfd_1_IZV_40)/catpn_1_IZB_1+catfd_1_IZV_40/catpn_1_IZV_40),0)</f>
        <v>0</v>
      </c>
      <c r="I20" s="19" t="s">
        <v>42</v>
      </c>
      <c r="J20" s="36">
        <f>IF(AND(catpn_1_IZB_1&gt;0,catpn_1_IZV_40&gt;0),(cattf_1_IZB_1*((dagenperjaar1*VLOOKUP(B20,dagsoorttabel1,2,FALSE))-catfd_1_IZV_40)/catpn_1_IZB_1+cattf_1_IZV_40*catfd_1_IZV_40/catpn_1_IZV_40)/(((dagenperjaar1*VLOOKUP(B20,dagsoorttabel1,2,FALSE))-catfd_1_IZV_40)/catpn_1_IZB_1+catfd_1_IZV_40/catpn_1_IZV_40),0)</f>
        <v>0</v>
      </c>
      <c r="K20" s="33">
        <f>IF(OR(ISBLANK(G20),G20=0),0,F20/ROUND(G20,4))</f>
        <v>0</v>
      </c>
      <c r="L20" s="36">
        <f>ROUND(J20,2)*K20</f>
        <v>0</v>
      </c>
      <c r="M20" s="33">
        <f>K20*dagenperjaar1</f>
        <v>0</v>
      </c>
      <c r="N20" s="36">
        <f>M20*ROUND(J20,2)</f>
        <v>0</v>
      </c>
    </row>
    <row r="21" spans="1:14">
      <c r="A21" s="19" t="s">
        <v>211</v>
      </c>
      <c r="B21" s="19" t="s">
        <v>11</v>
      </c>
      <c r="C21" s="19" t="s">
        <v>187</v>
      </c>
      <c r="D21" s="19" t="s">
        <v>212</v>
      </c>
      <c r="E21" s="33">
        <v>167.67000000000002</v>
      </c>
      <c r="F21" s="33">
        <f>E21*VLOOKUP(B21,dagsoorttabel1,2,FALSE)</f>
        <v>131.5058823529412</v>
      </c>
      <c r="G21" s="34">
        <f>IF(AND(catpn_1_KHB_1&gt;0,catpn_1_KHV_40&gt;0),(dagenperjaar1*VLOOKUP(B21,dagsoorttabel1,2,FALSE))/(((dagenperjaar1*VLOOKUP(B21,dagsoorttabel1,2,FALSE))-catfd_1_KHV_40)/catpn_1_KHB_1+catfd_1_KHV_40/catpn_1_KHV_40),0)</f>
        <v>0</v>
      </c>
      <c r="H21" s="35">
        <f>IF(AND(catpn_1_KHB_1&gt;0,catpn_1_KHV_40&gt;0),(catdw_1_KHB_1*((dagenperjaar1*VLOOKUP(B21,dagsoorttabel1,2,FALSE))-catfd_1_KHV_40)/catpn_1_KHB_1+catdw_1_KHV_40*catfd_1_KHV_40/catpn_1_KHV_40)/(((dagenperjaar1*VLOOKUP(B21,dagsoorttabel1,2,FALSE))-catfd_1_KHV_40)/catpn_1_KHB_1+catfd_1_KHV_40/catpn_1_KHV_40),0)</f>
        <v>0</v>
      </c>
      <c r="I21" s="19" t="s">
        <v>42</v>
      </c>
      <c r="J21" s="36">
        <f>IF(AND(catpn_1_KHB_1&gt;0,catpn_1_KHV_40&gt;0),(cattf_1_KHB_1*((dagenperjaar1*VLOOKUP(B21,dagsoorttabel1,2,FALSE))-catfd_1_KHV_40)/catpn_1_KHB_1+cattf_1_KHV_40*catfd_1_KHV_40/catpn_1_KHV_40)/(((dagenperjaar1*VLOOKUP(B21,dagsoorttabel1,2,FALSE))-catfd_1_KHV_40)/catpn_1_KHB_1+catfd_1_KHV_40/catpn_1_KHV_40),0)</f>
        <v>0</v>
      </c>
      <c r="K21" s="33">
        <f>IF(OR(ISBLANK(G21),G21=0),0,F21/ROUND(G21,4))</f>
        <v>0</v>
      </c>
      <c r="L21" s="36">
        <f>ROUND(J21,2)*K21</f>
        <v>0</v>
      </c>
      <c r="M21" s="33">
        <f>K21*dagenperjaar1</f>
        <v>0</v>
      </c>
      <c r="N21" s="36">
        <f>M21*ROUND(J21,2)</f>
        <v>0</v>
      </c>
    </row>
    <row r="22" spans="1:14">
      <c r="A22" s="19" t="s">
        <v>213</v>
      </c>
      <c r="B22" s="19" t="s">
        <v>13</v>
      </c>
      <c r="C22" s="19" t="s">
        <v>187</v>
      </c>
      <c r="D22" s="19" t="s">
        <v>214</v>
      </c>
      <c r="E22" s="33">
        <v>6967.05</v>
      </c>
      <c r="F22" s="33">
        <f>E22*VLOOKUP(B22,dagsoorttabel1,2,FALSE)</f>
        <v>3278.6117647058823</v>
      </c>
      <c r="G22" s="34">
        <f>IF(AND(catpn_1_LHB_1&gt;0,catpn_1_LHV_40&gt;0),(dagenperjaar1*VLOOKUP(B22,dagsoorttabel1,2,FALSE))/(((dagenperjaar1*VLOOKUP(B22,dagsoorttabel1,2,FALSE))-catfd_1_LHV_40)/catpn_1_LHB_1+catfd_1_LHV_40/catpn_1_LHV_40),0)</f>
        <v>0</v>
      </c>
      <c r="H22" s="35">
        <f>IF(AND(catpn_1_LHB_1&gt;0,catpn_1_LHV_40&gt;0),(catdw_1_LHB_1*((dagenperjaar1*VLOOKUP(B22,dagsoorttabel1,2,FALSE))-catfd_1_LHV_40)/catpn_1_LHB_1+catdw_1_LHV_40*catfd_1_LHV_40/catpn_1_LHV_40)/(((dagenperjaar1*VLOOKUP(B22,dagsoorttabel1,2,FALSE))-catfd_1_LHV_40)/catpn_1_LHB_1+catfd_1_LHV_40/catpn_1_LHV_40),0)</f>
        <v>0</v>
      </c>
      <c r="I22" s="19" t="s">
        <v>42</v>
      </c>
      <c r="J22" s="36">
        <f>IF(AND(catpn_1_LHB_1&gt;0,catpn_1_LHV_40&gt;0),(cattf_1_LHB_1*((dagenperjaar1*VLOOKUP(B22,dagsoorttabel1,2,FALSE))-catfd_1_LHV_40)/catpn_1_LHB_1+cattf_1_LHV_40*catfd_1_LHV_40/catpn_1_LHV_40)/(((dagenperjaar1*VLOOKUP(B22,dagsoorttabel1,2,FALSE))-catfd_1_LHV_40)/catpn_1_LHB_1+catfd_1_LHV_40/catpn_1_LHV_40),0)</f>
        <v>0</v>
      </c>
      <c r="K22" s="33">
        <f>IF(OR(ISBLANK(G22),G22=0),0,F22/ROUND(G22,4))</f>
        <v>0</v>
      </c>
      <c r="L22" s="36">
        <f>ROUND(J22,2)*K22</f>
        <v>0</v>
      </c>
      <c r="M22" s="33">
        <f>K22*dagenperjaar1</f>
        <v>0</v>
      </c>
      <c r="N22" s="36">
        <f>M22*ROUND(J22,2)</f>
        <v>0</v>
      </c>
    </row>
    <row r="23" spans="1:14">
      <c r="A23" s="19" t="s">
        <v>215</v>
      </c>
      <c r="B23" s="19" t="s">
        <v>13</v>
      </c>
      <c r="C23" s="19" t="s">
        <v>187</v>
      </c>
      <c r="D23" s="19" t="s">
        <v>216</v>
      </c>
      <c r="E23" s="33">
        <v>613.1400000000001</v>
      </c>
      <c r="F23" s="33">
        <f>E23*VLOOKUP(B23,dagsoorttabel1,2,FALSE)</f>
        <v>288.53647058823532</v>
      </c>
      <c r="G23" s="34">
        <f>IF(AND(catpn_1_LZB_1&gt;0,catpn_1_LZV_40&gt;0),(dagenperjaar1*VLOOKUP(B23,dagsoorttabel1,2,FALSE))/(((dagenperjaar1*VLOOKUP(B23,dagsoorttabel1,2,FALSE))-catfd_1_LZV_40)/catpn_1_LZB_1+catfd_1_LZV_40/catpn_1_LZV_40),0)</f>
        <v>0</v>
      </c>
      <c r="H23" s="35">
        <f>IF(AND(catpn_1_LZB_1&gt;0,catpn_1_LZV_40&gt;0),(catdw_1_LZB_1*((dagenperjaar1*VLOOKUP(B23,dagsoorttabel1,2,FALSE))-catfd_1_LZV_40)/catpn_1_LZB_1+catdw_1_LZV_40*catfd_1_LZV_40/catpn_1_LZV_40)/(((dagenperjaar1*VLOOKUP(B23,dagsoorttabel1,2,FALSE))-catfd_1_LZV_40)/catpn_1_LZB_1+catfd_1_LZV_40/catpn_1_LZV_40),0)</f>
        <v>0</v>
      </c>
      <c r="I23" s="19" t="s">
        <v>42</v>
      </c>
      <c r="J23" s="36">
        <f>IF(AND(catpn_1_LZB_1&gt;0,catpn_1_LZV_40&gt;0),(cattf_1_LZB_1*((dagenperjaar1*VLOOKUP(B23,dagsoorttabel1,2,FALSE))-catfd_1_LZV_40)/catpn_1_LZB_1+cattf_1_LZV_40*catfd_1_LZV_40/catpn_1_LZV_40)/(((dagenperjaar1*VLOOKUP(B23,dagsoorttabel1,2,FALSE))-catfd_1_LZV_40)/catpn_1_LZB_1+catfd_1_LZV_40/catpn_1_LZV_40),0)</f>
        <v>0</v>
      </c>
      <c r="K23" s="33">
        <f>IF(OR(ISBLANK(G23),G23=0),0,F23/ROUND(G23,4))</f>
        <v>0</v>
      </c>
      <c r="L23" s="36">
        <f>ROUND(J23,2)*K23</f>
        <v>0</v>
      </c>
      <c r="M23" s="33">
        <f>K23*dagenperjaar1</f>
        <v>0</v>
      </c>
      <c r="N23" s="36">
        <f>M23*ROUND(J23,2)</f>
        <v>0</v>
      </c>
    </row>
    <row r="24" spans="1:14">
      <c r="A24" s="19" t="s">
        <v>217</v>
      </c>
      <c r="B24" s="19" t="s">
        <v>18</v>
      </c>
      <c r="C24" s="19" t="s">
        <v>187</v>
      </c>
      <c r="D24" s="19" t="s">
        <v>218</v>
      </c>
      <c r="E24" s="33">
        <v>14.77</v>
      </c>
      <c r="F24" s="33">
        <f>E24*VLOOKUP(B24,dagsoorttabel1,2,FALSE)</f>
        <v>2.3168627450980392</v>
      </c>
      <c r="G24" s="34">
        <f>IF(AND(catpn_1_OHB_1&gt;0,catpn_1_OHV_40&gt;0),(dagenperjaar1*VLOOKUP(B24,dagsoorttabel1,2,FALSE))/(((dagenperjaar1*VLOOKUP(B24,dagsoorttabel1,2,FALSE))-catfd_1_OHV_40)/catpn_1_OHB_1+catfd_1_OHV_40/catpn_1_OHV_40),0)</f>
        <v>0</v>
      </c>
      <c r="H24" s="35">
        <f>IF(AND(catpn_1_OHB_1&gt;0,catpn_1_OHV_40&gt;0),(catdw_1_OHB_1*((dagenperjaar1*VLOOKUP(B24,dagsoorttabel1,2,FALSE))-catfd_1_OHV_40)/catpn_1_OHB_1+catdw_1_OHV_40*catfd_1_OHV_40/catpn_1_OHV_40)/(((dagenperjaar1*VLOOKUP(B24,dagsoorttabel1,2,FALSE))-catfd_1_OHV_40)/catpn_1_OHB_1+catfd_1_OHV_40/catpn_1_OHV_40),0)</f>
        <v>0</v>
      </c>
      <c r="I24" s="19" t="s">
        <v>42</v>
      </c>
      <c r="J24" s="36">
        <f>IF(AND(catpn_1_OHB_1&gt;0,catpn_1_OHV_40&gt;0),(cattf_1_OHB_1*((dagenperjaar1*VLOOKUP(B24,dagsoorttabel1,2,FALSE))-catfd_1_OHV_40)/catpn_1_OHB_1+cattf_1_OHV_40*catfd_1_OHV_40/catpn_1_OHV_40)/(((dagenperjaar1*VLOOKUP(B24,dagsoorttabel1,2,FALSE))-catfd_1_OHV_40)/catpn_1_OHB_1+catfd_1_OHV_40/catpn_1_OHV_40),0)</f>
        <v>0</v>
      </c>
      <c r="K24" s="33">
        <f>IF(OR(ISBLANK(G24),G24=0),0,F24/ROUND(G24,4))</f>
        <v>0</v>
      </c>
      <c r="L24" s="36">
        <f>ROUND(J24,2)*K24</f>
        <v>0</v>
      </c>
      <c r="M24" s="33">
        <f>K24*dagenperjaar1</f>
        <v>0</v>
      </c>
      <c r="N24" s="36">
        <f>M24*ROUND(J24,2)</f>
        <v>0</v>
      </c>
    </row>
    <row r="25" spans="1:14">
      <c r="A25" s="19" t="s">
        <v>219</v>
      </c>
      <c r="B25" s="19" t="s">
        <v>11</v>
      </c>
      <c r="C25" s="19" t="s">
        <v>187</v>
      </c>
      <c r="D25" s="19" t="s">
        <v>220</v>
      </c>
      <c r="E25" s="33">
        <v>535.55999999999995</v>
      </c>
      <c r="F25" s="33">
        <f>E25*VLOOKUP(B25,dagsoorttabel1,2,FALSE)</f>
        <v>420.04705882352937</v>
      </c>
      <c r="G25" s="34">
        <f>IF(AND(catpn_1_OLHB_1&gt;0,catpn_1_OLHV_40&gt;0),(dagenperjaar1*VLOOKUP(B25,dagsoorttabel1,2,FALSE))/(((dagenperjaar1*VLOOKUP(B25,dagsoorttabel1,2,FALSE))-catfd_1_OLHV_40)/catpn_1_OLHB_1+catfd_1_OLHV_40/catpn_1_OLHV_40),0)</f>
        <v>0</v>
      </c>
      <c r="H25" s="35">
        <f>IF(AND(catpn_1_OLHB_1&gt;0,catpn_1_OLHV_40&gt;0),(catdw_1_OLHB_1*((dagenperjaar1*VLOOKUP(B25,dagsoorttabel1,2,FALSE))-catfd_1_OLHV_40)/catpn_1_OLHB_1+catdw_1_OLHV_40*catfd_1_OLHV_40/catpn_1_OLHV_40)/(((dagenperjaar1*VLOOKUP(B25,dagsoorttabel1,2,FALSE))-catfd_1_OLHV_40)/catpn_1_OLHB_1+catfd_1_OLHV_40/catpn_1_OLHV_40),0)</f>
        <v>0</v>
      </c>
      <c r="I25" s="19" t="s">
        <v>42</v>
      </c>
      <c r="J25" s="36">
        <f>IF(AND(catpn_1_OLHB_1&gt;0,catpn_1_OLHV_40&gt;0),(cattf_1_OLHB_1*((dagenperjaar1*VLOOKUP(B25,dagsoorttabel1,2,FALSE))-catfd_1_OLHV_40)/catpn_1_OLHB_1+cattf_1_OLHV_40*catfd_1_OLHV_40/catpn_1_OLHV_40)/(((dagenperjaar1*VLOOKUP(B25,dagsoorttabel1,2,FALSE))-catfd_1_OLHV_40)/catpn_1_OLHB_1+catfd_1_OLHV_40/catpn_1_OLHV_40),0)</f>
        <v>0</v>
      </c>
      <c r="K25" s="33">
        <f>IF(OR(ISBLANK(G25),G25=0),0,F25/ROUND(G25,4))</f>
        <v>0</v>
      </c>
      <c r="L25" s="36">
        <f>ROUND(J25,2)*K25</f>
        <v>0</v>
      </c>
      <c r="M25" s="33">
        <f>K25*dagenperjaar1</f>
        <v>0</v>
      </c>
      <c r="N25" s="36">
        <f>M25*ROUND(J25,2)</f>
        <v>0</v>
      </c>
    </row>
    <row r="26" spans="1:14">
      <c r="A26" s="19" t="s">
        <v>221</v>
      </c>
      <c r="B26" s="19" t="s">
        <v>11</v>
      </c>
      <c r="C26" s="19" t="s">
        <v>187</v>
      </c>
      <c r="D26" s="19" t="s">
        <v>222</v>
      </c>
      <c r="E26" s="33">
        <v>349.36999999999995</v>
      </c>
      <c r="F26" s="33">
        <f>E26*VLOOKUP(B26,dagsoorttabel1,2,FALSE)</f>
        <v>274.01568627450973</v>
      </c>
      <c r="G26" s="34">
        <f>IF(AND(catpn_1_OLZB_1&gt;0,catpn_1_OLZV_40&gt;0),(dagenperjaar1*VLOOKUP(B26,dagsoorttabel1,2,FALSE))/(((dagenperjaar1*VLOOKUP(B26,dagsoorttabel1,2,FALSE))-catfd_1_OLZV_40)/catpn_1_OLZB_1+catfd_1_OLZV_40/catpn_1_OLZV_40),0)</f>
        <v>0</v>
      </c>
      <c r="H26" s="35">
        <f>IF(AND(catpn_1_OLZB_1&gt;0,catpn_1_OLZV_40&gt;0),(catdw_1_OLZB_1*((dagenperjaar1*VLOOKUP(B26,dagsoorttabel1,2,FALSE))-catfd_1_OLZV_40)/catpn_1_OLZB_1+catdw_1_OLZV_40*catfd_1_OLZV_40/catpn_1_OLZV_40)/(((dagenperjaar1*VLOOKUP(B26,dagsoorttabel1,2,FALSE))-catfd_1_OLZV_40)/catpn_1_OLZB_1+catfd_1_OLZV_40/catpn_1_OLZV_40),0)</f>
        <v>0</v>
      </c>
      <c r="I26" s="19" t="s">
        <v>42</v>
      </c>
      <c r="J26" s="36">
        <f>IF(AND(catpn_1_OLZB_1&gt;0,catpn_1_OLZV_40&gt;0),(cattf_1_OLZB_1*((dagenperjaar1*VLOOKUP(B26,dagsoorttabel1,2,FALSE))-catfd_1_OLZV_40)/catpn_1_OLZB_1+cattf_1_OLZV_40*catfd_1_OLZV_40/catpn_1_OLZV_40)/(((dagenperjaar1*VLOOKUP(B26,dagsoorttabel1,2,FALSE))-catfd_1_OLZV_40)/catpn_1_OLZB_1+catfd_1_OLZV_40/catpn_1_OLZV_40),0)</f>
        <v>0</v>
      </c>
      <c r="K26" s="33">
        <f>IF(OR(ISBLANK(G26),G26=0),0,F26/ROUND(G26,4))</f>
        <v>0</v>
      </c>
      <c r="L26" s="36">
        <f>ROUND(J26,2)*K26</f>
        <v>0</v>
      </c>
      <c r="M26" s="33">
        <f>K26*dagenperjaar1</f>
        <v>0</v>
      </c>
      <c r="N26" s="36">
        <f>M26*ROUND(J26,2)</f>
        <v>0</v>
      </c>
    </row>
    <row r="27" spans="1:14">
      <c r="A27" s="19" t="s">
        <v>223</v>
      </c>
      <c r="B27" s="19" t="s">
        <v>18</v>
      </c>
      <c r="C27" s="19" t="s">
        <v>187</v>
      </c>
      <c r="D27" s="19" t="s">
        <v>224</v>
      </c>
      <c r="E27" s="33">
        <v>423.71000000000004</v>
      </c>
      <c r="F27" s="33">
        <f>E27*VLOOKUP(B27,dagsoorttabel1,2,FALSE)</f>
        <v>66.4643137254902</v>
      </c>
      <c r="G27" s="34">
        <f>IF(AND(catpn_1_PMHB_1&gt;0,catpn_1_PMHV_40&gt;0),(dagenperjaar1*VLOOKUP(B27,dagsoorttabel1,2,FALSE))/(((dagenperjaar1*VLOOKUP(B27,dagsoorttabel1,2,FALSE))-catfd_1_PMHV_40)/catpn_1_PMHB_1+catfd_1_PMHV_40/catpn_1_PMHV_40),0)</f>
        <v>0</v>
      </c>
      <c r="H27" s="35">
        <f>IF(AND(catpn_1_PMHB_1&gt;0,catpn_1_PMHV_40&gt;0),(catdw_1_PMHB_1*((dagenperjaar1*VLOOKUP(B27,dagsoorttabel1,2,FALSE))-catfd_1_PMHV_40)/catpn_1_PMHB_1+catdw_1_PMHV_40*catfd_1_PMHV_40/catpn_1_PMHV_40)/(((dagenperjaar1*VLOOKUP(B27,dagsoorttabel1,2,FALSE))-catfd_1_PMHV_40)/catpn_1_PMHB_1+catfd_1_PMHV_40/catpn_1_PMHV_40),0)</f>
        <v>0</v>
      </c>
      <c r="I27" s="19" t="s">
        <v>42</v>
      </c>
      <c r="J27" s="36">
        <f>IF(AND(catpn_1_PMHB_1&gt;0,catpn_1_PMHV_40&gt;0),(cattf_1_PMHB_1*((dagenperjaar1*VLOOKUP(B27,dagsoorttabel1,2,FALSE))-catfd_1_PMHV_40)/catpn_1_PMHB_1+cattf_1_PMHV_40*catfd_1_PMHV_40/catpn_1_PMHV_40)/(((dagenperjaar1*VLOOKUP(B27,dagsoorttabel1,2,FALSE))-catfd_1_PMHV_40)/catpn_1_PMHB_1+catfd_1_PMHV_40/catpn_1_PMHV_40),0)</f>
        <v>0</v>
      </c>
      <c r="K27" s="33">
        <f>IF(OR(ISBLANK(G27),G27=0),0,F27/ROUND(G27,4))</f>
        <v>0</v>
      </c>
      <c r="L27" s="36">
        <f>ROUND(J27,2)*K27</f>
        <v>0</v>
      </c>
      <c r="M27" s="33">
        <f>K27*dagenperjaar1</f>
        <v>0</v>
      </c>
      <c r="N27" s="36">
        <f>M27*ROUND(J27,2)</f>
        <v>0</v>
      </c>
    </row>
    <row r="28" spans="1:14">
      <c r="A28" s="19" t="s">
        <v>225</v>
      </c>
      <c r="B28" s="19" t="s">
        <v>13</v>
      </c>
      <c r="C28" s="19" t="s">
        <v>187</v>
      </c>
      <c r="D28" s="19" t="s">
        <v>226</v>
      </c>
      <c r="E28" s="33">
        <v>225.57</v>
      </c>
      <c r="F28" s="33">
        <f>E28*VLOOKUP(B28,dagsoorttabel1,2,FALSE)</f>
        <v>106.15058823529411</v>
      </c>
      <c r="G28" s="34">
        <f>IF(AND(catpn_1_PSHB_1&gt;0,catpn_1_PSHV_40&gt;0),(dagenperjaar1*VLOOKUP(B28,dagsoorttabel1,2,FALSE))/(((dagenperjaar1*VLOOKUP(B28,dagsoorttabel1,2,FALSE))-catfd_1_PSHV_40)/catpn_1_PSHB_1+catfd_1_PSHV_40/catpn_1_PSHV_40),0)</f>
        <v>0</v>
      </c>
      <c r="H28" s="35">
        <f>IF(AND(catpn_1_PSHB_1&gt;0,catpn_1_PSHV_40&gt;0),(catdw_1_PSHB_1*((dagenperjaar1*VLOOKUP(B28,dagsoorttabel1,2,FALSE))-catfd_1_PSHV_40)/catpn_1_PSHB_1+catdw_1_PSHV_40*catfd_1_PSHV_40/catpn_1_PSHV_40)/(((dagenperjaar1*VLOOKUP(B28,dagsoorttabel1,2,FALSE))-catfd_1_PSHV_40)/catpn_1_PSHB_1+catfd_1_PSHV_40/catpn_1_PSHV_40),0)</f>
        <v>0</v>
      </c>
      <c r="I28" s="19" t="s">
        <v>42</v>
      </c>
      <c r="J28" s="36">
        <f>IF(AND(catpn_1_PSHB_1&gt;0,catpn_1_PSHV_40&gt;0),(cattf_1_PSHB_1*((dagenperjaar1*VLOOKUP(B28,dagsoorttabel1,2,FALSE))-catfd_1_PSHV_40)/catpn_1_PSHB_1+cattf_1_PSHV_40*catfd_1_PSHV_40/catpn_1_PSHV_40)/(((dagenperjaar1*VLOOKUP(B28,dagsoorttabel1,2,FALSE))-catfd_1_PSHV_40)/catpn_1_PSHB_1+catfd_1_PSHV_40/catpn_1_PSHV_40),0)</f>
        <v>0</v>
      </c>
      <c r="K28" s="33">
        <f>IF(OR(ISBLANK(G28),G28=0),0,F28/ROUND(G28,4))</f>
        <v>0</v>
      </c>
      <c r="L28" s="36">
        <f>ROUND(J28,2)*K28</f>
        <v>0</v>
      </c>
      <c r="M28" s="33">
        <f>K28*dagenperjaar1</f>
        <v>0</v>
      </c>
      <c r="N28" s="36">
        <f>M28*ROUND(J28,2)</f>
        <v>0</v>
      </c>
    </row>
    <row r="29" spans="1:14">
      <c r="A29" s="19" t="s">
        <v>225</v>
      </c>
      <c r="B29" s="19" t="s">
        <v>18</v>
      </c>
      <c r="C29" s="19" t="s">
        <v>187</v>
      </c>
      <c r="D29" s="19" t="s">
        <v>226</v>
      </c>
      <c r="E29" s="33">
        <v>79.960000000000008</v>
      </c>
      <c r="F29" s="33">
        <f>E29*VLOOKUP(B29,dagsoorttabel1,2,FALSE)</f>
        <v>12.542745098039216</v>
      </c>
      <c r="G29" s="34">
        <f>IF(AND(catpn_1_PSHB_1&gt;0,catpn_1_PSHV_40&gt;0),(dagenperjaar1*VLOOKUP(B29,dagsoorttabel1,2,FALSE))/(((dagenperjaar1*VLOOKUP(B29,dagsoorttabel1,2,FALSE))-catfd_1_PSHV_40)/catpn_1_PSHB_1+catfd_1_PSHV_40/catpn_1_PSHV_40),0)</f>
        <v>0</v>
      </c>
      <c r="H29" s="35">
        <f>IF(AND(catpn_1_PSHB_1&gt;0,catpn_1_PSHV_40&gt;0),(catdw_1_PSHB_1*((dagenperjaar1*VLOOKUP(B29,dagsoorttabel1,2,FALSE))-catfd_1_PSHV_40)/catpn_1_PSHB_1+catdw_1_PSHV_40*catfd_1_PSHV_40/catpn_1_PSHV_40)/(((dagenperjaar1*VLOOKUP(B29,dagsoorttabel1,2,FALSE))-catfd_1_PSHV_40)/catpn_1_PSHB_1+catfd_1_PSHV_40/catpn_1_PSHV_40),0)</f>
        <v>0</v>
      </c>
      <c r="I29" s="19" t="s">
        <v>42</v>
      </c>
      <c r="J29" s="36">
        <f>IF(AND(catpn_1_PSHB_1&gt;0,catpn_1_PSHV_40&gt;0),(cattf_1_PSHB_1*((dagenperjaar1*VLOOKUP(B29,dagsoorttabel1,2,FALSE))-catfd_1_PSHV_40)/catpn_1_PSHB_1+cattf_1_PSHV_40*catfd_1_PSHV_40/catpn_1_PSHV_40)/(((dagenperjaar1*VLOOKUP(B29,dagsoorttabel1,2,FALSE))-catfd_1_PSHV_40)/catpn_1_PSHB_1+catfd_1_PSHV_40/catpn_1_PSHV_40),0)</f>
        <v>0</v>
      </c>
      <c r="K29" s="33">
        <f>IF(OR(ISBLANK(G29),G29=0),0,F29/ROUND(G29,4))</f>
        <v>0</v>
      </c>
      <c r="L29" s="36">
        <f>ROUND(J29,2)*K29</f>
        <v>0</v>
      </c>
      <c r="M29" s="33">
        <f>K29*dagenperjaar1</f>
        <v>0</v>
      </c>
      <c r="N29" s="36">
        <f>M29*ROUND(J29,2)</f>
        <v>0</v>
      </c>
    </row>
    <row r="30" spans="1:14">
      <c r="A30" s="19" t="s">
        <v>227</v>
      </c>
      <c r="B30" s="19" t="s">
        <v>18</v>
      </c>
      <c r="C30" s="19" t="s">
        <v>187</v>
      </c>
      <c r="D30" s="19" t="s">
        <v>228</v>
      </c>
      <c r="E30" s="33">
        <v>719.74</v>
      </c>
      <c r="F30" s="33">
        <f>E30*VLOOKUP(B30,dagsoorttabel1,2,FALSE)</f>
        <v>112.90039215686275</v>
      </c>
      <c r="G30" s="34">
        <f>IF(AND(catpn_1_PTHB_1&gt;0,catpn_1_PTHV_40&gt;0),(dagenperjaar1*VLOOKUP(B30,dagsoorttabel1,2,FALSE))/(((dagenperjaar1*VLOOKUP(B30,dagsoorttabel1,2,FALSE))-catfd_1_PTHV_40)/catpn_1_PTHB_1+catfd_1_PTHV_40/catpn_1_PTHV_40),0)</f>
        <v>0</v>
      </c>
      <c r="H30" s="35">
        <f>IF(AND(catpn_1_PTHB_1&gt;0,catpn_1_PTHV_40&gt;0),(catdw_1_PTHB_1*((dagenperjaar1*VLOOKUP(B30,dagsoorttabel1,2,FALSE))-catfd_1_PTHV_40)/catpn_1_PTHB_1+catdw_1_PTHV_40*catfd_1_PTHV_40/catpn_1_PTHV_40)/(((dagenperjaar1*VLOOKUP(B30,dagsoorttabel1,2,FALSE))-catfd_1_PTHV_40)/catpn_1_PTHB_1+catfd_1_PTHV_40/catpn_1_PTHV_40),0)</f>
        <v>0</v>
      </c>
      <c r="I30" s="19" t="s">
        <v>42</v>
      </c>
      <c r="J30" s="36">
        <f>IF(AND(catpn_1_PTHB_1&gt;0,catpn_1_PTHV_40&gt;0),(cattf_1_PTHB_1*((dagenperjaar1*VLOOKUP(B30,dagsoorttabel1,2,FALSE))-catfd_1_PTHV_40)/catpn_1_PTHB_1+cattf_1_PTHV_40*catfd_1_PTHV_40/catpn_1_PTHV_40)/(((dagenperjaar1*VLOOKUP(B30,dagsoorttabel1,2,FALSE))-catfd_1_PTHV_40)/catpn_1_PTHB_1+catfd_1_PTHV_40/catpn_1_PTHV_40),0)</f>
        <v>0</v>
      </c>
      <c r="K30" s="33">
        <f>IF(OR(ISBLANK(G30),G30=0),0,F30/ROUND(G30,4))</f>
        <v>0</v>
      </c>
      <c r="L30" s="36">
        <f>ROUND(J30,2)*K30</f>
        <v>0</v>
      </c>
      <c r="M30" s="33">
        <f>K30*dagenperjaar1</f>
        <v>0</v>
      </c>
      <c r="N30" s="36">
        <f>M30*ROUND(J30,2)</f>
        <v>0</v>
      </c>
    </row>
    <row r="31" spans="1:14">
      <c r="A31" s="19" t="s">
        <v>229</v>
      </c>
      <c r="B31" s="19" t="s">
        <v>18</v>
      </c>
      <c r="C31" s="19" t="s">
        <v>187</v>
      </c>
      <c r="D31" s="19" t="s">
        <v>230</v>
      </c>
      <c r="E31" s="33">
        <v>571.53</v>
      </c>
      <c r="F31" s="33">
        <f>E31*VLOOKUP(B31,dagsoorttabel1,2,FALSE)</f>
        <v>89.651764705882343</v>
      </c>
      <c r="G31" s="34">
        <f>IF(AND(catpn_1_PUHB_1&gt;0,catpn_1_PUHV_40&gt;0),(dagenperjaar1*VLOOKUP(B31,dagsoorttabel1,2,FALSE))/(((dagenperjaar1*VLOOKUP(B31,dagsoorttabel1,2,FALSE))-catfd_1_PUHV_40)/catpn_1_PUHB_1+catfd_1_PUHV_40/catpn_1_PUHV_40),0)</f>
        <v>0</v>
      </c>
      <c r="H31" s="35">
        <f>IF(AND(catpn_1_PUHB_1&gt;0,catpn_1_PUHV_40&gt;0),(catdw_1_PUHB_1*((dagenperjaar1*VLOOKUP(B31,dagsoorttabel1,2,FALSE))-catfd_1_PUHV_40)/catpn_1_PUHB_1+catdw_1_PUHV_40*catfd_1_PUHV_40/catpn_1_PUHV_40)/(((dagenperjaar1*VLOOKUP(B31,dagsoorttabel1,2,FALSE))-catfd_1_PUHV_40)/catpn_1_PUHB_1+catfd_1_PUHV_40/catpn_1_PUHV_40),0)</f>
        <v>0</v>
      </c>
      <c r="I31" s="19" t="s">
        <v>42</v>
      </c>
      <c r="J31" s="36">
        <f>IF(AND(catpn_1_PUHB_1&gt;0,catpn_1_PUHV_40&gt;0),(cattf_1_PUHB_1*((dagenperjaar1*VLOOKUP(B31,dagsoorttabel1,2,FALSE))-catfd_1_PUHV_40)/catpn_1_PUHB_1+cattf_1_PUHV_40*catfd_1_PUHV_40/catpn_1_PUHV_40)/(((dagenperjaar1*VLOOKUP(B31,dagsoorttabel1,2,FALSE))-catfd_1_PUHV_40)/catpn_1_PUHB_1+catfd_1_PUHV_40/catpn_1_PUHV_40),0)</f>
        <v>0</v>
      </c>
      <c r="K31" s="33">
        <f>IF(OR(ISBLANK(G31),G31=0),0,F31/ROUND(G31,4))</f>
        <v>0</v>
      </c>
      <c r="L31" s="36">
        <f>ROUND(J31,2)*K31</f>
        <v>0</v>
      </c>
      <c r="M31" s="33">
        <f>K31*dagenperjaar1</f>
        <v>0</v>
      </c>
      <c r="N31" s="36">
        <f>M31*ROUND(J31,2)</f>
        <v>0</v>
      </c>
    </row>
    <row r="32" spans="1:14">
      <c r="A32" s="19" t="s">
        <v>231</v>
      </c>
      <c r="B32" s="19" t="s">
        <v>18</v>
      </c>
      <c r="C32" s="19" t="s">
        <v>187</v>
      </c>
      <c r="D32" s="19" t="s">
        <v>232</v>
      </c>
      <c r="E32" s="33">
        <v>145.96</v>
      </c>
      <c r="F32" s="33">
        <f>E32*VLOOKUP(B32,dagsoorttabel1,2,FALSE)</f>
        <v>22.895686274509806</v>
      </c>
      <c r="G32" s="34">
        <f>IF(AND(catpn_1_PUZB_1&gt;0,catpn_1_PUZV_40&gt;0),(dagenperjaar1*VLOOKUP(B32,dagsoorttabel1,2,FALSE))/(((dagenperjaar1*VLOOKUP(B32,dagsoorttabel1,2,FALSE))-catfd_1_PUZV_40)/catpn_1_PUZB_1+catfd_1_PUZV_40/catpn_1_PUZV_40),0)</f>
        <v>0</v>
      </c>
      <c r="H32" s="35">
        <f>IF(AND(catpn_1_PUZB_1&gt;0,catpn_1_PUZV_40&gt;0),(catdw_1_PUZB_1*((dagenperjaar1*VLOOKUP(B32,dagsoorttabel1,2,FALSE))-catfd_1_PUZV_40)/catpn_1_PUZB_1+catdw_1_PUZV_40*catfd_1_PUZV_40/catpn_1_PUZV_40)/(((dagenperjaar1*VLOOKUP(B32,dagsoorttabel1,2,FALSE))-catfd_1_PUZV_40)/catpn_1_PUZB_1+catfd_1_PUZV_40/catpn_1_PUZV_40),0)</f>
        <v>0</v>
      </c>
      <c r="I32" s="19" t="s">
        <v>42</v>
      </c>
      <c r="J32" s="36">
        <f>IF(AND(catpn_1_PUZB_1&gt;0,catpn_1_PUZV_40&gt;0),(cattf_1_PUZB_1*((dagenperjaar1*VLOOKUP(B32,dagsoorttabel1,2,FALSE))-catfd_1_PUZV_40)/catpn_1_PUZB_1+cattf_1_PUZV_40*catfd_1_PUZV_40/catpn_1_PUZV_40)/(((dagenperjaar1*VLOOKUP(B32,dagsoorttabel1,2,FALSE))-catfd_1_PUZV_40)/catpn_1_PUZB_1+catfd_1_PUZV_40/catpn_1_PUZV_40),0)</f>
        <v>0</v>
      </c>
      <c r="K32" s="33">
        <f>IF(OR(ISBLANK(G32),G32=0),0,F32/ROUND(G32,4))</f>
        <v>0</v>
      </c>
      <c r="L32" s="36">
        <f>ROUND(J32,2)*K32</f>
        <v>0</v>
      </c>
      <c r="M32" s="33">
        <f>K32*dagenperjaar1</f>
        <v>0</v>
      </c>
      <c r="N32" s="36">
        <f>M32*ROUND(J32,2)</f>
        <v>0</v>
      </c>
    </row>
    <row r="33" spans="1:14">
      <c r="A33" s="19" t="s">
        <v>233</v>
      </c>
      <c r="B33" s="19" t="s">
        <v>11</v>
      </c>
      <c r="C33" s="19" t="s">
        <v>187</v>
      </c>
      <c r="D33" s="19" t="s">
        <v>234</v>
      </c>
      <c r="E33" s="33">
        <v>569.44000000000005</v>
      </c>
      <c r="F33" s="33">
        <f>E33*VLOOKUP(B33,dagsoorttabel1,2,FALSE)</f>
        <v>446.61960784313732</v>
      </c>
      <c r="G33" s="34">
        <f>IF(AND(catpn_1_SHB_1&gt;0,catpn_1_SHV_40&gt;0),(dagenperjaar1*VLOOKUP(B33,dagsoorttabel1,2,FALSE))/(((dagenperjaar1*VLOOKUP(B33,dagsoorttabel1,2,FALSE))-catfd_1_SHV_40)/catpn_1_SHB_1+catfd_1_SHV_40/catpn_1_SHV_40),0)</f>
        <v>0</v>
      </c>
      <c r="H33" s="35">
        <f>IF(AND(catpn_1_SHB_1&gt;0,catpn_1_SHV_40&gt;0),(catdw_1_SHB_1*((dagenperjaar1*VLOOKUP(B33,dagsoorttabel1,2,FALSE))-catfd_1_SHV_40)/catpn_1_SHB_1+catdw_1_SHV_40*catfd_1_SHV_40/catpn_1_SHV_40)/(((dagenperjaar1*VLOOKUP(B33,dagsoorttabel1,2,FALSE))-catfd_1_SHV_40)/catpn_1_SHB_1+catfd_1_SHV_40/catpn_1_SHV_40),0)</f>
        <v>0</v>
      </c>
      <c r="I33" s="19" t="s">
        <v>42</v>
      </c>
      <c r="J33" s="36">
        <f>IF(AND(catpn_1_SHB_1&gt;0,catpn_1_SHV_40&gt;0),(cattf_1_SHB_1*((dagenperjaar1*VLOOKUP(B33,dagsoorttabel1,2,FALSE))-catfd_1_SHV_40)/catpn_1_SHB_1+cattf_1_SHV_40*catfd_1_SHV_40/catpn_1_SHV_40)/(((dagenperjaar1*VLOOKUP(B33,dagsoorttabel1,2,FALSE))-catfd_1_SHV_40)/catpn_1_SHB_1+catfd_1_SHV_40/catpn_1_SHV_40),0)</f>
        <v>0</v>
      </c>
      <c r="K33" s="33">
        <f>IF(OR(ISBLANK(G33),G33=0),0,F33/ROUND(G33,4))</f>
        <v>0</v>
      </c>
      <c r="L33" s="36">
        <f>ROUND(J33,2)*K33</f>
        <v>0</v>
      </c>
      <c r="M33" s="33">
        <f>K33*dagenperjaar1</f>
        <v>0</v>
      </c>
      <c r="N33" s="36">
        <f>M33*ROUND(J33,2)</f>
        <v>0</v>
      </c>
    </row>
    <row r="34" spans="1:14">
      <c r="A34" s="19" t="s">
        <v>235</v>
      </c>
      <c r="B34" s="19" t="s">
        <v>13</v>
      </c>
      <c r="C34" s="19" t="s">
        <v>187</v>
      </c>
      <c r="D34" s="19" t="s">
        <v>236</v>
      </c>
      <c r="E34" s="33">
        <v>34.69</v>
      </c>
      <c r="F34" s="33">
        <f>E34*VLOOKUP(B34,dagsoorttabel1,2,FALSE)</f>
        <v>16.324705882352941</v>
      </c>
      <c r="G34" s="34">
        <f>catpn_1_SHB_1</f>
        <v>0</v>
      </c>
      <c r="H34" s="35">
        <f>catdw_1_SHB_1</f>
        <v>0</v>
      </c>
      <c r="I34" s="19" t="s">
        <v>42</v>
      </c>
      <c r="J34" s="36">
        <f>cattf_1_SHB_1</f>
        <v>0</v>
      </c>
      <c r="K34" s="33">
        <f>IF(OR(ISBLANK(G34),G34=0),0,F34/ROUND(G34,4))</f>
        <v>0</v>
      </c>
      <c r="L34" s="36">
        <f>ROUND(J34,2)*K34</f>
        <v>0</v>
      </c>
      <c r="M34" s="33">
        <f>K34*dagenperjaar1</f>
        <v>0</v>
      </c>
      <c r="N34" s="36">
        <f>M34*ROUND(J34,2)</f>
        <v>0</v>
      </c>
    </row>
    <row r="35" spans="1:14">
      <c r="A35" s="19" t="s">
        <v>235</v>
      </c>
      <c r="B35" s="19" t="s">
        <v>11</v>
      </c>
      <c r="C35" s="19" t="s">
        <v>187</v>
      </c>
      <c r="D35" s="19" t="s">
        <v>236</v>
      </c>
      <c r="E35" s="33">
        <v>488.09000000000003</v>
      </c>
      <c r="F35" s="33">
        <f>E35*VLOOKUP(B35,dagsoorttabel1,2,FALSE)</f>
        <v>382.8156862745098</v>
      </c>
      <c r="G35" s="34">
        <f>catpn_1_SHB_1</f>
        <v>0</v>
      </c>
      <c r="H35" s="35">
        <f>catdw_1_SHB_1</f>
        <v>0</v>
      </c>
      <c r="I35" s="19" t="s">
        <v>42</v>
      </c>
      <c r="J35" s="36">
        <f>cattf_1_SHB_1</f>
        <v>0</v>
      </c>
      <c r="K35" s="33">
        <f>IF(OR(ISBLANK(G35),G35=0),0,F35/ROUND(G35,4))</f>
        <v>0</v>
      </c>
      <c r="L35" s="36">
        <f>ROUND(J35,2)*K35</f>
        <v>0</v>
      </c>
      <c r="M35" s="33">
        <f>K35*dagenperjaar1</f>
        <v>0</v>
      </c>
      <c r="N35" s="36">
        <f>M35*ROUND(J35,2)</f>
        <v>0</v>
      </c>
    </row>
    <row r="36" spans="1:14">
      <c r="A36" s="19" t="s">
        <v>237</v>
      </c>
      <c r="B36" s="19" t="s">
        <v>11</v>
      </c>
      <c r="C36" s="19" t="s">
        <v>187</v>
      </c>
      <c r="D36" s="19" t="s">
        <v>238</v>
      </c>
      <c r="E36" s="33">
        <v>194.85999999999999</v>
      </c>
      <c r="F36" s="33">
        <f>E36*VLOOKUP(B36,dagsoorttabel1,2,FALSE)</f>
        <v>152.83137254901959</v>
      </c>
      <c r="G36" s="34">
        <f>IF(AND(catpn_1_STHB_1&gt;0,catpn_1_STHV_40&gt;0),(dagenperjaar1*VLOOKUP(B36,dagsoorttabel1,2,FALSE))/(((dagenperjaar1*VLOOKUP(B36,dagsoorttabel1,2,FALSE))-catfd_1_STHV_40)/catpn_1_STHB_1+catfd_1_STHV_40/catpn_1_STHV_40),0)</f>
        <v>0</v>
      </c>
      <c r="H36" s="35">
        <f>IF(AND(catpn_1_STHB_1&gt;0,catpn_1_STHV_40&gt;0),(catdw_1_STHB_1*((dagenperjaar1*VLOOKUP(B36,dagsoorttabel1,2,FALSE))-catfd_1_STHV_40)/catpn_1_STHB_1+catdw_1_STHV_40*catfd_1_STHV_40/catpn_1_STHV_40)/(((dagenperjaar1*VLOOKUP(B36,dagsoorttabel1,2,FALSE))-catfd_1_STHV_40)/catpn_1_STHB_1+catfd_1_STHV_40/catpn_1_STHV_40),0)</f>
        <v>0</v>
      </c>
      <c r="I36" s="19" t="s">
        <v>42</v>
      </c>
      <c r="J36" s="36">
        <f>IF(AND(catpn_1_STHB_1&gt;0,catpn_1_STHV_40&gt;0),(cattf_1_STHB_1*((dagenperjaar1*VLOOKUP(B36,dagsoorttabel1,2,FALSE))-catfd_1_STHV_40)/catpn_1_STHB_1+cattf_1_STHV_40*catfd_1_STHV_40/catpn_1_STHV_40)/(((dagenperjaar1*VLOOKUP(B36,dagsoorttabel1,2,FALSE))-catfd_1_STHV_40)/catpn_1_STHB_1+catfd_1_STHV_40/catpn_1_STHV_40),0)</f>
        <v>0</v>
      </c>
      <c r="K36" s="33">
        <f>IF(OR(ISBLANK(G36),G36=0),0,F36/ROUND(G36,4))</f>
        <v>0</v>
      </c>
      <c r="L36" s="36">
        <f>ROUND(J36,2)*K36</f>
        <v>0</v>
      </c>
      <c r="M36" s="33">
        <f>K36*dagenperjaar1</f>
        <v>0</v>
      </c>
      <c r="N36" s="36">
        <f>M36*ROUND(J36,2)</f>
        <v>0</v>
      </c>
    </row>
    <row r="37" spans="1:14">
      <c r="A37" s="19" t="s">
        <v>239</v>
      </c>
      <c r="B37" s="19" t="s">
        <v>11</v>
      </c>
      <c r="C37" s="19" t="s">
        <v>187</v>
      </c>
      <c r="D37" s="19" t="s">
        <v>240</v>
      </c>
      <c r="E37" s="33">
        <v>36.549999999999997</v>
      </c>
      <c r="F37" s="33">
        <f>E37*VLOOKUP(B37,dagsoorttabel1,2,FALSE)</f>
        <v>28.666666666666664</v>
      </c>
      <c r="G37" s="34">
        <f>IF(AND(catpn_1_STZB_1&gt;0,catpn_1_STZV_40&gt;0),(dagenperjaar1*VLOOKUP(B37,dagsoorttabel1,2,FALSE))/(((dagenperjaar1*VLOOKUP(B37,dagsoorttabel1,2,FALSE))-catfd_1_STZV_40)/catpn_1_STZB_1+catfd_1_STZV_40/catpn_1_STZV_40),0)</f>
        <v>0</v>
      </c>
      <c r="H37" s="35">
        <f>IF(AND(catpn_1_STZB_1&gt;0,catpn_1_STZV_40&gt;0),(catdw_1_STZB_1*((dagenperjaar1*VLOOKUP(B37,dagsoorttabel1,2,FALSE))-catfd_1_STZV_40)/catpn_1_STZB_1+catdw_1_STZV_40*catfd_1_STZV_40/catpn_1_STZV_40)/(((dagenperjaar1*VLOOKUP(B37,dagsoorttabel1,2,FALSE))-catfd_1_STZV_40)/catpn_1_STZB_1+catfd_1_STZV_40/catpn_1_STZV_40),0)</f>
        <v>0</v>
      </c>
      <c r="I37" s="19" t="s">
        <v>42</v>
      </c>
      <c r="J37" s="36">
        <f>IF(AND(catpn_1_STZB_1&gt;0,catpn_1_STZV_40&gt;0),(cattf_1_STZB_1*((dagenperjaar1*VLOOKUP(B37,dagsoorttabel1,2,FALSE))-catfd_1_STZV_40)/catpn_1_STZB_1+cattf_1_STZV_40*catfd_1_STZV_40/catpn_1_STZV_40)/(((dagenperjaar1*VLOOKUP(B37,dagsoorttabel1,2,FALSE))-catfd_1_STZV_40)/catpn_1_STZB_1+catfd_1_STZV_40/catpn_1_STZV_40),0)</f>
        <v>0</v>
      </c>
      <c r="K37" s="33">
        <f>IF(OR(ISBLANK(G37),G37=0),0,F37/ROUND(G37,4))</f>
        <v>0</v>
      </c>
      <c r="L37" s="36">
        <f>ROUND(J37,2)*K37</f>
        <v>0</v>
      </c>
      <c r="M37" s="33">
        <f>K37*dagenperjaar1</f>
        <v>0</v>
      </c>
      <c r="N37" s="36">
        <f>M37*ROUND(J37,2)</f>
        <v>0</v>
      </c>
    </row>
    <row r="38" spans="1:14">
      <c r="A38" s="19" t="s">
        <v>241</v>
      </c>
      <c r="B38" s="19" t="s">
        <v>11</v>
      </c>
      <c r="C38" s="19" t="s">
        <v>187</v>
      </c>
      <c r="D38" s="19" t="s">
        <v>242</v>
      </c>
      <c r="E38" s="33">
        <v>592.19000000000005</v>
      </c>
      <c r="F38" s="33">
        <f>E38*VLOOKUP(B38,dagsoorttabel1,2,FALSE)</f>
        <v>464.46274509803925</v>
      </c>
      <c r="G38" s="34">
        <f>IF(AND(catpn_1_THB_1&gt;0,catpn_1_THV_40&gt;0),(dagenperjaar1*VLOOKUP(B38,dagsoorttabel1,2,FALSE))/(((dagenperjaar1*VLOOKUP(B38,dagsoorttabel1,2,FALSE))-catfd_1_THV_40)/catpn_1_THB_1+catfd_1_THV_40/catpn_1_THV_40),0)</f>
        <v>0</v>
      </c>
      <c r="H38" s="35">
        <f>IF(AND(catpn_1_THB_1&gt;0,catpn_1_THV_40&gt;0),(catdw_1_THB_1*((dagenperjaar1*VLOOKUP(B38,dagsoorttabel1,2,FALSE))-catfd_1_THV_40)/catpn_1_THB_1+catdw_1_THV_40*catfd_1_THV_40/catpn_1_THV_40)/(((dagenperjaar1*VLOOKUP(B38,dagsoorttabel1,2,FALSE))-catfd_1_THV_40)/catpn_1_THB_1+catfd_1_THV_40/catpn_1_THV_40),0)</f>
        <v>0</v>
      </c>
      <c r="I38" s="19" t="s">
        <v>42</v>
      </c>
      <c r="J38" s="36">
        <f>IF(AND(catpn_1_THB_1&gt;0,catpn_1_THV_40&gt;0),(cattf_1_THB_1*((dagenperjaar1*VLOOKUP(B38,dagsoorttabel1,2,FALSE))-catfd_1_THV_40)/catpn_1_THB_1+cattf_1_THV_40*catfd_1_THV_40/catpn_1_THV_40)/(((dagenperjaar1*VLOOKUP(B38,dagsoorttabel1,2,FALSE))-catfd_1_THV_40)/catpn_1_THB_1+catfd_1_THV_40/catpn_1_THV_40),0)</f>
        <v>0</v>
      </c>
      <c r="K38" s="33">
        <f>IF(OR(ISBLANK(G38),G38=0),0,F38/ROUND(G38,4))</f>
        <v>0</v>
      </c>
      <c r="L38" s="36">
        <f>ROUND(J38,2)*K38</f>
        <v>0</v>
      </c>
      <c r="M38" s="33">
        <f>K38*dagenperjaar1</f>
        <v>0</v>
      </c>
      <c r="N38" s="36">
        <f>M38*ROUND(J38,2)</f>
        <v>0</v>
      </c>
    </row>
    <row r="39" spans="1:14">
      <c r="A39" s="19" t="s">
        <v>243</v>
      </c>
      <c r="B39" s="19" t="s">
        <v>11</v>
      </c>
      <c r="C39" s="19" t="s">
        <v>187</v>
      </c>
      <c r="D39" s="19" t="s">
        <v>244</v>
      </c>
      <c r="E39" s="33">
        <v>332.52</v>
      </c>
      <c r="F39" s="33">
        <f>E39*VLOOKUP(B39,dagsoorttabel1,2,FALSE)</f>
        <v>260.79999999999995</v>
      </c>
      <c r="G39" s="34">
        <f>IF(AND(catpn_1_TZB_1&gt;0,catpn_1_TZV_40&gt;0),(dagenperjaar1*VLOOKUP(B39,dagsoorttabel1,2,FALSE))/(((dagenperjaar1*VLOOKUP(B39,dagsoorttabel1,2,FALSE))-catfd_1_TZV_40)/catpn_1_TZB_1+catfd_1_TZV_40/catpn_1_TZV_40),0)</f>
        <v>0</v>
      </c>
      <c r="H39" s="35">
        <f>IF(AND(catpn_1_TZB_1&gt;0,catpn_1_TZV_40&gt;0),(catdw_1_TZB_1*((dagenperjaar1*VLOOKUP(B39,dagsoorttabel1,2,FALSE))-catfd_1_TZV_40)/catpn_1_TZB_1+catdw_1_TZV_40*catfd_1_TZV_40/catpn_1_TZV_40)/(((dagenperjaar1*VLOOKUP(B39,dagsoorttabel1,2,FALSE))-catfd_1_TZV_40)/catpn_1_TZB_1+catfd_1_TZV_40/catpn_1_TZV_40),0)</f>
        <v>0</v>
      </c>
      <c r="I39" s="19" t="s">
        <v>42</v>
      </c>
      <c r="J39" s="36">
        <f>IF(AND(catpn_1_TZB_1&gt;0,catpn_1_TZV_40&gt;0),(cattf_1_TZB_1*((dagenperjaar1*VLOOKUP(B39,dagsoorttabel1,2,FALSE))-catfd_1_TZV_40)/catpn_1_TZB_1+cattf_1_TZV_40*catfd_1_TZV_40/catpn_1_TZV_40)/(((dagenperjaar1*VLOOKUP(B39,dagsoorttabel1,2,FALSE))-catfd_1_TZV_40)/catpn_1_TZB_1+catfd_1_TZV_40/catpn_1_TZV_40),0)</f>
        <v>0</v>
      </c>
      <c r="K39" s="33">
        <f>IF(OR(ISBLANK(G39),G39=0),0,F39/ROUND(G39,4))</f>
        <v>0</v>
      </c>
      <c r="L39" s="36">
        <f>ROUND(J39,2)*K39</f>
        <v>0</v>
      </c>
      <c r="M39" s="33">
        <f>K39*dagenperjaar1</f>
        <v>0</v>
      </c>
      <c r="N39" s="36">
        <f>M39*ROUND(J39,2)</f>
        <v>0</v>
      </c>
    </row>
    <row r="40" spans="1:14">
      <c r="A40" s="19" t="s">
        <v>245</v>
      </c>
      <c r="B40" s="19" t="s">
        <v>11</v>
      </c>
      <c r="C40" s="19" t="s">
        <v>187</v>
      </c>
      <c r="D40" s="19" t="s">
        <v>246</v>
      </c>
      <c r="E40" s="33">
        <v>3836.05</v>
      </c>
      <c r="F40" s="33">
        <f>E40*VLOOKUP(B40,dagsoorttabel1,2,FALSE)</f>
        <v>3008.666666666667</v>
      </c>
      <c r="G40" s="34">
        <f>IF(AND(catpn_1_VHB_1&gt;0,catpn_1_VHV_40&gt;0),(dagenperjaar1*VLOOKUP(B40,dagsoorttabel1,2,FALSE))/(((dagenperjaar1*VLOOKUP(B40,dagsoorttabel1,2,FALSE))-catfd_1_VHV_40)/catpn_1_VHB_1+catfd_1_VHV_40/catpn_1_VHV_40),0)</f>
        <v>0</v>
      </c>
      <c r="H40" s="35">
        <f>IF(AND(catpn_1_VHB_1&gt;0,catpn_1_VHV_40&gt;0),(catdw_1_VHB_1*((dagenperjaar1*VLOOKUP(B40,dagsoorttabel1,2,FALSE))-catfd_1_VHV_40)/catpn_1_VHB_1+catdw_1_VHV_40*catfd_1_VHV_40/catpn_1_VHV_40)/(((dagenperjaar1*VLOOKUP(B40,dagsoorttabel1,2,FALSE))-catfd_1_VHV_40)/catpn_1_VHB_1+catfd_1_VHV_40/catpn_1_VHV_40),0)</f>
        <v>0</v>
      </c>
      <c r="I40" s="19" t="s">
        <v>42</v>
      </c>
      <c r="J40" s="36">
        <f>IF(AND(catpn_1_VHB_1&gt;0,catpn_1_VHV_40&gt;0),(cattf_1_VHB_1*((dagenperjaar1*VLOOKUP(B40,dagsoorttabel1,2,FALSE))-catfd_1_VHV_40)/catpn_1_VHB_1+cattf_1_VHV_40*catfd_1_VHV_40/catpn_1_VHV_40)/(((dagenperjaar1*VLOOKUP(B40,dagsoorttabel1,2,FALSE))-catfd_1_VHV_40)/catpn_1_VHB_1+catfd_1_VHV_40/catpn_1_VHV_40),0)</f>
        <v>0</v>
      </c>
      <c r="K40" s="33">
        <f>IF(OR(ISBLANK(G40),G40=0),0,F40/ROUND(G40,4))</f>
        <v>0</v>
      </c>
      <c r="L40" s="36">
        <f>ROUND(J40,2)*K40</f>
        <v>0</v>
      </c>
      <c r="M40" s="33">
        <f>K40*dagenperjaar1</f>
        <v>0</v>
      </c>
      <c r="N40" s="36">
        <f>M40*ROUND(J40,2)</f>
        <v>0</v>
      </c>
    </row>
    <row r="41" spans="1:14">
      <c r="A41" s="19" t="s">
        <v>245</v>
      </c>
      <c r="B41" s="19" t="s">
        <v>15</v>
      </c>
      <c r="C41" s="19" t="s">
        <v>187</v>
      </c>
      <c r="D41" s="19" t="s">
        <v>246</v>
      </c>
      <c r="E41" s="33">
        <v>39.65</v>
      </c>
      <c r="F41" s="33">
        <f>E41*VLOOKUP(B41,dagsoorttabel1,2,FALSE)</f>
        <v>12.43921568627451</v>
      </c>
      <c r="G41" s="34">
        <f>IF(AND(catpn_1_VHB_1&gt;0,catpn_1_VHV_40&gt;0),(dagenperjaar1*VLOOKUP(B41,dagsoorttabel1,2,FALSE))/(((dagenperjaar1*VLOOKUP(B41,dagsoorttabel1,2,FALSE))-catfd_1_VHV_40)/catpn_1_VHB_1+catfd_1_VHV_40/catpn_1_VHV_40),0)</f>
        <v>0</v>
      </c>
      <c r="H41" s="35">
        <f>IF(AND(catpn_1_VHB_1&gt;0,catpn_1_VHV_40&gt;0),(catdw_1_VHB_1*((dagenperjaar1*VLOOKUP(B41,dagsoorttabel1,2,FALSE))-catfd_1_VHV_40)/catpn_1_VHB_1+catdw_1_VHV_40*catfd_1_VHV_40/catpn_1_VHV_40)/(((dagenperjaar1*VLOOKUP(B41,dagsoorttabel1,2,FALSE))-catfd_1_VHV_40)/catpn_1_VHB_1+catfd_1_VHV_40/catpn_1_VHV_40),0)</f>
        <v>0</v>
      </c>
      <c r="I41" s="19" t="s">
        <v>42</v>
      </c>
      <c r="J41" s="36">
        <f>IF(AND(catpn_1_VHB_1&gt;0,catpn_1_VHV_40&gt;0),(cattf_1_VHB_1*((dagenperjaar1*VLOOKUP(B41,dagsoorttabel1,2,FALSE))-catfd_1_VHV_40)/catpn_1_VHB_1+cattf_1_VHV_40*catfd_1_VHV_40/catpn_1_VHV_40)/(((dagenperjaar1*VLOOKUP(B41,dagsoorttabel1,2,FALSE))-catfd_1_VHV_40)/catpn_1_VHB_1+catfd_1_VHV_40/catpn_1_VHV_40),0)</f>
        <v>0</v>
      </c>
      <c r="K41" s="33">
        <f>IF(OR(ISBLANK(G41),G41=0),0,F41/ROUND(G41,4))</f>
        <v>0</v>
      </c>
      <c r="L41" s="36">
        <f>ROUND(J41,2)*K41</f>
        <v>0</v>
      </c>
      <c r="M41" s="33">
        <f>K41*dagenperjaar1</f>
        <v>0</v>
      </c>
      <c r="N41" s="36">
        <f>M41*ROUND(J41,2)</f>
        <v>0</v>
      </c>
    </row>
    <row r="42" spans="1:14">
      <c r="A42" s="19" t="s">
        <v>247</v>
      </c>
      <c r="B42" s="19" t="s">
        <v>11</v>
      </c>
      <c r="C42" s="19" t="s">
        <v>187</v>
      </c>
      <c r="D42" s="19" t="s">
        <v>248</v>
      </c>
      <c r="E42" s="33">
        <v>198.83</v>
      </c>
      <c r="F42" s="33">
        <f>E42*VLOOKUP(B42,dagsoorttabel1,2,FALSE)</f>
        <v>155.94509803921571</v>
      </c>
      <c r="G42" s="34">
        <f>IF(AND(catpn_1_VZB_1&gt;0,catpn_1_VZV_40&gt;0),(dagenperjaar1*VLOOKUP(B42,dagsoorttabel1,2,FALSE))/(((dagenperjaar1*VLOOKUP(B42,dagsoorttabel1,2,FALSE))-catfd_1_VZV_40)/catpn_1_VZB_1+catfd_1_VZV_40/catpn_1_VZV_40),0)</f>
        <v>0</v>
      </c>
      <c r="H42" s="35">
        <f>IF(AND(catpn_1_VZB_1&gt;0,catpn_1_VZV_40&gt;0),(catdw_1_VZB_1*((dagenperjaar1*VLOOKUP(B42,dagsoorttabel1,2,FALSE))-catfd_1_VZV_40)/catpn_1_VZB_1+catdw_1_VZV_40*catfd_1_VZV_40/catpn_1_VZV_40)/(((dagenperjaar1*VLOOKUP(B42,dagsoorttabel1,2,FALSE))-catfd_1_VZV_40)/catpn_1_VZB_1+catfd_1_VZV_40/catpn_1_VZV_40),0)</f>
        <v>0</v>
      </c>
      <c r="I42" s="19" t="s">
        <v>42</v>
      </c>
      <c r="J42" s="36">
        <f>IF(AND(catpn_1_VZB_1&gt;0,catpn_1_VZV_40&gt;0),(cattf_1_VZB_1*((dagenperjaar1*VLOOKUP(B42,dagsoorttabel1,2,FALSE))-catfd_1_VZV_40)/catpn_1_VZB_1+cattf_1_VZV_40*catfd_1_VZV_40/catpn_1_VZV_40)/(((dagenperjaar1*VLOOKUP(B42,dagsoorttabel1,2,FALSE))-catfd_1_VZV_40)/catpn_1_VZB_1+catfd_1_VZV_40/catpn_1_VZV_40),0)</f>
        <v>0</v>
      </c>
      <c r="K42" s="33">
        <f>IF(OR(ISBLANK(G42),G42=0),0,F42/ROUND(G42,4))</f>
        <v>0</v>
      </c>
      <c r="L42" s="36">
        <f>ROUND(J42,2)*K42</f>
        <v>0</v>
      </c>
      <c r="M42" s="33">
        <f>K42*dagenperjaar1</f>
        <v>0</v>
      </c>
      <c r="N42" s="36">
        <f>M42*ROUND(J42,2)</f>
        <v>0</v>
      </c>
    </row>
    <row r="43" spans="1:14">
      <c r="A43" s="24" t="s">
        <v>249</v>
      </c>
      <c r="B43" s="24" t="s">
        <v>29</v>
      </c>
      <c r="C43" s="24" t="s">
        <v>250</v>
      </c>
      <c r="D43" s="24" t="s">
        <v>251</v>
      </c>
      <c r="E43" s="37">
        <v>166.67000000000002</v>
      </c>
      <c r="F43" s="37">
        <f>E43*VLOOKUP(B43,dagsoorttabel1,2,FALSE)</f>
        <v>0.65360784313725495</v>
      </c>
      <c r="G43" s="38"/>
      <c r="H43" s="27"/>
      <c r="I43" s="24" t="s">
        <v>42</v>
      </c>
      <c r="J43" s="28"/>
      <c r="K43" s="37">
        <f>IF(OR(ISBLANK(G43),G43=0),0,F43/ROUND(G43,4))</f>
        <v>0</v>
      </c>
      <c r="L43" s="39">
        <f>ROUND(J43,2)*K43</f>
        <v>0</v>
      </c>
      <c r="M43" s="37">
        <f>K43*dagenperjaar1</f>
        <v>0</v>
      </c>
      <c r="N43" s="39">
        <f>M43*ROUND(J43,2)</f>
        <v>0</v>
      </c>
    </row>
    <row r="44" spans="1:14">
      <c r="A44" s="40" t="s">
        <v>252</v>
      </c>
      <c r="B44" s="41"/>
      <c r="C44" s="41"/>
      <c r="D44" s="41"/>
      <c r="E44" s="41"/>
      <c r="F44" s="41"/>
      <c r="G44" s="41"/>
      <c r="H44" s="41"/>
      <c r="I44" s="41"/>
      <c r="J44" s="41"/>
      <c r="K44" s="85">
        <f>SUM(K6:K43)</f>
        <v>0</v>
      </c>
      <c r="L44" s="42">
        <f>SUM(L6:L43)</f>
        <v>0</v>
      </c>
      <c r="M44" s="85">
        <f>SUM(M6:M43)</f>
        <v>0</v>
      </c>
      <c r="N44" s="42">
        <f>SUM(N6:N43)</f>
        <v>0</v>
      </c>
    </row>
    <row r="45" spans="1:14">
      <c r="A45" s="4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4"/>
    </row>
    <row r="46" spans="1:14">
      <c r="A46" s="40" t="s">
        <v>253</v>
      </c>
      <c r="B46" s="41"/>
      <c r="C46" s="41"/>
      <c r="D46" s="41"/>
      <c r="E46" s="41"/>
      <c r="F46" s="41"/>
      <c r="G46" s="41"/>
      <c r="H46" s="41"/>
      <c r="I46" s="41"/>
      <c r="J46" s="42">
        <f>IF(urenjaar1&gt;0,SUMIF(M6:M43,"&gt;0",N6:N43)/urenjaar1,0)</f>
        <v>0</v>
      </c>
      <c r="K46" s="41"/>
      <c r="L46" s="41"/>
      <c r="M46" s="41"/>
      <c r="N46" s="44"/>
    </row>
    <row r="47" spans="1:14">
      <c r="A47" s="43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4"/>
    </row>
    <row r="48" spans="1:14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10"/>
    </row>
    <row r="49" spans="1:14">
      <c r="A49" s="11" t="s">
        <v>167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</row>
    <row r="50" spans="1:14">
      <c r="A50" s="14" t="s">
        <v>254</v>
      </c>
      <c r="B50" s="14" t="s">
        <v>23</v>
      </c>
      <c r="C50" s="14" t="s">
        <v>187</v>
      </c>
      <c r="D50" s="14" t="s">
        <v>192</v>
      </c>
      <c r="E50" s="29">
        <v>1250.1399999999999</v>
      </c>
      <c r="F50" s="29">
        <f>E50*VLOOKUP(B50,dagsoorttabel1,2,FALSE)</f>
        <v>49.025098039215678</v>
      </c>
      <c r="G50" s="30">
        <f>catpn_2_VBHB_1</f>
        <v>0</v>
      </c>
      <c r="H50" s="31">
        <f>catdw_2_VBHB_1</f>
        <v>0</v>
      </c>
      <c r="I50" s="14" t="s">
        <v>42</v>
      </c>
      <c r="J50" s="32">
        <f>cattf_2_VBHB_1</f>
        <v>0</v>
      </c>
      <c r="K50" s="29">
        <f>IF(OR(ISBLANK(G50),G50=0),0,F50/ROUND(G50,4))</f>
        <v>0</v>
      </c>
      <c r="L50" s="32">
        <f>ROUND(J50,2)*K50</f>
        <v>0</v>
      </c>
      <c r="M50" s="29">
        <f>K50*dagenperjaar1</f>
        <v>0</v>
      </c>
      <c r="N50" s="32">
        <f>M50*ROUND(J50,2)</f>
        <v>0</v>
      </c>
    </row>
    <row r="51" spans="1:14">
      <c r="A51" s="19" t="s">
        <v>254</v>
      </c>
      <c r="B51" s="19" t="s">
        <v>26</v>
      </c>
      <c r="C51" s="19" t="s">
        <v>187</v>
      </c>
      <c r="D51" s="19" t="s">
        <v>192</v>
      </c>
      <c r="E51" s="33">
        <v>309.86</v>
      </c>
      <c r="F51" s="33">
        <f>E51*VLOOKUP(B51,dagsoorttabel1,2,FALSE)</f>
        <v>4.8605490196078431</v>
      </c>
      <c r="G51" s="34">
        <f>catpn_2_VBHB_1</f>
        <v>0</v>
      </c>
      <c r="H51" s="35">
        <f>catdw_2_VBHB_1</f>
        <v>0</v>
      </c>
      <c r="I51" s="19" t="s">
        <v>42</v>
      </c>
      <c r="J51" s="36">
        <f>cattf_2_VBHB_1</f>
        <v>0</v>
      </c>
      <c r="K51" s="33">
        <f>IF(OR(ISBLANK(G51),G51=0),0,F51/ROUND(G51,4))</f>
        <v>0</v>
      </c>
      <c r="L51" s="36">
        <f>ROUND(J51,2)*K51</f>
        <v>0</v>
      </c>
      <c r="M51" s="33">
        <f>K51*dagenperjaar1</f>
        <v>0</v>
      </c>
      <c r="N51" s="36">
        <f>M51*ROUND(J51,2)</f>
        <v>0</v>
      </c>
    </row>
    <row r="52" spans="1:14">
      <c r="A52" s="19" t="s">
        <v>255</v>
      </c>
      <c r="B52" s="19" t="s">
        <v>23</v>
      </c>
      <c r="C52" s="19" t="s">
        <v>187</v>
      </c>
      <c r="D52" s="19" t="s">
        <v>194</v>
      </c>
      <c r="E52" s="33">
        <v>403.68</v>
      </c>
      <c r="F52" s="33">
        <f>E52*VLOOKUP(B52,dagsoorttabel1,2,FALSE)</f>
        <v>15.830588235294117</v>
      </c>
      <c r="G52" s="34">
        <f>catpn_2_VBZB_1</f>
        <v>0</v>
      </c>
      <c r="H52" s="35">
        <f>catdw_2_VBZB_1</f>
        <v>0</v>
      </c>
      <c r="I52" s="19" t="s">
        <v>42</v>
      </c>
      <c r="J52" s="36">
        <f>cattf_2_VBZB_1</f>
        <v>0</v>
      </c>
      <c r="K52" s="33">
        <f>IF(OR(ISBLANK(G52),G52=0),0,F52/ROUND(G52,4))</f>
        <v>0</v>
      </c>
      <c r="L52" s="36">
        <f>ROUND(J52,2)*K52</f>
        <v>0</v>
      </c>
      <c r="M52" s="33">
        <f>K52*dagenperjaar1</f>
        <v>0</v>
      </c>
      <c r="N52" s="36">
        <f>M52*ROUND(J52,2)</f>
        <v>0</v>
      </c>
    </row>
    <row r="53" spans="1:14">
      <c r="A53" s="19" t="s">
        <v>256</v>
      </c>
      <c r="B53" s="19" t="s">
        <v>23</v>
      </c>
      <c r="C53" s="19" t="s">
        <v>187</v>
      </c>
      <c r="D53" s="19" t="s">
        <v>200</v>
      </c>
      <c r="E53" s="33">
        <v>173.58</v>
      </c>
      <c r="F53" s="33">
        <f>E53*VLOOKUP(B53,dagsoorttabel1,2,FALSE)</f>
        <v>6.8070588235294123</v>
      </c>
      <c r="G53" s="34">
        <f>catpn_2_VEHB_1</f>
        <v>0</v>
      </c>
      <c r="H53" s="35">
        <f>catdw_2_VEHB_1</f>
        <v>0</v>
      </c>
      <c r="I53" s="19" t="s">
        <v>42</v>
      </c>
      <c r="J53" s="36">
        <f>cattf_2_VEHB_1</f>
        <v>0</v>
      </c>
      <c r="K53" s="33">
        <f>IF(OR(ISBLANK(G53),G53=0),0,F53/ROUND(G53,4))</f>
        <v>0</v>
      </c>
      <c r="L53" s="36">
        <f>ROUND(J53,2)*K53</f>
        <v>0</v>
      </c>
      <c r="M53" s="33">
        <f>K53*dagenperjaar1</f>
        <v>0</v>
      </c>
      <c r="N53" s="36">
        <f>M53*ROUND(J53,2)</f>
        <v>0</v>
      </c>
    </row>
    <row r="54" spans="1:14">
      <c r="A54" s="19" t="s">
        <v>257</v>
      </c>
      <c r="B54" s="19" t="s">
        <v>23</v>
      </c>
      <c r="C54" s="19" t="s">
        <v>187</v>
      </c>
      <c r="D54" s="19" t="s">
        <v>202</v>
      </c>
      <c r="E54" s="33">
        <v>74.44</v>
      </c>
      <c r="F54" s="33">
        <f>E54*VLOOKUP(B54,dagsoorttabel1,2,FALSE)</f>
        <v>2.9192156862745096</v>
      </c>
      <c r="G54" s="34">
        <f>catpn_2_VEZB_1</f>
        <v>0</v>
      </c>
      <c r="H54" s="35">
        <f>catdw_2_VEZB_1</f>
        <v>0</v>
      </c>
      <c r="I54" s="19" t="s">
        <v>42</v>
      </c>
      <c r="J54" s="36">
        <f>cattf_2_VEZB_1</f>
        <v>0</v>
      </c>
      <c r="K54" s="33">
        <f>IF(OR(ISBLANK(G54),G54=0),0,F54/ROUND(G54,4))</f>
        <v>0</v>
      </c>
      <c r="L54" s="36">
        <f>ROUND(J54,2)*K54</f>
        <v>0</v>
      </c>
      <c r="M54" s="33">
        <f>K54*dagenperjaar1</f>
        <v>0</v>
      </c>
      <c r="N54" s="36">
        <f>M54*ROUND(J54,2)</f>
        <v>0</v>
      </c>
    </row>
    <row r="55" spans="1:14">
      <c r="A55" s="19" t="s">
        <v>258</v>
      </c>
      <c r="B55" s="19" t="s">
        <v>23</v>
      </c>
      <c r="C55" s="19" t="s">
        <v>187</v>
      </c>
      <c r="D55" s="19" t="s">
        <v>208</v>
      </c>
      <c r="E55" s="33">
        <v>8.31</v>
      </c>
      <c r="F55" s="33">
        <f>E55*VLOOKUP(B55,dagsoorttabel1,2,FALSE)</f>
        <v>0.32588235294117651</v>
      </c>
      <c r="G55" s="34">
        <f>catpn_2_VIHB_1</f>
        <v>0</v>
      </c>
      <c r="H55" s="35">
        <f>catdw_2_VIHB_1</f>
        <v>0</v>
      </c>
      <c r="I55" s="19" t="s">
        <v>42</v>
      </c>
      <c r="J55" s="36">
        <f>cattf_2_VIHB_1</f>
        <v>0</v>
      </c>
      <c r="K55" s="33">
        <f>IF(OR(ISBLANK(G55),G55=0),0,F55/ROUND(G55,4))</f>
        <v>0</v>
      </c>
      <c r="L55" s="36">
        <f>ROUND(J55,2)*K55</f>
        <v>0</v>
      </c>
      <c r="M55" s="33">
        <f>K55*dagenperjaar1</f>
        <v>0</v>
      </c>
      <c r="N55" s="36">
        <f>M55*ROUND(J55,2)</f>
        <v>0</v>
      </c>
    </row>
    <row r="56" spans="1:14">
      <c r="A56" s="19" t="s">
        <v>259</v>
      </c>
      <c r="B56" s="19" t="s">
        <v>23</v>
      </c>
      <c r="C56" s="19" t="s">
        <v>187</v>
      </c>
      <c r="D56" s="19" t="s">
        <v>260</v>
      </c>
      <c r="E56" s="33">
        <v>4.37</v>
      </c>
      <c r="F56" s="33">
        <f>E56*VLOOKUP(B56,dagsoorttabel1,2,FALSE)</f>
        <v>0.17137254901960786</v>
      </c>
      <c r="G56" s="34">
        <f>catpn_2_VIZB_1</f>
        <v>0</v>
      </c>
      <c r="H56" s="35">
        <f>catdw_2_VIZB_1</f>
        <v>0</v>
      </c>
      <c r="I56" s="19" t="s">
        <v>42</v>
      </c>
      <c r="J56" s="36">
        <f>cattf_2_VIZB_1</f>
        <v>0</v>
      </c>
      <c r="K56" s="33">
        <f>IF(OR(ISBLANK(G56),G56=0),0,F56/ROUND(G56,4))</f>
        <v>0</v>
      </c>
      <c r="L56" s="36">
        <f>ROUND(J56,2)*K56</f>
        <v>0</v>
      </c>
      <c r="M56" s="33">
        <f>K56*dagenperjaar1</f>
        <v>0</v>
      </c>
      <c r="N56" s="36">
        <f>M56*ROUND(J56,2)</f>
        <v>0</v>
      </c>
    </row>
    <row r="57" spans="1:14">
      <c r="A57" s="19" t="s">
        <v>261</v>
      </c>
      <c r="B57" s="19" t="s">
        <v>23</v>
      </c>
      <c r="C57" s="19" t="s">
        <v>187</v>
      </c>
      <c r="D57" s="19" t="s">
        <v>234</v>
      </c>
      <c r="E57" s="33">
        <v>140.48000000000002</v>
      </c>
      <c r="F57" s="33">
        <f>E57*VLOOKUP(B57,dagsoorttabel1,2,FALSE)</f>
        <v>5.5090196078431379</v>
      </c>
      <c r="G57" s="34">
        <f>catpn_2_VSHB_1</f>
        <v>0</v>
      </c>
      <c r="H57" s="35">
        <f>catdw_2_VSHB_1</f>
        <v>0</v>
      </c>
      <c r="I57" s="19" t="s">
        <v>42</v>
      </c>
      <c r="J57" s="36">
        <f>cattf_2_VSHB_1</f>
        <v>0</v>
      </c>
      <c r="K57" s="33">
        <f>IF(OR(ISBLANK(G57),G57=0),0,F57/ROUND(G57,4))</f>
        <v>0</v>
      </c>
      <c r="L57" s="36">
        <f>ROUND(J57,2)*K57</f>
        <v>0</v>
      </c>
      <c r="M57" s="33">
        <f>K57*dagenperjaar1</f>
        <v>0</v>
      </c>
      <c r="N57" s="36">
        <f>M57*ROUND(J57,2)</f>
        <v>0</v>
      </c>
    </row>
    <row r="58" spans="1:14">
      <c r="A58" s="19" t="s">
        <v>262</v>
      </c>
      <c r="B58" s="19" t="s">
        <v>23</v>
      </c>
      <c r="C58" s="19" t="s">
        <v>187</v>
      </c>
      <c r="D58" s="19" t="s">
        <v>242</v>
      </c>
      <c r="E58" s="33">
        <v>30</v>
      </c>
      <c r="F58" s="33">
        <f>E58*VLOOKUP(B58,dagsoorttabel1,2,FALSE)</f>
        <v>1.1764705882352942</v>
      </c>
      <c r="G58" s="34">
        <f>catpn_2_VTHB_1</f>
        <v>0</v>
      </c>
      <c r="H58" s="35">
        <f>catdw_2_VTHB_1</f>
        <v>0</v>
      </c>
      <c r="I58" s="19" t="s">
        <v>42</v>
      </c>
      <c r="J58" s="36">
        <f>cattf_2_VTHB_1</f>
        <v>0</v>
      </c>
      <c r="K58" s="33">
        <f>IF(OR(ISBLANK(G58),G58=0),0,F58/ROUND(G58,4))</f>
        <v>0</v>
      </c>
      <c r="L58" s="36">
        <f>ROUND(J58,2)*K58</f>
        <v>0</v>
      </c>
      <c r="M58" s="33">
        <f>K58*dagenperjaar1</f>
        <v>0</v>
      </c>
      <c r="N58" s="36">
        <f>M58*ROUND(J58,2)</f>
        <v>0</v>
      </c>
    </row>
    <row r="59" spans="1:14">
      <c r="A59" s="19" t="s">
        <v>263</v>
      </c>
      <c r="B59" s="19" t="s">
        <v>23</v>
      </c>
      <c r="C59" s="19" t="s">
        <v>187</v>
      </c>
      <c r="D59" s="19" t="s">
        <v>246</v>
      </c>
      <c r="E59" s="33">
        <v>1121.44</v>
      </c>
      <c r="F59" s="33">
        <f>E59*VLOOKUP(B59,dagsoorttabel1,2,FALSE)</f>
        <v>43.978039215686273</v>
      </c>
      <c r="G59" s="34">
        <f>catpn_2_VVHB_1</f>
        <v>0</v>
      </c>
      <c r="H59" s="35">
        <f>catdw_2_VVHB_1</f>
        <v>0</v>
      </c>
      <c r="I59" s="19" t="s">
        <v>42</v>
      </c>
      <c r="J59" s="36">
        <f>cattf_2_VVHB_1</f>
        <v>0</v>
      </c>
      <c r="K59" s="33">
        <f>IF(OR(ISBLANK(G59),G59=0),0,F59/ROUND(G59,4))</f>
        <v>0</v>
      </c>
      <c r="L59" s="36">
        <f>ROUND(J59,2)*K59</f>
        <v>0</v>
      </c>
      <c r="M59" s="33">
        <f>K59*dagenperjaar1</f>
        <v>0</v>
      </c>
      <c r="N59" s="36">
        <f>M59*ROUND(J59,2)</f>
        <v>0</v>
      </c>
    </row>
    <row r="60" spans="1:14">
      <c r="A60" s="24" t="s">
        <v>264</v>
      </c>
      <c r="B60" s="24" t="s">
        <v>23</v>
      </c>
      <c r="C60" s="24" t="s">
        <v>187</v>
      </c>
      <c r="D60" s="24" t="s">
        <v>248</v>
      </c>
      <c r="E60" s="37">
        <v>22.959999999999997</v>
      </c>
      <c r="F60" s="37">
        <f>E60*VLOOKUP(B60,dagsoorttabel1,2,FALSE)</f>
        <v>0.90039215686274499</v>
      </c>
      <c r="G60" s="45">
        <f>catpn_2_VVZB_1</f>
        <v>0</v>
      </c>
      <c r="H60" s="46">
        <f>catdw_2_VVZB_1</f>
        <v>0</v>
      </c>
      <c r="I60" s="24" t="s">
        <v>42</v>
      </c>
      <c r="J60" s="39">
        <f>cattf_2_VVZB_1</f>
        <v>0</v>
      </c>
      <c r="K60" s="37">
        <f>IF(OR(ISBLANK(G60),G60=0),0,F60/ROUND(G60,4))</f>
        <v>0</v>
      </c>
      <c r="L60" s="39">
        <f>ROUND(J60,2)*K60</f>
        <v>0</v>
      </c>
      <c r="M60" s="37">
        <f>K60*dagenperjaar1</f>
        <v>0</v>
      </c>
      <c r="N60" s="39">
        <f>M60*ROUND(J60,2)</f>
        <v>0</v>
      </c>
    </row>
    <row r="61" spans="1:14">
      <c r="A61" s="40" t="s">
        <v>265</v>
      </c>
      <c r="B61" s="41"/>
      <c r="C61" s="41"/>
      <c r="D61" s="41"/>
      <c r="E61" s="41"/>
      <c r="F61" s="41"/>
      <c r="G61" s="41"/>
      <c r="H61" s="41"/>
      <c r="I61" s="41"/>
      <c r="J61" s="41"/>
      <c r="K61" s="85">
        <f>SUM(K50:K60)</f>
        <v>0</v>
      </c>
      <c r="L61" s="42">
        <f>SUM(L50:L60)</f>
        <v>0</v>
      </c>
      <c r="M61" s="85">
        <f>SUM(M50:M60)</f>
        <v>0</v>
      </c>
      <c r="N61" s="42">
        <f>SUM(N50:N60)</f>
        <v>0</v>
      </c>
    </row>
    <row r="62" spans="1:14">
      <c r="A62" s="4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4"/>
    </row>
    <row r="63" spans="1:14">
      <c r="A63" s="40" t="s">
        <v>266</v>
      </c>
      <c r="B63" s="41"/>
      <c r="C63" s="41"/>
      <c r="D63" s="41"/>
      <c r="E63" s="41"/>
      <c r="F63" s="41"/>
      <c r="G63" s="41"/>
      <c r="H63" s="41"/>
      <c r="I63" s="41"/>
      <c r="J63" s="42">
        <f>IF(urenjaar2&gt;0,SUMIF(M50:M60,"&gt;0",N50:N60)/urenjaar2,0)</f>
        <v>0</v>
      </c>
      <c r="K63" s="41"/>
      <c r="L63" s="41"/>
      <c r="M63" s="41"/>
      <c r="N63" s="44"/>
    </row>
    <row r="64" spans="1:14">
      <c r="A64" s="4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4"/>
    </row>
    <row r="66" spans="1:14">
      <c r="A66" s="40" t="s">
        <v>267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85">
        <f>urenjaar1+urenjaar2</f>
        <v>0</v>
      </c>
      <c r="N66" s="42">
        <f>prijsjaar1+prijsjaar2</f>
        <v>0</v>
      </c>
    </row>
  </sheetData>
  <pageMargins left="0.7" right="0.7" top="0.75" bottom="0.75" header="0.3" footer="0.3"/>
  <pageSetup paperSize="9" scale="70" orientation="landscape" r:id="rId1"/>
  <headerFooter>
    <oddFooter>&amp;LROC Midden Nederland EA 2022                                &amp;ROpmaakdatum: 02-06-2022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4357-7A34-43EA-9BC3-DCF66A4FEF81}">
  <dimension ref="A1:O56"/>
  <sheetViews>
    <sheetView topLeftCell="A22" workbookViewId="0">
      <selection activeCell="C15" sqref="C15"/>
    </sheetView>
  </sheetViews>
  <sheetFormatPr defaultRowHeight="12.75"/>
  <cols>
    <col min="1" max="1" width="5.625" customWidth="1"/>
    <col min="2" max="2" width="6.125" customWidth="1"/>
    <col min="3" max="3" width="11.625" customWidth="1"/>
    <col min="4" max="15" width="12.625" customWidth="1"/>
  </cols>
  <sheetData>
    <row r="1" spans="1:15">
      <c r="A1" s="1" t="s">
        <v>268</v>
      </c>
    </row>
    <row r="3" spans="1:15">
      <c r="A3" s="47" t="s">
        <v>178</v>
      </c>
      <c r="B3" s="47" t="s">
        <v>7</v>
      </c>
      <c r="C3" s="47" t="s">
        <v>269</v>
      </c>
      <c r="D3" s="47" t="s">
        <v>270</v>
      </c>
      <c r="E3" s="47" t="s">
        <v>271</v>
      </c>
      <c r="F3" s="47" t="s">
        <v>272</v>
      </c>
      <c r="G3" s="47" t="s">
        <v>273</v>
      </c>
      <c r="H3" s="47" t="s">
        <v>35</v>
      </c>
      <c r="I3" s="47" t="s">
        <v>274</v>
      </c>
      <c r="J3" s="47" t="s">
        <v>275</v>
      </c>
      <c r="K3" s="47" t="s">
        <v>276</v>
      </c>
      <c r="L3" s="47" t="s">
        <v>277</v>
      </c>
      <c r="M3" s="47" t="s">
        <v>278</v>
      </c>
      <c r="N3" s="47" t="s">
        <v>279</v>
      </c>
      <c r="O3" s="47" t="s">
        <v>280</v>
      </c>
    </row>
    <row r="4" spans="1:15">
      <c r="A4" s="48"/>
      <c r="B4" s="48"/>
      <c r="C4" s="48"/>
      <c r="D4" s="48"/>
      <c r="E4" s="48"/>
      <c r="F4" s="48"/>
      <c r="G4" s="48"/>
      <c r="H4" s="48"/>
      <c r="I4" s="48"/>
      <c r="J4" s="49" t="s">
        <v>180</v>
      </c>
      <c r="K4" s="49" t="s">
        <v>180</v>
      </c>
      <c r="L4" s="49" t="s">
        <v>180</v>
      </c>
      <c r="M4" s="49" t="s">
        <v>180</v>
      </c>
      <c r="N4" s="49" t="s">
        <v>180</v>
      </c>
      <c r="O4" s="49" t="s">
        <v>180</v>
      </c>
    </row>
    <row r="5" spans="1:15">
      <c r="A5" s="14" t="s">
        <v>186</v>
      </c>
      <c r="B5" s="14" t="s">
        <v>11</v>
      </c>
      <c r="C5" s="14" t="s">
        <v>281</v>
      </c>
      <c r="D5" s="14" t="s">
        <v>187</v>
      </c>
      <c r="E5" s="29">
        <f>IF(B5="","",VLOOKUP(B5,dagsoorttabel1,2,FALSE))</f>
        <v>0.78431372549019607</v>
      </c>
      <c r="F5" s="29">
        <v>1</v>
      </c>
      <c r="G5" s="29">
        <f>IF(prodnorm9&gt;0,1/ROUND(prodnorm9,4),0)</f>
        <v>0</v>
      </c>
      <c r="H5" s="31">
        <f>ROUND(dagwerk9,4+2)</f>
        <v>0</v>
      </c>
      <c r="I5" s="32">
        <f>ROUND(uurtarief9,2)</f>
        <v>0</v>
      </c>
      <c r="J5" s="29">
        <v>160.63999999999999</v>
      </c>
      <c r="K5" s="29">
        <v>423</v>
      </c>
      <c r="L5" s="29">
        <v>756.41</v>
      </c>
      <c r="M5" s="29">
        <v>401.68</v>
      </c>
      <c r="N5" s="29">
        <v>0</v>
      </c>
      <c r="O5" s="29">
        <v>204.44</v>
      </c>
    </row>
    <row r="6" spans="1:15">
      <c r="A6" s="19" t="s">
        <v>186</v>
      </c>
      <c r="B6" s="19" t="s">
        <v>15</v>
      </c>
      <c r="C6" s="19" t="s">
        <v>281</v>
      </c>
      <c r="D6" s="19" t="s">
        <v>187</v>
      </c>
      <c r="E6" s="33">
        <f>IF(B6="","",VLOOKUP(B6,dagsoorttabel1,2,FALSE))</f>
        <v>0.31372549019607843</v>
      </c>
      <c r="F6" s="33">
        <v>1</v>
      </c>
      <c r="G6" s="33">
        <f>IF(prodnorm10&gt;0,1/ROUND(prodnorm10,4),0)</f>
        <v>0</v>
      </c>
      <c r="H6" s="35">
        <f>ROUND(dagwerk10,4+2)</f>
        <v>0</v>
      </c>
      <c r="I6" s="36">
        <f>ROUND(uurtarief10,2)</f>
        <v>0</v>
      </c>
      <c r="J6" s="33">
        <v>0</v>
      </c>
      <c r="K6" s="33">
        <v>0</v>
      </c>
      <c r="L6" s="33">
        <v>0</v>
      </c>
      <c r="M6" s="33">
        <v>0</v>
      </c>
      <c r="N6" s="33">
        <v>34.42</v>
      </c>
      <c r="O6" s="33">
        <v>0</v>
      </c>
    </row>
    <row r="7" spans="1:15">
      <c r="A7" s="19" t="s">
        <v>189</v>
      </c>
      <c r="B7" s="19" t="s">
        <v>11</v>
      </c>
      <c r="C7" s="19" t="s">
        <v>281</v>
      </c>
      <c r="D7" s="19" t="s">
        <v>187</v>
      </c>
      <c r="E7" s="33">
        <f>IF(B7="","",VLOOKUP(B7,dagsoorttabel1,2,FALSE))</f>
        <v>0.78431372549019607</v>
      </c>
      <c r="F7" s="33">
        <v>1</v>
      </c>
      <c r="G7" s="33">
        <f>IF(prodnorm11&gt;0,1/ROUND(prodnorm11,4),0)</f>
        <v>0</v>
      </c>
      <c r="H7" s="35">
        <f>ROUND(dagwerk11,4+2)</f>
        <v>0</v>
      </c>
      <c r="I7" s="36">
        <f>ROUND(uurtarief11,2)</f>
        <v>0</v>
      </c>
      <c r="J7" s="33">
        <v>23.99</v>
      </c>
      <c r="K7" s="33">
        <v>0</v>
      </c>
      <c r="L7" s="33">
        <v>0</v>
      </c>
      <c r="M7" s="33">
        <v>84.06</v>
      </c>
      <c r="N7" s="33">
        <v>0</v>
      </c>
      <c r="O7" s="33">
        <v>0</v>
      </c>
    </row>
    <row r="8" spans="1:15">
      <c r="A8" s="19" t="s">
        <v>191</v>
      </c>
      <c r="B8" s="19" t="s">
        <v>13</v>
      </c>
      <c r="C8" s="19" t="s">
        <v>281</v>
      </c>
      <c r="D8" s="19" t="s">
        <v>187</v>
      </c>
      <c r="E8" s="33">
        <f>IF(B8="","",VLOOKUP(B8,dagsoorttabel1,2,FALSE))</f>
        <v>0.47058823529411764</v>
      </c>
      <c r="F8" s="33">
        <v>1</v>
      </c>
      <c r="G8" s="33">
        <f>IF(prodnorm12&gt;0,1/ROUND(prodnorm12,4),0)</f>
        <v>0</v>
      </c>
      <c r="H8" s="35">
        <f>ROUND(dagwerk12,4+2)</f>
        <v>0</v>
      </c>
      <c r="I8" s="36">
        <f>ROUND(uurtarief12,2)</f>
        <v>0</v>
      </c>
      <c r="J8" s="33">
        <v>118.86</v>
      </c>
      <c r="K8" s="33">
        <v>298.01</v>
      </c>
      <c r="L8" s="33">
        <v>1567.2599999999998</v>
      </c>
      <c r="M8" s="33">
        <v>114.76999999999998</v>
      </c>
      <c r="N8" s="33">
        <v>0</v>
      </c>
      <c r="O8" s="33">
        <v>278.68999999999994</v>
      </c>
    </row>
    <row r="9" spans="1:15">
      <c r="A9" s="19" t="s">
        <v>191</v>
      </c>
      <c r="B9" s="19" t="s">
        <v>11</v>
      </c>
      <c r="C9" s="19" t="s">
        <v>281</v>
      </c>
      <c r="D9" s="19" t="s">
        <v>187</v>
      </c>
      <c r="E9" s="33">
        <f>IF(B9="","",VLOOKUP(B9,dagsoorttabel1,2,FALSE))</f>
        <v>0.78431372549019607</v>
      </c>
      <c r="F9" s="33">
        <v>1</v>
      </c>
      <c r="G9" s="33">
        <f>IF(prodnorm13&gt;0,1/ROUND(prodnorm13,4),0)</f>
        <v>0</v>
      </c>
      <c r="H9" s="35">
        <f>ROUND(dagwerk13,4+2)</f>
        <v>0</v>
      </c>
      <c r="I9" s="36">
        <f>ROUND(uurtarief13,2)</f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31.9</v>
      </c>
    </row>
    <row r="10" spans="1:15">
      <c r="A10" s="19" t="s">
        <v>191</v>
      </c>
      <c r="B10" s="19" t="s">
        <v>15</v>
      </c>
      <c r="C10" s="19" t="s">
        <v>281</v>
      </c>
      <c r="D10" s="19" t="s">
        <v>187</v>
      </c>
      <c r="E10" s="33">
        <f>IF(B10="","",VLOOKUP(B10,dagsoorttabel1,2,FALSE))</f>
        <v>0.31372549019607843</v>
      </c>
      <c r="F10" s="33">
        <v>1</v>
      </c>
      <c r="G10" s="33">
        <f>IF(prodnorm14&gt;0,1/ROUND(prodnorm14,4),0)</f>
        <v>0</v>
      </c>
      <c r="H10" s="35">
        <f>ROUND(dagwerk14,4+2)</f>
        <v>0</v>
      </c>
      <c r="I10" s="36">
        <f>ROUND(uurtarief14,2)</f>
        <v>0</v>
      </c>
      <c r="J10" s="33">
        <v>0</v>
      </c>
      <c r="K10" s="33">
        <v>0</v>
      </c>
      <c r="L10" s="33">
        <v>0</v>
      </c>
      <c r="M10" s="33">
        <v>0</v>
      </c>
      <c r="N10" s="33">
        <v>16.52</v>
      </c>
      <c r="O10" s="33">
        <v>0</v>
      </c>
    </row>
    <row r="11" spans="1:15">
      <c r="A11" s="19" t="s">
        <v>193</v>
      </c>
      <c r="B11" s="19" t="s">
        <v>13</v>
      </c>
      <c r="C11" s="19" t="s">
        <v>281</v>
      </c>
      <c r="D11" s="19" t="s">
        <v>187</v>
      </c>
      <c r="E11" s="33">
        <f>IF(B11="","",VLOOKUP(B11,dagsoorttabel1,2,FALSE))</f>
        <v>0.47058823529411764</v>
      </c>
      <c r="F11" s="33">
        <v>1</v>
      </c>
      <c r="G11" s="33">
        <f>IF(prodnorm15&gt;0,1/ROUND(prodnorm15,4),0)</f>
        <v>0</v>
      </c>
      <c r="H11" s="35">
        <f>ROUND(dagwerk15,4+2)</f>
        <v>0</v>
      </c>
      <c r="I11" s="36">
        <f>ROUND(uurtarief15,2)</f>
        <v>0</v>
      </c>
      <c r="J11" s="33">
        <v>0</v>
      </c>
      <c r="K11" s="33">
        <v>453.91</v>
      </c>
      <c r="L11" s="33">
        <v>77.47</v>
      </c>
      <c r="M11" s="33">
        <v>267.58000000000004</v>
      </c>
      <c r="N11" s="33">
        <v>0</v>
      </c>
      <c r="O11" s="33">
        <v>0</v>
      </c>
    </row>
    <row r="12" spans="1:15">
      <c r="A12" s="19" t="s">
        <v>195</v>
      </c>
      <c r="B12" s="19" t="s">
        <v>13</v>
      </c>
      <c r="C12" s="19" t="s">
        <v>281</v>
      </c>
      <c r="D12" s="19" t="s">
        <v>187</v>
      </c>
      <c r="E12" s="33">
        <f>IF(B12="","",VLOOKUP(B12,dagsoorttabel1,2,FALSE))</f>
        <v>0.47058823529411764</v>
      </c>
      <c r="F12" s="33">
        <v>1</v>
      </c>
      <c r="G12" s="33">
        <f>IF(prodnorm16&gt;0,1/ROUND(prodnorm16,4),0)</f>
        <v>0</v>
      </c>
      <c r="H12" s="35">
        <f>ROUND(dagwerk16,4+2)</f>
        <v>0</v>
      </c>
      <c r="I12" s="36">
        <f>ROUND(uurtarief16,2)</f>
        <v>0</v>
      </c>
      <c r="J12" s="33">
        <v>0</v>
      </c>
      <c r="K12" s="33">
        <v>374.07</v>
      </c>
      <c r="L12" s="33">
        <v>220.43</v>
      </c>
      <c r="M12" s="33">
        <v>51.1</v>
      </c>
      <c r="N12" s="33">
        <v>0</v>
      </c>
      <c r="O12" s="33">
        <v>0</v>
      </c>
    </row>
    <row r="13" spans="1:15">
      <c r="A13" s="19" t="s">
        <v>197</v>
      </c>
      <c r="B13" s="19" t="s">
        <v>13</v>
      </c>
      <c r="C13" s="19" t="s">
        <v>281</v>
      </c>
      <c r="D13" s="19" t="s">
        <v>187</v>
      </c>
      <c r="E13" s="33">
        <f>IF(B13="","",VLOOKUP(B13,dagsoorttabel1,2,FALSE))</f>
        <v>0.47058823529411764</v>
      </c>
      <c r="F13" s="33">
        <v>1</v>
      </c>
      <c r="G13" s="33">
        <f>IF(prodnorm17&gt;0,1/ROUND(prodnorm17,4),0)</f>
        <v>0</v>
      </c>
      <c r="H13" s="35">
        <f>ROUND(dagwerk17,4+2)</f>
        <v>0</v>
      </c>
      <c r="I13" s="36">
        <f>ROUND(uurtarief17,2)</f>
        <v>0</v>
      </c>
      <c r="J13" s="33">
        <v>0</v>
      </c>
      <c r="K13" s="33">
        <v>0</v>
      </c>
      <c r="L13" s="33">
        <v>0</v>
      </c>
      <c r="M13" s="33">
        <v>50.8</v>
      </c>
      <c r="N13" s="33">
        <v>0</v>
      </c>
      <c r="O13" s="33">
        <v>0</v>
      </c>
    </row>
    <row r="14" spans="1:15">
      <c r="A14" s="19" t="s">
        <v>199</v>
      </c>
      <c r="B14" s="19" t="s">
        <v>11</v>
      </c>
      <c r="C14" s="19" t="s">
        <v>281</v>
      </c>
      <c r="D14" s="19" t="s">
        <v>187</v>
      </c>
      <c r="E14" s="33">
        <f>IF(B14="","",VLOOKUP(B14,dagsoorttabel1,2,FALSE))</f>
        <v>0.78431372549019607</v>
      </c>
      <c r="F14" s="33">
        <v>1</v>
      </c>
      <c r="G14" s="33">
        <f>IF(prodnorm18&gt;0,1/ROUND(prodnorm18,4),0)</f>
        <v>0</v>
      </c>
      <c r="H14" s="35">
        <f>ROUND(dagwerk18,4+2)</f>
        <v>0</v>
      </c>
      <c r="I14" s="36">
        <f>ROUND(uurtarief18,2)</f>
        <v>0</v>
      </c>
      <c r="J14" s="33">
        <v>4.1199999999999992</v>
      </c>
      <c r="K14" s="33">
        <v>127.68</v>
      </c>
      <c r="L14" s="33">
        <v>22.439999999999998</v>
      </c>
      <c r="M14" s="33">
        <v>0</v>
      </c>
      <c r="N14" s="33">
        <v>0</v>
      </c>
      <c r="O14" s="33">
        <v>23.46</v>
      </c>
    </row>
    <row r="15" spans="1:15">
      <c r="A15" s="19" t="s">
        <v>201</v>
      </c>
      <c r="B15" s="19" t="s">
        <v>11</v>
      </c>
      <c r="C15" s="19" t="s">
        <v>281</v>
      </c>
      <c r="D15" s="19" t="s">
        <v>187</v>
      </c>
      <c r="E15" s="33">
        <f>IF(B15="","",VLOOKUP(B15,dagsoorttabel1,2,FALSE))</f>
        <v>0.78431372549019607</v>
      </c>
      <c r="F15" s="33">
        <v>1</v>
      </c>
      <c r="G15" s="33">
        <f>IF(prodnorm19&gt;0,1/ROUND(prodnorm19,4),0)</f>
        <v>0</v>
      </c>
      <c r="H15" s="35">
        <f>ROUND(dagwerk19,4+2)</f>
        <v>0</v>
      </c>
      <c r="I15" s="36">
        <f>ROUND(uurtarief19,2)</f>
        <v>0</v>
      </c>
      <c r="J15" s="33">
        <v>9.4500000000000011</v>
      </c>
      <c r="K15" s="33">
        <v>13.98</v>
      </c>
      <c r="L15" s="33">
        <v>60.46</v>
      </c>
      <c r="M15" s="33">
        <v>0</v>
      </c>
      <c r="N15" s="33">
        <v>0</v>
      </c>
      <c r="O15" s="33">
        <v>0</v>
      </c>
    </row>
    <row r="16" spans="1:15">
      <c r="A16" s="19" t="s">
        <v>203</v>
      </c>
      <c r="B16" s="19" t="s">
        <v>11</v>
      </c>
      <c r="C16" s="19" t="s">
        <v>281</v>
      </c>
      <c r="D16" s="19" t="s">
        <v>187</v>
      </c>
      <c r="E16" s="33">
        <f>IF(B16="","",VLOOKUP(B16,dagsoorttabel1,2,FALSE))</f>
        <v>0.78431372549019607</v>
      </c>
      <c r="F16" s="33">
        <v>1</v>
      </c>
      <c r="G16" s="33">
        <f>IF(prodnorm20&gt;0,1/ROUND(prodnorm20,4),0)</f>
        <v>0</v>
      </c>
      <c r="H16" s="35">
        <f>ROUND(dagwerk20,4+2)</f>
        <v>0</v>
      </c>
      <c r="I16" s="36">
        <f>ROUND(uurtarief20,2)</f>
        <v>0</v>
      </c>
      <c r="J16" s="33">
        <v>0</v>
      </c>
      <c r="K16" s="33">
        <v>209.02</v>
      </c>
      <c r="L16" s="33">
        <v>0</v>
      </c>
      <c r="M16" s="33">
        <v>0</v>
      </c>
      <c r="N16" s="33">
        <v>0</v>
      </c>
      <c r="O16" s="33">
        <v>0</v>
      </c>
    </row>
    <row r="17" spans="1:15">
      <c r="A17" s="19" t="s">
        <v>205</v>
      </c>
      <c r="B17" s="19" t="s">
        <v>11</v>
      </c>
      <c r="C17" s="19" t="s">
        <v>281</v>
      </c>
      <c r="D17" s="19" t="s">
        <v>187</v>
      </c>
      <c r="E17" s="33">
        <f>IF(B17="","",VLOOKUP(B17,dagsoorttabel1,2,FALSE))</f>
        <v>0.78431372549019607</v>
      </c>
      <c r="F17" s="33">
        <v>1</v>
      </c>
      <c r="G17" s="33">
        <f>IF(prodnorm21&gt;0,1/ROUND(prodnorm21,4),0)</f>
        <v>0</v>
      </c>
      <c r="H17" s="35">
        <f>ROUND(dagwerk21,4+2)</f>
        <v>0</v>
      </c>
      <c r="I17" s="36">
        <f>ROUND(uurtarief21,2)</f>
        <v>0</v>
      </c>
      <c r="J17" s="33">
        <v>0</v>
      </c>
      <c r="K17" s="33">
        <v>0</v>
      </c>
      <c r="L17" s="33">
        <v>534.91000000000008</v>
      </c>
      <c r="M17" s="33">
        <v>0</v>
      </c>
      <c r="N17" s="33">
        <v>0</v>
      </c>
      <c r="O17" s="33">
        <v>0</v>
      </c>
    </row>
    <row r="18" spans="1:15">
      <c r="A18" s="19" t="s">
        <v>207</v>
      </c>
      <c r="B18" s="19" t="s">
        <v>18</v>
      </c>
      <c r="C18" s="19" t="s">
        <v>281</v>
      </c>
      <c r="D18" s="19" t="s">
        <v>187</v>
      </c>
      <c r="E18" s="33">
        <f>IF(B18="","",VLOOKUP(B18,dagsoorttabel1,2,FALSE))</f>
        <v>0.15686274509803921</v>
      </c>
      <c r="F18" s="33">
        <v>1</v>
      </c>
      <c r="G18" s="33">
        <f>IF(prodnorm22&gt;0,1/ROUND(prodnorm22,4),0)</f>
        <v>0</v>
      </c>
      <c r="H18" s="35">
        <f>ROUND(dagwerk22,4+2)</f>
        <v>0</v>
      </c>
      <c r="I18" s="36">
        <f>ROUND(uurtarief22,2)</f>
        <v>0</v>
      </c>
      <c r="J18" s="33">
        <v>0</v>
      </c>
      <c r="K18" s="33">
        <v>4.41</v>
      </c>
      <c r="L18" s="33">
        <v>3.9</v>
      </c>
      <c r="M18" s="33">
        <v>3.3499999999999996</v>
      </c>
      <c r="N18" s="33">
        <v>0</v>
      </c>
      <c r="O18" s="33">
        <v>0</v>
      </c>
    </row>
    <row r="19" spans="1:15">
      <c r="A19" s="19" t="s">
        <v>209</v>
      </c>
      <c r="B19" s="19" t="s">
        <v>18</v>
      </c>
      <c r="C19" s="19" t="s">
        <v>281</v>
      </c>
      <c r="D19" s="19" t="s">
        <v>187</v>
      </c>
      <c r="E19" s="33">
        <f>IF(B19="","",VLOOKUP(B19,dagsoorttabel1,2,FALSE))</f>
        <v>0.15686274509803921</v>
      </c>
      <c r="F19" s="33">
        <v>1</v>
      </c>
      <c r="G19" s="33">
        <f>IF(prodnorm23&gt;0,1/ROUND(prodnorm23,4),0)</f>
        <v>0</v>
      </c>
      <c r="H19" s="35">
        <f>ROUND(dagwerk23,4+2)</f>
        <v>0</v>
      </c>
      <c r="I19" s="36">
        <f>ROUND(uurtarief23,2)</f>
        <v>0</v>
      </c>
      <c r="J19" s="33">
        <v>0</v>
      </c>
      <c r="K19" s="33">
        <v>4.37</v>
      </c>
      <c r="L19" s="33">
        <v>0</v>
      </c>
      <c r="M19" s="33">
        <v>0</v>
      </c>
      <c r="N19" s="33">
        <v>0</v>
      </c>
      <c r="O19" s="33">
        <v>0</v>
      </c>
    </row>
    <row r="20" spans="1:15">
      <c r="A20" s="19" t="s">
        <v>211</v>
      </c>
      <c r="B20" s="19" t="s">
        <v>11</v>
      </c>
      <c r="C20" s="19" t="s">
        <v>281</v>
      </c>
      <c r="D20" s="19" t="s">
        <v>187</v>
      </c>
      <c r="E20" s="33">
        <f>IF(B20="","",VLOOKUP(B20,dagsoorttabel1,2,FALSE))</f>
        <v>0.78431372549019607</v>
      </c>
      <c r="F20" s="33">
        <v>1</v>
      </c>
      <c r="G20" s="33">
        <f>IF(prodnorm24&gt;0,1/ROUND(prodnorm24,4),0)</f>
        <v>0</v>
      </c>
      <c r="H20" s="35">
        <f>ROUND(dagwerk24,4+2)</f>
        <v>0</v>
      </c>
      <c r="I20" s="36">
        <f>ROUND(uurtarief24,2)</f>
        <v>0</v>
      </c>
      <c r="J20" s="33">
        <v>0</v>
      </c>
      <c r="K20" s="33">
        <v>36.730000000000004</v>
      </c>
      <c r="L20" s="33">
        <v>130.94</v>
      </c>
      <c r="M20" s="33">
        <v>0</v>
      </c>
      <c r="N20" s="33">
        <v>0</v>
      </c>
      <c r="O20" s="33">
        <v>0</v>
      </c>
    </row>
    <row r="21" spans="1:15">
      <c r="A21" s="19" t="s">
        <v>213</v>
      </c>
      <c r="B21" s="19" t="s">
        <v>13</v>
      </c>
      <c r="C21" s="19" t="s">
        <v>281</v>
      </c>
      <c r="D21" s="19" t="s">
        <v>187</v>
      </c>
      <c r="E21" s="33">
        <f>IF(B21="","",VLOOKUP(B21,dagsoorttabel1,2,FALSE))</f>
        <v>0.47058823529411764</v>
      </c>
      <c r="F21" s="33">
        <v>1</v>
      </c>
      <c r="G21" s="33">
        <f>IF(prodnorm25&gt;0,1/ROUND(prodnorm25,4),0)</f>
        <v>0</v>
      </c>
      <c r="H21" s="35">
        <f>ROUND(dagwerk25,4+2)</f>
        <v>0</v>
      </c>
      <c r="I21" s="36">
        <f>ROUND(uurtarief25,2)</f>
        <v>0</v>
      </c>
      <c r="J21" s="33">
        <v>470</v>
      </c>
      <c r="K21" s="33">
        <v>1336.46</v>
      </c>
      <c r="L21" s="33">
        <v>3601.6900000000005</v>
      </c>
      <c r="M21" s="33">
        <v>735.07999999999993</v>
      </c>
      <c r="N21" s="33">
        <v>0</v>
      </c>
      <c r="O21" s="33">
        <v>823.81999999999994</v>
      </c>
    </row>
    <row r="22" spans="1:15">
      <c r="A22" s="19" t="s">
        <v>215</v>
      </c>
      <c r="B22" s="19" t="s">
        <v>13</v>
      </c>
      <c r="C22" s="19" t="s">
        <v>281</v>
      </c>
      <c r="D22" s="19" t="s">
        <v>187</v>
      </c>
      <c r="E22" s="33">
        <f>IF(B22="","",VLOOKUP(B22,dagsoorttabel1,2,FALSE))</f>
        <v>0.47058823529411764</v>
      </c>
      <c r="F22" s="33">
        <v>1</v>
      </c>
      <c r="G22" s="33">
        <f>IF(prodnorm26&gt;0,1/ROUND(prodnorm26,4),0)</f>
        <v>0</v>
      </c>
      <c r="H22" s="35">
        <f>ROUND(dagwerk26,4+2)</f>
        <v>0</v>
      </c>
      <c r="I22" s="36">
        <f>ROUND(uurtarief26,2)</f>
        <v>0</v>
      </c>
      <c r="J22" s="33">
        <v>0</v>
      </c>
      <c r="K22" s="33">
        <v>42.620000000000005</v>
      </c>
      <c r="L22" s="33">
        <v>0</v>
      </c>
      <c r="M22" s="33">
        <v>521.20000000000005</v>
      </c>
      <c r="N22" s="33">
        <v>0</v>
      </c>
      <c r="O22" s="33">
        <v>49.32</v>
      </c>
    </row>
    <row r="23" spans="1:15">
      <c r="A23" s="19" t="s">
        <v>217</v>
      </c>
      <c r="B23" s="19" t="s">
        <v>18</v>
      </c>
      <c r="C23" s="19" t="s">
        <v>281</v>
      </c>
      <c r="D23" s="19" t="s">
        <v>187</v>
      </c>
      <c r="E23" s="33">
        <f>IF(B23="","",VLOOKUP(B23,dagsoorttabel1,2,FALSE))</f>
        <v>0.15686274509803921</v>
      </c>
      <c r="F23" s="33">
        <v>1</v>
      </c>
      <c r="G23" s="33">
        <f>IF(prodnorm27&gt;0,1/ROUND(prodnorm27,4),0)</f>
        <v>0</v>
      </c>
      <c r="H23" s="35">
        <f>ROUND(dagwerk27,4+2)</f>
        <v>0</v>
      </c>
      <c r="I23" s="36">
        <f>ROUND(uurtarief27,2)</f>
        <v>0</v>
      </c>
      <c r="J23" s="33">
        <v>14.77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</row>
    <row r="24" spans="1:15">
      <c r="A24" s="19" t="s">
        <v>219</v>
      </c>
      <c r="B24" s="19" t="s">
        <v>11</v>
      </c>
      <c r="C24" s="19" t="s">
        <v>281</v>
      </c>
      <c r="D24" s="19" t="s">
        <v>187</v>
      </c>
      <c r="E24" s="33">
        <f>IF(B24="","",VLOOKUP(B24,dagsoorttabel1,2,FALSE))</f>
        <v>0.78431372549019607</v>
      </c>
      <c r="F24" s="33">
        <v>1</v>
      </c>
      <c r="G24" s="33">
        <f>IF(prodnorm28&gt;0,1/ROUND(prodnorm28,4),0)</f>
        <v>0</v>
      </c>
      <c r="H24" s="35">
        <f>ROUND(dagwerk28,4+2)</f>
        <v>0</v>
      </c>
      <c r="I24" s="36">
        <f>ROUND(uurtarief28,2)</f>
        <v>0</v>
      </c>
      <c r="J24" s="33">
        <v>0</v>
      </c>
      <c r="K24" s="33">
        <v>535.55999999999995</v>
      </c>
      <c r="L24" s="33">
        <v>0</v>
      </c>
      <c r="M24" s="33">
        <v>0</v>
      </c>
      <c r="N24" s="33">
        <v>0</v>
      </c>
      <c r="O24" s="33">
        <v>0</v>
      </c>
    </row>
    <row r="25" spans="1:15">
      <c r="A25" s="19" t="s">
        <v>221</v>
      </c>
      <c r="B25" s="19" t="s">
        <v>11</v>
      </c>
      <c r="C25" s="19" t="s">
        <v>281</v>
      </c>
      <c r="D25" s="19" t="s">
        <v>187</v>
      </c>
      <c r="E25" s="33">
        <f>IF(B25="","",VLOOKUP(B25,dagsoorttabel1,2,FALSE))</f>
        <v>0.78431372549019607</v>
      </c>
      <c r="F25" s="33">
        <v>1</v>
      </c>
      <c r="G25" s="33">
        <f>IF(prodnorm29&gt;0,1/ROUND(prodnorm29,4),0)</f>
        <v>0</v>
      </c>
      <c r="H25" s="35">
        <f>ROUND(dagwerk29,4+2)</f>
        <v>0</v>
      </c>
      <c r="I25" s="36">
        <f>ROUND(uurtarief29,2)</f>
        <v>0</v>
      </c>
      <c r="J25" s="33">
        <v>0</v>
      </c>
      <c r="K25" s="33">
        <v>0</v>
      </c>
      <c r="L25" s="33">
        <v>84.649999999999991</v>
      </c>
      <c r="M25" s="33">
        <v>264.71999999999997</v>
      </c>
      <c r="N25" s="33">
        <v>0</v>
      </c>
      <c r="O25" s="33">
        <v>0</v>
      </c>
    </row>
    <row r="26" spans="1:15">
      <c r="A26" s="19" t="s">
        <v>223</v>
      </c>
      <c r="B26" s="19" t="s">
        <v>18</v>
      </c>
      <c r="C26" s="19" t="s">
        <v>281</v>
      </c>
      <c r="D26" s="19" t="s">
        <v>187</v>
      </c>
      <c r="E26" s="33">
        <f>IF(B26="","",VLOOKUP(B26,dagsoorttabel1,2,FALSE))</f>
        <v>0.15686274509803921</v>
      </c>
      <c r="F26" s="33">
        <v>1</v>
      </c>
      <c r="G26" s="33">
        <f>IF(prodnorm30&gt;0,1/ROUND(prodnorm30,4),0)</f>
        <v>0</v>
      </c>
      <c r="H26" s="35">
        <f>ROUND(dagwerk30,4+2)</f>
        <v>0</v>
      </c>
      <c r="I26" s="36">
        <f>ROUND(uurtarief30,2)</f>
        <v>0</v>
      </c>
      <c r="J26" s="33">
        <v>0</v>
      </c>
      <c r="K26" s="33">
        <v>0</v>
      </c>
      <c r="L26" s="33">
        <v>423.71000000000004</v>
      </c>
      <c r="M26" s="33">
        <v>0</v>
      </c>
      <c r="N26" s="33">
        <v>0</v>
      </c>
      <c r="O26" s="33">
        <v>0</v>
      </c>
    </row>
    <row r="27" spans="1:15">
      <c r="A27" s="19" t="s">
        <v>225</v>
      </c>
      <c r="B27" s="19" t="s">
        <v>13</v>
      </c>
      <c r="C27" s="19" t="s">
        <v>281</v>
      </c>
      <c r="D27" s="19" t="s">
        <v>187</v>
      </c>
      <c r="E27" s="33">
        <f>IF(B27="","",VLOOKUP(B27,dagsoorttabel1,2,FALSE))</f>
        <v>0.47058823529411764</v>
      </c>
      <c r="F27" s="33">
        <v>1</v>
      </c>
      <c r="G27" s="33">
        <f>IF(prodnorm31&gt;0,1/ROUND(prodnorm31,4),0)</f>
        <v>0</v>
      </c>
      <c r="H27" s="35">
        <f>ROUND(dagwerk31,4+2)</f>
        <v>0</v>
      </c>
      <c r="I27" s="36">
        <f>ROUND(uurtarief31,2)</f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225.57</v>
      </c>
    </row>
    <row r="28" spans="1:15">
      <c r="A28" s="19" t="s">
        <v>225</v>
      </c>
      <c r="B28" s="19" t="s">
        <v>18</v>
      </c>
      <c r="C28" s="19" t="s">
        <v>281</v>
      </c>
      <c r="D28" s="19" t="s">
        <v>187</v>
      </c>
      <c r="E28" s="33">
        <f>IF(B28="","",VLOOKUP(B28,dagsoorttabel1,2,FALSE))</f>
        <v>0.15686274509803921</v>
      </c>
      <c r="F28" s="33">
        <v>1</v>
      </c>
      <c r="G28" s="33">
        <f>IF(prodnorm32&gt;0,1/ROUND(prodnorm32,4),0)</f>
        <v>0</v>
      </c>
      <c r="H28" s="35">
        <f>ROUND(dagwerk32,4+2)</f>
        <v>0</v>
      </c>
      <c r="I28" s="36">
        <f>ROUND(uurtarief32,2)</f>
        <v>0</v>
      </c>
      <c r="J28" s="33">
        <v>0</v>
      </c>
      <c r="K28" s="33">
        <v>0</v>
      </c>
      <c r="L28" s="33">
        <v>79.960000000000008</v>
      </c>
      <c r="M28" s="33">
        <v>0</v>
      </c>
      <c r="N28" s="33">
        <v>0</v>
      </c>
      <c r="O28" s="33">
        <v>0</v>
      </c>
    </row>
    <row r="29" spans="1:15">
      <c r="A29" s="19" t="s">
        <v>227</v>
      </c>
      <c r="B29" s="19" t="s">
        <v>18</v>
      </c>
      <c r="C29" s="19" t="s">
        <v>281</v>
      </c>
      <c r="D29" s="19" t="s">
        <v>187</v>
      </c>
      <c r="E29" s="33">
        <f>IF(B29="","",VLOOKUP(B29,dagsoorttabel1,2,FALSE))</f>
        <v>0.15686274509803921</v>
      </c>
      <c r="F29" s="33">
        <v>1</v>
      </c>
      <c r="G29" s="33">
        <f>IF(prodnorm33&gt;0,1/ROUND(prodnorm33,4),0)</f>
        <v>0</v>
      </c>
      <c r="H29" s="35">
        <f>ROUND(dagwerk33,4+2)</f>
        <v>0</v>
      </c>
      <c r="I29" s="36">
        <f>ROUND(uurtarief33,2)</f>
        <v>0</v>
      </c>
      <c r="J29" s="33">
        <v>0</v>
      </c>
      <c r="K29" s="33">
        <v>0</v>
      </c>
      <c r="L29" s="33">
        <v>719.74</v>
      </c>
      <c r="M29" s="33">
        <v>0</v>
      </c>
      <c r="N29" s="33">
        <v>0</v>
      </c>
      <c r="O29" s="33">
        <v>0</v>
      </c>
    </row>
    <row r="30" spans="1:15">
      <c r="A30" s="19" t="s">
        <v>229</v>
      </c>
      <c r="B30" s="19" t="s">
        <v>18</v>
      </c>
      <c r="C30" s="19" t="s">
        <v>281</v>
      </c>
      <c r="D30" s="19" t="s">
        <v>187</v>
      </c>
      <c r="E30" s="33">
        <f>IF(B30="","",VLOOKUP(B30,dagsoorttabel1,2,FALSE))</f>
        <v>0.15686274509803921</v>
      </c>
      <c r="F30" s="33">
        <v>1</v>
      </c>
      <c r="G30" s="33">
        <f>IF(prodnorm34&gt;0,1/ROUND(prodnorm34,4),0)</f>
        <v>0</v>
      </c>
      <c r="H30" s="35">
        <f>ROUND(dagwerk34,4+2)</f>
        <v>0</v>
      </c>
      <c r="I30" s="36">
        <f>ROUND(uurtarief34,2)</f>
        <v>0</v>
      </c>
      <c r="J30" s="33">
        <v>67.11</v>
      </c>
      <c r="K30" s="33">
        <v>63.25</v>
      </c>
      <c r="L30" s="33">
        <v>441.16999999999996</v>
      </c>
      <c r="M30" s="33">
        <v>0</v>
      </c>
      <c r="N30" s="33">
        <v>0</v>
      </c>
      <c r="O30" s="33">
        <v>0</v>
      </c>
    </row>
    <row r="31" spans="1:15">
      <c r="A31" s="19" t="s">
        <v>231</v>
      </c>
      <c r="B31" s="19" t="s">
        <v>18</v>
      </c>
      <c r="C31" s="19" t="s">
        <v>281</v>
      </c>
      <c r="D31" s="19" t="s">
        <v>187</v>
      </c>
      <c r="E31" s="33">
        <f>IF(B31="","",VLOOKUP(B31,dagsoorttabel1,2,FALSE))</f>
        <v>0.15686274509803921</v>
      </c>
      <c r="F31" s="33">
        <v>1</v>
      </c>
      <c r="G31" s="33">
        <f>IF(prodnorm35&gt;0,1/ROUND(prodnorm35,4),0)</f>
        <v>0</v>
      </c>
      <c r="H31" s="35">
        <f>ROUND(dagwerk35,4+2)</f>
        <v>0</v>
      </c>
      <c r="I31" s="36">
        <f>ROUND(uurtarief35,2)</f>
        <v>0</v>
      </c>
      <c r="J31" s="33">
        <v>0</v>
      </c>
      <c r="K31" s="33">
        <v>0</v>
      </c>
      <c r="L31" s="33">
        <v>0</v>
      </c>
      <c r="M31" s="33">
        <v>145.96</v>
      </c>
      <c r="N31" s="33">
        <v>0</v>
      </c>
      <c r="O31" s="33">
        <v>0</v>
      </c>
    </row>
    <row r="32" spans="1:15">
      <c r="A32" s="19" t="s">
        <v>233</v>
      </c>
      <c r="B32" s="19" t="s">
        <v>11</v>
      </c>
      <c r="C32" s="19" t="s">
        <v>281</v>
      </c>
      <c r="D32" s="19" t="s">
        <v>187</v>
      </c>
      <c r="E32" s="33">
        <f>IF(B32="","",VLOOKUP(B32,dagsoorttabel1,2,FALSE))</f>
        <v>0.78431372549019607</v>
      </c>
      <c r="F32" s="33">
        <v>1</v>
      </c>
      <c r="G32" s="33">
        <f>IF(prodnorm36&gt;0,1/ROUND(prodnorm36,4),0)</f>
        <v>0</v>
      </c>
      <c r="H32" s="35">
        <f>ROUND(dagwerk36,4+2)</f>
        <v>0</v>
      </c>
      <c r="I32" s="36">
        <f>ROUND(uurtarief36,2)</f>
        <v>0</v>
      </c>
      <c r="J32" s="33">
        <v>46.66</v>
      </c>
      <c r="K32" s="33">
        <v>121.78999999999999</v>
      </c>
      <c r="L32" s="33">
        <v>252.43</v>
      </c>
      <c r="M32" s="33">
        <v>58.550000000000004</v>
      </c>
      <c r="N32" s="33">
        <v>0</v>
      </c>
      <c r="O32" s="33">
        <v>90.01</v>
      </c>
    </row>
    <row r="33" spans="1:15">
      <c r="A33" s="19" t="s">
        <v>235</v>
      </c>
      <c r="B33" s="19" t="s">
        <v>13</v>
      </c>
      <c r="C33" s="19" t="s">
        <v>281</v>
      </c>
      <c r="D33" s="19" t="s">
        <v>187</v>
      </c>
      <c r="E33" s="33">
        <f>IF(B33="","",VLOOKUP(B33,dagsoorttabel1,2,FALSE))</f>
        <v>0.47058823529411764</v>
      </c>
      <c r="F33" s="33">
        <v>1</v>
      </c>
      <c r="G33" s="33">
        <f>IF(prodnorm37&gt;0,1/ROUND(prodnorm37,4),0)</f>
        <v>0</v>
      </c>
      <c r="H33" s="35">
        <f>ROUND(dagwerk37,4+2)</f>
        <v>0</v>
      </c>
      <c r="I33" s="36">
        <f>ROUND(uurtarief37,2)</f>
        <v>0</v>
      </c>
      <c r="J33" s="33">
        <v>0</v>
      </c>
      <c r="K33" s="33">
        <v>0</v>
      </c>
      <c r="L33" s="33">
        <v>0</v>
      </c>
      <c r="M33" s="33">
        <v>34.69</v>
      </c>
      <c r="N33" s="33">
        <v>0</v>
      </c>
      <c r="O33" s="33">
        <v>0</v>
      </c>
    </row>
    <row r="34" spans="1:15">
      <c r="A34" s="19" t="s">
        <v>235</v>
      </c>
      <c r="B34" s="19" t="s">
        <v>11</v>
      </c>
      <c r="C34" s="19" t="s">
        <v>281</v>
      </c>
      <c r="D34" s="19" t="s">
        <v>187</v>
      </c>
      <c r="E34" s="33">
        <f>IF(B34="","",VLOOKUP(B34,dagsoorttabel1,2,FALSE))</f>
        <v>0.78431372549019607</v>
      </c>
      <c r="F34" s="33">
        <v>1</v>
      </c>
      <c r="G34" s="33">
        <f>IF(prodnorm38&gt;0,1/ROUND(prodnorm38,4),0)</f>
        <v>0</v>
      </c>
      <c r="H34" s="35">
        <f>ROUND(dagwerk38,4+2)</f>
        <v>0</v>
      </c>
      <c r="I34" s="36">
        <f>ROUND(uurtarief38,2)</f>
        <v>0</v>
      </c>
      <c r="J34" s="33">
        <v>0</v>
      </c>
      <c r="K34" s="33">
        <v>121.78999999999999</v>
      </c>
      <c r="L34" s="33">
        <v>252.43</v>
      </c>
      <c r="M34" s="33">
        <v>23.86</v>
      </c>
      <c r="N34" s="33">
        <v>0</v>
      </c>
      <c r="O34" s="33">
        <v>90.01</v>
      </c>
    </row>
    <row r="35" spans="1:15">
      <c r="A35" s="19" t="s">
        <v>237</v>
      </c>
      <c r="B35" s="19" t="s">
        <v>11</v>
      </c>
      <c r="C35" s="19" t="s">
        <v>281</v>
      </c>
      <c r="D35" s="19" t="s">
        <v>187</v>
      </c>
      <c r="E35" s="33">
        <f>IF(B35="","",VLOOKUP(B35,dagsoorttabel1,2,FALSE))</f>
        <v>0.78431372549019607</v>
      </c>
      <c r="F35" s="33">
        <v>1</v>
      </c>
      <c r="G35" s="33">
        <f>IF(prodnorm39&gt;0,1/ROUND(prodnorm39,4),0)</f>
        <v>0</v>
      </c>
      <c r="H35" s="35">
        <f>ROUND(dagwerk39,4+2)</f>
        <v>0</v>
      </c>
      <c r="I35" s="36">
        <f>ROUND(uurtarief39,2)</f>
        <v>0</v>
      </c>
      <c r="J35" s="33">
        <v>0</v>
      </c>
      <c r="K35" s="33">
        <v>54.17</v>
      </c>
      <c r="L35" s="33">
        <v>90.91</v>
      </c>
      <c r="M35" s="33">
        <v>0</v>
      </c>
      <c r="N35" s="33">
        <v>0</v>
      </c>
      <c r="O35" s="33">
        <v>49.78</v>
      </c>
    </row>
    <row r="36" spans="1:15">
      <c r="A36" s="19" t="s">
        <v>239</v>
      </c>
      <c r="B36" s="19" t="s">
        <v>11</v>
      </c>
      <c r="C36" s="19" t="s">
        <v>281</v>
      </c>
      <c r="D36" s="19" t="s">
        <v>187</v>
      </c>
      <c r="E36" s="33">
        <f>IF(B36="","",VLOOKUP(B36,dagsoorttabel1,2,FALSE))</f>
        <v>0.78431372549019607</v>
      </c>
      <c r="F36" s="33">
        <v>1</v>
      </c>
      <c r="G36" s="33">
        <f>IF(prodnorm40&gt;0,1/ROUND(prodnorm40,4),0)</f>
        <v>0</v>
      </c>
      <c r="H36" s="35">
        <f>ROUND(dagwerk40,4+2)</f>
        <v>0</v>
      </c>
      <c r="I36" s="36">
        <f>ROUND(uurtarief40,2)</f>
        <v>0</v>
      </c>
      <c r="J36" s="33">
        <v>0</v>
      </c>
      <c r="K36" s="33">
        <v>36.549999999999997</v>
      </c>
      <c r="L36" s="33">
        <v>0</v>
      </c>
      <c r="M36" s="33">
        <v>0</v>
      </c>
      <c r="N36" s="33">
        <v>0</v>
      </c>
      <c r="O36" s="33">
        <v>0</v>
      </c>
    </row>
    <row r="37" spans="1:15">
      <c r="A37" s="19" t="s">
        <v>241</v>
      </c>
      <c r="B37" s="19" t="s">
        <v>11</v>
      </c>
      <c r="C37" s="19" t="s">
        <v>281</v>
      </c>
      <c r="D37" s="19" t="s">
        <v>187</v>
      </c>
      <c r="E37" s="33">
        <f>IF(B37="","",VLOOKUP(B37,dagsoorttabel1,2,FALSE))</f>
        <v>0.78431372549019607</v>
      </c>
      <c r="F37" s="33">
        <v>1</v>
      </c>
      <c r="G37" s="33">
        <f>IF(prodnorm41&gt;0,1/ROUND(prodnorm41,4),0)</f>
        <v>0</v>
      </c>
      <c r="H37" s="35">
        <f>ROUND(dagwerk41,4+2)</f>
        <v>0</v>
      </c>
      <c r="I37" s="36">
        <f>ROUND(uurtarief41,2)</f>
        <v>0</v>
      </c>
      <c r="J37" s="33">
        <v>52.480000000000004</v>
      </c>
      <c r="K37" s="33">
        <v>0</v>
      </c>
      <c r="L37" s="33">
        <v>429.38</v>
      </c>
      <c r="M37" s="33">
        <v>74.61</v>
      </c>
      <c r="N37" s="33">
        <v>0</v>
      </c>
      <c r="O37" s="33">
        <v>35.72</v>
      </c>
    </row>
    <row r="38" spans="1:15">
      <c r="A38" s="19" t="s">
        <v>243</v>
      </c>
      <c r="B38" s="19" t="s">
        <v>11</v>
      </c>
      <c r="C38" s="19" t="s">
        <v>281</v>
      </c>
      <c r="D38" s="19" t="s">
        <v>187</v>
      </c>
      <c r="E38" s="33">
        <f>IF(B38="","",VLOOKUP(B38,dagsoorttabel1,2,FALSE))</f>
        <v>0.78431372549019607</v>
      </c>
      <c r="F38" s="33">
        <v>1</v>
      </c>
      <c r="G38" s="33">
        <f>IF(prodnorm42&gt;0,1/ROUND(prodnorm42,4),0)</f>
        <v>0</v>
      </c>
      <c r="H38" s="35">
        <f>ROUND(dagwerk42,4+2)</f>
        <v>0</v>
      </c>
      <c r="I38" s="36">
        <f>ROUND(uurtarief42,2)</f>
        <v>0</v>
      </c>
      <c r="J38" s="33">
        <v>0</v>
      </c>
      <c r="K38" s="33">
        <v>290.12</v>
      </c>
      <c r="L38" s="33">
        <v>0</v>
      </c>
      <c r="M38" s="33">
        <v>42.4</v>
      </c>
      <c r="N38" s="33">
        <v>0</v>
      </c>
      <c r="O38" s="33">
        <v>0</v>
      </c>
    </row>
    <row r="39" spans="1:15">
      <c r="A39" s="19" t="s">
        <v>245</v>
      </c>
      <c r="B39" s="19" t="s">
        <v>11</v>
      </c>
      <c r="C39" s="19" t="s">
        <v>281</v>
      </c>
      <c r="D39" s="19" t="s">
        <v>187</v>
      </c>
      <c r="E39" s="33">
        <f>IF(B39="","",VLOOKUP(B39,dagsoorttabel1,2,FALSE))</f>
        <v>0.78431372549019607</v>
      </c>
      <c r="F39" s="33">
        <v>1</v>
      </c>
      <c r="G39" s="33">
        <f>IF(prodnorm43&gt;0,1/ROUND(prodnorm43,4),0)</f>
        <v>0</v>
      </c>
      <c r="H39" s="35">
        <f>ROUND(dagwerk43,4+2)</f>
        <v>0</v>
      </c>
      <c r="I39" s="36">
        <f>ROUND(uurtarief43,2)</f>
        <v>0</v>
      </c>
      <c r="J39" s="33">
        <v>240.25</v>
      </c>
      <c r="K39" s="33">
        <v>682.78</v>
      </c>
      <c r="L39" s="33">
        <v>2032.3899999999999</v>
      </c>
      <c r="M39" s="33">
        <v>285.90999999999997</v>
      </c>
      <c r="N39" s="33">
        <v>0</v>
      </c>
      <c r="O39" s="33">
        <v>594.72</v>
      </c>
    </row>
    <row r="40" spans="1:15">
      <c r="A40" s="19" t="s">
        <v>245</v>
      </c>
      <c r="B40" s="19" t="s">
        <v>15</v>
      </c>
      <c r="C40" s="19" t="s">
        <v>281</v>
      </c>
      <c r="D40" s="19" t="s">
        <v>187</v>
      </c>
      <c r="E40" s="33">
        <f>IF(B40="","",VLOOKUP(B40,dagsoorttabel1,2,FALSE))</f>
        <v>0.31372549019607843</v>
      </c>
      <c r="F40" s="33">
        <v>1</v>
      </c>
      <c r="G40" s="33">
        <f>IF(prodnorm44&gt;0,1/ROUND(prodnorm44,4),0)</f>
        <v>0</v>
      </c>
      <c r="H40" s="35">
        <f>ROUND(dagwerk44,4+2)</f>
        <v>0</v>
      </c>
      <c r="I40" s="36">
        <f>ROUND(uurtarief44,2)</f>
        <v>0</v>
      </c>
      <c r="J40" s="33">
        <v>0</v>
      </c>
      <c r="K40" s="33">
        <v>0</v>
      </c>
      <c r="L40" s="33">
        <v>0</v>
      </c>
      <c r="M40" s="33">
        <v>0</v>
      </c>
      <c r="N40" s="33">
        <v>39.65</v>
      </c>
      <c r="O40" s="33">
        <v>0</v>
      </c>
    </row>
    <row r="41" spans="1:15">
      <c r="A41" s="19" t="s">
        <v>247</v>
      </c>
      <c r="B41" s="19" t="s">
        <v>11</v>
      </c>
      <c r="C41" s="19" t="s">
        <v>281</v>
      </c>
      <c r="D41" s="19" t="s">
        <v>187</v>
      </c>
      <c r="E41" s="33">
        <f>IF(B41="","",VLOOKUP(B41,dagsoorttabel1,2,FALSE))</f>
        <v>0.78431372549019607</v>
      </c>
      <c r="F41" s="33">
        <v>1</v>
      </c>
      <c r="G41" s="33">
        <f>IF(prodnorm45&gt;0,1/ROUND(prodnorm45,4),0)</f>
        <v>0</v>
      </c>
      <c r="H41" s="35">
        <f>ROUND(dagwerk45,4+2)</f>
        <v>0</v>
      </c>
      <c r="I41" s="36">
        <f>ROUND(uurtarief45,2)</f>
        <v>0</v>
      </c>
      <c r="J41" s="33">
        <v>0</v>
      </c>
      <c r="K41" s="33">
        <v>0</v>
      </c>
      <c r="L41" s="33">
        <v>22.959999999999997</v>
      </c>
      <c r="M41" s="33">
        <v>175.87</v>
      </c>
      <c r="N41" s="33">
        <v>0</v>
      </c>
      <c r="O41" s="33">
        <v>0</v>
      </c>
    </row>
    <row r="42" spans="1:15">
      <c r="A42" s="24" t="s">
        <v>249</v>
      </c>
      <c r="B42" s="24" t="s">
        <v>29</v>
      </c>
      <c r="C42" s="24" t="s">
        <v>281</v>
      </c>
      <c r="D42" s="24" t="s">
        <v>250</v>
      </c>
      <c r="E42" s="37">
        <f>IF(B42="","",VLOOKUP(B42,dagsoorttabel1,2,FALSE))</f>
        <v>3.9215686274509803E-3</v>
      </c>
      <c r="F42" s="37">
        <v>1</v>
      </c>
      <c r="G42" s="37">
        <f>IF(prodnorm8&gt;0,1/ROUND(prodnorm8,4),0)</f>
        <v>0</v>
      </c>
      <c r="H42" s="46">
        <f>ROUND(dagwerk8,4+2)</f>
        <v>0</v>
      </c>
      <c r="I42" s="39">
        <f>ROUND(uurtarief8,2)</f>
        <v>0</v>
      </c>
      <c r="J42" s="37">
        <v>0</v>
      </c>
      <c r="K42" s="37">
        <v>40.090000000000003</v>
      </c>
      <c r="L42" s="37">
        <v>54.08</v>
      </c>
      <c r="M42" s="37">
        <v>26.57</v>
      </c>
      <c r="N42" s="37">
        <v>0</v>
      </c>
      <c r="O42" s="37">
        <v>45.93</v>
      </c>
    </row>
    <row r="43" spans="1:15">
      <c r="A43" s="40" t="s">
        <v>252</v>
      </c>
      <c r="B43" s="41"/>
      <c r="C43" s="41"/>
      <c r="D43" s="41"/>
      <c r="E43" s="41"/>
      <c r="F43" s="41"/>
      <c r="G43" s="41"/>
      <c r="H43" s="41"/>
      <c r="I43" s="41"/>
      <c r="J43" s="86"/>
      <c r="K43" s="86"/>
      <c r="L43" s="86"/>
      <c r="M43" s="86"/>
      <c r="N43" s="86"/>
      <c r="O43" s="86"/>
    </row>
    <row r="45" spans="1:15">
      <c r="A45" s="14" t="s">
        <v>254</v>
      </c>
      <c r="B45" s="14" t="s">
        <v>23</v>
      </c>
      <c r="C45" s="14" t="s">
        <v>282</v>
      </c>
      <c r="D45" s="14" t="s">
        <v>187</v>
      </c>
      <c r="E45" s="29">
        <f>IF(B45="","",VLOOKUP(B45,dagsoorttabel1,2,FALSE))</f>
        <v>3.9215686274509803E-2</v>
      </c>
      <c r="F45" s="29">
        <v>1</v>
      </c>
      <c r="G45" s="29">
        <f>IF(prodnorm48&gt;0,1/ROUND(prodnorm48,4),0)</f>
        <v>0</v>
      </c>
      <c r="H45" s="31">
        <f>ROUND(dagwerk48,4+2)</f>
        <v>0</v>
      </c>
      <c r="I45" s="32">
        <f>ROUND(uurtarief48,2)</f>
        <v>0</v>
      </c>
      <c r="J45" s="29">
        <v>0</v>
      </c>
      <c r="K45" s="29">
        <v>338.68</v>
      </c>
      <c r="L45" s="29">
        <v>911.45999999999992</v>
      </c>
      <c r="M45" s="29">
        <v>0</v>
      </c>
      <c r="N45" s="29">
        <v>0</v>
      </c>
      <c r="O45" s="29">
        <v>0</v>
      </c>
    </row>
    <row r="46" spans="1:15">
      <c r="A46" s="19" t="s">
        <v>254</v>
      </c>
      <c r="B46" s="19" t="s">
        <v>26</v>
      </c>
      <c r="C46" s="19" t="s">
        <v>282</v>
      </c>
      <c r="D46" s="19" t="s">
        <v>187</v>
      </c>
      <c r="E46" s="33">
        <f>IF(B46="","",VLOOKUP(B46,dagsoorttabel1,2,FALSE))</f>
        <v>1.5686274509803921E-2</v>
      </c>
      <c r="F46" s="33">
        <v>1</v>
      </c>
      <c r="G46" s="33">
        <f>IF(prodnorm49&gt;0,1/ROUND(prodnorm49,4),0)</f>
        <v>0</v>
      </c>
      <c r="H46" s="35">
        <f>ROUND(dagwerk49,4+2)</f>
        <v>0</v>
      </c>
      <c r="I46" s="36">
        <f>ROUND(uurtarief49,2)</f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309.86</v>
      </c>
    </row>
    <row r="47" spans="1:15">
      <c r="A47" s="19" t="s">
        <v>255</v>
      </c>
      <c r="B47" s="19" t="s">
        <v>23</v>
      </c>
      <c r="C47" s="19" t="s">
        <v>282</v>
      </c>
      <c r="D47" s="19" t="s">
        <v>187</v>
      </c>
      <c r="E47" s="33">
        <f>IF(B47="","",VLOOKUP(B47,dagsoorttabel1,2,FALSE))</f>
        <v>3.9215686274509803E-2</v>
      </c>
      <c r="F47" s="33">
        <v>1</v>
      </c>
      <c r="G47" s="33">
        <f>IF(prodnorm50&gt;0,1/ROUND(prodnorm50,4),0)</f>
        <v>0</v>
      </c>
      <c r="H47" s="35">
        <f>ROUND(dagwerk50,4+2)</f>
        <v>0</v>
      </c>
      <c r="I47" s="36">
        <f>ROUND(uurtarief50,2)</f>
        <v>0</v>
      </c>
      <c r="J47" s="33">
        <v>0</v>
      </c>
      <c r="K47" s="33">
        <v>403.68</v>
      </c>
      <c r="L47" s="33">
        <v>0</v>
      </c>
      <c r="M47" s="33">
        <v>0</v>
      </c>
      <c r="N47" s="33">
        <v>0</v>
      </c>
      <c r="O47" s="33">
        <v>0</v>
      </c>
    </row>
    <row r="48" spans="1:15">
      <c r="A48" s="19" t="s">
        <v>256</v>
      </c>
      <c r="B48" s="19" t="s">
        <v>23</v>
      </c>
      <c r="C48" s="19" t="s">
        <v>282</v>
      </c>
      <c r="D48" s="19" t="s">
        <v>187</v>
      </c>
      <c r="E48" s="33">
        <f>IF(B48="","",VLOOKUP(B48,dagsoorttabel1,2,FALSE))</f>
        <v>3.9215686274509803E-2</v>
      </c>
      <c r="F48" s="33">
        <v>1</v>
      </c>
      <c r="G48" s="33">
        <f>IF(prodnorm51&gt;0,1/ROUND(prodnorm51,4),0)</f>
        <v>0</v>
      </c>
      <c r="H48" s="35">
        <f>ROUND(dagwerk51,4+2)</f>
        <v>0</v>
      </c>
      <c r="I48" s="36">
        <f>ROUND(uurtarief51,2)</f>
        <v>0</v>
      </c>
      <c r="J48" s="33">
        <v>0</v>
      </c>
      <c r="K48" s="33">
        <v>127.68</v>
      </c>
      <c r="L48" s="33">
        <v>22.439999999999998</v>
      </c>
      <c r="M48" s="33">
        <v>0</v>
      </c>
      <c r="N48" s="33">
        <v>0</v>
      </c>
      <c r="O48" s="33">
        <v>23.46</v>
      </c>
    </row>
    <row r="49" spans="1:15">
      <c r="A49" s="19" t="s">
        <v>257</v>
      </c>
      <c r="B49" s="19" t="s">
        <v>23</v>
      </c>
      <c r="C49" s="19" t="s">
        <v>282</v>
      </c>
      <c r="D49" s="19" t="s">
        <v>187</v>
      </c>
      <c r="E49" s="33">
        <f>IF(B49="","",VLOOKUP(B49,dagsoorttabel1,2,FALSE))</f>
        <v>3.9215686274509803E-2</v>
      </c>
      <c r="F49" s="33">
        <v>1</v>
      </c>
      <c r="G49" s="33">
        <f>IF(prodnorm52&gt;0,1/ROUND(prodnorm52,4),0)</f>
        <v>0</v>
      </c>
      <c r="H49" s="35">
        <f>ROUND(dagwerk52,4+2)</f>
        <v>0</v>
      </c>
      <c r="I49" s="36">
        <f>ROUND(uurtarief52,2)</f>
        <v>0</v>
      </c>
      <c r="J49" s="33">
        <v>0</v>
      </c>
      <c r="K49" s="33">
        <v>13.98</v>
      </c>
      <c r="L49" s="33">
        <v>60.46</v>
      </c>
      <c r="M49" s="33">
        <v>0</v>
      </c>
      <c r="N49" s="33">
        <v>0</v>
      </c>
      <c r="O49" s="33">
        <v>0</v>
      </c>
    </row>
    <row r="50" spans="1:15">
      <c r="A50" s="19" t="s">
        <v>258</v>
      </c>
      <c r="B50" s="19" t="s">
        <v>23</v>
      </c>
      <c r="C50" s="19" t="s">
        <v>282</v>
      </c>
      <c r="D50" s="19" t="s">
        <v>187</v>
      </c>
      <c r="E50" s="33">
        <f>IF(B50="","",VLOOKUP(B50,dagsoorttabel1,2,FALSE))</f>
        <v>3.9215686274509803E-2</v>
      </c>
      <c r="F50" s="33">
        <v>1</v>
      </c>
      <c r="G50" s="33">
        <f>IF(prodnorm53&gt;0,1/ROUND(prodnorm53,4),0)</f>
        <v>0</v>
      </c>
      <c r="H50" s="35">
        <f>ROUND(dagwerk53,4+2)</f>
        <v>0</v>
      </c>
      <c r="I50" s="36">
        <f>ROUND(uurtarief53,2)</f>
        <v>0</v>
      </c>
      <c r="J50" s="33">
        <v>0</v>
      </c>
      <c r="K50" s="33">
        <v>4.41</v>
      </c>
      <c r="L50" s="33">
        <v>3.9</v>
      </c>
      <c r="M50" s="33">
        <v>0</v>
      </c>
      <c r="N50" s="33">
        <v>0</v>
      </c>
      <c r="O50" s="33">
        <v>0</v>
      </c>
    </row>
    <row r="51" spans="1:15">
      <c r="A51" s="19" t="s">
        <v>259</v>
      </c>
      <c r="B51" s="19" t="s">
        <v>23</v>
      </c>
      <c r="C51" s="19" t="s">
        <v>282</v>
      </c>
      <c r="D51" s="19" t="s">
        <v>187</v>
      </c>
      <c r="E51" s="33">
        <f>IF(B51="","",VLOOKUP(B51,dagsoorttabel1,2,FALSE))</f>
        <v>3.9215686274509803E-2</v>
      </c>
      <c r="F51" s="33">
        <v>1</v>
      </c>
      <c r="G51" s="33">
        <f>IF(prodnorm54&gt;0,1/ROUND(prodnorm54,4),0)</f>
        <v>0</v>
      </c>
      <c r="H51" s="35">
        <f>ROUND(dagwerk54,4+2)</f>
        <v>0</v>
      </c>
      <c r="I51" s="36">
        <f>ROUND(uurtarief54,2)</f>
        <v>0</v>
      </c>
      <c r="J51" s="33">
        <v>0</v>
      </c>
      <c r="K51" s="33">
        <v>4.37</v>
      </c>
      <c r="L51" s="33">
        <v>0</v>
      </c>
      <c r="M51" s="33">
        <v>0</v>
      </c>
      <c r="N51" s="33">
        <v>0</v>
      </c>
      <c r="O51" s="33">
        <v>0</v>
      </c>
    </row>
    <row r="52" spans="1:15">
      <c r="A52" s="19" t="s">
        <v>261</v>
      </c>
      <c r="B52" s="19" t="s">
        <v>23</v>
      </c>
      <c r="C52" s="19" t="s">
        <v>282</v>
      </c>
      <c r="D52" s="19" t="s">
        <v>187</v>
      </c>
      <c r="E52" s="33">
        <f>IF(B52="","",VLOOKUP(B52,dagsoorttabel1,2,FALSE))</f>
        <v>3.9215686274509803E-2</v>
      </c>
      <c r="F52" s="33">
        <v>1</v>
      </c>
      <c r="G52" s="33">
        <f>IF(prodnorm55&gt;0,1/ROUND(prodnorm55,4),0)</f>
        <v>0</v>
      </c>
      <c r="H52" s="35">
        <f>ROUND(dagwerk55,4+2)</f>
        <v>0</v>
      </c>
      <c r="I52" s="36">
        <f>ROUND(uurtarief55,2)</f>
        <v>0</v>
      </c>
      <c r="J52" s="33">
        <v>0</v>
      </c>
      <c r="K52" s="33">
        <v>0</v>
      </c>
      <c r="L52" s="33">
        <v>50.47</v>
      </c>
      <c r="M52" s="33">
        <v>0</v>
      </c>
      <c r="N52" s="33">
        <v>0</v>
      </c>
      <c r="O52" s="33">
        <v>90.01</v>
      </c>
    </row>
    <row r="53" spans="1:15">
      <c r="A53" s="19" t="s">
        <v>262</v>
      </c>
      <c r="B53" s="19" t="s">
        <v>23</v>
      </c>
      <c r="C53" s="19" t="s">
        <v>282</v>
      </c>
      <c r="D53" s="19" t="s">
        <v>187</v>
      </c>
      <c r="E53" s="33">
        <f>IF(B53="","",VLOOKUP(B53,dagsoorttabel1,2,FALSE))</f>
        <v>3.9215686274509803E-2</v>
      </c>
      <c r="F53" s="33">
        <v>1</v>
      </c>
      <c r="G53" s="33">
        <f>IF(prodnorm56&gt;0,1/ROUND(prodnorm56,4),0)</f>
        <v>0</v>
      </c>
      <c r="H53" s="35">
        <f>ROUND(dagwerk56,4+2)</f>
        <v>0</v>
      </c>
      <c r="I53" s="36">
        <f>ROUND(uurtarief56,2)</f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30</v>
      </c>
    </row>
    <row r="54" spans="1:15">
      <c r="A54" s="19" t="s">
        <v>263</v>
      </c>
      <c r="B54" s="19" t="s">
        <v>23</v>
      </c>
      <c r="C54" s="19" t="s">
        <v>282</v>
      </c>
      <c r="D54" s="19" t="s">
        <v>187</v>
      </c>
      <c r="E54" s="33">
        <f>IF(B54="","",VLOOKUP(B54,dagsoorttabel1,2,FALSE))</f>
        <v>3.9215686274509803E-2</v>
      </c>
      <c r="F54" s="33">
        <v>1</v>
      </c>
      <c r="G54" s="33">
        <f>IF(prodnorm57&gt;0,1/ROUND(prodnorm57,4),0)</f>
        <v>0</v>
      </c>
      <c r="H54" s="35">
        <f>ROUND(dagwerk57,4+2)</f>
        <v>0</v>
      </c>
      <c r="I54" s="36">
        <f>ROUND(uurtarief57,2)</f>
        <v>0</v>
      </c>
      <c r="J54" s="33">
        <v>0</v>
      </c>
      <c r="K54" s="33">
        <v>0</v>
      </c>
      <c r="L54" s="33">
        <v>521</v>
      </c>
      <c r="M54" s="33">
        <v>0</v>
      </c>
      <c r="N54" s="33">
        <v>0</v>
      </c>
      <c r="O54" s="33">
        <v>600.44000000000005</v>
      </c>
    </row>
    <row r="55" spans="1:15">
      <c r="A55" s="24" t="s">
        <v>264</v>
      </c>
      <c r="B55" s="24" t="s">
        <v>23</v>
      </c>
      <c r="C55" s="24" t="s">
        <v>282</v>
      </c>
      <c r="D55" s="24" t="s">
        <v>187</v>
      </c>
      <c r="E55" s="37">
        <f>IF(B55="","",VLOOKUP(B55,dagsoorttabel1,2,FALSE))</f>
        <v>3.9215686274509803E-2</v>
      </c>
      <c r="F55" s="37">
        <v>1</v>
      </c>
      <c r="G55" s="37">
        <f>IF(prodnorm58&gt;0,1/ROUND(prodnorm58,4),0)</f>
        <v>0</v>
      </c>
      <c r="H55" s="46">
        <f>ROUND(dagwerk58,4+2)</f>
        <v>0</v>
      </c>
      <c r="I55" s="39">
        <f>ROUND(uurtarief58,2)</f>
        <v>0</v>
      </c>
      <c r="J55" s="37">
        <v>0</v>
      </c>
      <c r="K55" s="37">
        <v>0</v>
      </c>
      <c r="L55" s="37">
        <v>22.959999999999997</v>
      </c>
      <c r="M55" s="37">
        <v>0</v>
      </c>
      <c r="N55" s="37">
        <v>0</v>
      </c>
      <c r="O55" s="37">
        <v>0</v>
      </c>
    </row>
    <row r="56" spans="1:15">
      <c r="A56" s="40" t="s">
        <v>265</v>
      </c>
      <c r="B56" s="41"/>
      <c r="C56" s="41"/>
      <c r="D56" s="41"/>
      <c r="E56" s="41"/>
      <c r="F56" s="41"/>
      <c r="G56" s="41"/>
      <c r="H56" s="41"/>
      <c r="I56" s="41"/>
      <c r="J56" s="86"/>
      <c r="K56" s="86"/>
      <c r="L56" s="86"/>
      <c r="M56" s="86"/>
      <c r="N56" s="86"/>
      <c r="O56" s="86"/>
    </row>
  </sheetData>
  <pageMargins left="0.7" right="0.7" top="0.75" bottom="0.75" header="0.3" footer="0.3"/>
  <pageSetup paperSize="9" scale="70" orientation="landscape" r:id="rId1"/>
  <headerFooter>
    <oddFooter>&amp;LROC Midden Nederland EA 2022                                &amp;ROpmaakdatum: 02-06-2022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4AA1-7F3E-4145-8C2A-572E181136E5}">
  <dimension ref="A1:R24"/>
  <sheetViews>
    <sheetView workbookViewId="0"/>
  </sheetViews>
  <sheetFormatPr defaultRowHeight="12.75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>
      <c r="A1" s="1" t="str">
        <f>CONCATENATE("Bijlage I2.3: ",tabeltype," objecten")</f>
        <v>Bijlage I2.3: Invultabel objecten</v>
      </c>
    </row>
    <row r="3" spans="1:18" ht="51">
      <c r="A3" s="84" t="s">
        <v>283</v>
      </c>
      <c r="B3" s="84" t="s">
        <v>284</v>
      </c>
      <c r="C3" s="84" t="s">
        <v>285</v>
      </c>
      <c r="D3" s="84" t="s">
        <v>286</v>
      </c>
      <c r="E3" s="84" t="s">
        <v>7</v>
      </c>
      <c r="F3" s="84" t="s">
        <v>287</v>
      </c>
      <c r="G3" s="84" t="s">
        <v>288</v>
      </c>
      <c r="H3" s="84" t="s">
        <v>289</v>
      </c>
      <c r="I3" s="84" t="s">
        <v>290</v>
      </c>
      <c r="J3" s="84" t="s">
        <v>291</v>
      </c>
      <c r="K3" s="84" t="s">
        <v>292</v>
      </c>
      <c r="L3" s="84" t="s">
        <v>293</v>
      </c>
      <c r="M3" s="84" t="s">
        <v>294</v>
      </c>
      <c r="N3" s="84" t="s">
        <v>295</v>
      </c>
      <c r="O3" s="84" t="s">
        <v>296</v>
      </c>
      <c r="P3" s="84" t="s">
        <v>184</v>
      </c>
      <c r="Q3" s="84" t="s">
        <v>297</v>
      </c>
      <c r="R3" s="84" t="s">
        <v>298</v>
      </c>
    </row>
    <row r="4" spans="1:18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/>
    </row>
    <row r="5" spans="1:18">
      <c r="A5" s="11" t="s">
        <v>38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</row>
    <row r="6" spans="1:18">
      <c r="A6" s="14" t="s">
        <v>299</v>
      </c>
      <c r="B6" s="14" t="s">
        <v>300</v>
      </c>
      <c r="C6" s="14" t="s">
        <v>301</v>
      </c>
      <c r="D6" s="14" t="s">
        <v>302</v>
      </c>
      <c r="E6" s="50" t="s">
        <v>11</v>
      </c>
      <c r="F6" s="51">
        <f>gemuurtarief1</f>
        <v>0</v>
      </c>
      <c r="G6" s="29">
        <f>SUMPRODUCT(taakfreqtabel1,uurfactortabel1,kengetaltabel1,object1_opptabel1)*(1/VLOOKUP(E6,dagsoorttabel1,2,FALSE))</f>
        <v>0</v>
      </c>
      <c r="H6" s="29">
        <f>SUMPRODUCT(dagwerktabel1,taakfreqtabel1,uurfactortabel1,kengetaltabel1,object1_opptabel1)*(1/VLOOKUP(E6,dagsoorttabel1,2,FALSE))</f>
        <v>0</v>
      </c>
      <c r="I6" s="52"/>
      <c r="J6" s="29">
        <f>H6+I6</f>
        <v>0</v>
      </c>
      <c r="K6" s="29">
        <f>G6+I6</f>
        <v>0</v>
      </c>
      <c r="L6" s="32">
        <f>SUMPRODUCT(taakfreqtabel1,kengetaltabel1,tarieftabel1,object1_opptabel1)*(1/VLOOKUP(E6,dagsoorttabel1,2,FALSE))</f>
        <v>0</v>
      </c>
      <c r="M6" s="32">
        <f>F6*I6</f>
        <v>0</v>
      </c>
      <c r="N6" s="32">
        <f>SUM(L6:M6)</f>
        <v>0</v>
      </c>
      <c r="O6" s="29">
        <f>J6*dagenperjaar1*VLOOKUP(E6,dagsoorttabel1,2,FALSE)</f>
        <v>0</v>
      </c>
      <c r="P6" s="29">
        <f>K6*dagenperjaar1*VLOOKUP(E6,dagsoorttabel1,2,FALSE)</f>
        <v>0</v>
      </c>
      <c r="Q6" s="32">
        <f>N6*dagenperjaar1*VLOOKUP(E6,dagsoorttabel1,2,FALSE)</f>
        <v>0</v>
      </c>
      <c r="R6" s="32">
        <f>Q6/12</f>
        <v>0</v>
      </c>
    </row>
    <row r="7" spans="1:18">
      <c r="A7" s="19" t="s">
        <v>303</v>
      </c>
      <c r="B7" s="19" t="s">
        <v>304</v>
      </c>
      <c r="C7" s="19" t="s">
        <v>305</v>
      </c>
      <c r="D7" s="19" t="s">
        <v>302</v>
      </c>
      <c r="E7" s="53" t="s">
        <v>11</v>
      </c>
      <c r="F7" s="54">
        <f>gemuurtarief1</f>
        <v>0</v>
      </c>
      <c r="G7" s="33">
        <f>SUMPRODUCT(taakfreqtabel1,uurfactortabel1,kengetaltabel1,object2_opptabel1)*(1/VLOOKUP(E7,dagsoorttabel1,2,FALSE))</f>
        <v>0</v>
      </c>
      <c r="H7" s="33">
        <f>SUMPRODUCT(dagwerktabel1,taakfreqtabel1,uurfactortabel1,kengetaltabel1,object2_opptabel1)*(1/VLOOKUP(E7,dagsoorttabel1,2,FALSE))</f>
        <v>0</v>
      </c>
      <c r="I7" s="55"/>
      <c r="J7" s="33">
        <f>H7+I7</f>
        <v>0</v>
      </c>
      <c r="K7" s="33">
        <f>G7+I7</f>
        <v>0</v>
      </c>
      <c r="L7" s="36">
        <f>SUMPRODUCT(taakfreqtabel1,kengetaltabel1,tarieftabel1,object2_opptabel1)*(1/VLOOKUP(E7,dagsoorttabel1,2,FALSE))</f>
        <v>0</v>
      </c>
      <c r="M7" s="36">
        <f>F7*I7</f>
        <v>0</v>
      </c>
      <c r="N7" s="36">
        <f>SUM(L7:M7)</f>
        <v>0</v>
      </c>
      <c r="O7" s="33">
        <f>J7*dagenperjaar1*VLOOKUP(E7,dagsoorttabel1,2,FALSE)</f>
        <v>0</v>
      </c>
      <c r="P7" s="33">
        <f>K7*dagenperjaar1*VLOOKUP(E7,dagsoorttabel1,2,FALSE)</f>
        <v>0</v>
      </c>
      <c r="Q7" s="36">
        <f>N7*dagenperjaar1*VLOOKUP(E7,dagsoorttabel1,2,FALSE)</f>
        <v>0</v>
      </c>
      <c r="R7" s="36">
        <f>Q7/12</f>
        <v>0</v>
      </c>
    </row>
    <row r="8" spans="1:18">
      <c r="A8" s="19" t="s">
        <v>306</v>
      </c>
      <c r="B8" s="19" t="s">
        <v>307</v>
      </c>
      <c r="C8" s="19" t="s">
        <v>308</v>
      </c>
      <c r="D8" s="19" t="s">
        <v>302</v>
      </c>
      <c r="E8" s="53" t="s">
        <v>11</v>
      </c>
      <c r="F8" s="54">
        <f>gemuurtarief1</f>
        <v>0</v>
      </c>
      <c r="G8" s="33">
        <f>SUMPRODUCT(taakfreqtabel1,uurfactortabel1,kengetaltabel1,object3_opptabel1)*(1/VLOOKUP(E8,dagsoorttabel1,2,FALSE))</f>
        <v>0</v>
      </c>
      <c r="H8" s="33">
        <f>SUMPRODUCT(dagwerktabel1,taakfreqtabel1,uurfactortabel1,kengetaltabel1,object3_opptabel1)*(1/VLOOKUP(E8,dagsoorttabel1,2,FALSE))</f>
        <v>0</v>
      </c>
      <c r="I8" s="55"/>
      <c r="J8" s="33">
        <f>H8+I8</f>
        <v>0</v>
      </c>
      <c r="K8" s="33">
        <f>G8+I8</f>
        <v>0</v>
      </c>
      <c r="L8" s="36">
        <f>SUMPRODUCT(taakfreqtabel1,kengetaltabel1,tarieftabel1,object3_opptabel1)*(1/VLOOKUP(E8,dagsoorttabel1,2,FALSE))</f>
        <v>0</v>
      </c>
      <c r="M8" s="36">
        <f>F8*I8</f>
        <v>0</v>
      </c>
      <c r="N8" s="36">
        <f>SUM(L8:M8)</f>
        <v>0</v>
      </c>
      <c r="O8" s="33">
        <f>J8*dagenperjaar1*VLOOKUP(E8,dagsoorttabel1,2,FALSE)</f>
        <v>0</v>
      </c>
      <c r="P8" s="33">
        <f>K8*dagenperjaar1*VLOOKUP(E8,dagsoorttabel1,2,FALSE)</f>
        <v>0</v>
      </c>
      <c r="Q8" s="36">
        <f>N8*dagenperjaar1*VLOOKUP(E8,dagsoorttabel1,2,FALSE)</f>
        <v>0</v>
      </c>
      <c r="R8" s="36">
        <f>Q8/12</f>
        <v>0</v>
      </c>
    </row>
    <row r="9" spans="1:18">
      <c r="A9" s="19" t="s">
        <v>309</v>
      </c>
      <c r="B9" s="19" t="s">
        <v>310</v>
      </c>
      <c r="C9" s="19" t="s">
        <v>311</v>
      </c>
      <c r="D9" s="19" t="s">
        <v>312</v>
      </c>
      <c r="E9" s="53" t="s">
        <v>11</v>
      </c>
      <c r="F9" s="54">
        <f>gemuurtarief1</f>
        <v>0</v>
      </c>
      <c r="G9" s="33">
        <f>SUMPRODUCT(taakfreqtabel1,uurfactortabel1,kengetaltabel1,object4_opptabel1)*(1/VLOOKUP(E9,dagsoorttabel1,2,FALSE))</f>
        <v>0</v>
      </c>
      <c r="H9" s="33">
        <f>SUMPRODUCT(dagwerktabel1,taakfreqtabel1,uurfactortabel1,kengetaltabel1,object4_opptabel1)*(1/VLOOKUP(E9,dagsoorttabel1,2,FALSE))</f>
        <v>0</v>
      </c>
      <c r="I9" s="55"/>
      <c r="J9" s="33">
        <f>H9+I9</f>
        <v>0</v>
      </c>
      <c r="K9" s="33">
        <f>G9+I9</f>
        <v>0</v>
      </c>
      <c r="L9" s="36">
        <f>SUMPRODUCT(taakfreqtabel1,kengetaltabel1,tarieftabel1,object4_opptabel1)*(1/VLOOKUP(E9,dagsoorttabel1,2,FALSE))</f>
        <v>0</v>
      </c>
      <c r="M9" s="36">
        <f>F9*I9</f>
        <v>0</v>
      </c>
      <c r="N9" s="36">
        <f>SUM(L9:M9)</f>
        <v>0</v>
      </c>
      <c r="O9" s="33">
        <f>J9*dagenperjaar1*VLOOKUP(E9,dagsoorttabel1,2,FALSE)</f>
        <v>0</v>
      </c>
      <c r="P9" s="33">
        <f>K9*dagenperjaar1*VLOOKUP(E9,dagsoorttabel1,2,FALSE)</f>
        <v>0</v>
      </c>
      <c r="Q9" s="36">
        <f>N9*dagenperjaar1*VLOOKUP(E9,dagsoorttabel1,2,FALSE)</f>
        <v>0</v>
      </c>
      <c r="R9" s="36">
        <f>Q9/12</f>
        <v>0</v>
      </c>
    </row>
    <row r="10" spans="1:18">
      <c r="A10" s="19" t="s">
        <v>313</v>
      </c>
      <c r="B10" s="19" t="s">
        <v>314</v>
      </c>
      <c r="C10" s="19" t="s">
        <v>315</v>
      </c>
      <c r="D10" s="19" t="s">
        <v>302</v>
      </c>
      <c r="E10" s="53" t="s">
        <v>15</v>
      </c>
      <c r="F10" s="54">
        <f>gemuurtarief1</f>
        <v>0</v>
      </c>
      <c r="G10" s="33">
        <f>SUMPRODUCT(taakfreqtabel1,uurfactortabel1,kengetaltabel1,object5_opptabel1)*(1/VLOOKUP(E10,dagsoorttabel1,2,FALSE))</f>
        <v>0</v>
      </c>
      <c r="H10" s="33">
        <f>SUMPRODUCT(dagwerktabel1,taakfreqtabel1,uurfactortabel1,kengetaltabel1,object5_opptabel1)*(1/VLOOKUP(E10,dagsoorttabel1,2,FALSE))</f>
        <v>0</v>
      </c>
      <c r="I10" s="55"/>
      <c r="J10" s="33">
        <f>H10+I10</f>
        <v>0</v>
      </c>
      <c r="K10" s="33">
        <f>G10+I10</f>
        <v>0</v>
      </c>
      <c r="L10" s="36">
        <f>SUMPRODUCT(taakfreqtabel1,kengetaltabel1,tarieftabel1,object5_opptabel1)*(1/VLOOKUP(E10,dagsoorttabel1,2,FALSE))</f>
        <v>0</v>
      </c>
      <c r="M10" s="36">
        <f>F10*I10</f>
        <v>0</v>
      </c>
      <c r="N10" s="36">
        <f>SUM(L10:M10)</f>
        <v>0</v>
      </c>
      <c r="O10" s="33">
        <f>J10*dagenperjaar1*VLOOKUP(E10,dagsoorttabel1,2,FALSE)</f>
        <v>0</v>
      </c>
      <c r="P10" s="33">
        <f>K10*dagenperjaar1*VLOOKUP(E10,dagsoorttabel1,2,FALSE)</f>
        <v>0</v>
      </c>
      <c r="Q10" s="36">
        <f>N10*dagenperjaar1*VLOOKUP(E10,dagsoorttabel1,2,FALSE)</f>
        <v>0</v>
      </c>
      <c r="R10" s="36">
        <f>Q10/12</f>
        <v>0</v>
      </c>
    </row>
    <row r="11" spans="1:18">
      <c r="A11" s="24" t="s">
        <v>316</v>
      </c>
      <c r="B11" s="24" t="s">
        <v>317</v>
      </c>
      <c r="C11" s="24" t="s">
        <v>318</v>
      </c>
      <c r="D11" s="24" t="s">
        <v>302</v>
      </c>
      <c r="E11" s="56" t="s">
        <v>11</v>
      </c>
      <c r="F11" s="57">
        <f>gemuurtarief1</f>
        <v>0</v>
      </c>
      <c r="G11" s="37">
        <f>SUMPRODUCT(taakfreqtabel1,uurfactortabel1,kengetaltabel1,object6_opptabel1)*(1/VLOOKUP(E11,dagsoorttabel1,2,FALSE))</f>
        <v>0</v>
      </c>
      <c r="H11" s="37">
        <f>SUMPRODUCT(dagwerktabel1,taakfreqtabel1,uurfactortabel1,kengetaltabel1,object6_opptabel1)*(1/VLOOKUP(E11,dagsoorttabel1,2,FALSE))</f>
        <v>0</v>
      </c>
      <c r="I11" s="58"/>
      <c r="J11" s="37">
        <f>H11+I11</f>
        <v>0</v>
      </c>
      <c r="K11" s="37">
        <f>G11+I11</f>
        <v>0</v>
      </c>
      <c r="L11" s="39">
        <f>SUMPRODUCT(taakfreqtabel1,kengetaltabel1,tarieftabel1,object6_opptabel1)*(1/VLOOKUP(E11,dagsoorttabel1,2,FALSE))</f>
        <v>0</v>
      </c>
      <c r="M11" s="39">
        <f>F11*I11</f>
        <v>0</v>
      </c>
      <c r="N11" s="39">
        <f>SUM(L11:M11)</f>
        <v>0</v>
      </c>
      <c r="O11" s="37">
        <f>J11*dagenperjaar1*VLOOKUP(E11,dagsoorttabel1,2,FALSE)</f>
        <v>0</v>
      </c>
      <c r="P11" s="37">
        <f>K11*dagenperjaar1*VLOOKUP(E11,dagsoorttabel1,2,FALSE)</f>
        <v>0</v>
      </c>
      <c r="Q11" s="39">
        <f>N11*dagenperjaar1*VLOOKUP(E11,dagsoorttabel1,2,FALSE)</f>
        <v>0</v>
      </c>
      <c r="R11" s="39">
        <f>Q11/12</f>
        <v>0</v>
      </c>
    </row>
    <row r="12" spans="1:18">
      <c r="A12" s="40" t="s">
        <v>252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85">
        <f>SUM(O6:O11)</f>
        <v>0</v>
      </c>
      <c r="P12" s="85">
        <f>SUM(P6:P11)</f>
        <v>0</v>
      </c>
      <c r="Q12" s="42">
        <f>SUM(Q6:Q11)</f>
        <v>0</v>
      </c>
      <c r="R12" s="42">
        <f>SUM(R6:R11)</f>
        <v>0</v>
      </c>
    </row>
    <row r="13" spans="1:18">
      <c r="A13" s="43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4"/>
    </row>
    <row r="14" spans="1:18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0"/>
    </row>
    <row r="15" spans="1:18">
      <c r="A15" s="11" t="s">
        <v>167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/>
    </row>
    <row r="16" spans="1:18">
      <c r="A16" s="14" t="s">
        <v>303</v>
      </c>
      <c r="B16" s="14" t="s">
        <v>304</v>
      </c>
      <c r="C16" s="14" t="s">
        <v>305</v>
      </c>
      <c r="D16" s="14" t="s">
        <v>302</v>
      </c>
      <c r="E16" s="50" t="s">
        <v>23</v>
      </c>
      <c r="F16" s="51">
        <f>gemuurtarief2</f>
        <v>0</v>
      </c>
      <c r="G16" s="29">
        <f>SUMPRODUCT(taakfreqtabel2,uurfactortabel2,kengetaltabel2,object2_opptabel2)*(1/VLOOKUP(E16,dagsoorttabel1,2,FALSE))</f>
        <v>0</v>
      </c>
      <c r="H16" s="29">
        <f>SUMPRODUCT(dagwerktabel2,taakfreqtabel2,uurfactortabel2,kengetaltabel2,object2_opptabel2)*(1/VLOOKUP(E16,dagsoorttabel1,2,FALSE))</f>
        <v>0</v>
      </c>
      <c r="I16" s="52"/>
      <c r="J16" s="29">
        <f>H16+I16</f>
        <v>0</v>
      </c>
      <c r="K16" s="29">
        <f>G16+I16</f>
        <v>0</v>
      </c>
      <c r="L16" s="32">
        <f>SUMPRODUCT(taakfreqtabel2,kengetaltabel2,tarieftabel2,object2_opptabel2)*(1/VLOOKUP(E16,dagsoorttabel1,2,FALSE))</f>
        <v>0</v>
      </c>
      <c r="M16" s="32">
        <f>F16*I16</f>
        <v>0</v>
      </c>
      <c r="N16" s="32">
        <f>SUM(L16:M16)</f>
        <v>0</v>
      </c>
      <c r="O16" s="29">
        <f>J16*dagenperjaar1*VLOOKUP(E16,dagsoorttabel1,2,FALSE)</f>
        <v>0</v>
      </c>
      <c r="P16" s="29">
        <f>K16*dagenperjaar1*VLOOKUP(E16,dagsoorttabel1,2,FALSE)</f>
        <v>0</v>
      </c>
      <c r="Q16" s="32">
        <f>N16*dagenperjaar1*VLOOKUP(E16,dagsoorttabel1,2,FALSE)</f>
        <v>0</v>
      </c>
      <c r="R16" s="32">
        <f>Q16/12</f>
        <v>0</v>
      </c>
    </row>
    <row r="17" spans="1:18">
      <c r="A17" s="19" t="s">
        <v>306</v>
      </c>
      <c r="B17" s="19" t="s">
        <v>307</v>
      </c>
      <c r="C17" s="19" t="s">
        <v>308</v>
      </c>
      <c r="D17" s="19" t="s">
        <v>302</v>
      </c>
      <c r="E17" s="53" t="s">
        <v>23</v>
      </c>
      <c r="F17" s="54">
        <f>gemuurtarief2</f>
        <v>0</v>
      </c>
      <c r="G17" s="33">
        <f>SUMPRODUCT(taakfreqtabel2,uurfactortabel2,kengetaltabel2,object3_opptabel2)*(1/VLOOKUP(E17,dagsoorttabel1,2,FALSE))</f>
        <v>0</v>
      </c>
      <c r="H17" s="33">
        <f>SUMPRODUCT(dagwerktabel2,taakfreqtabel2,uurfactortabel2,kengetaltabel2,object3_opptabel2)*(1/VLOOKUP(E17,dagsoorttabel1,2,FALSE))</f>
        <v>0</v>
      </c>
      <c r="I17" s="55"/>
      <c r="J17" s="33">
        <f>H17+I17</f>
        <v>0</v>
      </c>
      <c r="K17" s="33">
        <f>G17+I17</f>
        <v>0</v>
      </c>
      <c r="L17" s="36">
        <f>SUMPRODUCT(taakfreqtabel2,kengetaltabel2,tarieftabel2,object3_opptabel2)*(1/VLOOKUP(E17,dagsoorttabel1,2,FALSE))</f>
        <v>0</v>
      </c>
      <c r="M17" s="36">
        <f>F17*I17</f>
        <v>0</v>
      </c>
      <c r="N17" s="36">
        <f>SUM(L17:M17)</f>
        <v>0</v>
      </c>
      <c r="O17" s="33">
        <f>J17*dagenperjaar1*VLOOKUP(E17,dagsoorttabel1,2,FALSE)</f>
        <v>0</v>
      </c>
      <c r="P17" s="33">
        <f>K17*dagenperjaar1*VLOOKUP(E17,dagsoorttabel1,2,FALSE)</f>
        <v>0</v>
      </c>
      <c r="Q17" s="36">
        <f>N17*dagenperjaar1*VLOOKUP(E17,dagsoorttabel1,2,FALSE)</f>
        <v>0</v>
      </c>
      <c r="R17" s="36">
        <f>Q17/12</f>
        <v>0</v>
      </c>
    </row>
    <row r="18" spans="1:18">
      <c r="A18" s="24" t="s">
        <v>316</v>
      </c>
      <c r="B18" s="24" t="s">
        <v>317</v>
      </c>
      <c r="C18" s="24" t="s">
        <v>318</v>
      </c>
      <c r="D18" s="24" t="s">
        <v>302</v>
      </c>
      <c r="E18" s="56" t="s">
        <v>23</v>
      </c>
      <c r="F18" s="57">
        <f>gemuurtarief2</f>
        <v>0</v>
      </c>
      <c r="G18" s="37">
        <f>SUMPRODUCT(taakfreqtabel2,uurfactortabel2,kengetaltabel2,object6_opptabel2)*(1/VLOOKUP(E18,dagsoorttabel1,2,FALSE))</f>
        <v>0</v>
      </c>
      <c r="H18" s="37">
        <f>SUMPRODUCT(dagwerktabel2,taakfreqtabel2,uurfactortabel2,kengetaltabel2,object6_opptabel2)*(1/VLOOKUP(E18,dagsoorttabel1,2,FALSE))</f>
        <v>0</v>
      </c>
      <c r="I18" s="58"/>
      <c r="J18" s="37">
        <f>H18+I18</f>
        <v>0</v>
      </c>
      <c r="K18" s="37">
        <f>G18+I18</f>
        <v>0</v>
      </c>
      <c r="L18" s="39">
        <f>SUMPRODUCT(taakfreqtabel2,kengetaltabel2,tarieftabel2,object6_opptabel2)*(1/VLOOKUP(E18,dagsoorttabel1,2,FALSE))</f>
        <v>0</v>
      </c>
      <c r="M18" s="39">
        <f>F18*I18</f>
        <v>0</v>
      </c>
      <c r="N18" s="39">
        <f>SUM(L18:M18)</f>
        <v>0</v>
      </c>
      <c r="O18" s="37">
        <f>J18*dagenperjaar1*VLOOKUP(E18,dagsoorttabel1,2,FALSE)</f>
        <v>0</v>
      </c>
      <c r="P18" s="37">
        <f>K18*dagenperjaar1*VLOOKUP(E18,dagsoorttabel1,2,FALSE)</f>
        <v>0</v>
      </c>
      <c r="Q18" s="39">
        <f>N18*dagenperjaar1*VLOOKUP(E18,dagsoorttabel1,2,FALSE)</f>
        <v>0</v>
      </c>
      <c r="R18" s="39">
        <f>Q18/12</f>
        <v>0</v>
      </c>
    </row>
    <row r="19" spans="1:18">
      <c r="A19" s="40" t="s">
        <v>265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85">
        <f>SUM(O16:O18)</f>
        <v>0</v>
      </c>
      <c r="P19" s="85">
        <f>SUM(P16:P18)</f>
        <v>0</v>
      </c>
      <c r="Q19" s="42">
        <f>SUM(Q16:Q18)</f>
        <v>0</v>
      </c>
      <c r="R19" s="42">
        <f>SUM(R16:R18)</f>
        <v>0</v>
      </c>
    </row>
    <row r="20" spans="1:18">
      <c r="A20" s="43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4"/>
    </row>
    <row r="22" spans="1:18">
      <c r="A22" s="40" t="s">
        <v>319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85">
        <f>urenjaartotaalhf1+urenjaartotaalhf2</f>
        <v>0</v>
      </c>
      <c r="P22" s="85">
        <f>urenjaartotaal1+urenjaartotaal2</f>
        <v>0</v>
      </c>
      <c r="Q22" s="42">
        <f>prijsjaartotaal1+prijsjaartotaal2</f>
        <v>0</v>
      </c>
      <c r="R22" s="42">
        <f>prijsmaandtotaal1+prijsmaandtotaal2</f>
        <v>0</v>
      </c>
    </row>
    <row r="24" spans="1:18">
      <c r="A24" s="40" t="s">
        <v>320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2">
        <f>Q22*1.21</f>
        <v>0</v>
      </c>
      <c r="R24" s="42">
        <f>R22*1.21</f>
        <v>0</v>
      </c>
    </row>
  </sheetData>
  <pageMargins left="0.7" right="0.7" top="0.75" bottom="0.75" header="0.3" footer="0.3"/>
  <pageSetup paperSize="9" scale="65" orientation="landscape" r:id="rId1"/>
  <headerFooter>
    <oddFooter>&amp;LROC Midden Nederland EA 2022                                &amp;ROpmaakdatum: 02-06-2022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DBE1F-7E2D-4958-B318-B41766CD5B18}">
  <dimension ref="A1:K96"/>
  <sheetViews>
    <sheetView workbookViewId="0"/>
  </sheetViews>
  <sheetFormatPr defaultRowHeight="12.75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>
      <c r="A1" s="1" t="str">
        <f>CONCATENATE("Bijlage I2.4: ",tabeltype," niet-meewerkende objectleiding")</f>
        <v>Bijlage I2.4: Invultabel niet-meewerkende objectleiding</v>
      </c>
    </row>
    <row r="3" spans="1:11" ht="38.25">
      <c r="A3" s="84" t="s">
        <v>321</v>
      </c>
      <c r="B3" s="84" t="s">
        <v>7</v>
      </c>
      <c r="C3" s="84" t="s">
        <v>322</v>
      </c>
      <c r="D3" s="84" t="s">
        <v>323</v>
      </c>
      <c r="E3" s="84" t="s">
        <v>324</v>
      </c>
      <c r="F3" s="84" t="s">
        <v>325</v>
      </c>
      <c r="G3" s="84" t="s">
        <v>326</v>
      </c>
      <c r="H3" s="84" t="s">
        <v>184</v>
      </c>
      <c r="I3" s="84" t="s">
        <v>327</v>
      </c>
      <c r="J3" s="84" t="s">
        <v>328</v>
      </c>
      <c r="K3" s="84" t="s">
        <v>329</v>
      </c>
    </row>
    <row r="4" spans="1:11">
      <c r="A4" s="59"/>
      <c r="B4" s="60"/>
      <c r="C4" s="60"/>
      <c r="D4" s="60"/>
      <c r="E4" s="60"/>
      <c r="F4" s="60"/>
      <c r="G4" s="60"/>
      <c r="H4" s="60"/>
      <c r="I4" s="60"/>
      <c r="J4" s="60"/>
      <c r="K4" s="61"/>
    </row>
    <row r="5" spans="1:11">
      <c r="A5" s="11" t="s">
        <v>38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1">
      <c r="A7" s="11" t="s">
        <v>330</v>
      </c>
      <c r="B7" s="12"/>
      <c r="C7" s="12"/>
      <c r="D7" s="12"/>
      <c r="E7" s="12"/>
      <c r="F7" s="12"/>
      <c r="G7" s="12"/>
      <c r="H7" s="12"/>
      <c r="I7" s="12"/>
      <c r="J7" s="12"/>
      <c r="K7" s="13"/>
    </row>
    <row r="8" spans="1:11">
      <c r="A8" s="14" t="s">
        <v>331</v>
      </c>
      <c r="B8" s="14" t="s">
        <v>11</v>
      </c>
      <c r="C8" s="15">
        <f>IF(ISBLANK(B8),0,IF(ISERROR(VALUE(B8)),VLOOKUP(B8,dagsoorttabel1,2,FALSE)*dagenperjaar1,VALUE(B8)))</f>
        <v>200</v>
      </c>
      <c r="D8" s="14" t="s">
        <v>332</v>
      </c>
      <c r="E8" s="18"/>
      <c r="F8" s="17"/>
      <c r="G8" s="62"/>
      <c r="H8" s="29">
        <f>IF(ISBLANK(G8),0,G8*C8)+IF(ISBLANK(F8),0,F8*objecturen1_1)</f>
        <v>0</v>
      </c>
      <c r="I8" s="29">
        <f>IF(C8=0,0,H8/C8)</f>
        <v>0</v>
      </c>
      <c r="J8" s="32">
        <f>IF(ISBLANK(E8),0,ROUND(E8,2)*H8)</f>
        <v>0</v>
      </c>
      <c r="K8" s="32">
        <f>J8/12</f>
        <v>0</v>
      </c>
    </row>
    <row r="9" spans="1:11">
      <c r="A9" s="19"/>
      <c r="B9" s="19"/>
      <c r="C9" s="63">
        <f>dagenperjaar1</f>
        <v>255</v>
      </c>
      <c r="D9" s="64" t="s">
        <v>333</v>
      </c>
      <c r="E9" s="23"/>
      <c r="F9" s="22"/>
      <c r="G9" s="65"/>
      <c r="H9" s="33">
        <f>IF(ISBLANK(G9),0,G9*C9)+IF(ISBLANK(F9),0,F9*objecturen1_1)</f>
        <v>0</v>
      </c>
      <c r="I9" s="33">
        <f>IF(C9=0,0,H9/C9)</f>
        <v>0</v>
      </c>
      <c r="J9" s="36">
        <f>IF(ISBLANK(E9),0,ROUND(E9,2)*H9)</f>
        <v>0</v>
      </c>
      <c r="K9" s="36">
        <f>J9/12</f>
        <v>0</v>
      </c>
    </row>
    <row r="10" spans="1:11">
      <c r="A10" s="19"/>
      <c r="B10" s="19"/>
      <c r="C10" s="63">
        <f>dagenperjaar1</f>
        <v>255</v>
      </c>
      <c r="D10" s="64" t="s">
        <v>333</v>
      </c>
      <c r="E10" s="23"/>
      <c r="F10" s="22"/>
      <c r="G10" s="65"/>
      <c r="H10" s="33">
        <f>IF(ISBLANK(G10),0,G10*C10)+IF(ISBLANK(F10),0,F10*objecturen1_1)</f>
        <v>0</v>
      </c>
      <c r="I10" s="33">
        <f>IF(C10=0,0,H10/C10)</f>
        <v>0</v>
      </c>
      <c r="J10" s="36">
        <f>IF(ISBLANK(E10),0,ROUND(E10,2)*H10)</f>
        <v>0</v>
      </c>
      <c r="K10" s="36">
        <f>J10/12</f>
        <v>0</v>
      </c>
    </row>
    <row r="11" spans="1:11">
      <c r="A11" s="19"/>
      <c r="B11" s="19"/>
      <c r="C11" s="63">
        <f>dagenperjaar1</f>
        <v>255</v>
      </c>
      <c r="D11" s="64" t="s">
        <v>334</v>
      </c>
      <c r="E11" s="23"/>
      <c r="F11" s="66"/>
      <c r="G11" s="21"/>
      <c r="H11" s="33">
        <f>IF(ISBLANK(G11),0,G11*C11)+IF(ISBLANK(F11),0,F11*objecturen1_1)</f>
        <v>0</v>
      </c>
      <c r="I11" s="33">
        <f>IF(C11=0,0,H11/C11)</f>
        <v>0</v>
      </c>
      <c r="J11" s="36">
        <f>IF(ISBLANK(E11),0,ROUND(E11,2)*H11)</f>
        <v>0</v>
      </c>
      <c r="K11" s="36">
        <f>J11/12</f>
        <v>0</v>
      </c>
    </row>
    <row r="12" spans="1:11">
      <c r="A12" s="24"/>
      <c r="B12" s="24"/>
      <c r="C12" s="67">
        <f>dagenperjaar1</f>
        <v>255</v>
      </c>
      <c r="D12" s="68" t="s">
        <v>334</v>
      </c>
      <c r="E12" s="28"/>
      <c r="F12" s="69"/>
      <c r="G12" s="26"/>
      <c r="H12" s="37">
        <f>IF(ISBLANK(G12),0,G12*C12)+IF(ISBLANK(F12),0,F12*objecturen1_1)</f>
        <v>0</v>
      </c>
      <c r="I12" s="37">
        <f>IF(C12=0,0,H12/C12)</f>
        <v>0</v>
      </c>
      <c r="J12" s="39">
        <f>IF(ISBLANK(E12),0,ROUND(E12,2)*H12)</f>
        <v>0</v>
      </c>
      <c r="K12" s="39">
        <f>J12/12</f>
        <v>0</v>
      </c>
    </row>
    <row r="13" spans="1:11">
      <c r="A13" s="40" t="s">
        <v>335</v>
      </c>
      <c r="B13" s="41"/>
      <c r="C13" s="41"/>
      <c r="D13" s="41"/>
      <c r="E13" s="41"/>
      <c r="F13" s="41"/>
      <c r="G13" s="41"/>
      <c r="H13" s="85">
        <f>SUM(H8:H12)</f>
        <v>0</v>
      </c>
      <c r="I13" s="41"/>
      <c r="J13" s="42">
        <f>SUM(J8:J12)</f>
        <v>0</v>
      </c>
      <c r="K13" s="42">
        <f>SUM(K8:K12)</f>
        <v>0</v>
      </c>
    </row>
    <row r="14" spans="1:11">
      <c r="A14" s="43"/>
      <c r="B14" s="41"/>
      <c r="C14" s="41"/>
      <c r="D14" s="41"/>
      <c r="E14" s="41"/>
      <c r="F14" s="41"/>
      <c r="G14" s="41"/>
      <c r="H14" s="41"/>
      <c r="I14" s="41"/>
      <c r="J14" s="41"/>
      <c r="K14" s="44"/>
    </row>
    <row r="15" spans="1:11">
      <c r="A15" s="8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1">
      <c r="A16" s="11" t="s">
        <v>336</v>
      </c>
      <c r="B16" s="12"/>
      <c r="C16" s="12"/>
      <c r="D16" s="12"/>
      <c r="E16" s="12"/>
      <c r="F16" s="12"/>
      <c r="G16" s="12"/>
      <c r="H16" s="12"/>
      <c r="I16" s="12"/>
      <c r="J16" s="12"/>
      <c r="K16" s="13"/>
    </row>
    <row r="17" spans="1:11">
      <c r="A17" s="14" t="s">
        <v>331</v>
      </c>
      <c r="B17" s="14" t="s">
        <v>11</v>
      </c>
      <c r="C17" s="15">
        <f>IF(ISBLANK(B17),0,IF(ISERROR(VALUE(B17)),VLOOKUP(B17,dagsoorttabel1,2,FALSE)*dagenperjaar1,VALUE(B17)))</f>
        <v>200</v>
      </c>
      <c r="D17" s="14" t="s">
        <v>332</v>
      </c>
      <c r="E17" s="18"/>
      <c r="F17" s="17"/>
      <c r="G17" s="62"/>
      <c r="H17" s="29">
        <f>IF(ISBLANK(G17),0,G17*C17)+IF(ISBLANK(F17),0,F17*objecturen2_1)</f>
        <v>0</v>
      </c>
      <c r="I17" s="29">
        <f>IF(C17=0,0,H17/C17)</f>
        <v>0</v>
      </c>
      <c r="J17" s="32">
        <f>IF(ISBLANK(E17),0,ROUND(E17,2)*H17)</f>
        <v>0</v>
      </c>
      <c r="K17" s="32">
        <f>J17/12</f>
        <v>0</v>
      </c>
    </row>
    <row r="18" spans="1:11">
      <c r="A18" s="19"/>
      <c r="B18" s="19"/>
      <c r="C18" s="63">
        <f>dagenperjaar1</f>
        <v>255</v>
      </c>
      <c r="D18" s="64" t="s">
        <v>333</v>
      </c>
      <c r="E18" s="23"/>
      <c r="F18" s="22"/>
      <c r="G18" s="65"/>
      <c r="H18" s="33">
        <f>IF(ISBLANK(G18),0,G18*C18)+IF(ISBLANK(F18),0,F18*objecturen2_1)</f>
        <v>0</v>
      </c>
      <c r="I18" s="33">
        <f>IF(C18=0,0,H18/C18)</f>
        <v>0</v>
      </c>
      <c r="J18" s="36">
        <f>IF(ISBLANK(E18),0,ROUND(E18,2)*H18)</f>
        <v>0</v>
      </c>
      <c r="K18" s="36">
        <f>J18/12</f>
        <v>0</v>
      </c>
    </row>
    <row r="19" spans="1:11">
      <c r="A19" s="19"/>
      <c r="B19" s="19"/>
      <c r="C19" s="63">
        <f>dagenperjaar1</f>
        <v>255</v>
      </c>
      <c r="D19" s="64" t="s">
        <v>333</v>
      </c>
      <c r="E19" s="23"/>
      <c r="F19" s="22"/>
      <c r="G19" s="65"/>
      <c r="H19" s="33">
        <f>IF(ISBLANK(G19),0,G19*C19)+IF(ISBLANK(F19),0,F19*objecturen2_1)</f>
        <v>0</v>
      </c>
      <c r="I19" s="33">
        <f>IF(C19=0,0,H19/C19)</f>
        <v>0</v>
      </c>
      <c r="J19" s="36">
        <f>IF(ISBLANK(E19),0,ROUND(E19,2)*H19)</f>
        <v>0</v>
      </c>
      <c r="K19" s="36">
        <f>J19/12</f>
        <v>0</v>
      </c>
    </row>
    <row r="20" spans="1:11">
      <c r="A20" s="19"/>
      <c r="B20" s="19"/>
      <c r="C20" s="63">
        <f>dagenperjaar1</f>
        <v>255</v>
      </c>
      <c r="D20" s="64" t="s">
        <v>334</v>
      </c>
      <c r="E20" s="23"/>
      <c r="F20" s="66"/>
      <c r="G20" s="21"/>
      <c r="H20" s="33">
        <f>IF(ISBLANK(G20),0,G20*C20)+IF(ISBLANK(F20),0,F20*objecturen2_1)</f>
        <v>0</v>
      </c>
      <c r="I20" s="33">
        <f>IF(C20=0,0,H20/C20)</f>
        <v>0</v>
      </c>
      <c r="J20" s="36">
        <f>IF(ISBLANK(E20),0,ROUND(E20,2)*H20)</f>
        <v>0</v>
      </c>
      <c r="K20" s="36">
        <f>J20/12</f>
        <v>0</v>
      </c>
    </row>
    <row r="21" spans="1:11">
      <c r="A21" s="24"/>
      <c r="B21" s="24"/>
      <c r="C21" s="67">
        <f>dagenperjaar1</f>
        <v>255</v>
      </c>
      <c r="D21" s="68" t="s">
        <v>334</v>
      </c>
      <c r="E21" s="28"/>
      <c r="F21" s="69"/>
      <c r="G21" s="26"/>
      <c r="H21" s="37">
        <f>IF(ISBLANK(G21),0,G21*C21)+IF(ISBLANK(F21),0,F21*objecturen2_1)</f>
        <v>0</v>
      </c>
      <c r="I21" s="37">
        <f>IF(C21=0,0,H21/C21)</f>
        <v>0</v>
      </c>
      <c r="J21" s="39">
        <f>IF(ISBLANK(E21),0,ROUND(E21,2)*H21)</f>
        <v>0</v>
      </c>
      <c r="K21" s="39">
        <f>J21/12</f>
        <v>0</v>
      </c>
    </row>
    <row r="22" spans="1:11">
      <c r="A22" s="40" t="s">
        <v>337</v>
      </c>
      <c r="B22" s="41"/>
      <c r="C22" s="41"/>
      <c r="D22" s="41"/>
      <c r="E22" s="41"/>
      <c r="F22" s="41"/>
      <c r="G22" s="41"/>
      <c r="H22" s="85">
        <f>SUM(H17:H21)</f>
        <v>0</v>
      </c>
      <c r="I22" s="41"/>
      <c r="J22" s="42">
        <f>SUM(J17:J21)</f>
        <v>0</v>
      </c>
      <c r="K22" s="42">
        <f>SUM(K17:K21)</f>
        <v>0</v>
      </c>
    </row>
    <row r="23" spans="1:11">
      <c r="A23" s="43"/>
      <c r="B23" s="41"/>
      <c r="C23" s="41"/>
      <c r="D23" s="41"/>
      <c r="E23" s="41"/>
      <c r="F23" s="41"/>
      <c r="G23" s="41"/>
      <c r="H23" s="41"/>
      <c r="I23" s="41"/>
      <c r="J23" s="41"/>
      <c r="K23" s="44"/>
    </row>
    <row r="24" spans="1:11">
      <c r="A24" s="8"/>
      <c r="B24" s="9"/>
      <c r="C24" s="9"/>
      <c r="D24" s="9"/>
      <c r="E24" s="9"/>
      <c r="F24" s="9"/>
      <c r="G24" s="9"/>
      <c r="H24" s="9"/>
      <c r="I24" s="9"/>
      <c r="J24" s="9"/>
      <c r="K24" s="10"/>
    </row>
    <row r="25" spans="1:11">
      <c r="A25" s="11" t="s">
        <v>338</v>
      </c>
      <c r="B25" s="12"/>
      <c r="C25" s="12"/>
      <c r="D25" s="12"/>
      <c r="E25" s="12"/>
      <c r="F25" s="12"/>
      <c r="G25" s="12"/>
      <c r="H25" s="12"/>
      <c r="I25" s="12"/>
      <c r="J25" s="12"/>
      <c r="K25" s="13"/>
    </row>
    <row r="26" spans="1:11">
      <c r="A26" s="14" t="s">
        <v>331</v>
      </c>
      <c r="B26" s="14" t="s">
        <v>11</v>
      </c>
      <c r="C26" s="15">
        <f>IF(ISBLANK(B26),0,IF(ISERROR(VALUE(B26)),VLOOKUP(B26,dagsoorttabel1,2,FALSE)*dagenperjaar1,VALUE(B26)))</f>
        <v>200</v>
      </c>
      <c r="D26" s="14" t="s">
        <v>332</v>
      </c>
      <c r="E26" s="18"/>
      <c r="F26" s="17"/>
      <c r="G26" s="62"/>
      <c r="H26" s="29">
        <f>IF(ISBLANK(G26),0,G26*C26)+IF(ISBLANK(F26),0,F26*objecturen3_1)</f>
        <v>0</v>
      </c>
      <c r="I26" s="29">
        <f>IF(C26=0,0,H26/C26)</f>
        <v>0</v>
      </c>
      <c r="J26" s="32">
        <f>IF(ISBLANK(E26),0,ROUND(E26,2)*H26)</f>
        <v>0</v>
      </c>
      <c r="K26" s="32">
        <f>J26/12</f>
        <v>0</v>
      </c>
    </row>
    <row r="27" spans="1:11">
      <c r="A27" s="19"/>
      <c r="B27" s="19"/>
      <c r="C27" s="63">
        <f>dagenperjaar1</f>
        <v>255</v>
      </c>
      <c r="D27" s="64" t="s">
        <v>333</v>
      </c>
      <c r="E27" s="23"/>
      <c r="F27" s="22"/>
      <c r="G27" s="65"/>
      <c r="H27" s="33">
        <f>IF(ISBLANK(G27),0,G27*C27)+IF(ISBLANK(F27),0,F27*objecturen3_1)</f>
        <v>0</v>
      </c>
      <c r="I27" s="33">
        <f>IF(C27=0,0,H27/C27)</f>
        <v>0</v>
      </c>
      <c r="J27" s="36">
        <f>IF(ISBLANK(E27),0,ROUND(E27,2)*H27)</f>
        <v>0</v>
      </c>
      <c r="K27" s="36">
        <f>J27/12</f>
        <v>0</v>
      </c>
    </row>
    <row r="28" spans="1:11">
      <c r="A28" s="19"/>
      <c r="B28" s="19"/>
      <c r="C28" s="63">
        <f>dagenperjaar1</f>
        <v>255</v>
      </c>
      <c r="D28" s="64" t="s">
        <v>333</v>
      </c>
      <c r="E28" s="23"/>
      <c r="F28" s="22"/>
      <c r="G28" s="65"/>
      <c r="H28" s="33">
        <f>IF(ISBLANK(G28),0,G28*C28)+IF(ISBLANK(F28),0,F28*objecturen3_1)</f>
        <v>0</v>
      </c>
      <c r="I28" s="33">
        <f>IF(C28=0,0,H28/C28)</f>
        <v>0</v>
      </c>
      <c r="J28" s="36">
        <f>IF(ISBLANK(E28),0,ROUND(E28,2)*H28)</f>
        <v>0</v>
      </c>
      <c r="K28" s="36">
        <f>J28/12</f>
        <v>0</v>
      </c>
    </row>
    <row r="29" spans="1:11">
      <c r="A29" s="19"/>
      <c r="B29" s="19"/>
      <c r="C29" s="63">
        <f>dagenperjaar1</f>
        <v>255</v>
      </c>
      <c r="D29" s="64" t="s">
        <v>334</v>
      </c>
      <c r="E29" s="23"/>
      <c r="F29" s="66"/>
      <c r="G29" s="21"/>
      <c r="H29" s="33">
        <f>IF(ISBLANK(G29),0,G29*C29)+IF(ISBLANK(F29),0,F29*objecturen3_1)</f>
        <v>0</v>
      </c>
      <c r="I29" s="33">
        <f>IF(C29=0,0,H29/C29)</f>
        <v>0</v>
      </c>
      <c r="J29" s="36">
        <f>IF(ISBLANK(E29),0,ROUND(E29,2)*H29)</f>
        <v>0</v>
      </c>
      <c r="K29" s="36">
        <f>J29/12</f>
        <v>0</v>
      </c>
    </row>
    <row r="30" spans="1:11">
      <c r="A30" s="24"/>
      <c r="B30" s="24"/>
      <c r="C30" s="67">
        <f>dagenperjaar1</f>
        <v>255</v>
      </c>
      <c r="D30" s="68" t="s">
        <v>334</v>
      </c>
      <c r="E30" s="28"/>
      <c r="F30" s="69"/>
      <c r="G30" s="26"/>
      <c r="H30" s="37">
        <f>IF(ISBLANK(G30),0,G30*C30)+IF(ISBLANK(F30),0,F30*objecturen3_1)</f>
        <v>0</v>
      </c>
      <c r="I30" s="37">
        <f>IF(C30=0,0,H30/C30)</f>
        <v>0</v>
      </c>
      <c r="J30" s="39">
        <f>IF(ISBLANK(E30),0,ROUND(E30,2)*H30)</f>
        <v>0</v>
      </c>
      <c r="K30" s="39">
        <f>J30/12</f>
        <v>0</v>
      </c>
    </row>
    <row r="31" spans="1:11">
      <c r="A31" s="40" t="s">
        <v>339</v>
      </c>
      <c r="B31" s="41"/>
      <c r="C31" s="41"/>
      <c r="D31" s="41"/>
      <c r="E31" s="41"/>
      <c r="F31" s="41"/>
      <c r="G31" s="41"/>
      <c r="H31" s="85">
        <f>SUM(H26:H30)</f>
        <v>0</v>
      </c>
      <c r="I31" s="41"/>
      <c r="J31" s="42">
        <f>SUM(J26:J30)</f>
        <v>0</v>
      </c>
      <c r="K31" s="42">
        <f>SUM(K26:K30)</f>
        <v>0</v>
      </c>
    </row>
    <row r="32" spans="1:11">
      <c r="A32" s="43"/>
      <c r="B32" s="41"/>
      <c r="C32" s="41"/>
      <c r="D32" s="41"/>
      <c r="E32" s="41"/>
      <c r="F32" s="41"/>
      <c r="G32" s="41"/>
      <c r="H32" s="41"/>
      <c r="I32" s="41"/>
      <c r="J32" s="41"/>
      <c r="K32" s="44"/>
    </row>
    <row r="33" spans="1:11">
      <c r="A33" s="8"/>
      <c r="B33" s="9"/>
      <c r="C33" s="9"/>
      <c r="D33" s="9"/>
      <c r="E33" s="9"/>
      <c r="F33" s="9"/>
      <c r="G33" s="9"/>
      <c r="H33" s="9"/>
      <c r="I33" s="9"/>
      <c r="J33" s="9"/>
      <c r="K33" s="10"/>
    </row>
    <row r="34" spans="1:11">
      <c r="A34" s="11" t="s">
        <v>340</v>
      </c>
      <c r="B34" s="12"/>
      <c r="C34" s="12"/>
      <c r="D34" s="12"/>
      <c r="E34" s="12"/>
      <c r="F34" s="12"/>
      <c r="G34" s="12"/>
      <c r="H34" s="12"/>
      <c r="I34" s="12"/>
      <c r="J34" s="12"/>
      <c r="K34" s="13"/>
    </row>
    <row r="35" spans="1:11">
      <c r="A35" s="14" t="s">
        <v>331</v>
      </c>
      <c r="B35" s="14" t="s">
        <v>11</v>
      </c>
      <c r="C35" s="15">
        <f>IF(ISBLANK(B35),0,IF(ISERROR(VALUE(B35)),VLOOKUP(B35,dagsoorttabel1,2,FALSE)*dagenperjaar1,VALUE(B35)))</f>
        <v>200</v>
      </c>
      <c r="D35" s="14" t="s">
        <v>332</v>
      </c>
      <c r="E35" s="18"/>
      <c r="F35" s="17"/>
      <c r="G35" s="62"/>
      <c r="H35" s="29">
        <f>IF(ISBLANK(G35),0,G35*C35)+IF(ISBLANK(F35),0,F35*objecturen4_1)</f>
        <v>0</v>
      </c>
      <c r="I35" s="29">
        <f>IF(C35=0,0,H35/C35)</f>
        <v>0</v>
      </c>
      <c r="J35" s="32">
        <f>IF(ISBLANK(E35),0,ROUND(E35,2)*H35)</f>
        <v>0</v>
      </c>
      <c r="K35" s="32">
        <f>J35/12</f>
        <v>0</v>
      </c>
    </row>
    <row r="36" spans="1:11">
      <c r="A36" s="19"/>
      <c r="B36" s="19"/>
      <c r="C36" s="63">
        <f>dagenperjaar1</f>
        <v>255</v>
      </c>
      <c r="D36" s="64" t="s">
        <v>333</v>
      </c>
      <c r="E36" s="23"/>
      <c r="F36" s="22"/>
      <c r="G36" s="65"/>
      <c r="H36" s="33">
        <f>IF(ISBLANK(G36),0,G36*C36)+IF(ISBLANK(F36),0,F36*objecturen4_1)</f>
        <v>0</v>
      </c>
      <c r="I36" s="33">
        <f>IF(C36=0,0,H36/C36)</f>
        <v>0</v>
      </c>
      <c r="J36" s="36">
        <f>IF(ISBLANK(E36),0,ROUND(E36,2)*H36)</f>
        <v>0</v>
      </c>
      <c r="K36" s="36">
        <f>J36/12</f>
        <v>0</v>
      </c>
    </row>
    <row r="37" spans="1:11">
      <c r="A37" s="19"/>
      <c r="B37" s="19"/>
      <c r="C37" s="63">
        <f>dagenperjaar1</f>
        <v>255</v>
      </c>
      <c r="D37" s="64" t="s">
        <v>333</v>
      </c>
      <c r="E37" s="23"/>
      <c r="F37" s="22"/>
      <c r="G37" s="65"/>
      <c r="H37" s="33">
        <f>IF(ISBLANK(G37),0,G37*C37)+IF(ISBLANK(F37),0,F37*objecturen4_1)</f>
        <v>0</v>
      </c>
      <c r="I37" s="33">
        <f>IF(C37=0,0,H37/C37)</f>
        <v>0</v>
      </c>
      <c r="J37" s="36">
        <f>IF(ISBLANK(E37),0,ROUND(E37,2)*H37)</f>
        <v>0</v>
      </c>
      <c r="K37" s="36">
        <f>J37/12</f>
        <v>0</v>
      </c>
    </row>
    <row r="38" spans="1:11">
      <c r="A38" s="19"/>
      <c r="B38" s="19"/>
      <c r="C38" s="63">
        <f>dagenperjaar1</f>
        <v>255</v>
      </c>
      <c r="D38" s="64" t="s">
        <v>334</v>
      </c>
      <c r="E38" s="23"/>
      <c r="F38" s="66"/>
      <c r="G38" s="21"/>
      <c r="H38" s="33">
        <f>IF(ISBLANK(G38),0,G38*C38)+IF(ISBLANK(F38),0,F38*objecturen4_1)</f>
        <v>0</v>
      </c>
      <c r="I38" s="33">
        <f>IF(C38=0,0,H38/C38)</f>
        <v>0</v>
      </c>
      <c r="J38" s="36">
        <f>IF(ISBLANK(E38),0,ROUND(E38,2)*H38)</f>
        <v>0</v>
      </c>
      <c r="K38" s="36">
        <f>J38/12</f>
        <v>0</v>
      </c>
    </row>
    <row r="39" spans="1:11">
      <c r="A39" s="24"/>
      <c r="B39" s="24"/>
      <c r="C39" s="67">
        <f>dagenperjaar1</f>
        <v>255</v>
      </c>
      <c r="D39" s="68" t="s">
        <v>334</v>
      </c>
      <c r="E39" s="28"/>
      <c r="F39" s="69"/>
      <c r="G39" s="26"/>
      <c r="H39" s="37">
        <f>IF(ISBLANK(G39),0,G39*C39)+IF(ISBLANK(F39),0,F39*objecturen4_1)</f>
        <v>0</v>
      </c>
      <c r="I39" s="37">
        <f>IF(C39=0,0,H39/C39)</f>
        <v>0</v>
      </c>
      <c r="J39" s="39">
        <f>IF(ISBLANK(E39),0,ROUND(E39,2)*H39)</f>
        <v>0</v>
      </c>
      <c r="K39" s="39">
        <f>J39/12</f>
        <v>0</v>
      </c>
    </row>
    <row r="40" spans="1:11">
      <c r="A40" s="40" t="s">
        <v>341</v>
      </c>
      <c r="B40" s="41"/>
      <c r="C40" s="41"/>
      <c r="D40" s="41"/>
      <c r="E40" s="41"/>
      <c r="F40" s="41"/>
      <c r="G40" s="41"/>
      <c r="H40" s="85">
        <f>SUM(H35:H39)</f>
        <v>0</v>
      </c>
      <c r="I40" s="41"/>
      <c r="J40" s="42">
        <f>SUM(J35:J39)</f>
        <v>0</v>
      </c>
      <c r="K40" s="42">
        <f>SUM(K35:K39)</f>
        <v>0</v>
      </c>
    </row>
    <row r="41" spans="1:11">
      <c r="A41" s="43"/>
      <c r="B41" s="41"/>
      <c r="C41" s="41"/>
      <c r="D41" s="41"/>
      <c r="E41" s="41"/>
      <c r="F41" s="41"/>
      <c r="G41" s="41"/>
      <c r="H41" s="41"/>
      <c r="I41" s="41"/>
      <c r="J41" s="41"/>
      <c r="K41" s="44"/>
    </row>
    <row r="42" spans="1:11">
      <c r="A42" s="8"/>
      <c r="B42" s="9"/>
      <c r="C42" s="9"/>
      <c r="D42" s="9"/>
      <c r="E42" s="9"/>
      <c r="F42" s="9"/>
      <c r="G42" s="9"/>
      <c r="H42" s="9"/>
      <c r="I42" s="9"/>
      <c r="J42" s="9"/>
      <c r="K42" s="10"/>
    </row>
    <row r="43" spans="1:11">
      <c r="A43" s="11" t="s">
        <v>342</v>
      </c>
      <c r="B43" s="12"/>
      <c r="C43" s="12"/>
      <c r="D43" s="12"/>
      <c r="E43" s="12"/>
      <c r="F43" s="12"/>
      <c r="G43" s="12"/>
      <c r="H43" s="12"/>
      <c r="I43" s="12"/>
      <c r="J43" s="12"/>
      <c r="K43" s="13"/>
    </row>
    <row r="44" spans="1:11">
      <c r="A44" s="14" t="s">
        <v>331</v>
      </c>
      <c r="B44" s="14" t="s">
        <v>15</v>
      </c>
      <c r="C44" s="15">
        <f>IF(ISBLANK(B44),0,IF(ISERROR(VALUE(B44)),VLOOKUP(B44,dagsoorttabel1,2,FALSE)*dagenperjaar1,VALUE(B44)))</f>
        <v>80</v>
      </c>
      <c r="D44" s="14" t="s">
        <v>332</v>
      </c>
      <c r="E44" s="18"/>
      <c r="F44" s="17"/>
      <c r="G44" s="62"/>
      <c r="H44" s="29">
        <f>IF(ISBLANK(G44),0,G44*C44)+IF(ISBLANK(F44),0,F44*objecturen5_1)</f>
        <v>0</v>
      </c>
      <c r="I44" s="29">
        <f>IF(C44=0,0,H44/C44)</f>
        <v>0</v>
      </c>
      <c r="J44" s="32">
        <f>IF(ISBLANK(E44),0,ROUND(E44,2)*H44)</f>
        <v>0</v>
      </c>
      <c r="K44" s="32">
        <f>J44/12</f>
        <v>0</v>
      </c>
    </row>
    <row r="45" spans="1:11">
      <c r="A45" s="19"/>
      <c r="B45" s="19"/>
      <c r="C45" s="63">
        <f>dagenperjaar1</f>
        <v>255</v>
      </c>
      <c r="D45" s="64" t="s">
        <v>333</v>
      </c>
      <c r="E45" s="23"/>
      <c r="F45" s="22"/>
      <c r="G45" s="65"/>
      <c r="H45" s="33">
        <f>IF(ISBLANK(G45),0,G45*C45)+IF(ISBLANK(F45),0,F45*objecturen5_1)</f>
        <v>0</v>
      </c>
      <c r="I45" s="33">
        <f>IF(C45=0,0,H45/C45)</f>
        <v>0</v>
      </c>
      <c r="J45" s="36">
        <f>IF(ISBLANK(E45),0,ROUND(E45,2)*H45)</f>
        <v>0</v>
      </c>
      <c r="K45" s="36">
        <f>J45/12</f>
        <v>0</v>
      </c>
    </row>
    <row r="46" spans="1:11">
      <c r="A46" s="19"/>
      <c r="B46" s="19"/>
      <c r="C46" s="63">
        <f>dagenperjaar1</f>
        <v>255</v>
      </c>
      <c r="D46" s="64" t="s">
        <v>333</v>
      </c>
      <c r="E46" s="23"/>
      <c r="F46" s="22"/>
      <c r="G46" s="65"/>
      <c r="H46" s="33">
        <f>IF(ISBLANK(G46),0,G46*C46)+IF(ISBLANK(F46),0,F46*objecturen5_1)</f>
        <v>0</v>
      </c>
      <c r="I46" s="33">
        <f>IF(C46=0,0,H46/C46)</f>
        <v>0</v>
      </c>
      <c r="J46" s="36">
        <f>IF(ISBLANK(E46),0,ROUND(E46,2)*H46)</f>
        <v>0</v>
      </c>
      <c r="K46" s="36">
        <f>J46/12</f>
        <v>0</v>
      </c>
    </row>
    <row r="47" spans="1:11">
      <c r="A47" s="19"/>
      <c r="B47" s="19"/>
      <c r="C47" s="63">
        <f>dagenperjaar1</f>
        <v>255</v>
      </c>
      <c r="D47" s="64" t="s">
        <v>334</v>
      </c>
      <c r="E47" s="23"/>
      <c r="F47" s="66"/>
      <c r="G47" s="21"/>
      <c r="H47" s="33">
        <f>IF(ISBLANK(G47),0,G47*C47)+IF(ISBLANK(F47),0,F47*objecturen5_1)</f>
        <v>0</v>
      </c>
      <c r="I47" s="33">
        <f>IF(C47=0,0,H47/C47)</f>
        <v>0</v>
      </c>
      <c r="J47" s="36">
        <f>IF(ISBLANK(E47),0,ROUND(E47,2)*H47)</f>
        <v>0</v>
      </c>
      <c r="K47" s="36">
        <f>J47/12</f>
        <v>0</v>
      </c>
    </row>
    <row r="48" spans="1:11">
      <c r="A48" s="24"/>
      <c r="B48" s="24"/>
      <c r="C48" s="67">
        <f>dagenperjaar1</f>
        <v>255</v>
      </c>
      <c r="D48" s="68" t="s">
        <v>334</v>
      </c>
      <c r="E48" s="28"/>
      <c r="F48" s="69"/>
      <c r="G48" s="26"/>
      <c r="H48" s="37">
        <f>IF(ISBLANK(G48),0,G48*C48)+IF(ISBLANK(F48),0,F48*objecturen5_1)</f>
        <v>0</v>
      </c>
      <c r="I48" s="37">
        <f>IF(C48=0,0,H48/C48)</f>
        <v>0</v>
      </c>
      <c r="J48" s="39">
        <f>IF(ISBLANK(E48),0,ROUND(E48,2)*H48)</f>
        <v>0</v>
      </c>
      <c r="K48" s="39">
        <f>J48/12</f>
        <v>0</v>
      </c>
    </row>
    <row r="49" spans="1:11">
      <c r="A49" s="40" t="s">
        <v>343</v>
      </c>
      <c r="B49" s="41"/>
      <c r="C49" s="41"/>
      <c r="D49" s="41"/>
      <c r="E49" s="41"/>
      <c r="F49" s="41"/>
      <c r="G49" s="41"/>
      <c r="H49" s="85">
        <f>SUM(H44:H48)</f>
        <v>0</v>
      </c>
      <c r="I49" s="41"/>
      <c r="J49" s="42">
        <f>SUM(J44:J48)</f>
        <v>0</v>
      </c>
      <c r="K49" s="42">
        <f>SUM(K44:K48)</f>
        <v>0</v>
      </c>
    </row>
    <row r="50" spans="1:11">
      <c r="A50" s="43"/>
      <c r="B50" s="41"/>
      <c r="C50" s="41"/>
      <c r="D50" s="41"/>
      <c r="E50" s="41"/>
      <c r="F50" s="41"/>
      <c r="G50" s="41"/>
      <c r="H50" s="41"/>
      <c r="I50" s="41"/>
      <c r="J50" s="41"/>
      <c r="K50" s="44"/>
    </row>
    <row r="51" spans="1:11">
      <c r="A51" s="8"/>
      <c r="B51" s="9"/>
      <c r="C51" s="9"/>
      <c r="D51" s="9"/>
      <c r="E51" s="9"/>
      <c r="F51" s="9"/>
      <c r="G51" s="9"/>
      <c r="H51" s="9"/>
      <c r="I51" s="9"/>
      <c r="J51" s="9"/>
      <c r="K51" s="10"/>
    </row>
    <row r="52" spans="1:11">
      <c r="A52" s="11" t="s">
        <v>344</v>
      </c>
      <c r="B52" s="12"/>
      <c r="C52" s="12"/>
      <c r="D52" s="12"/>
      <c r="E52" s="12"/>
      <c r="F52" s="12"/>
      <c r="G52" s="12"/>
      <c r="H52" s="12"/>
      <c r="I52" s="12"/>
      <c r="J52" s="12"/>
      <c r="K52" s="13"/>
    </row>
    <row r="53" spans="1:11">
      <c r="A53" s="14" t="s">
        <v>331</v>
      </c>
      <c r="B53" s="14" t="s">
        <v>11</v>
      </c>
      <c r="C53" s="15">
        <f>IF(ISBLANK(B53),0,IF(ISERROR(VALUE(B53)),VLOOKUP(B53,dagsoorttabel1,2,FALSE)*dagenperjaar1,VALUE(B53)))</f>
        <v>200</v>
      </c>
      <c r="D53" s="14" t="s">
        <v>332</v>
      </c>
      <c r="E53" s="18"/>
      <c r="F53" s="17"/>
      <c r="G53" s="62"/>
      <c r="H53" s="29">
        <f>IF(ISBLANK(G53),0,G53*C53)+IF(ISBLANK(F53),0,F53*objecturen6_1)</f>
        <v>0</v>
      </c>
      <c r="I53" s="29">
        <f>IF(C53=0,0,H53/C53)</f>
        <v>0</v>
      </c>
      <c r="J53" s="32">
        <f>IF(ISBLANK(E53),0,ROUND(E53,2)*H53)</f>
        <v>0</v>
      </c>
      <c r="K53" s="32">
        <f>J53/12</f>
        <v>0</v>
      </c>
    </row>
    <row r="54" spans="1:11">
      <c r="A54" s="19"/>
      <c r="B54" s="19"/>
      <c r="C54" s="63">
        <f>dagenperjaar1</f>
        <v>255</v>
      </c>
      <c r="D54" s="64" t="s">
        <v>333</v>
      </c>
      <c r="E54" s="23"/>
      <c r="F54" s="22"/>
      <c r="G54" s="65"/>
      <c r="H54" s="33">
        <f>IF(ISBLANK(G54),0,G54*C54)+IF(ISBLANK(F54),0,F54*objecturen6_1)</f>
        <v>0</v>
      </c>
      <c r="I54" s="33">
        <f>IF(C54=0,0,H54/C54)</f>
        <v>0</v>
      </c>
      <c r="J54" s="36">
        <f>IF(ISBLANK(E54),0,ROUND(E54,2)*H54)</f>
        <v>0</v>
      </c>
      <c r="K54" s="36">
        <f>J54/12</f>
        <v>0</v>
      </c>
    </row>
    <row r="55" spans="1:11">
      <c r="A55" s="19"/>
      <c r="B55" s="19"/>
      <c r="C55" s="63">
        <f>dagenperjaar1</f>
        <v>255</v>
      </c>
      <c r="D55" s="64" t="s">
        <v>333</v>
      </c>
      <c r="E55" s="23"/>
      <c r="F55" s="22"/>
      <c r="G55" s="65"/>
      <c r="H55" s="33">
        <f>IF(ISBLANK(G55),0,G55*C55)+IF(ISBLANK(F55),0,F55*objecturen6_1)</f>
        <v>0</v>
      </c>
      <c r="I55" s="33">
        <f>IF(C55=0,0,H55/C55)</f>
        <v>0</v>
      </c>
      <c r="J55" s="36">
        <f>IF(ISBLANK(E55),0,ROUND(E55,2)*H55)</f>
        <v>0</v>
      </c>
      <c r="K55" s="36">
        <f>J55/12</f>
        <v>0</v>
      </c>
    </row>
    <row r="56" spans="1:11">
      <c r="A56" s="19"/>
      <c r="B56" s="19"/>
      <c r="C56" s="63">
        <f>dagenperjaar1</f>
        <v>255</v>
      </c>
      <c r="D56" s="64" t="s">
        <v>334</v>
      </c>
      <c r="E56" s="23"/>
      <c r="F56" s="66"/>
      <c r="G56" s="21"/>
      <c r="H56" s="33">
        <f>IF(ISBLANK(G56),0,G56*C56)+IF(ISBLANK(F56),0,F56*objecturen6_1)</f>
        <v>0</v>
      </c>
      <c r="I56" s="33">
        <f>IF(C56=0,0,H56/C56)</f>
        <v>0</v>
      </c>
      <c r="J56" s="36">
        <f>IF(ISBLANK(E56),0,ROUND(E56,2)*H56)</f>
        <v>0</v>
      </c>
      <c r="K56" s="36">
        <f>J56/12</f>
        <v>0</v>
      </c>
    </row>
    <row r="57" spans="1:11">
      <c r="A57" s="24"/>
      <c r="B57" s="24"/>
      <c r="C57" s="67">
        <f>dagenperjaar1</f>
        <v>255</v>
      </c>
      <c r="D57" s="68" t="s">
        <v>334</v>
      </c>
      <c r="E57" s="28"/>
      <c r="F57" s="69"/>
      <c r="G57" s="26"/>
      <c r="H57" s="37">
        <f>IF(ISBLANK(G57),0,G57*C57)+IF(ISBLANK(F57),0,F57*objecturen6_1)</f>
        <v>0</v>
      </c>
      <c r="I57" s="37">
        <f>IF(C57=0,0,H57/C57)</f>
        <v>0</v>
      </c>
      <c r="J57" s="39">
        <f>IF(ISBLANK(E57),0,ROUND(E57,2)*H57)</f>
        <v>0</v>
      </c>
      <c r="K57" s="39">
        <f>J57/12</f>
        <v>0</v>
      </c>
    </row>
    <row r="58" spans="1:11">
      <c r="A58" s="40" t="s">
        <v>345</v>
      </c>
      <c r="B58" s="41"/>
      <c r="C58" s="41"/>
      <c r="D58" s="41"/>
      <c r="E58" s="41"/>
      <c r="F58" s="41"/>
      <c r="G58" s="41"/>
      <c r="H58" s="85">
        <f>SUM(H53:H57)</f>
        <v>0</v>
      </c>
      <c r="I58" s="41"/>
      <c r="J58" s="42">
        <f>SUM(J53:J57)</f>
        <v>0</v>
      </c>
      <c r="K58" s="42">
        <f>SUM(K53:K57)</f>
        <v>0</v>
      </c>
    </row>
    <row r="59" spans="1:11">
      <c r="A59" s="43"/>
      <c r="B59" s="41"/>
      <c r="C59" s="41"/>
      <c r="D59" s="41"/>
      <c r="E59" s="41"/>
      <c r="F59" s="41"/>
      <c r="G59" s="41"/>
      <c r="H59" s="41"/>
      <c r="I59" s="41"/>
      <c r="J59" s="41"/>
      <c r="K59" s="44"/>
    </row>
    <row r="60" spans="1:11">
      <c r="A60" s="40" t="s">
        <v>252</v>
      </c>
      <c r="B60" s="41"/>
      <c r="C60" s="41"/>
      <c r="D60" s="41"/>
      <c r="E60" s="41"/>
      <c r="F60" s="41"/>
      <c r="G60" s="41"/>
      <c r="H60" s="85">
        <f>tzujt1_1+tzujt2_1+tzujt3_1+tzujt4_1+tzujt5_1+tzujt6_1</f>
        <v>0</v>
      </c>
      <c r="I60" s="41"/>
      <c r="J60" s="42">
        <f>tzpjt1_1+tzpjt2_1+tzpjt3_1+tzpjt4_1+tzpjt5_1+tzpjt6_1</f>
        <v>0</v>
      </c>
      <c r="K60" s="42">
        <f>tzpmt1_1+tzpmt2_1+tzpmt3_1+tzpmt4_1+tzpmt5_1+tzpmt6_1</f>
        <v>0</v>
      </c>
    </row>
    <row r="61" spans="1:11">
      <c r="A61" s="43"/>
      <c r="B61" s="41"/>
      <c r="C61" s="41"/>
      <c r="D61" s="41"/>
      <c r="E61" s="41"/>
      <c r="F61" s="41"/>
      <c r="G61" s="41"/>
      <c r="H61" s="41"/>
      <c r="I61" s="41"/>
      <c r="J61" s="41"/>
      <c r="K61" s="44"/>
    </row>
    <row r="62" spans="1:11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1"/>
    </row>
    <row r="63" spans="1:11">
      <c r="A63" s="11" t="s">
        <v>167</v>
      </c>
      <c r="B63" s="12"/>
      <c r="C63" s="12"/>
      <c r="D63" s="12"/>
      <c r="E63" s="12"/>
      <c r="F63" s="12"/>
      <c r="G63" s="12"/>
      <c r="H63" s="12"/>
      <c r="I63" s="12"/>
      <c r="J63" s="12"/>
      <c r="K63" s="13"/>
    </row>
    <row r="64" spans="1:11">
      <c r="A64" s="8"/>
      <c r="B64" s="9"/>
      <c r="C64" s="9"/>
      <c r="D64" s="9"/>
      <c r="E64" s="9"/>
      <c r="F64" s="9"/>
      <c r="G64" s="9"/>
      <c r="H64" s="9"/>
      <c r="I64" s="9"/>
      <c r="J64" s="9"/>
      <c r="K64" s="10"/>
    </row>
    <row r="65" spans="1:11">
      <c r="A65" s="11" t="s">
        <v>336</v>
      </c>
      <c r="B65" s="12"/>
      <c r="C65" s="12"/>
      <c r="D65" s="12"/>
      <c r="E65" s="12"/>
      <c r="F65" s="12"/>
      <c r="G65" s="12"/>
      <c r="H65" s="12"/>
      <c r="I65" s="12"/>
      <c r="J65" s="12"/>
      <c r="K65" s="13"/>
    </row>
    <row r="66" spans="1:11">
      <c r="A66" s="14" t="s">
        <v>346</v>
      </c>
      <c r="B66" s="14" t="s">
        <v>23</v>
      </c>
      <c r="C66" s="15">
        <f>IF(ISBLANK(B66),0,IF(ISERROR(VALUE(B66)),VLOOKUP(B66,dagsoorttabel1,2,FALSE)*dagenperjaar1,VALUE(B66)))</f>
        <v>10</v>
      </c>
      <c r="D66" s="14" t="s">
        <v>332</v>
      </c>
      <c r="E66" s="18"/>
      <c r="F66" s="17"/>
      <c r="G66" s="62"/>
      <c r="H66" s="29">
        <f>IF(ISBLANK(G66),0,G66*C66)+IF(ISBLANK(F66),0,F66*objecturen2_2)</f>
        <v>0</v>
      </c>
      <c r="I66" s="29">
        <f>IF(C66=0,0,H66/C66)</f>
        <v>0</v>
      </c>
      <c r="J66" s="32">
        <f>IF(ISBLANK(E66),0,ROUND(E66,2)*H66)</f>
        <v>0</v>
      </c>
      <c r="K66" s="32">
        <f>J66/12</f>
        <v>0</v>
      </c>
    </row>
    <row r="67" spans="1:11">
      <c r="A67" s="19"/>
      <c r="B67" s="19"/>
      <c r="C67" s="63">
        <f>dagenperjaar1</f>
        <v>255</v>
      </c>
      <c r="D67" s="64" t="s">
        <v>333</v>
      </c>
      <c r="E67" s="23"/>
      <c r="F67" s="22"/>
      <c r="G67" s="65"/>
      <c r="H67" s="33">
        <f>IF(ISBLANK(G67),0,G67*C67)+IF(ISBLANK(F67),0,F67*objecturen2_2)</f>
        <v>0</v>
      </c>
      <c r="I67" s="33">
        <f>IF(C67=0,0,H67/C67)</f>
        <v>0</v>
      </c>
      <c r="J67" s="36">
        <f>IF(ISBLANK(E67),0,ROUND(E67,2)*H67)</f>
        <v>0</v>
      </c>
      <c r="K67" s="36">
        <f>J67/12</f>
        <v>0</v>
      </c>
    </row>
    <row r="68" spans="1:11">
      <c r="A68" s="19"/>
      <c r="B68" s="19"/>
      <c r="C68" s="63">
        <f>dagenperjaar1</f>
        <v>255</v>
      </c>
      <c r="D68" s="64" t="s">
        <v>333</v>
      </c>
      <c r="E68" s="23"/>
      <c r="F68" s="22"/>
      <c r="G68" s="65"/>
      <c r="H68" s="33">
        <f>IF(ISBLANK(G68),0,G68*C68)+IF(ISBLANK(F68),0,F68*objecturen2_2)</f>
        <v>0</v>
      </c>
      <c r="I68" s="33">
        <f>IF(C68=0,0,H68/C68)</f>
        <v>0</v>
      </c>
      <c r="J68" s="36">
        <f>IF(ISBLANK(E68),0,ROUND(E68,2)*H68)</f>
        <v>0</v>
      </c>
      <c r="K68" s="36">
        <f>J68/12</f>
        <v>0</v>
      </c>
    </row>
    <row r="69" spans="1:11">
      <c r="A69" s="19"/>
      <c r="B69" s="19"/>
      <c r="C69" s="63">
        <f>dagenperjaar1</f>
        <v>255</v>
      </c>
      <c r="D69" s="64" t="s">
        <v>334</v>
      </c>
      <c r="E69" s="23"/>
      <c r="F69" s="66"/>
      <c r="G69" s="21"/>
      <c r="H69" s="33">
        <f>IF(ISBLANK(G69),0,G69*C69)+IF(ISBLANK(F69),0,F69*objecturen2_2)</f>
        <v>0</v>
      </c>
      <c r="I69" s="33">
        <f>IF(C69=0,0,H69/C69)</f>
        <v>0</v>
      </c>
      <c r="J69" s="36">
        <f>IF(ISBLANK(E69),0,ROUND(E69,2)*H69)</f>
        <v>0</v>
      </c>
      <c r="K69" s="36">
        <f>J69/12</f>
        <v>0</v>
      </c>
    </row>
    <row r="70" spans="1:11">
      <c r="A70" s="24"/>
      <c r="B70" s="24"/>
      <c r="C70" s="67">
        <f>dagenperjaar1</f>
        <v>255</v>
      </c>
      <c r="D70" s="68" t="s">
        <v>334</v>
      </c>
      <c r="E70" s="28"/>
      <c r="F70" s="69"/>
      <c r="G70" s="26"/>
      <c r="H70" s="37">
        <f>IF(ISBLANK(G70),0,G70*C70)+IF(ISBLANK(F70),0,F70*objecturen2_2)</f>
        <v>0</v>
      </c>
      <c r="I70" s="37">
        <f>IF(C70=0,0,H70/C70)</f>
        <v>0</v>
      </c>
      <c r="J70" s="39">
        <f>IF(ISBLANK(E70),0,ROUND(E70,2)*H70)</f>
        <v>0</v>
      </c>
      <c r="K70" s="39">
        <f>J70/12</f>
        <v>0</v>
      </c>
    </row>
    <row r="71" spans="1:11">
      <c r="A71" s="40" t="s">
        <v>337</v>
      </c>
      <c r="B71" s="41"/>
      <c r="C71" s="41"/>
      <c r="D71" s="41"/>
      <c r="E71" s="41"/>
      <c r="F71" s="41"/>
      <c r="G71" s="41"/>
      <c r="H71" s="85">
        <f>SUM(H66:H70)</f>
        <v>0</v>
      </c>
      <c r="I71" s="41"/>
      <c r="J71" s="42">
        <f>SUM(J66:J70)</f>
        <v>0</v>
      </c>
      <c r="K71" s="42">
        <f>SUM(K66:K70)</f>
        <v>0</v>
      </c>
    </row>
    <row r="72" spans="1:11">
      <c r="A72" s="43"/>
      <c r="B72" s="41"/>
      <c r="C72" s="41"/>
      <c r="D72" s="41"/>
      <c r="E72" s="41"/>
      <c r="F72" s="41"/>
      <c r="G72" s="41"/>
      <c r="H72" s="41"/>
      <c r="I72" s="41"/>
      <c r="J72" s="41"/>
      <c r="K72" s="44"/>
    </row>
    <row r="73" spans="1:11">
      <c r="A73" s="8"/>
      <c r="B73" s="9"/>
      <c r="C73" s="9"/>
      <c r="D73" s="9"/>
      <c r="E73" s="9"/>
      <c r="F73" s="9"/>
      <c r="G73" s="9"/>
      <c r="H73" s="9"/>
      <c r="I73" s="9"/>
      <c r="J73" s="9"/>
      <c r="K73" s="10"/>
    </row>
    <row r="74" spans="1:11">
      <c r="A74" s="11" t="s">
        <v>338</v>
      </c>
      <c r="B74" s="12"/>
      <c r="C74" s="12"/>
      <c r="D74" s="12"/>
      <c r="E74" s="12"/>
      <c r="F74" s="12"/>
      <c r="G74" s="12"/>
      <c r="H74" s="12"/>
      <c r="I74" s="12"/>
      <c r="J74" s="12"/>
      <c r="K74" s="13"/>
    </row>
    <row r="75" spans="1:11">
      <c r="A75" s="14" t="s">
        <v>346</v>
      </c>
      <c r="B75" s="14" t="s">
        <v>23</v>
      </c>
      <c r="C75" s="15">
        <f>IF(ISBLANK(B75),0,IF(ISERROR(VALUE(B75)),VLOOKUP(B75,dagsoorttabel1,2,FALSE)*dagenperjaar1,VALUE(B75)))</f>
        <v>10</v>
      </c>
      <c r="D75" s="14" t="s">
        <v>332</v>
      </c>
      <c r="E75" s="18"/>
      <c r="F75" s="17"/>
      <c r="G75" s="62"/>
      <c r="H75" s="29">
        <f>IF(ISBLANK(G75),0,G75*C75)+IF(ISBLANK(F75),0,F75*objecturen3_2)</f>
        <v>0</v>
      </c>
      <c r="I75" s="29">
        <f>IF(C75=0,0,H75/C75)</f>
        <v>0</v>
      </c>
      <c r="J75" s="32">
        <f>IF(ISBLANK(E75),0,ROUND(E75,2)*H75)</f>
        <v>0</v>
      </c>
      <c r="K75" s="32">
        <f>J75/12</f>
        <v>0</v>
      </c>
    </row>
    <row r="76" spans="1:11">
      <c r="A76" s="19"/>
      <c r="B76" s="19"/>
      <c r="C76" s="63">
        <f>dagenperjaar1</f>
        <v>255</v>
      </c>
      <c r="D76" s="64" t="s">
        <v>333</v>
      </c>
      <c r="E76" s="23"/>
      <c r="F76" s="22"/>
      <c r="G76" s="65"/>
      <c r="H76" s="33">
        <f>IF(ISBLANK(G76),0,G76*C76)+IF(ISBLANK(F76),0,F76*objecturen3_2)</f>
        <v>0</v>
      </c>
      <c r="I76" s="33">
        <f>IF(C76=0,0,H76/C76)</f>
        <v>0</v>
      </c>
      <c r="J76" s="36">
        <f>IF(ISBLANK(E76),0,ROUND(E76,2)*H76)</f>
        <v>0</v>
      </c>
      <c r="K76" s="36">
        <f>J76/12</f>
        <v>0</v>
      </c>
    </row>
    <row r="77" spans="1:11">
      <c r="A77" s="19"/>
      <c r="B77" s="19"/>
      <c r="C77" s="63">
        <f>dagenperjaar1</f>
        <v>255</v>
      </c>
      <c r="D77" s="64" t="s">
        <v>333</v>
      </c>
      <c r="E77" s="23"/>
      <c r="F77" s="22"/>
      <c r="G77" s="65"/>
      <c r="H77" s="33">
        <f>IF(ISBLANK(G77),0,G77*C77)+IF(ISBLANK(F77),0,F77*objecturen3_2)</f>
        <v>0</v>
      </c>
      <c r="I77" s="33">
        <f>IF(C77=0,0,H77/C77)</f>
        <v>0</v>
      </c>
      <c r="J77" s="36">
        <f>IF(ISBLANK(E77),0,ROUND(E77,2)*H77)</f>
        <v>0</v>
      </c>
      <c r="K77" s="36">
        <f>J77/12</f>
        <v>0</v>
      </c>
    </row>
    <row r="78" spans="1:11">
      <c r="A78" s="19"/>
      <c r="B78" s="19"/>
      <c r="C78" s="63">
        <f>dagenperjaar1</f>
        <v>255</v>
      </c>
      <c r="D78" s="64" t="s">
        <v>334</v>
      </c>
      <c r="E78" s="23"/>
      <c r="F78" s="66"/>
      <c r="G78" s="21"/>
      <c r="H78" s="33">
        <f>IF(ISBLANK(G78),0,G78*C78)+IF(ISBLANK(F78),0,F78*objecturen3_2)</f>
        <v>0</v>
      </c>
      <c r="I78" s="33">
        <f>IF(C78=0,0,H78/C78)</f>
        <v>0</v>
      </c>
      <c r="J78" s="36">
        <f>IF(ISBLANK(E78),0,ROUND(E78,2)*H78)</f>
        <v>0</v>
      </c>
      <c r="K78" s="36">
        <f>J78/12</f>
        <v>0</v>
      </c>
    </row>
    <row r="79" spans="1:11">
      <c r="A79" s="24"/>
      <c r="B79" s="24"/>
      <c r="C79" s="67">
        <f>dagenperjaar1</f>
        <v>255</v>
      </c>
      <c r="D79" s="68" t="s">
        <v>334</v>
      </c>
      <c r="E79" s="28"/>
      <c r="F79" s="69"/>
      <c r="G79" s="26"/>
      <c r="H79" s="37">
        <f>IF(ISBLANK(G79),0,G79*C79)+IF(ISBLANK(F79),0,F79*objecturen3_2)</f>
        <v>0</v>
      </c>
      <c r="I79" s="37">
        <f>IF(C79=0,0,H79/C79)</f>
        <v>0</v>
      </c>
      <c r="J79" s="39">
        <f>IF(ISBLANK(E79),0,ROUND(E79,2)*H79)</f>
        <v>0</v>
      </c>
      <c r="K79" s="39">
        <f>J79/12</f>
        <v>0</v>
      </c>
    </row>
    <row r="80" spans="1:11">
      <c r="A80" s="40" t="s">
        <v>339</v>
      </c>
      <c r="B80" s="41"/>
      <c r="C80" s="41"/>
      <c r="D80" s="41"/>
      <c r="E80" s="41"/>
      <c r="F80" s="41"/>
      <c r="G80" s="41"/>
      <c r="H80" s="85">
        <f>SUM(H75:H79)</f>
        <v>0</v>
      </c>
      <c r="I80" s="41"/>
      <c r="J80" s="42">
        <f>SUM(J75:J79)</f>
        <v>0</v>
      </c>
      <c r="K80" s="42">
        <f>SUM(K75:K79)</f>
        <v>0</v>
      </c>
    </row>
    <row r="81" spans="1:11">
      <c r="A81" s="43"/>
      <c r="B81" s="41"/>
      <c r="C81" s="41"/>
      <c r="D81" s="41"/>
      <c r="E81" s="41"/>
      <c r="F81" s="41"/>
      <c r="G81" s="41"/>
      <c r="H81" s="41"/>
      <c r="I81" s="41"/>
      <c r="J81" s="41"/>
      <c r="K81" s="44"/>
    </row>
    <row r="82" spans="1:11">
      <c r="A82" s="8"/>
      <c r="B82" s="9"/>
      <c r="C82" s="9"/>
      <c r="D82" s="9"/>
      <c r="E82" s="9"/>
      <c r="F82" s="9"/>
      <c r="G82" s="9"/>
      <c r="H82" s="9"/>
      <c r="I82" s="9"/>
      <c r="J82" s="9"/>
      <c r="K82" s="10"/>
    </row>
    <row r="83" spans="1:11">
      <c r="A83" s="11" t="s">
        <v>344</v>
      </c>
      <c r="B83" s="12"/>
      <c r="C83" s="12"/>
      <c r="D83" s="12"/>
      <c r="E83" s="12"/>
      <c r="F83" s="12"/>
      <c r="G83" s="12"/>
      <c r="H83" s="12"/>
      <c r="I83" s="12"/>
      <c r="J83" s="12"/>
      <c r="K83" s="13"/>
    </row>
    <row r="84" spans="1:11">
      <c r="A84" s="14" t="s">
        <v>346</v>
      </c>
      <c r="B84" s="14" t="s">
        <v>23</v>
      </c>
      <c r="C84" s="15">
        <f>IF(ISBLANK(B84),0,IF(ISERROR(VALUE(B84)),VLOOKUP(B84,dagsoorttabel1,2,FALSE)*dagenperjaar1,VALUE(B84)))</f>
        <v>10</v>
      </c>
      <c r="D84" s="14" t="s">
        <v>332</v>
      </c>
      <c r="E84" s="18"/>
      <c r="F84" s="17"/>
      <c r="G84" s="62"/>
      <c r="H84" s="29">
        <f>IF(ISBLANK(G84),0,G84*C84)+IF(ISBLANK(F84),0,F84*objecturen6_2)</f>
        <v>0</v>
      </c>
      <c r="I84" s="29">
        <f>IF(C84=0,0,H84/C84)</f>
        <v>0</v>
      </c>
      <c r="J84" s="32">
        <f>IF(ISBLANK(E84),0,ROUND(E84,2)*H84)</f>
        <v>0</v>
      </c>
      <c r="K84" s="32">
        <f>J84/12</f>
        <v>0</v>
      </c>
    </row>
    <row r="85" spans="1:11">
      <c r="A85" s="19"/>
      <c r="B85" s="19"/>
      <c r="C85" s="63">
        <f>dagenperjaar1</f>
        <v>255</v>
      </c>
      <c r="D85" s="64" t="s">
        <v>333</v>
      </c>
      <c r="E85" s="23"/>
      <c r="F85" s="22"/>
      <c r="G85" s="65"/>
      <c r="H85" s="33">
        <f>IF(ISBLANK(G85),0,G85*C85)+IF(ISBLANK(F85),0,F85*objecturen6_2)</f>
        <v>0</v>
      </c>
      <c r="I85" s="33">
        <f>IF(C85=0,0,H85/C85)</f>
        <v>0</v>
      </c>
      <c r="J85" s="36">
        <f>IF(ISBLANK(E85),0,ROUND(E85,2)*H85)</f>
        <v>0</v>
      </c>
      <c r="K85" s="36">
        <f>J85/12</f>
        <v>0</v>
      </c>
    </row>
    <row r="86" spans="1:11">
      <c r="A86" s="19"/>
      <c r="B86" s="19"/>
      <c r="C86" s="63">
        <f>dagenperjaar1</f>
        <v>255</v>
      </c>
      <c r="D86" s="64" t="s">
        <v>333</v>
      </c>
      <c r="E86" s="23"/>
      <c r="F86" s="22"/>
      <c r="G86" s="65"/>
      <c r="H86" s="33">
        <f>IF(ISBLANK(G86),0,G86*C86)+IF(ISBLANK(F86),0,F86*objecturen6_2)</f>
        <v>0</v>
      </c>
      <c r="I86" s="33">
        <f>IF(C86=0,0,H86/C86)</f>
        <v>0</v>
      </c>
      <c r="J86" s="36">
        <f>IF(ISBLANK(E86),0,ROUND(E86,2)*H86)</f>
        <v>0</v>
      </c>
      <c r="K86" s="36">
        <f>J86/12</f>
        <v>0</v>
      </c>
    </row>
    <row r="87" spans="1:11">
      <c r="A87" s="19"/>
      <c r="B87" s="19"/>
      <c r="C87" s="63">
        <f>dagenperjaar1</f>
        <v>255</v>
      </c>
      <c r="D87" s="64" t="s">
        <v>334</v>
      </c>
      <c r="E87" s="23"/>
      <c r="F87" s="66"/>
      <c r="G87" s="21"/>
      <c r="H87" s="33">
        <f>IF(ISBLANK(G87),0,G87*C87)+IF(ISBLANK(F87),0,F87*objecturen6_2)</f>
        <v>0</v>
      </c>
      <c r="I87" s="33">
        <f>IF(C87=0,0,H87/C87)</f>
        <v>0</v>
      </c>
      <c r="J87" s="36">
        <f>IF(ISBLANK(E87),0,ROUND(E87,2)*H87)</f>
        <v>0</v>
      </c>
      <c r="K87" s="36">
        <f>J87/12</f>
        <v>0</v>
      </c>
    </row>
    <row r="88" spans="1:11">
      <c r="A88" s="24"/>
      <c r="B88" s="24"/>
      <c r="C88" s="67">
        <f>dagenperjaar1</f>
        <v>255</v>
      </c>
      <c r="D88" s="68" t="s">
        <v>334</v>
      </c>
      <c r="E88" s="28"/>
      <c r="F88" s="69"/>
      <c r="G88" s="26"/>
      <c r="H88" s="37">
        <f>IF(ISBLANK(G88),0,G88*C88)+IF(ISBLANK(F88),0,F88*objecturen6_2)</f>
        <v>0</v>
      </c>
      <c r="I88" s="37">
        <f>IF(C88=0,0,H88/C88)</f>
        <v>0</v>
      </c>
      <c r="J88" s="39">
        <f>IF(ISBLANK(E88),0,ROUND(E88,2)*H88)</f>
        <v>0</v>
      </c>
      <c r="K88" s="39">
        <f>J88/12</f>
        <v>0</v>
      </c>
    </row>
    <row r="89" spans="1:11">
      <c r="A89" s="40" t="s">
        <v>345</v>
      </c>
      <c r="B89" s="41"/>
      <c r="C89" s="41"/>
      <c r="D89" s="41"/>
      <c r="E89" s="41"/>
      <c r="F89" s="41"/>
      <c r="G89" s="41"/>
      <c r="H89" s="85">
        <f>SUM(H84:H88)</f>
        <v>0</v>
      </c>
      <c r="I89" s="41"/>
      <c r="J89" s="42">
        <f>SUM(J84:J88)</f>
        <v>0</v>
      </c>
      <c r="K89" s="42">
        <f>SUM(K84:K88)</f>
        <v>0</v>
      </c>
    </row>
    <row r="90" spans="1:11">
      <c r="A90" s="43"/>
      <c r="B90" s="41"/>
      <c r="C90" s="41"/>
      <c r="D90" s="41"/>
      <c r="E90" s="41"/>
      <c r="F90" s="41"/>
      <c r="G90" s="41"/>
      <c r="H90" s="41"/>
      <c r="I90" s="41"/>
      <c r="J90" s="41"/>
      <c r="K90" s="44"/>
    </row>
    <row r="91" spans="1:11">
      <c r="A91" s="40" t="s">
        <v>265</v>
      </c>
      <c r="B91" s="41"/>
      <c r="C91" s="41"/>
      <c r="D91" s="41"/>
      <c r="E91" s="41"/>
      <c r="F91" s="41"/>
      <c r="G91" s="41"/>
      <c r="H91" s="85">
        <f>tzujt2_2+tzujt3_2+tzujt6_2</f>
        <v>0</v>
      </c>
      <c r="I91" s="41"/>
      <c r="J91" s="42">
        <f>tzpjt2_2+tzpjt3_2+tzpjt6_2</f>
        <v>0</v>
      </c>
      <c r="K91" s="42">
        <f>tzpmt2_2+tzpmt3_2+tzpmt6_2</f>
        <v>0</v>
      </c>
    </row>
    <row r="92" spans="1:11">
      <c r="A92" s="43"/>
      <c r="B92" s="41"/>
      <c r="C92" s="41"/>
      <c r="D92" s="41"/>
      <c r="E92" s="41"/>
      <c r="F92" s="41"/>
      <c r="G92" s="41"/>
      <c r="H92" s="41"/>
      <c r="I92" s="41"/>
      <c r="J92" s="41"/>
      <c r="K92" s="44"/>
    </row>
    <row r="94" spans="1:11">
      <c r="A94" s="40" t="s">
        <v>347</v>
      </c>
      <c r="B94" s="41"/>
      <c r="C94" s="41"/>
      <c r="D94" s="41"/>
      <c r="E94" s="41"/>
      <c r="F94" s="41"/>
      <c r="G94" s="41"/>
      <c r="H94" s="85">
        <f>tzujt1+tzujt2</f>
        <v>0</v>
      </c>
      <c r="I94" s="41"/>
      <c r="J94" s="42">
        <f>tzpjt1+tzpjt2</f>
        <v>0</v>
      </c>
      <c r="K94" s="42">
        <f>tzpmt1+tzpmt2</f>
        <v>0</v>
      </c>
    </row>
    <row r="96" spans="1:11">
      <c r="A96" s="40" t="s">
        <v>348</v>
      </c>
      <c r="B96" s="41"/>
      <c r="C96" s="41"/>
      <c r="D96" s="41"/>
      <c r="E96" s="41"/>
      <c r="F96" s="41"/>
      <c r="G96" s="41"/>
      <c r="H96" s="41"/>
      <c r="I96" s="41"/>
      <c r="J96" s="42">
        <f>J94*1.21</f>
        <v>0</v>
      </c>
      <c r="K96" s="42">
        <f>K94*1.21</f>
        <v>0</v>
      </c>
    </row>
  </sheetData>
  <pageMargins left="0.7" right="0.7" top="0.75" bottom="0.75" header="0.3" footer="0.3"/>
  <pageSetup paperSize="9" scale="65" orientation="landscape" r:id="rId1"/>
  <headerFooter>
    <oddFooter>&amp;LROC Midden Nederland EA 2022                                &amp;ROpmaakdatum: 02-06-2022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82AE-2E25-48CB-B84D-110A7B1A64E1}">
  <dimension ref="A1:L11"/>
  <sheetViews>
    <sheetView workbookViewId="0"/>
  </sheetViews>
  <sheetFormatPr defaultRowHeight="12.75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>
      <c r="A1" s="1" t="str">
        <f>CONCATENATE("Bijlage I2.5: ",tabeltype," totaalblad objecten")</f>
        <v>Bijlage I2.5: Invultabel totaalblad objecten</v>
      </c>
    </row>
    <row r="3" spans="1:12" ht="38.25">
      <c r="A3" s="84" t="s">
        <v>283</v>
      </c>
      <c r="B3" s="84" t="s">
        <v>284</v>
      </c>
      <c r="C3" s="84" t="s">
        <v>285</v>
      </c>
      <c r="D3" s="84" t="s">
        <v>286</v>
      </c>
      <c r="E3" s="84" t="s">
        <v>296</v>
      </c>
      <c r="F3" s="84" t="s">
        <v>184</v>
      </c>
      <c r="G3" s="84" t="s">
        <v>349</v>
      </c>
      <c r="H3" s="84" t="s">
        <v>350</v>
      </c>
      <c r="I3" s="84" t="s">
        <v>351</v>
      </c>
      <c r="J3" s="84" t="s">
        <v>352</v>
      </c>
      <c r="K3" s="84" t="s">
        <v>353</v>
      </c>
      <c r="L3" s="84" t="s">
        <v>354</v>
      </c>
    </row>
    <row r="4" spans="1:12">
      <c r="A4" s="14" t="s">
        <v>299</v>
      </c>
      <c r="B4" s="14" t="s">
        <v>300</v>
      </c>
      <c r="C4" s="14" t="s">
        <v>301</v>
      </c>
      <c r="D4" s="14" t="s">
        <v>302</v>
      </c>
      <c r="E4" s="29">
        <f>objecturenhf1_1</f>
        <v>0</v>
      </c>
      <c r="F4" s="29">
        <f>objecturen1_1</f>
        <v>0</v>
      </c>
      <c r="G4" s="32">
        <f>objectprijs1_1</f>
        <v>0</v>
      </c>
      <c r="H4" s="29">
        <f>tzujt1_1</f>
        <v>0</v>
      </c>
      <c r="I4" s="32">
        <f>tzpjt1_1</f>
        <v>0</v>
      </c>
      <c r="J4" s="32">
        <f>G4+I4</f>
        <v>0</v>
      </c>
      <c r="K4" s="32">
        <f>J4/12</f>
        <v>0</v>
      </c>
      <c r="L4" s="32">
        <f>K4*1.21</f>
        <v>0</v>
      </c>
    </row>
    <row r="5" spans="1:12">
      <c r="A5" s="19" t="s">
        <v>303</v>
      </c>
      <c r="B5" s="19" t="s">
        <v>304</v>
      </c>
      <c r="C5" s="19" t="s">
        <v>305</v>
      </c>
      <c r="D5" s="19" t="s">
        <v>302</v>
      </c>
      <c r="E5" s="33">
        <f>objecturenhf2_1+objecturenhf2_2</f>
        <v>0</v>
      </c>
      <c r="F5" s="33">
        <f>objecturen2_1+objecturen2_2</f>
        <v>0</v>
      </c>
      <c r="G5" s="36">
        <f>objectprijs2_1+objectprijs2_2</f>
        <v>0</v>
      </c>
      <c r="H5" s="33">
        <f>tzujt2_1+tzujt2_2</f>
        <v>0</v>
      </c>
      <c r="I5" s="36">
        <f>tzpjt2_1+tzpjt2_2</f>
        <v>0</v>
      </c>
      <c r="J5" s="36">
        <f>G5+I5</f>
        <v>0</v>
      </c>
      <c r="K5" s="36">
        <f>J5/12</f>
        <v>0</v>
      </c>
      <c r="L5" s="36">
        <f>K5*1.21</f>
        <v>0</v>
      </c>
    </row>
    <row r="6" spans="1:12">
      <c r="A6" s="19" t="s">
        <v>306</v>
      </c>
      <c r="B6" s="19" t="s">
        <v>307</v>
      </c>
      <c r="C6" s="19" t="s">
        <v>308</v>
      </c>
      <c r="D6" s="19" t="s">
        <v>302</v>
      </c>
      <c r="E6" s="33">
        <f>objecturenhf3_1+objecturenhf3_2</f>
        <v>0</v>
      </c>
      <c r="F6" s="33">
        <f>objecturen3_1+objecturen3_2</f>
        <v>0</v>
      </c>
      <c r="G6" s="36">
        <f>objectprijs3_1+objectprijs3_2</f>
        <v>0</v>
      </c>
      <c r="H6" s="33">
        <f>tzujt3_1+tzujt3_2</f>
        <v>0</v>
      </c>
      <c r="I6" s="36">
        <f>tzpjt3_1+tzpjt3_2</f>
        <v>0</v>
      </c>
      <c r="J6" s="36">
        <f>G6+I6</f>
        <v>0</v>
      </c>
      <c r="K6" s="36">
        <f>J6/12</f>
        <v>0</v>
      </c>
      <c r="L6" s="36">
        <f>K6*1.21</f>
        <v>0</v>
      </c>
    </row>
    <row r="7" spans="1:12">
      <c r="A7" s="19" t="s">
        <v>309</v>
      </c>
      <c r="B7" s="19" t="s">
        <v>310</v>
      </c>
      <c r="C7" s="19" t="s">
        <v>311</v>
      </c>
      <c r="D7" s="19" t="s">
        <v>312</v>
      </c>
      <c r="E7" s="33">
        <f>objecturenhf4_1</f>
        <v>0</v>
      </c>
      <c r="F7" s="33">
        <f>objecturen4_1</f>
        <v>0</v>
      </c>
      <c r="G7" s="36">
        <f>objectprijs4_1</f>
        <v>0</v>
      </c>
      <c r="H7" s="33">
        <f>tzujt4_1</f>
        <v>0</v>
      </c>
      <c r="I7" s="36">
        <f>tzpjt4_1</f>
        <v>0</v>
      </c>
      <c r="J7" s="36">
        <f>G7+I7</f>
        <v>0</v>
      </c>
      <c r="K7" s="36">
        <f>J7/12</f>
        <v>0</v>
      </c>
      <c r="L7" s="36">
        <f>K7*1.21</f>
        <v>0</v>
      </c>
    </row>
    <row r="8" spans="1:12">
      <c r="A8" s="19" t="s">
        <v>313</v>
      </c>
      <c r="B8" s="19" t="s">
        <v>314</v>
      </c>
      <c r="C8" s="19" t="s">
        <v>315</v>
      </c>
      <c r="D8" s="19" t="s">
        <v>302</v>
      </c>
      <c r="E8" s="33">
        <f>objecturenhf5_1</f>
        <v>0</v>
      </c>
      <c r="F8" s="33">
        <f>objecturen5_1</f>
        <v>0</v>
      </c>
      <c r="G8" s="36">
        <f>objectprijs5_1</f>
        <v>0</v>
      </c>
      <c r="H8" s="33">
        <f>tzujt5_1</f>
        <v>0</v>
      </c>
      <c r="I8" s="36">
        <f>tzpjt5_1</f>
        <v>0</v>
      </c>
      <c r="J8" s="36">
        <f>G8+I8</f>
        <v>0</v>
      </c>
      <c r="K8" s="36">
        <f>J8/12</f>
        <v>0</v>
      </c>
      <c r="L8" s="36">
        <f>K8*1.21</f>
        <v>0</v>
      </c>
    </row>
    <row r="9" spans="1:12">
      <c r="A9" s="24" t="s">
        <v>316</v>
      </c>
      <c r="B9" s="24" t="s">
        <v>317</v>
      </c>
      <c r="C9" s="24" t="s">
        <v>318</v>
      </c>
      <c r="D9" s="24" t="s">
        <v>302</v>
      </c>
      <c r="E9" s="37">
        <f>objecturenhf6_1+objecturenhf6_2</f>
        <v>0</v>
      </c>
      <c r="F9" s="37">
        <f>objecturen6_1+objecturen6_2</f>
        <v>0</v>
      </c>
      <c r="G9" s="39">
        <f>objectprijs6_1+objectprijs6_2</f>
        <v>0</v>
      </c>
      <c r="H9" s="37">
        <f>tzujt6_1+tzujt6_2</f>
        <v>0</v>
      </c>
      <c r="I9" s="39">
        <f>tzpjt6_1+tzpjt6_2</f>
        <v>0</v>
      </c>
      <c r="J9" s="39">
        <f>G9+I9</f>
        <v>0</v>
      </c>
      <c r="K9" s="39">
        <f>J9/12</f>
        <v>0</v>
      </c>
      <c r="L9" s="39">
        <f>K9*1.21</f>
        <v>0</v>
      </c>
    </row>
    <row r="11" spans="1:12">
      <c r="A11" s="40" t="s">
        <v>355</v>
      </c>
      <c r="B11" s="41"/>
      <c r="C11" s="41"/>
      <c r="D11" s="41"/>
      <c r="E11" s="85">
        <f>SUM(E4:E9)</f>
        <v>0</v>
      </c>
      <c r="F11" s="85">
        <f>SUM(F4:F9)</f>
        <v>0</v>
      </c>
      <c r="G11" s="42">
        <f>SUM(G4:G9)</f>
        <v>0</v>
      </c>
      <c r="H11" s="85">
        <f>SUM(H4:H9)</f>
        <v>0</v>
      </c>
      <c r="I11" s="42">
        <f>SUM(I4:I9)</f>
        <v>0</v>
      </c>
      <c r="J11" s="42">
        <f>SUM(J4:J9)</f>
        <v>0</v>
      </c>
      <c r="K11" s="42">
        <f>SUM(K4:K9)</f>
        <v>0</v>
      </c>
      <c r="L11" s="42">
        <f>SUM(L4:L9)</f>
        <v>0</v>
      </c>
    </row>
  </sheetData>
  <pageMargins left="0.7" right="0.7" top="0.75" bottom="0.75" header="0.3" footer="0.3"/>
  <pageSetup paperSize="9" scale="65" orientation="landscape" r:id="rId1"/>
  <headerFooter>
    <oddFooter>&amp;LROC Midden Nederland EA 2022                                &amp;ROpmaakdatum: 02-06-2022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6AB4D-73ED-4281-BD23-BEE1943D3C40}">
  <dimension ref="A1:L14"/>
  <sheetViews>
    <sheetView workbookViewId="0"/>
  </sheetViews>
  <sheetFormatPr defaultRowHeight="12.75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>
      <c r="A1" s="1" t="str">
        <f>CONCATENATE("Bijlage I2.6: ",tabeltype," afroep")</f>
        <v>Bijlage I2.6: Invultabel afroep</v>
      </c>
    </row>
    <row r="3" spans="1:12" ht="38.25">
      <c r="A3" s="84" t="s">
        <v>356</v>
      </c>
      <c r="B3" s="84" t="s">
        <v>7</v>
      </c>
      <c r="C3" s="84" t="s">
        <v>357</v>
      </c>
      <c r="D3" s="84" t="s">
        <v>33</v>
      </c>
      <c r="E3" s="84" t="s">
        <v>36</v>
      </c>
      <c r="F3" s="84" t="s">
        <v>358</v>
      </c>
      <c r="G3" s="84" t="s">
        <v>359</v>
      </c>
      <c r="H3" s="84" t="s">
        <v>360</v>
      </c>
      <c r="I3" s="84" t="s">
        <v>361</v>
      </c>
      <c r="J3" s="84" t="s">
        <v>362</v>
      </c>
      <c r="K3" s="84" t="s">
        <v>185</v>
      </c>
      <c r="L3" s="84" t="s">
        <v>298</v>
      </c>
    </row>
    <row r="4" spans="1:1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spans="1:12">
      <c r="A5" s="11" t="s">
        <v>38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2">
      <c r="A6" s="14" t="s">
        <v>363</v>
      </c>
      <c r="B6" s="14" t="s">
        <v>23</v>
      </c>
      <c r="C6" s="15">
        <f>IF(ISBLANK(B6),0,IF(ISERROR(VALUE(B6)),VLOOKUP(B6,dagsoorttabel1,2,FALSE)*dagenperjaar1,VALUE(B6)))</f>
        <v>10</v>
      </c>
      <c r="D6" s="14" t="s">
        <v>364</v>
      </c>
      <c r="E6" s="14" t="s">
        <v>365</v>
      </c>
      <c r="F6" s="70">
        <v>10</v>
      </c>
      <c r="G6" s="18"/>
      <c r="H6" s="71"/>
      <c r="I6" s="18"/>
      <c r="J6" s="32">
        <f>IF(ISBLANK(F6),0,F6)*I6</f>
        <v>0</v>
      </c>
      <c r="K6" s="32">
        <f>C6*J6</f>
        <v>0</v>
      </c>
      <c r="L6" s="32">
        <f>K6/12</f>
        <v>0</v>
      </c>
    </row>
    <row r="7" spans="1:12">
      <c r="A7" s="19" t="s">
        <v>366</v>
      </c>
      <c r="B7" s="19" t="s">
        <v>23</v>
      </c>
      <c r="C7" s="20">
        <f>IF(ISBLANK(B7),0,IF(ISERROR(VALUE(B7)),VLOOKUP(B7,dagsoorttabel1,2,FALSE)*dagenperjaar1,VALUE(B7)))</f>
        <v>10</v>
      </c>
      <c r="D7" s="19" t="s">
        <v>367</v>
      </c>
      <c r="E7" s="19" t="s">
        <v>365</v>
      </c>
      <c r="F7" s="72">
        <v>4</v>
      </c>
      <c r="G7" s="23"/>
      <c r="H7" s="73"/>
      <c r="I7" s="23"/>
      <c r="J7" s="36">
        <f>IF(ISBLANK(F7),0,F7)*I7</f>
        <v>0</v>
      </c>
      <c r="K7" s="36">
        <f>C7*J7</f>
        <v>0</v>
      </c>
      <c r="L7" s="36">
        <f>K7/12</f>
        <v>0</v>
      </c>
    </row>
    <row r="8" spans="1:12">
      <c r="A8" s="19" t="s">
        <v>368</v>
      </c>
      <c r="B8" s="19" t="s">
        <v>23</v>
      </c>
      <c r="C8" s="20">
        <f>IF(ISBLANK(B8),0,IF(ISERROR(VALUE(B8)),VLOOKUP(B8,dagsoorttabel1,2,FALSE)*dagenperjaar1,VALUE(B8)))</f>
        <v>10</v>
      </c>
      <c r="D8" s="19" t="s">
        <v>369</v>
      </c>
      <c r="E8" s="19" t="s">
        <v>365</v>
      </c>
      <c r="F8" s="72">
        <v>4</v>
      </c>
      <c r="G8" s="23"/>
      <c r="H8" s="73"/>
      <c r="I8" s="23"/>
      <c r="J8" s="36">
        <f>IF(ISBLANK(F8),0,F8)*I8</f>
        <v>0</v>
      </c>
      <c r="K8" s="36">
        <f>C8*J8</f>
        <v>0</v>
      </c>
      <c r="L8" s="36">
        <f>K8/12</f>
        <v>0</v>
      </c>
    </row>
    <row r="9" spans="1:12">
      <c r="A9" s="19" t="s">
        <v>370</v>
      </c>
      <c r="B9" s="19" t="s">
        <v>23</v>
      </c>
      <c r="C9" s="20">
        <f>IF(ISBLANK(B9),0,IF(ISERROR(VALUE(B9)),VLOOKUP(B9,dagsoorttabel1,2,FALSE)*dagenperjaar1,VALUE(B9)))</f>
        <v>10</v>
      </c>
      <c r="D9" s="19" t="s">
        <v>371</v>
      </c>
      <c r="E9" s="19" t="s">
        <v>365</v>
      </c>
      <c r="F9" s="72">
        <v>15</v>
      </c>
      <c r="G9" s="23"/>
      <c r="H9" s="73"/>
      <c r="I9" s="23"/>
      <c r="J9" s="36">
        <f>IF(ISBLANK(F9),0,F9)*I9</f>
        <v>0</v>
      </c>
      <c r="K9" s="36">
        <f>C9*J9</f>
        <v>0</v>
      </c>
      <c r="L9" s="36">
        <f>K9/12</f>
        <v>0</v>
      </c>
    </row>
    <row r="10" spans="1:12">
      <c r="A10" s="19" t="s">
        <v>372</v>
      </c>
      <c r="B10" s="19" t="s">
        <v>23</v>
      </c>
      <c r="C10" s="20">
        <f>IF(ISBLANK(B10),0,IF(ISERROR(VALUE(B10)),VLOOKUP(B10,dagsoorttabel1,2,FALSE)*dagenperjaar1,VALUE(B10)))</f>
        <v>10</v>
      </c>
      <c r="D10" s="19" t="s">
        <v>373</v>
      </c>
      <c r="E10" s="19" t="s">
        <v>365</v>
      </c>
      <c r="F10" s="72">
        <v>8</v>
      </c>
      <c r="G10" s="23"/>
      <c r="H10" s="73"/>
      <c r="I10" s="23"/>
      <c r="J10" s="36">
        <f>IF(ISBLANK(F10),0,F10)*I10</f>
        <v>0</v>
      </c>
      <c r="K10" s="36">
        <f>C10*J10</f>
        <v>0</v>
      </c>
      <c r="L10" s="36">
        <f>K10/12</f>
        <v>0</v>
      </c>
    </row>
    <row r="11" spans="1:12">
      <c r="A11" s="24" t="s">
        <v>374</v>
      </c>
      <c r="B11" s="24" t="s">
        <v>29</v>
      </c>
      <c r="C11" s="25">
        <f>IF(ISBLANK(B11),0,IF(ISERROR(VALUE(B11)),VLOOKUP(B11,dagsoorttabel1,2,FALSE)*dagenperjaar1,VALUE(B11)))</f>
        <v>1</v>
      </c>
      <c r="D11" s="24" t="s">
        <v>375</v>
      </c>
      <c r="E11" s="24" t="s">
        <v>376</v>
      </c>
      <c r="F11" s="74">
        <v>17025.7</v>
      </c>
      <c r="G11" s="28"/>
      <c r="H11" s="26"/>
      <c r="I11" s="75"/>
      <c r="J11" s="39">
        <f>IF(ISBLANK(H11),0,F11 / H11 * G11)</f>
        <v>0</v>
      </c>
      <c r="K11" s="39">
        <f>C11*J11</f>
        <v>0</v>
      </c>
      <c r="L11" s="39">
        <f>K11/12</f>
        <v>0</v>
      </c>
    </row>
    <row r="12" spans="1:12">
      <c r="A12" s="40" t="s">
        <v>252</v>
      </c>
      <c r="B12" s="41"/>
      <c r="C12" s="41"/>
      <c r="D12" s="41"/>
      <c r="E12" s="41"/>
      <c r="F12" s="41"/>
      <c r="G12" s="41"/>
      <c r="H12" s="41"/>
      <c r="I12" s="41"/>
      <c r="J12" s="41"/>
      <c r="K12" s="42">
        <f>SUM(K6:K11)</f>
        <v>0</v>
      </c>
      <c r="L12" s="87">
        <f>K12/12</f>
        <v>0</v>
      </c>
    </row>
    <row r="14" spans="1:12">
      <c r="A14" s="40" t="s">
        <v>377</v>
      </c>
      <c r="B14" s="41"/>
      <c r="C14" s="41"/>
      <c r="D14" s="41"/>
      <c r="E14" s="41"/>
      <c r="F14" s="41"/>
      <c r="G14" s="41"/>
      <c r="H14" s="41"/>
      <c r="I14" s="41"/>
      <c r="J14" s="41"/>
      <c r="K14" s="42">
        <f>prijsjaarafroep1</f>
        <v>0</v>
      </c>
      <c r="L14" s="87">
        <f>K14/12</f>
        <v>0</v>
      </c>
    </row>
  </sheetData>
  <pageMargins left="0.7" right="0.7" top="0.75" bottom="0.75" header="0.3" footer="0.3"/>
  <pageSetup paperSize="9" scale="65" orientation="landscape" r:id="rId1"/>
  <headerFooter>
    <oddFooter>&amp;LROC Midden Nederland EA 2022                                &amp;ROpmaakdatum: 02-06-2022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81191-62B1-4635-873A-27EE63FE5DF0}">
  <dimension ref="A1:E100"/>
  <sheetViews>
    <sheetView workbookViewId="0"/>
  </sheetViews>
  <sheetFormatPr defaultRowHeight="12.75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>
      <c r="A1" s="1" t="str">
        <f>CONCATENATE("Bijlage I2.7: ",tabeltype," afroep incidenteel")</f>
        <v>Bijlage I2.7: Invultabel afroep incidenteel</v>
      </c>
    </row>
    <row r="3" spans="1:5" ht="38.25">
      <c r="A3" s="84" t="s">
        <v>356</v>
      </c>
      <c r="B3" s="84" t="s">
        <v>33</v>
      </c>
      <c r="C3" s="84" t="s">
        <v>36</v>
      </c>
      <c r="D3" s="84" t="s">
        <v>378</v>
      </c>
      <c r="E3" s="84" t="s">
        <v>361</v>
      </c>
    </row>
    <row r="4" spans="1:5">
      <c r="A4" s="8"/>
      <c r="B4" s="9"/>
      <c r="C4" s="9"/>
      <c r="D4" s="9"/>
      <c r="E4" s="10"/>
    </row>
    <row r="5" spans="1:5">
      <c r="A5" s="11" t="s">
        <v>38</v>
      </c>
      <c r="B5" s="12"/>
      <c r="C5" s="12"/>
      <c r="D5" s="12"/>
      <c r="E5" s="13"/>
    </row>
    <row r="6" spans="1:5">
      <c r="A6" s="14" t="s">
        <v>379</v>
      </c>
      <c r="B6" s="14" t="s">
        <v>380</v>
      </c>
      <c r="C6" s="14" t="s">
        <v>381</v>
      </c>
      <c r="D6" s="14" t="s">
        <v>382</v>
      </c>
      <c r="E6" s="18"/>
    </row>
    <row r="7" spans="1:5">
      <c r="A7" s="19" t="s">
        <v>383</v>
      </c>
      <c r="B7" s="19" t="s">
        <v>380</v>
      </c>
      <c r="C7" s="19" t="s">
        <v>381</v>
      </c>
      <c r="D7" s="19" t="s">
        <v>384</v>
      </c>
      <c r="E7" s="23"/>
    </row>
    <row r="8" spans="1:5">
      <c r="A8" s="19" t="s">
        <v>385</v>
      </c>
      <c r="B8" s="19" t="s">
        <v>380</v>
      </c>
      <c r="C8" s="19" t="s">
        <v>381</v>
      </c>
      <c r="D8" s="19" t="s">
        <v>386</v>
      </c>
      <c r="E8" s="23"/>
    </row>
    <row r="9" spans="1:5">
      <c r="A9" s="19" t="s">
        <v>387</v>
      </c>
      <c r="B9" s="19" t="s">
        <v>380</v>
      </c>
      <c r="C9" s="19" t="s">
        <v>381</v>
      </c>
      <c r="D9" s="19" t="s">
        <v>388</v>
      </c>
      <c r="E9" s="23"/>
    </row>
    <row r="10" spans="1:5">
      <c r="A10" s="19" t="s">
        <v>389</v>
      </c>
      <c r="B10" s="19" t="s">
        <v>390</v>
      </c>
      <c r="C10" s="19" t="s">
        <v>381</v>
      </c>
      <c r="D10" s="19" t="s">
        <v>382</v>
      </c>
      <c r="E10" s="23"/>
    </row>
    <row r="11" spans="1:5">
      <c r="A11" s="19" t="s">
        <v>391</v>
      </c>
      <c r="B11" s="19" t="s">
        <v>390</v>
      </c>
      <c r="C11" s="19" t="s">
        <v>381</v>
      </c>
      <c r="D11" s="19" t="s">
        <v>384</v>
      </c>
      <c r="E11" s="23"/>
    </row>
    <row r="12" spans="1:5">
      <c r="A12" s="19" t="s">
        <v>392</v>
      </c>
      <c r="B12" s="19" t="s">
        <v>390</v>
      </c>
      <c r="C12" s="19" t="s">
        <v>381</v>
      </c>
      <c r="D12" s="19" t="s">
        <v>386</v>
      </c>
      <c r="E12" s="23"/>
    </row>
    <row r="13" spans="1:5">
      <c r="A13" s="19" t="s">
        <v>393</v>
      </c>
      <c r="B13" s="19" t="s">
        <v>390</v>
      </c>
      <c r="C13" s="19" t="s">
        <v>381</v>
      </c>
      <c r="D13" s="19" t="s">
        <v>388</v>
      </c>
      <c r="E13" s="23"/>
    </row>
    <row r="14" spans="1:5">
      <c r="A14" s="19" t="s">
        <v>394</v>
      </c>
      <c r="B14" s="19" t="s">
        <v>395</v>
      </c>
      <c r="C14" s="19" t="s">
        <v>381</v>
      </c>
      <c r="D14" s="19" t="s">
        <v>382</v>
      </c>
      <c r="E14" s="23"/>
    </row>
    <row r="15" spans="1:5">
      <c r="A15" s="19" t="s">
        <v>396</v>
      </c>
      <c r="B15" s="19" t="s">
        <v>395</v>
      </c>
      <c r="C15" s="19" t="s">
        <v>381</v>
      </c>
      <c r="D15" s="19" t="s">
        <v>384</v>
      </c>
      <c r="E15" s="23"/>
    </row>
    <row r="16" spans="1:5">
      <c r="A16" s="19" t="s">
        <v>397</v>
      </c>
      <c r="B16" s="19" t="s">
        <v>395</v>
      </c>
      <c r="C16" s="19" t="s">
        <v>381</v>
      </c>
      <c r="D16" s="19" t="s">
        <v>386</v>
      </c>
      <c r="E16" s="23"/>
    </row>
    <row r="17" spans="1:5">
      <c r="A17" s="19" t="s">
        <v>398</v>
      </c>
      <c r="B17" s="19" t="s">
        <v>395</v>
      </c>
      <c r="C17" s="19" t="s">
        <v>381</v>
      </c>
      <c r="D17" s="19" t="s">
        <v>388</v>
      </c>
      <c r="E17" s="23"/>
    </row>
    <row r="18" spans="1:5">
      <c r="A18" s="19" t="s">
        <v>399</v>
      </c>
      <c r="B18" s="19" t="s">
        <v>400</v>
      </c>
      <c r="C18" s="19" t="s">
        <v>381</v>
      </c>
      <c r="D18" s="19" t="s">
        <v>382</v>
      </c>
      <c r="E18" s="23"/>
    </row>
    <row r="19" spans="1:5">
      <c r="A19" s="19" t="s">
        <v>401</v>
      </c>
      <c r="B19" s="19" t="s">
        <v>400</v>
      </c>
      <c r="C19" s="19" t="s">
        <v>381</v>
      </c>
      <c r="D19" s="19" t="s">
        <v>384</v>
      </c>
      <c r="E19" s="23"/>
    </row>
    <row r="20" spans="1:5">
      <c r="A20" s="19" t="s">
        <v>402</v>
      </c>
      <c r="B20" s="19" t="s">
        <v>400</v>
      </c>
      <c r="C20" s="19" t="s">
        <v>381</v>
      </c>
      <c r="D20" s="19" t="s">
        <v>386</v>
      </c>
      <c r="E20" s="23"/>
    </row>
    <row r="21" spans="1:5">
      <c r="A21" s="19" t="s">
        <v>403</v>
      </c>
      <c r="B21" s="19" t="s">
        <v>400</v>
      </c>
      <c r="C21" s="19" t="s">
        <v>381</v>
      </c>
      <c r="D21" s="19" t="s">
        <v>388</v>
      </c>
      <c r="E21" s="23"/>
    </row>
    <row r="22" spans="1:5">
      <c r="A22" s="19" t="s">
        <v>404</v>
      </c>
      <c r="B22" s="19" t="s">
        <v>405</v>
      </c>
      <c r="C22" s="19" t="s">
        <v>406</v>
      </c>
      <c r="D22" s="19" t="s">
        <v>407</v>
      </c>
      <c r="E22" s="23"/>
    </row>
    <row r="23" spans="1:5">
      <c r="A23" s="19" t="s">
        <v>408</v>
      </c>
      <c r="B23" s="19" t="s">
        <v>405</v>
      </c>
      <c r="C23" s="19" t="s">
        <v>406</v>
      </c>
      <c r="D23" s="19" t="s">
        <v>409</v>
      </c>
      <c r="E23" s="23"/>
    </row>
    <row r="24" spans="1:5">
      <c r="A24" s="19" t="s">
        <v>410</v>
      </c>
      <c r="B24" s="19" t="s">
        <v>405</v>
      </c>
      <c r="C24" s="19" t="s">
        <v>406</v>
      </c>
      <c r="D24" s="19" t="s">
        <v>411</v>
      </c>
      <c r="E24" s="23"/>
    </row>
    <row r="25" spans="1:5">
      <c r="A25" s="19" t="s">
        <v>412</v>
      </c>
      <c r="B25" s="19" t="s">
        <v>405</v>
      </c>
      <c r="C25" s="19" t="s">
        <v>406</v>
      </c>
      <c r="D25" s="19" t="s">
        <v>413</v>
      </c>
      <c r="E25" s="23"/>
    </row>
    <row r="26" spans="1:5">
      <c r="A26" s="19" t="s">
        <v>414</v>
      </c>
      <c r="B26" s="19" t="s">
        <v>415</v>
      </c>
      <c r="C26" s="19" t="s">
        <v>406</v>
      </c>
      <c r="D26" s="19" t="s">
        <v>407</v>
      </c>
      <c r="E26" s="23"/>
    </row>
    <row r="27" spans="1:5">
      <c r="A27" s="19" t="s">
        <v>416</v>
      </c>
      <c r="B27" s="19" t="s">
        <v>415</v>
      </c>
      <c r="C27" s="19" t="s">
        <v>406</v>
      </c>
      <c r="D27" s="19" t="s">
        <v>409</v>
      </c>
      <c r="E27" s="23"/>
    </row>
    <row r="28" spans="1:5">
      <c r="A28" s="19" t="s">
        <v>417</v>
      </c>
      <c r="B28" s="19" t="s">
        <v>415</v>
      </c>
      <c r="C28" s="19" t="s">
        <v>406</v>
      </c>
      <c r="D28" s="19" t="s">
        <v>411</v>
      </c>
      <c r="E28" s="23"/>
    </row>
    <row r="29" spans="1:5">
      <c r="A29" s="19" t="s">
        <v>418</v>
      </c>
      <c r="B29" s="19" t="s">
        <v>415</v>
      </c>
      <c r="C29" s="19" t="s">
        <v>406</v>
      </c>
      <c r="D29" s="19" t="s">
        <v>413</v>
      </c>
      <c r="E29" s="23"/>
    </row>
    <row r="30" spans="1:5">
      <c r="A30" s="19" t="s">
        <v>419</v>
      </c>
      <c r="B30" s="19" t="s">
        <v>420</v>
      </c>
      <c r="C30" s="19" t="s">
        <v>406</v>
      </c>
      <c r="D30" s="19" t="s">
        <v>407</v>
      </c>
      <c r="E30" s="23"/>
    </row>
    <row r="31" spans="1:5">
      <c r="A31" s="19" t="s">
        <v>421</v>
      </c>
      <c r="B31" s="19" t="s">
        <v>420</v>
      </c>
      <c r="C31" s="19" t="s">
        <v>406</v>
      </c>
      <c r="D31" s="19" t="s">
        <v>409</v>
      </c>
      <c r="E31" s="23"/>
    </row>
    <row r="32" spans="1:5">
      <c r="A32" s="19" t="s">
        <v>422</v>
      </c>
      <c r="B32" s="19" t="s">
        <v>420</v>
      </c>
      <c r="C32" s="19" t="s">
        <v>406</v>
      </c>
      <c r="D32" s="19" t="s">
        <v>411</v>
      </c>
      <c r="E32" s="23"/>
    </row>
    <row r="33" spans="1:5">
      <c r="A33" s="19" t="s">
        <v>423</v>
      </c>
      <c r="B33" s="19" t="s">
        <v>420</v>
      </c>
      <c r="C33" s="19" t="s">
        <v>406</v>
      </c>
      <c r="D33" s="19" t="s">
        <v>413</v>
      </c>
      <c r="E33" s="23"/>
    </row>
    <row r="34" spans="1:5">
      <c r="A34" s="19" t="s">
        <v>424</v>
      </c>
      <c r="B34" s="19" t="s">
        <v>425</v>
      </c>
      <c r="C34" s="19" t="s">
        <v>406</v>
      </c>
      <c r="D34" s="19" t="s">
        <v>407</v>
      </c>
      <c r="E34" s="23"/>
    </row>
    <row r="35" spans="1:5">
      <c r="A35" s="19" t="s">
        <v>426</v>
      </c>
      <c r="B35" s="19" t="s">
        <v>425</v>
      </c>
      <c r="C35" s="19" t="s">
        <v>406</v>
      </c>
      <c r="D35" s="19" t="s">
        <v>409</v>
      </c>
      <c r="E35" s="23"/>
    </row>
    <row r="36" spans="1:5">
      <c r="A36" s="19" t="s">
        <v>427</v>
      </c>
      <c r="B36" s="19" t="s">
        <v>425</v>
      </c>
      <c r="C36" s="19" t="s">
        <v>406</v>
      </c>
      <c r="D36" s="19" t="s">
        <v>411</v>
      </c>
      <c r="E36" s="23"/>
    </row>
    <row r="37" spans="1:5">
      <c r="A37" s="19" t="s">
        <v>428</v>
      </c>
      <c r="B37" s="19" t="s">
        <v>425</v>
      </c>
      <c r="C37" s="19" t="s">
        <v>406</v>
      </c>
      <c r="D37" s="19" t="s">
        <v>413</v>
      </c>
      <c r="E37" s="23"/>
    </row>
    <row r="38" spans="1:5">
      <c r="A38" s="19" t="s">
        <v>429</v>
      </c>
      <c r="B38" s="19" t="s">
        <v>430</v>
      </c>
      <c r="C38" s="19" t="s">
        <v>406</v>
      </c>
      <c r="D38" s="19" t="s">
        <v>407</v>
      </c>
      <c r="E38" s="23"/>
    </row>
    <row r="39" spans="1:5">
      <c r="A39" s="19" t="s">
        <v>431</v>
      </c>
      <c r="B39" s="19" t="s">
        <v>430</v>
      </c>
      <c r="C39" s="19" t="s">
        <v>406</v>
      </c>
      <c r="D39" s="19" t="s">
        <v>409</v>
      </c>
      <c r="E39" s="23"/>
    </row>
    <row r="40" spans="1:5">
      <c r="A40" s="19" t="s">
        <v>432</v>
      </c>
      <c r="B40" s="19" t="s">
        <v>430</v>
      </c>
      <c r="C40" s="19" t="s">
        <v>406</v>
      </c>
      <c r="D40" s="19" t="s">
        <v>411</v>
      </c>
      <c r="E40" s="23"/>
    </row>
    <row r="41" spans="1:5">
      <c r="A41" s="19" t="s">
        <v>433</v>
      </c>
      <c r="B41" s="19" t="s">
        <v>430</v>
      </c>
      <c r="C41" s="19" t="s">
        <v>406</v>
      </c>
      <c r="D41" s="19" t="s">
        <v>413</v>
      </c>
      <c r="E41" s="23"/>
    </row>
    <row r="42" spans="1:5">
      <c r="A42" s="19" t="s">
        <v>434</v>
      </c>
      <c r="B42" s="19" t="s">
        <v>435</v>
      </c>
      <c r="C42" s="19" t="s">
        <v>406</v>
      </c>
      <c r="D42" s="19" t="s">
        <v>407</v>
      </c>
      <c r="E42" s="23"/>
    </row>
    <row r="43" spans="1:5">
      <c r="A43" s="19" t="s">
        <v>436</v>
      </c>
      <c r="B43" s="19" t="s">
        <v>435</v>
      </c>
      <c r="C43" s="19" t="s">
        <v>406</v>
      </c>
      <c r="D43" s="19" t="s">
        <v>409</v>
      </c>
      <c r="E43" s="23"/>
    </row>
    <row r="44" spans="1:5">
      <c r="A44" s="19" t="s">
        <v>437</v>
      </c>
      <c r="B44" s="19" t="s">
        <v>435</v>
      </c>
      <c r="C44" s="19" t="s">
        <v>406</v>
      </c>
      <c r="D44" s="19" t="s">
        <v>411</v>
      </c>
      <c r="E44" s="23"/>
    </row>
    <row r="45" spans="1:5">
      <c r="A45" s="19" t="s">
        <v>438</v>
      </c>
      <c r="B45" s="19" t="s">
        <v>435</v>
      </c>
      <c r="C45" s="19" t="s">
        <v>406</v>
      </c>
      <c r="D45" s="19" t="s">
        <v>413</v>
      </c>
      <c r="E45" s="23"/>
    </row>
    <row r="46" spans="1:5">
      <c r="A46" s="19" t="s">
        <v>439</v>
      </c>
      <c r="B46" s="19" t="s">
        <v>440</v>
      </c>
      <c r="C46" s="19" t="s">
        <v>406</v>
      </c>
      <c r="D46" s="19" t="s">
        <v>407</v>
      </c>
      <c r="E46" s="23"/>
    </row>
    <row r="47" spans="1:5">
      <c r="A47" s="19" t="s">
        <v>441</v>
      </c>
      <c r="B47" s="19" t="s">
        <v>440</v>
      </c>
      <c r="C47" s="19" t="s">
        <v>406</v>
      </c>
      <c r="D47" s="19" t="s">
        <v>409</v>
      </c>
      <c r="E47" s="23"/>
    </row>
    <row r="48" spans="1:5">
      <c r="A48" s="19" t="s">
        <v>442</v>
      </c>
      <c r="B48" s="19" t="s">
        <v>440</v>
      </c>
      <c r="C48" s="19" t="s">
        <v>406</v>
      </c>
      <c r="D48" s="19" t="s">
        <v>411</v>
      </c>
      <c r="E48" s="23"/>
    </row>
    <row r="49" spans="1:5">
      <c r="A49" s="19" t="s">
        <v>443</v>
      </c>
      <c r="B49" s="19" t="s">
        <v>440</v>
      </c>
      <c r="C49" s="19" t="s">
        <v>406</v>
      </c>
      <c r="D49" s="19" t="s">
        <v>413</v>
      </c>
      <c r="E49" s="23"/>
    </row>
    <row r="50" spans="1:5">
      <c r="A50" s="19" t="s">
        <v>444</v>
      </c>
      <c r="B50" s="19" t="s">
        <v>445</v>
      </c>
      <c r="C50" s="19" t="s">
        <v>381</v>
      </c>
      <c r="D50" s="19" t="s">
        <v>382</v>
      </c>
      <c r="E50" s="23"/>
    </row>
    <row r="51" spans="1:5">
      <c r="A51" s="19" t="s">
        <v>446</v>
      </c>
      <c r="B51" s="19" t="s">
        <v>445</v>
      </c>
      <c r="C51" s="19" t="s">
        <v>381</v>
      </c>
      <c r="D51" s="19" t="s">
        <v>384</v>
      </c>
      <c r="E51" s="23"/>
    </row>
    <row r="52" spans="1:5">
      <c r="A52" s="19" t="s">
        <v>447</v>
      </c>
      <c r="B52" s="19" t="s">
        <v>445</v>
      </c>
      <c r="C52" s="19" t="s">
        <v>381</v>
      </c>
      <c r="D52" s="19" t="s">
        <v>386</v>
      </c>
      <c r="E52" s="23"/>
    </row>
    <row r="53" spans="1:5">
      <c r="A53" s="19" t="s">
        <v>448</v>
      </c>
      <c r="B53" s="19" t="s">
        <v>445</v>
      </c>
      <c r="C53" s="19" t="s">
        <v>381</v>
      </c>
      <c r="D53" s="19" t="s">
        <v>388</v>
      </c>
      <c r="E53" s="23"/>
    </row>
    <row r="54" spans="1:5">
      <c r="A54" s="19" t="s">
        <v>449</v>
      </c>
      <c r="B54" s="19" t="s">
        <v>450</v>
      </c>
      <c r="C54" s="19" t="s">
        <v>381</v>
      </c>
      <c r="D54" s="19" t="s">
        <v>382</v>
      </c>
      <c r="E54" s="23"/>
    </row>
    <row r="55" spans="1:5">
      <c r="A55" s="19" t="s">
        <v>451</v>
      </c>
      <c r="B55" s="19" t="s">
        <v>450</v>
      </c>
      <c r="C55" s="19" t="s">
        <v>381</v>
      </c>
      <c r="D55" s="19" t="s">
        <v>384</v>
      </c>
      <c r="E55" s="23"/>
    </row>
    <row r="56" spans="1:5">
      <c r="A56" s="19" t="s">
        <v>452</v>
      </c>
      <c r="B56" s="19" t="s">
        <v>450</v>
      </c>
      <c r="C56" s="19" t="s">
        <v>381</v>
      </c>
      <c r="D56" s="19" t="s">
        <v>386</v>
      </c>
      <c r="E56" s="23"/>
    </row>
    <row r="57" spans="1:5">
      <c r="A57" s="19" t="s">
        <v>453</v>
      </c>
      <c r="B57" s="19" t="s">
        <v>450</v>
      </c>
      <c r="C57" s="19" t="s">
        <v>381</v>
      </c>
      <c r="D57" s="19" t="s">
        <v>388</v>
      </c>
      <c r="E57" s="23"/>
    </row>
    <row r="58" spans="1:5">
      <c r="A58" s="19" t="s">
        <v>454</v>
      </c>
      <c r="B58" s="19" t="s">
        <v>455</v>
      </c>
      <c r="C58" s="19" t="s">
        <v>406</v>
      </c>
      <c r="D58" s="19" t="s">
        <v>456</v>
      </c>
      <c r="E58" s="23"/>
    </row>
    <row r="59" spans="1:5">
      <c r="A59" s="19" t="s">
        <v>457</v>
      </c>
      <c r="B59" s="19" t="s">
        <v>455</v>
      </c>
      <c r="C59" s="19" t="s">
        <v>406</v>
      </c>
      <c r="D59" s="19" t="s">
        <v>458</v>
      </c>
      <c r="E59" s="23"/>
    </row>
    <row r="60" spans="1:5">
      <c r="A60" s="19" t="s">
        <v>459</v>
      </c>
      <c r="B60" s="19" t="s">
        <v>455</v>
      </c>
      <c r="C60" s="19" t="s">
        <v>406</v>
      </c>
      <c r="D60" s="19" t="s">
        <v>460</v>
      </c>
      <c r="E60" s="23"/>
    </row>
    <row r="61" spans="1:5">
      <c r="A61" s="19" t="s">
        <v>461</v>
      </c>
      <c r="B61" s="19" t="s">
        <v>455</v>
      </c>
      <c r="C61" s="19" t="s">
        <v>406</v>
      </c>
      <c r="D61" s="19" t="s">
        <v>462</v>
      </c>
      <c r="E61" s="23"/>
    </row>
    <row r="62" spans="1:5">
      <c r="A62" s="19" t="s">
        <v>463</v>
      </c>
      <c r="B62" s="19" t="s">
        <v>464</v>
      </c>
      <c r="C62" s="19" t="s">
        <v>406</v>
      </c>
      <c r="D62" s="19" t="s">
        <v>456</v>
      </c>
      <c r="E62" s="23"/>
    </row>
    <row r="63" spans="1:5">
      <c r="A63" s="19" t="s">
        <v>465</v>
      </c>
      <c r="B63" s="19" t="s">
        <v>464</v>
      </c>
      <c r="C63" s="19" t="s">
        <v>406</v>
      </c>
      <c r="D63" s="19" t="s">
        <v>458</v>
      </c>
      <c r="E63" s="23"/>
    </row>
    <row r="64" spans="1:5">
      <c r="A64" s="19" t="s">
        <v>466</v>
      </c>
      <c r="B64" s="19" t="s">
        <v>464</v>
      </c>
      <c r="C64" s="19" t="s">
        <v>406</v>
      </c>
      <c r="D64" s="19" t="s">
        <v>460</v>
      </c>
      <c r="E64" s="23"/>
    </row>
    <row r="65" spans="1:5">
      <c r="A65" s="19" t="s">
        <v>467</v>
      </c>
      <c r="B65" s="19" t="s">
        <v>464</v>
      </c>
      <c r="C65" s="19" t="s">
        <v>406</v>
      </c>
      <c r="D65" s="19" t="s">
        <v>462</v>
      </c>
      <c r="E65" s="23"/>
    </row>
    <row r="66" spans="1:5">
      <c r="A66" s="19" t="s">
        <v>468</v>
      </c>
      <c r="B66" s="19" t="s">
        <v>469</v>
      </c>
      <c r="C66" s="19" t="s">
        <v>406</v>
      </c>
      <c r="D66" s="19" t="s">
        <v>456</v>
      </c>
      <c r="E66" s="23"/>
    </row>
    <row r="67" spans="1:5">
      <c r="A67" s="19" t="s">
        <v>470</v>
      </c>
      <c r="B67" s="19" t="s">
        <v>469</v>
      </c>
      <c r="C67" s="19" t="s">
        <v>406</v>
      </c>
      <c r="D67" s="19" t="s">
        <v>458</v>
      </c>
      <c r="E67" s="23"/>
    </row>
    <row r="68" spans="1:5">
      <c r="A68" s="19" t="s">
        <v>471</v>
      </c>
      <c r="B68" s="19" t="s">
        <v>469</v>
      </c>
      <c r="C68" s="19" t="s">
        <v>406</v>
      </c>
      <c r="D68" s="19" t="s">
        <v>460</v>
      </c>
      <c r="E68" s="23"/>
    </row>
    <row r="69" spans="1:5">
      <c r="A69" s="19" t="s">
        <v>472</v>
      </c>
      <c r="B69" s="19" t="s">
        <v>469</v>
      </c>
      <c r="C69" s="19" t="s">
        <v>406</v>
      </c>
      <c r="D69" s="19" t="s">
        <v>462</v>
      </c>
      <c r="E69" s="23"/>
    </row>
    <row r="70" spans="1:5">
      <c r="A70" s="19" t="s">
        <v>473</v>
      </c>
      <c r="B70" s="19" t="s">
        <v>474</v>
      </c>
      <c r="C70" s="19" t="s">
        <v>406</v>
      </c>
      <c r="D70" s="19" t="s">
        <v>456</v>
      </c>
      <c r="E70" s="23"/>
    </row>
    <row r="71" spans="1:5">
      <c r="A71" s="19" t="s">
        <v>475</v>
      </c>
      <c r="B71" s="19" t="s">
        <v>474</v>
      </c>
      <c r="C71" s="19" t="s">
        <v>406</v>
      </c>
      <c r="D71" s="19" t="s">
        <v>458</v>
      </c>
      <c r="E71" s="23"/>
    </row>
    <row r="72" spans="1:5">
      <c r="A72" s="19" t="s">
        <v>476</v>
      </c>
      <c r="B72" s="19" t="s">
        <v>474</v>
      </c>
      <c r="C72" s="19" t="s">
        <v>406</v>
      </c>
      <c r="D72" s="19" t="s">
        <v>460</v>
      </c>
      <c r="E72" s="23"/>
    </row>
    <row r="73" spans="1:5">
      <c r="A73" s="19" t="s">
        <v>477</v>
      </c>
      <c r="B73" s="19" t="s">
        <v>474</v>
      </c>
      <c r="C73" s="19" t="s">
        <v>406</v>
      </c>
      <c r="D73" s="19" t="s">
        <v>462</v>
      </c>
      <c r="E73" s="23"/>
    </row>
    <row r="74" spans="1:5">
      <c r="A74" s="19" t="s">
        <v>478</v>
      </c>
      <c r="B74" s="19" t="s">
        <v>479</v>
      </c>
      <c r="C74" s="19" t="s">
        <v>406</v>
      </c>
      <c r="D74" s="19" t="s">
        <v>456</v>
      </c>
      <c r="E74" s="23"/>
    </row>
    <row r="75" spans="1:5">
      <c r="A75" s="19" t="s">
        <v>480</v>
      </c>
      <c r="B75" s="19" t="s">
        <v>479</v>
      </c>
      <c r="C75" s="19" t="s">
        <v>406</v>
      </c>
      <c r="D75" s="19" t="s">
        <v>458</v>
      </c>
      <c r="E75" s="23"/>
    </row>
    <row r="76" spans="1:5">
      <c r="A76" s="19" t="s">
        <v>481</v>
      </c>
      <c r="B76" s="19" t="s">
        <v>479</v>
      </c>
      <c r="C76" s="19" t="s">
        <v>406</v>
      </c>
      <c r="D76" s="19" t="s">
        <v>460</v>
      </c>
      <c r="E76" s="23"/>
    </row>
    <row r="77" spans="1:5">
      <c r="A77" s="19" t="s">
        <v>482</v>
      </c>
      <c r="B77" s="19" t="s">
        <v>479</v>
      </c>
      <c r="C77" s="19" t="s">
        <v>406</v>
      </c>
      <c r="D77" s="19" t="s">
        <v>462</v>
      </c>
      <c r="E77" s="23"/>
    </row>
    <row r="78" spans="1:5">
      <c r="A78" s="19" t="s">
        <v>483</v>
      </c>
      <c r="B78" s="19" t="s">
        <v>484</v>
      </c>
      <c r="C78" s="19" t="s">
        <v>406</v>
      </c>
      <c r="D78" s="19" t="s">
        <v>456</v>
      </c>
      <c r="E78" s="23"/>
    </row>
    <row r="79" spans="1:5">
      <c r="A79" s="19" t="s">
        <v>485</v>
      </c>
      <c r="B79" s="19" t="s">
        <v>484</v>
      </c>
      <c r="C79" s="19" t="s">
        <v>406</v>
      </c>
      <c r="D79" s="19" t="s">
        <v>458</v>
      </c>
      <c r="E79" s="23"/>
    </row>
    <row r="80" spans="1:5">
      <c r="A80" s="19" t="s">
        <v>486</v>
      </c>
      <c r="B80" s="19" t="s">
        <v>484</v>
      </c>
      <c r="C80" s="19" t="s">
        <v>406</v>
      </c>
      <c r="D80" s="19" t="s">
        <v>460</v>
      </c>
      <c r="E80" s="23"/>
    </row>
    <row r="81" spans="1:5">
      <c r="A81" s="19" t="s">
        <v>487</v>
      </c>
      <c r="B81" s="19" t="s">
        <v>484</v>
      </c>
      <c r="C81" s="19" t="s">
        <v>406</v>
      </c>
      <c r="D81" s="19" t="s">
        <v>462</v>
      </c>
      <c r="E81" s="23"/>
    </row>
    <row r="82" spans="1:5">
      <c r="A82" s="19" t="s">
        <v>488</v>
      </c>
      <c r="B82" s="19" t="s">
        <v>489</v>
      </c>
      <c r="C82" s="19" t="s">
        <v>406</v>
      </c>
      <c r="D82" s="19" t="s">
        <v>456</v>
      </c>
      <c r="E82" s="23"/>
    </row>
    <row r="83" spans="1:5">
      <c r="A83" s="19" t="s">
        <v>490</v>
      </c>
      <c r="B83" s="19" t="s">
        <v>489</v>
      </c>
      <c r="C83" s="19" t="s">
        <v>406</v>
      </c>
      <c r="D83" s="19" t="s">
        <v>458</v>
      </c>
      <c r="E83" s="23"/>
    </row>
    <row r="84" spans="1:5">
      <c r="A84" s="19" t="s">
        <v>491</v>
      </c>
      <c r="B84" s="19" t="s">
        <v>489</v>
      </c>
      <c r="C84" s="19" t="s">
        <v>406</v>
      </c>
      <c r="D84" s="19" t="s">
        <v>460</v>
      </c>
      <c r="E84" s="23"/>
    </row>
    <row r="85" spans="1:5">
      <c r="A85" s="19" t="s">
        <v>492</v>
      </c>
      <c r="B85" s="19" t="s">
        <v>489</v>
      </c>
      <c r="C85" s="19" t="s">
        <v>406</v>
      </c>
      <c r="D85" s="19" t="s">
        <v>462</v>
      </c>
      <c r="E85" s="23"/>
    </row>
    <row r="86" spans="1:5">
      <c r="A86" s="19" t="s">
        <v>493</v>
      </c>
      <c r="B86" s="19" t="s">
        <v>494</v>
      </c>
      <c r="C86" s="19" t="s">
        <v>406</v>
      </c>
      <c r="D86" s="19" t="s">
        <v>456</v>
      </c>
      <c r="E86" s="23"/>
    </row>
    <row r="87" spans="1:5">
      <c r="A87" s="19" t="s">
        <v>495</v>
      </c>
      <c r="B87" s="19" t="s">
        <v>494</v>
      </c>
      <c r="C87" s="19" t="s">
        <v>406</v>
      </c>
      <c r="D87" s="19" t="s">
        <v>458</v>
      </c>
      <c r="E87" s="23"/>
    </row>
    <row r="88" spans="1:5">
      <c r="A88" s="19" t="s">
        <v>496</v>
      </c>
      <c r="B88" s="19" t="s">
        <v>494</v>
      </c>
      <c r="C88" s="19" t="s">
        <v>406</v>
      </c>
      <c r="D88" s="19" t="s">
        <v>460</v>
      </c>
      <c r="E88" s="23"/>
    </row>
    <row r="89" spans="1:5">
      <c r="A89" s="19" t="s">
        <v>497</v>
      </c>
      <c r="B89" s="19" t="s">
        <v>494</v>
      </c>
      <c r="C89" s="19" t="s">
        <v>406</v>
      </c>
      <c r="D89" s="19" t="s">
        <v>462</v>
      </c>
      <c r="E89" s="23"/>
    </row>
    <row r="90" spans="1:5">
      <c r="A90" s="19" t="s">
        <v>498</v>
      </c>
      <c r="B90" s="19" t="s">
        <v>499</v>
      </c>
      <c r="C90" s="19" t="s">
        <v>406</v>
      </c>
      <c r="D90" s="19" t="s">
        <v>456</v>
      </c>
      <c r="E90" s="23"/>
    </row>
    <row r="91" spans="1:5">
      <c r="A91" s="19" t="s">
        <v>500</v>
      </c>
      <c r="B91" s="19" t="s">
        <v>499</v>
      </c>
      <c r="C91" s="19" t="s">
        <v>406</v>
      </c>
      <c r="D91" s="19" t="s">
        <v>458</v>
      </c>
      <c r="E91" s="23"/>
    </row>
    <row r="92" spans="1:5">
      <c r="A92" s="19" t="s">
        <v>501</v>
      </c>
      <c r="B92" s="19" t="s">
        <v>499</v>
      </c>
      <c r="C92" s="19" t="s">
        <v>406</v>
      </c>
      <c r="D92" s="19" t="s">
        <v>460</v>
      </c>
      <c r="E92" s="23"/>
    </row>
    <row r="93" spans="1:5">
      <c r="A93" s="19" t="s">
        <v>502</v>
      </c>
      <c r="B93" s="19" t="s">
        <v>499</v>
      </c>
      <c r="C93" s="19" t="s">
        <v>406</v>
      </c>
      <c r="D93" s="19" t="s">
        <v>462</v>
      </c>
      <c r="E93" s="23"/>
    </row>
    <row r="94" spans="1:5">
      <c r="A94" s="19" t="s">
        <v>503</v>
      </c>
      <c r="B94" s="19" t="s">
        <v>504</v>
      </c>
      <c r="C94" s="19" t="s">
        <v>406</v>
      </c>
      <c r="D94" s="19" t="s">
        <v>456</v>
      </c>
      <c r="E94" s="23"/>
    </row>
    <row r="95" spans="1:5">
      <c r="A95" s="19" t="s">
        <v>505</v>
      </c>
      <c r="B95" s="19" t="s">
        <v>504</v>
      </c>
      <c r="C95" s="19" t="s">
        <v>406</v>
      </c>
      <c r="D95" s="19" t="s">
        <v>458</v>
      </c>
      <c r="E95" s="23"/>
    </row>
    <row r="96" spans="1:5">
      <c r="A96" s="19" t="s">
        <v>506</v>
      </c>
      <c r="B96" s="19" t="s">
        <v>504</v>
      </c>
      <c r="C96" s="19" t="s">
        <v>406</v>
      </c>
      <c r="D96" s="19" t="s">
        <v>460</v>
      </c>
      <c r="E96" s="23"/>
    </row>
    <row r="97" spans="1:5">
      <c r="A97" s="24" t="s">
        <v>507</v>
      </c>
      <c r="B97" s="24" t="s">
        <v>504</v>
      </c>
      <c r="C97" s="24" t="s">
        <v>406</v>
      </c>
      <c r="D97" s="24" t="s">
        <v>462</v>
      </c>
      <c r="E97" s="28"/>
    </row>
    <row r="98" spans="1:5">
      <c r="A98" s="40" t="s">
        <v>252</v>
      </c>
      <c r="B98" s="41"/>
      <c r="C98" s="41"/>
      <c r="D98" s="41"/>
      <c r="E98" s="44"/>
    </row>
    <row r="100" spans="1:5">
      <c r="A100" s="40" t="s">
        <v>508</v>
      </c>
      <c r="B100" s="41"/>
      <c r="C100" s="41"/>
      <c r="D100" s="41"/>
      <c r="E100" s="44"/>
    </row>
  </sheetData>
  <pageMargins left="0.7" right="0.7" top="0.75" bottom="0.75" header="0.3" footer="0.3"/>
  <pageSetup paperSize="9" scale="65" orientation="landscape" r:id="rId1"/>
  <headerFooter>
    <oddFooter>&amp;LROC Midden Nederland EA 2022                                &amp;ROpmaakdatum: 02-06-2022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CB0BB2FFA6004B89B65265A779022A" ma:contentTypeVersion="10" ma:contentTypeDescription="Een nieuw document maken." ma:contentTypeScope="" ma:versionID="2f374196a2d9d76c626f41d4bfaa7a7e">
  <xsd:schema xmlns:xsd="http://www.w3.org/2001/XMLSchema" xmlns:xs="http://www.w3.org/2001/XMLSchema" xmlns:p="http://schemas.microsoft.com/office/2006/metadata/properties" xmlns:ns2="bdb98c74-5a62-4ff5-8ea3-82025905facb" xmlns:ns3="e60f3260-6b96-4966-9fbf-601f251263e1" targetNamespace="http://schemas.microsoft.com/office/2006/metadata/properties" ma:root="true" ma:fieldsID="7482bdf46a4a9190c5323891784e2518" ns2:_="" ns3:_="">
    <xsd:import namespace="bdb98c74-5a62-4ff5-8ea3-82025905facb"/>
    <xsd:import namespace="e60f3260-6b96-4966-9fbf-601f251263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98c74-5a62-4ff5-8ea3-82025905f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3260-6b96-4966-9fbf-601f251263e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D897D4-693C-4B15-898F-33FCC31AEE62}"/>
</file>

<file path=customXml/itemProps2.xml><?xml version="1.0" encoding="utf-8"?>
<ds:datastoreItem xmlns:ds="http://schemas.openxmlformats.org/officeDocument/2006/customXml" ds:itemID="{17D5A693-F8C8-48E7-9A36-4BBB62BA8654}"/>
</file>

<file path=customXml/itemProps3.xml><?xml version="1.0" encoding="utf-8"?>
<ds:datastoreItem xmlns:ds="http://schemas.openxmlformats.org/officeDocument/2006/customXml" ds:itemID="{4F4AE943-4B3D-49F1-AD8F-3B7C92131D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Intexso Adviesbureau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Maaike Schmelling</dc:creator>
  <cp:keywords/>
  <dc:description/>
  <cp:lastModifiedBy>Rietveld, M.J. (Marjon)</cp:lastModifiedBy>
  <cp:revision/>
  <dcterms:created xsi:type="dcterms:W3CDTF">2022-06-02T13:14:05Z</dcterms:created>
  <dcterms:modified xsi:type="dcterms:W3CDTF">2022-06-09T13:23:16Z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0x010100DCCB0BB2FFA6004B89B65265A779022A</vt:lpwstr>
  </property>
</Properties>
</file>