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DATA\EXTERN\ROC Midden Nederland\Aanbesteding Schoonmaak 2022\Uitlever\"/>
    </mc:Choice>
  </mc:AlternateContent>
  <xr:revisionPtr revIDLastSave="0" documentId="8_{66B0F0D7-9E4D-4996-989B-1A89AC4680DA}" xr6:coauthVersionLast="45" xr6:coauthVersionMax="45" xr10:uidLastSave="{00000000-0000-0000-0000-000000000000}"/>
  <bookViews>
    <workbookView xWindow="2730" yWindow="2730" windowWidth="23040" windowHeight="12195" firstSheet="5" activeTab="11" xr2:uid="{A07F11AD-C411-47AC-92ED-6FEA48FBE720}"/>
  </bookViews>
  <sheets>
    <sheet name="Omreken" sheetId="1" r:id="rId1"/>
    <sheet name="Categorienormen" sheetId="2" r:id="rId2"/>
    <sheet name="Regulier werk" sheetId="3" r:id="rId3"/>
    <sheet name="Objectinformatie" sheetId="4" r:id="rId4"/>
    <sheet name="Objecten" sheetId="5" r:id="rId5"/>
    <sheet name="Niet-meewerkende objectleiding" sheetId="6" r:id="rId6"/>
    <sheet name="Totaalblad Objecten" sheetId="7" r:id="rId7"/>
    <sheet name="Afroep" sheetId="8" r:id="rId8"/>
    <sheet name="Afroep incidenteel" sheetId="9" r:id="rId9"/>
    <sheet name="Glas" sheetId="10" r:id="rId10"/>
    <sheet name="Glas per locatie" sheetId="11" r:id="rId11"/>
    <sheet name="Totaal" sheetId="12" r:id="rId12"/>
  </sheets>
  <definedNames>
    <definedName name="_xlnm.Print_Titles" localSheetId="7">Afroep!$1:$3</definedName>
    <definedName name="_xlnm.Print_Titles" localSheetId="8">'Afroep incidenteel'!$1:$3</definedName>
    <definedName name="_xlnm.Print_Titles" localSheetId="1">Categorienormen!$1:$3</definedName>
    <definedName name="_xlnm.Print_Titles" localSheetId="9">Glas!$1:$3</definedName>
    <definedName name="_xlnm.Print_Titles" localSheetId="10">'Glas per locatie'!$1:$3</definedName>
    <definedName name="_xlnm.Print_Titles" localSheetId="5">'Niet-meewerkende objectleiding'!$1:$3</definedName>
    <definedName name="_xlnm.Print_Titles" localSheetId="4">Objecten!$1:$3</definedName>
    <definedName name="_xlnm.Print_Titles" localSheetId="3">Objectinformatie!$A:$D,Objectinformatie!$1:$4</definedName>
    <definedName name="_xlnm.Print_Titles" localSheetId="2">'Regulier werk'!$1:$3</definedName>
    <definedName name="_xlnm.Print_Titles" localSheetId="11">Totaal!$1:$3</definedName>
    <definedName name="_xlnm.Print_Titles" localSheetId="6">'Totaalblad Objecten'!$1:$3</definedName>
    <definedName name="catdw_1_AHB_1">Categorienormen!$F$40</definedName>
    <definedName name="catdw_1_AHV_40">Categorienormen!$F$47</definedName>
    <definedName name="catdw_1_BHB_1">Categorienormen!$F$6</definedName>
    <definedName name="catdw_1_BHV_40">Categorienormen!$F$9</definedName>
    <definedName name="catdw_1_BZB_1">Categorienormen!$F$18</definedName>
    <definedName name="catdw_1_BZV_40">Categorienormen!$F$20</definedName>
    <definedName name="catdw_1_CHB_1">Categorienormen!$F$7</definedName>
    <definedName name="catdw_1_CHV_40">Categorienormen!$F$10</definedName>
    <definedName name="catdw_1_DHB_1">Categorienormen!$F$34</definedName>
    <definedName name="catdw_1_DHV_40">Categorienormen!$F$37</definedName>
    <definedName name="catdw_1_EHB_1">Categorienormen!$F$41</definedName>
    <definedName name="catdw_1_EHV_40">Categorienormen!$F$48</definedName>
    <definedName name="catdw_1_EZB_1">Categorienormen!$F$54</definedName>
    <definedName name="catdw_1_EZV_40">Categorienormen!$F$59</definedName>
    <definedName name="catdw_1_GHB_1">Categorienormen!$F$42</definedName>
    <definedName name="catdw_1_GHV_40">Categorienormen!$F$49</definedName>
    <definedName name="catdw_1_GZB_1">Categorienormen!$F$55</definedName>
    <definedName name="catdw_1_GZV_40">Categorienormen!$F$60</definedName>
    <definedName name="catdw_1_IHB_1">Categorienormen!$F$43</definedName>
    <definedName name="catdw_1_IHV_40">Categorienormen!$F$50</definedName>
    <definedName name="catdw_1_KHB_1">Categorienormen!$F$35</definedName>
    <definedName name="catdw_1_KHV_40">Categorienormen!$F$38</definedName>
    <definedName name="catdw_1_LHB_1">Categorienormen!$F$8</definedName>
    <definedName name="catdw_1_LHV_40">Categorienormen!$F$11</definedName>
    <definedName name="catdw_1_LZB_1">Categorienormen!$F$19</definedName>
    <definedName name="catdw_1_LZV_40">Categorienormen!$F$21</definedName>
    <definedName name="catdw_1_OLHB_1">Categorienormen!$F$12</definedName>
    <definedName name="catdw_1_OLHV_40">Categorienormen!$F$13</definedName>
    <definedName name="catdw_1_PHB_1">Categorienormen!$F$44</definedName>
    <definedName name="catdw_1_PHV_40">Categorienormen!$F$51</definedName>
    <definedName name="catdw_1_PMHB_1">Categorienormen!$F$22</definedName>
    <definedName name="catdw_1_PMHV_40">Categorienormen!$F$23</definedName>
    <definedName name="catdw_1_PMZB_1">Categorienormen!$F$24</definedName>
    <definedName name="catdw_1_PMZV_40">Categorienormen!$F$25</definedName>
    <definedName name="catdw_1_PSHB_1">Categorienormen!$F$26</definedName>
    <definedName name="catdw_1_PSHV_40">Categorienormen!$F$27</definedName>
    <definedName name="catdw_1_PSZB_1">Categorienormen!$F$28</definedName>
    <definedName name="catdw_1_PSZV_40">Categorienormen!$F$29</definedName>
    <definedName name="catdw_1_PTHB_1">Categorienormen!$F$30</definedName>
    <definedName name="catdw_1_PTHV_40">Categorienormen!$F$31</definedName>
    <definedName name="catdw_1_PUHB_1">Categorienormen!$F$32</definedName>
    <definedName name="catdw_1_PUHV_40">Categorienormen!$F$33</definedName>
    <definedName name="catdw_1_PZB_1">Categorienormen!$F$56</definedName>
    <definedName name="catdw_1_PZV_40">Categorienormen!$F$61</definedName>
    <definedName name="catdw_1_SHB_1">Categorienormen!$F$36</definedName>
    <definedName name="catdw_1_SHV_40">Categorienormen!$F$39</definedName>
    <definedName name="catdw_1_STZB_1">Categorienormen!$F$16</definedName>
    <definedName name="catdw_1_STZV_40">Categorienormen!$F$17</definedName>
    <definedName name="catdw_1_THB_1">Categorienormen!$F$45</definedName>
    <definedName name="catdw_1_THV_40">Categorienormen!$F$52</definedName>
    <definedName name="catdw_1_TZB_1">Categorienormen!$F$57</definedName>
    <definedName name="catdw_1_TZV_40">Categorienormen!$F$62</definedName>
    <definedName name="catdw_1_VHB_1">Categorienormen!$F$46</definedName>
    <definedName name="catdw_1_VHV_40">Categorienormen!$F$53</definedName>
    <definedName name="catdw_1_VZB_1">Categorienormen!$F$58</definedName>
    <definedName name="catdw_1_VZV_40">Categorienormen!$F$63</definedName>
    <definedName name="catdw_1_WPHB_1">Categorienormen!$F$14</definedName>
    <definedName name="catdw_1_WPHV_40">Categorienormen!$F$15</definedName>
    <definedName name="catdw_2_VAHB_1">Categorienormen!$F$72</definedName>
    <definedName name="catdw_2_VBHB_1">Categorienormen!$F$66</definedName>
    <definedName name="catdw_2_VBZB_1">Categorienormen!$F$67</definedName>
    <definedName name="catdw_2_VDHB_1">Categorienormen!$F$69</definedName>
    <definedName name="catdw_2_VEHB_1">Categorienormen!$F$73</definedName>
    <definedName name="catdw_2_VEZB_1">Categorienormen!$F$74</definedName>
    <definedName name="catdw_2_VGHB_1">Categorienormen!$F$75</definedName>
    <definedName name="catdw_2_VIHB_1">Categorienormen!$F$76</definedName>
    <definedName name="catdw_2_VKHB_1">Categorienormen!$F$70</definedName>
    <definedName name="catdw_2_VLHB_1">Categorienormen!$F$68</definedName>
    <definedName name="catdw_2_VSHB_1">Categorienormen!$F$71</definedName>
    <definedName name="catdw_2_VTHB_1">Categorienormen!$F$77</definedName>
    <definedName name="catdw_2_VTZB_1">Categorienormen!$F$78</definedName>
    <definedName name="catdw_2_VVHB_1">Categorienormen!$F$79</definedName>
    <definedName name="catdw_2_VVZB_1">Categorienormen!$F$80</definedName>
    <definedName name="catfd_1_AHB_1">Categorienormen!$C$40</definedName>
    <definedName name="catfd_1_AHV_40">Categorienormen!$C$47</definedName>
    <definedName name="catfd_1_BHB_1">Categorienormen!$C$6</definedName>
    <definedName name="catfd_1_BHV_40">Categorienormen!$C$9</definedName>
    <definedName name="catfd_1_BZB_1">Categorienormen!$C$18</definedName>
    <definedName name="catfd_1_BZV_40">Categorienormen!$C$20</definedName>
    <definedName name="catfd_1_CHB_1">Categorienormen!$C$7</definedName>
    <definedName name="catfd_1_CHV_40">Categorienormen!$C$10</definedName>
    <definedName name="catfd_1_DHB_1">Categorienormen!$C$34</definedName>
    <definedName name="catfd_1_DHV_40">Categorienormen!$C$37</definedName>
    <definedName name="catfd_1_EHB_1">Categorienormen!$C$41</definedName>
    <definedName name="catfd_1_EHV_40">Categorienormen!$C$48</definedName>
    <definedName name="catfd_1_EZB_1">Categorienormen!$C$54</definedName>
    <definedName name="catfd_1_EZV_40">Categorienormen!$C$59</definedName>
    <definedName name="catfd_1_GHB_1">Categorienormen!$C$42</definedName>
    <definedName name="catfd_1_GHV_40">Categorienormen!$C$49</definedName>
    <definedName name="catfd_1_GZB_1">Categorienormen!$C$55</definedName>
    <definedName name="catfd_1_GZV_40">Categorienormen!$C$60</definedName>
    <definedName name="catfd_1_IHB_1">Categorienormen!$C$43</definedName>
    <definedName name="catfd_1_IHV_40">Categorienormen!$C$50</definedName>
    <definedName name="catfd_1_KHB_1">Categorienormen!$C$35</definedName>
    <definedName name="catfd_1_KHV_40">Categorienormen!$C$38</definedName>
    <definedName name="catfd_1_LHB_1">Categorienormen!$C$8</definedName>
    <definedName name="catfd_1_LHV_40">Categorienormen!$C$11</definedName>
    <definedName name="catfd_1_LZB_1">Categorienormen!$C$19</definedName>
    <definedName name="catfd_1_LZV_40">Categorienormen!$C$21</definedName>
    <definedName name="catfd_1_OLHB_1">Categorienormen!$C$12</definedName>
    <definedName name="catfd_1_OLHV_40">Categorienormen!$C$13</definedName>
    <definedName name="catfd_1_PHB_1">Categorienormen!$C$44</definedName>
    <definedName name="catfd_1_PHV_40">Categorienormen!$C$51</definedName>
    <definedName name="catfd_1_PMHB_1">Categorienormen!$C$22</definedName>
    <definedName name="catfd_1_PMHV_40">Categorienormen!$C$23</definedName>
    <definedName name="catfd_1_PMZB_1">Categorienormen!$C$24</definedName>
    <definedName name="catfd_1_PMZV_40">Categorienormen!$C$25</definedName>
    <definedName name="catfd_1_PSHB_1">Categorienormen!$C$26</definedName>
    <definedName name="catfd_1_PSHV_40">Categorienormen!$C$27</definedName>
    <definedName name="catfd_1_PSZB_1">Categorienormen!$C$28</definedName>
    <definedName name="catfd_1_PSZV_40">Categorienormen!$C$29</definedName>
    <definedName name="catfd_1_PTHB_1">Categorienormen!$C$30</definedName>
    <definedName name="catfd_1_PTHV_40">Categorienormen!$C$31</definedName>
    <definedName name="catfd_1_PUHB_1">Categorienormen!$C$32</definedName>
    <definedName name="catfd_1_PUHV_40">Categorienormen!$C$33</definedName>
    <definedName name="catfd_1_PZB_1">Categorienormen!$C$56</definedName>
    <definedName name="catfd_1_PZV_40">Categorienormen!$C$61</definedName>
    <definedName name="catfd_1_SHB_1">Categorienormen!$C$36</definedName>
    <definedName name="catfd_1_SHV_40">Categorienormen!$C$39</definedName>
    <definedName name="catfd_1_STZB_1">Categorienormen!$C$16</definedName>
    <definedName name="catfd_1_STZV_40">Categorienormen!$C$17</definedName>
    <definedName name="catfd_1_THB_1">Categorienormen!$C$45</definedName>
    <definedName name="catfd_1_THV_40">Categorienormen!$C$52</definedName>
    <definedName name="catfd_1_TZB_1">Categorienormen!$C$57</definedName>
    <definedName name="catfd_1_TZV_40">Categorienormen!$C$62</definedName>
    <definedName name="catfd_1_VHB_1">Categorienormen!$C$46</definedName>
    <definedName name="catfd_1_VHV_40">Categorienormen!$C$53</definedName>
    <definedName name="catfd_1_VZB_1">Categorienormen!$C$58</definedName>
    <definedName name="catfd_1_VZV_40">Categorienormen!$C$63</definedName>
    <definedName name="catfd_1_WPHB_1">Categorienormen!$C$14</definedName>
    <definedName name="catfd_1_WPHV_40">Categorienormen!$C$15</definedName>
    <definedName name="catfd_2_VAHB_1">Categorienormen!$C$72</definedName>
    <definedName name="catfd_2_VBHB_1">Categorienormen!$C$66</definedName>
    <definedName name="catfd_2_VBZB_1">Categorienormen!$C$67</definedName>
    <definedName name="catfd_2_VDHB_1">Categorienormen!$C$69</definedName>
    <definedName name="catfd_2_VEHB_1">Categorienormen!$C$73</definedName>
    <definedName name="catfd_2_VEZB_1">Categorienormen!$C$74</definedName>
    <definedName name="catfd_2_VGHB_1">Categorienormen!$C$75</definedName>
    <definedName name="catfd_2_VIHB_1">Categorienormen!$C$76</definedName>
    <definedName name="catfd_2_VKHB_1">Categorienormen!$C$70</definedName>
    <definedName name="catfd_2_VLHB_1">Categorienormen!$C$68</definedName>
    <definedName name="catfd_2_VSHB_1">Categorienormen!$C$71</definedName>
    <definedName name="catfd_2_VTHB_1">Categorienormen!$C$77</definedName>
    <definedName name="catfd_2_VTZB_1">Categorienormen!$C$78</definedName>
    <definedName name="catfd_2_VVHB_1">Categorienormen!$C$79</definedName>
    <definedName name="catfd_2_VVZB_1">Categorienormen!$C$80</definedName>
    <definedName name="catpn_1_AHB_1">Categorienormen!$E$40</definedName>
    <definedName name="catpn_1_AHV_40">Categorienormen!$E$47</definedName>
    <definedName name="catpn_1_BHB_1">Categorienormen!$E$6</definedName>
    <definedName name="catpn_1_BHV_40">Categorienormen!$E$9</definedName>
    <definedName name="catpn_1_BZB_1">Categorienormen!$E$18</definedName>
    <definedName name="catpn_1_BZV_40">Categorienormen!$E$20</definedName>
    <definedName name="catpn_1_CHB_1">Categorienormen!$E$7</definedName>
    <definedName name="catpn_1_CHV_40">Categorienormen!$E$10</definedName>
    <definedName name="catpn_1_DHB_1">Categorienormen!$E$34</definedName>
    <definedName name="catpn_1_DHV_40">Categorienormen!$E$37</definedName>
    <definedName name="catpn_1_EHB_1">Categorienormen!$E$41</definedName>
    <definedName name="catpn_1_EHV_40">Categorienormen!$E$48</definedName>
    <definedName name="catpn_1_EZB_1">Categorienormen!$E$54</definedName>
    <definedName name="catpn_1_EZV_40">Categorienormen!$E$59</definedName>
    <definedName name="catpn_1_GHB_1">Categorienormen!$E$42</definedName>
    <definedName name="catpn_1_GHV_40">Categorienormen!$E$49</definedName>
    <definedName name="catpn_1_GZB_1">Categorienormen!$E$55</definedName>
    <definedName name="catpn_1_GZV_40">Categorienormen!$E$60</definedName>
    <definedName name="catpn_1_IHB_1">Categorienormen!$E$43</definedName>
    <definedName name="catpn_1_IHV_40">Categorienormen!$E$50</definedName>
    <definedName name="catpn_1_KHB_1">Categorienormen!$E$35</definedName>
    <definedName name="catpn_1_KHV_40">Categorienormen!$E$38</definedName>
    <definedName name="catpn_1_LHB_1">Categorienormen!$E$8</definedName>
    <definedName name="catpn_1_LHV_40">Categorienormen!$E$11</definedName>
    <definedName name="catpn_1_LZB_1">Categorienormen!$E$19</definedName>
    <definedName name="catpn_1_LZV_40">Categorienormen!$E$21</definedName>
    <definedName name="catpn_1_OLHB_1">Categorienormen!$E$12</definedName>
    <definedName name="catpn_1_OLHV_40">Categorienormen!$E$13</definedName>
    <definedName name="catpn_1_PHB_1">Categorienormen!$E$44</definedName>
    <definedName name="catpn_1_PHV_40">Categorienormen!$E$51</definedName>
    <definedName name="catpn_1_PMHB_1">Categorienormen!$E$22</definedName>
    <definedName name="catpn_1_PMHV_40">Categorienormen!$E$23</definedName>
    <definedName name="catpn_1_PMZB_1">Categorienormen!$E$24</definedName>
    <definedName name="catpn_1_PMZV_40">Categorienormen!$E$25</definedName>
    <definedName name="catpn_1_PSHB_1">Categorienormen!$E$26</definedName>
    <definedName name="catpn_1_PSHV_40">Categorienormen!$E$27</definedName>
    <definedName name="catpn_1_PSZB_1">Categorienormen!$E$28</definedName>
    <definedName name="catpn_1_PSZV_40">Categorienormen!$E$29</definedName>
    <definedName name="catpn_1_PTHB_1">Categorienormen!$E$30</definedName>
    <definedName name="catpn_1_PTHV_40">Categorienormen!$E$31</definedName>
    <definedName name="catpn_1_PUHB_1">Categorienormen!$E$32</definedName>
    <definedName name="catpn_1_PUHV_40">Categorienormen!$E$33</definedName>
    <definedName name="catpn_1_PZB_1">Categorienormen!$E$56</definedName>
    <definedName name="catpn_1_PZV_40">Categorienormen!$E$61</definedName>
    <definedName name="catpn_1_SHB_1">Categorienormen!$E$36</definedName>
    <definedName name="catpn_1_SHV_40">Categorienormen!$E$39</definedName>
    <definedName name="catpn_1_STZB_1">Categorienormen!$E$16</definedName>
    <definedName name="catpn_1_STZV_40">Categorienormen!$E$17</definedName>
    <definedName name="catpn_1_THB_1">Categorienormen!$E$45</definedName>
    <definedName name="catpn_1_THV_40">Categorienormen!$E$52</definedName>
    <definedName name="catpn_1_TZB_1">Categorienormen!$E$57</definedName>
    <definedName name="catpn_1_TZV_40">Categorienormen!$E$62</definedName>
    <definedName name="catpn_1_VHB_1">Categorienormen!$E$46</definedName>
    <definedName name="catpn_1_VHV_40">Categorienormen!$E$53</definedName>
    <definedName name="catpn_1_VZB_1">Categorienormen!$E$58</definedName>
    <definedName name="catpn_1_VZV_40">Categorienormen!$E$63</definedName>
    <definedName name="catpn_1_WPHB_1">Categorienormen!$E$14</definedName>
    <definedName name="catpn_1_WPHV_40">Categorienormen!$E$15</definedName>
    <definedName name="catpn_2_VAHB_1">Categorienormen!$E$72</definedName>
    <definedName name="catpn_2_VBHB_1">Categorienormen!$E$66</definedName>
    <definedName name="catpn_2_VBZB_1">Categorienormen!$E$67</definedName>
    <definedName name="catpn_2_VDHB_1">Categorienormen!$E$69</definedName>
    <definedName name="catpn_2_VEHB_1">Categorienormen!$E$73</definedName>
    <definedName name="catpn_2_VEZB_1">Categorienormen!$E$74</definedName>
    <definedName name="catpn_2_VGHB_1">Categorienormen!$E$75</definedName>
    <definedName name="catpn_2_VIHB_1">Categorienormen!$E$76</definedName>
    <definedName name="catpn_2_VKHB_1">Categorienormen!$E$70</definedName>
    <definedName name="catpn_2_VLHB_1">Categorienormen!$E$68</definedName>
    <definedName name="catpn_2_VSHB_1">Categorienormen!$E$71</definedName>
    <definedName name="catpn_2_VTHB_1">Categorienormen!$E$77</definedName>
    <definedName name="catpn_2_VTZB_1">Categorienormen!$E$78</definedName>
    <definedName name="catpn_2_VVHB_1">Categorienormen!$E$79</definedName>
    <definedName name="catpn_2_VVZB_1">Categorienormen!$E$80</definedName>
    <definedName name="cattf_1_AHB_1">Categorienormen!$H$40</definedName>
    <definedName name="cattf_1_AHV_40">Categorienormen!$H$47</definedName>
    <definedName name="cattf_1_BHB_1">Categorienormen!$H$6</definedName>
    <definedName name="cattf_1_BHV_40">Categorienormen!$H$9</definedName>
    <definedName name="cattf_1_BZB_1">Categorienormen!$H$18</definedName>
    <definedName name="cattf_1_BZV_40">Categorienormen!$H$20</definedName>
    <definedName name="cattf_1_CHB_1">Categorienormen!$H$7</definedName>
    <definedName name="cattf_1_CHV_40">Categorienormen!$H$10</definedName>
    <definedName name="cattf_1_DHB_1">Categorienormen!$H$34</definedName>
    <definedName name="cattf_1_DHV_40">Categorienormen!$H$37</definedName>
    <definedName name="cattf_1_EHB_1">Categorienormen!$H$41</definedName>
    <definedName name="cattf_1_EHV_40">Categorienormen!$H$48</definedName>
    <definedName name="cattf_1_EZB_1">Categorienormen!$H$54</definedName>
    <definedName name="cattf_1_EZV_40">Categorienormen!$H$59</definedName>
    <definedName name="cattf_1_GHB_1">Categorienormen!$H$42</definedName>
    <definedName name="cattf_1_GHV_40">Categorienormen!$H$49</definedName>
    <definedName name="cattf_1_GZB_1">Categorienormen!$H$55</definedName>
    <definedName name="cattf_1_GZV_40">Categorienormen!$H$60</definedName>
    <definedName name="cattf_1_IHB_1">Categorienormen!$H$43</definedName>
    <definedName name="cattf_1_IHV_40">Categorienormen!$H$50</definedName>
    <definedName name="cattf_1_KHB_1">Categorienormen!$H$35</definedName>
    <definedName name="cattf_1_KHV_40">Categorienormen!$H$38</definedName>
    <definedName name="cattf_1_LHB_1">Categorienormen!$H$8</definedName>
    <definedName name="cattf_1_LHV_40">Categorienormen!$H$11</definedName>
    <definedName name="cattf_1_LZB_1">Categorienormen!$H$19</definedName>
    <definedName name="cattf_1_LZV_40">Categorienormen!$H$21</definedName>
    <definedName name="cattf_1_OLHB_1">Categorienormen!$H$12</definedName>
    <definedName name="cattf_1_OLHV_40">Categorienormen!$H$13</definedName>
    <definedName name="cattf_1_PHB_1">Categorienormen!$H$44</definedName>
    <definedName name="cattf_1_PHV_40">Categorienormen!$H$51</definedName>
    <definedName name="cattf_1_PMHB_1">Categorienormen!$H$22</definedName>
    <definedName name="cattf_1_PMHV_40">Categorienormen!$H$23</definedName>
    <definedName name="cattf_1_PMZB_1">Categorienormen!$H$24</definedName>
    <definedName name="cattf_1_PMZV_40">Categorienormen!$H$25</definedName>
    <definedName name="cattf_1_PSHB_1">Categorienormen!$H$26</definedName>
    <definedName name="cattf_1_PSHV_40">Categorienormen!$H$27</definedName>
    <definedName name="cattf_1_PSZB_1">Categorienormen!$H$28</definedName>
    <definedName name="cattf_1_PSZV_40">Categorienormen!$H$29</definedName>
    <definedName name="cattf_1_PTHB_1">Categorienormen!$H$30</definedName>
    <definedName name="cattf_1_PTHV_40">Categorienormen!$H$31</definedName>
    <definedName name="cattf_1_PUHB_1">Categorienormen!$H$32</definedName>
    <definedName name="cattf_1_PUHV_40">Categorienormen!$H$33</definedName>
    <definedName name="cattf_1_PZB_1">Categorienormen!$H$56</definedName>
    <definedName name="cattf_1_PZV_40">Categorienormen!$H$61</definedName>
    <definedName name="cattf_1_SHB_1">Categorienormen!$H$36</definedName>
    <definedName name="cattf_1_SHV_40">Categorienormen!$H$39</definedName>
    <definedName name="cattf_1_STZB_1">Categorienormen!$H$16</definedName>
    <definedName name="cattf_1_STZV_40">Categorienormen!$H$17</definedName>
    <definedName name="cattf_1_THB_1">Categorienormen!$H$45</definedName>
    <definedName name="cattf_1_THV_40">Categorienormen!$H$52</definedName>
    <definedName name="cattf_1_TZB_1">Categorienormen!$H$57</definedName>
    <definedName name="cattf_1_TZV_40">Categorienormen!$H$62</definedName>
    <definedName name="cattf_1_VHB_1">Categorienormen!$H$46</definedName>
    <definedName name="cattf_1_VHV_40">Categorienormen!$H$53</definedName>
    <definedName name="cattf_1_VZB_1">Categorienormen!$H$58</definedName>
    <definedName name="cattf_1_VZV_40">Categorienormen!$H$63</definedName>
    <definedName name="cattf_1_WPHB_1">Categorienormen!$H$14</definedName>
    <definedName name="cattf_1_WPHV_40">Categorienormen!$H$15</definedName>
    <definedName name="cattf_2_VAHB_1">Categorienormen!$H$72</definedName>
    <definedName name="cattf_2_VBHB_1">Categorienormen!$H$66</definedName>
    <definedName name="cattf_2_VBZB_1">Categorienormen!$H$67</definedName>
    <definedName name="cattf_2_VDHB_1">Categorienormen!$H$69</definedName>
    <definedName name="cattf_2_VEHB_1">Categorienormen!$H$73</definedName>
    <definedName name="cattf_2_VEZB_1">Categorienormen!$H$74</definedName>
    <definedName name="cattf_2_VGHB_1">Categorienormen!$H$75</definedName>
    <definedName name="cattf_2_VIHB_1">Categorienormen!$H$76</definedName>
    <definedName name="cattf_2_VKHB_1">Categorienormen!$H$70</definedName>
    <definedName name="cattf_2_VLHB_1">Categorienormen!$H$68</definedName>
    <definedName name="cattf_2_VSHB_1">Categorienormen!$H$71</definedName>
    <definedName name="cattf_2_VTHB_1">Categorienormen!$H$77</definedName>
    <definedName name="cattf_2_VTZB_1">Categorienormen!$H$78</definedName>
    <definedName name="cattf_2_VVHB_1">Categorienormen!$H$79</definedName>
    <definedName name="cattf_2_VVZB_1">Categorienormen!$H$80</definedName>
    <definedName name="dagenperjaar1">Omreken!$B$9</definedName>
    <definedName name="dagenperweek1">Omreken!$B$10</definedName>
    <definedName name="dagsoorttabel1">Omreken!$A$13:$B$33</definedName>
    <definedName name="dagwerk13">'Regulier werk'!$H$38</definedName>
    <definedName name="dagwerk14">'Regulier werk'!$H$6</definedName>
    <definedName name="dagwerk15">'Regulier werk'!$H$7</definedName>
    <definedName name="dagwerk16">'Regulier werk'!$H$8</definedName>
    <definedName name="dagwerk17">'Regulier werk'!$H$9</definedName>
    <definedName name="dagwerk18">'Regulier werk'!$H$10</definedName>
    <definedName name="dagwerk19">'Regulier werk'!$H$11</definedName>
    <definedName name="dagwerk20">'Regulier werk'!$H$12</definedName>
    <definedName name="dagwerk21">'Regulier werk'!$H$13</definedName>
    <definedName name="dagwerk22">'Regulier werk'!$H$14</definedName>
    <definedName name="dagwerk23">'Regulier werk'!$H$15</definedName>
    <definedName name="dagwerk24">'Regulier werk'!$H$16</definedName>
    <definedName name="dagwerk25">'Regulier werk'!$H$17</definedName>
    <definedName name="dagwerk26">'Regulier werk'!$H$18</definedName>
    <definedName name="dagwerk27">'Regulier werk'!$H$19</definedName>
    <definedName name="dagwerk28">'Regulier werk'!$H$20</definedName>
    <definedName name="dagwerk29">'Regulier werk'!$H$21</definedName>
    <definedName name="dagwerk30">'Regulier werk'!$H$22</definedName>
    <definedName name="dagwerk31">'Regulier werk'!$H$23</definedName>
    <definedName name="dagwerk32">'Regulier werk'!$H$24</definedName>
    <definedName name="dagwerk33">'Regulier werk'!$H$25</definedName>
    <definedName name="dagwerk34">'Regulier werk'!$H$26</definedName>
    <definedName name="dagwerk35">'Regulier werk'!$H$27</definedName>
    <definedName name="dagwerk36">'Regulier werk'!$H$28</definedName>
    <definedName name="dagwerk37">'Regulier werk'!$H$29</definedName>
    <definedName name="dagwerk38">'Regulier werk'!$H$30</definedName>
    <definedName name="dagwerk39">'Regulier werk'!$H$31</definedName>
    <definedName name="dagwerk40">'Regulier werk'!$H$32</definedName>
    <definedName name="dagwerk41">'Regulier werk'!$H$33</definedName>
    <definedName name="dagwerk42">'Regulier werk'!$H$34</definedName>
    <definedName name="dagwerk43">'Regulier werk'!$H$35</definedName>
    <definedName name="dagwerk44">'Regulier werk'!$H$36</definedName>
    <definedName name="dagwerk45">'Regulier werk'!$H$37</definedName>
    <definedName name="dagwerk50">'Regulier werk'!$H$45</definedName>
    <definedName name="dagwerk51">'Regulier werk'!$H$46</definedName>
    <definedName name="dagwerk52">'Regulier werk'!$H$47</definedName>
    <definedName name="dagwerk53">'Regulier werk'!$H$48</definedName>
    <definedName name="dagwerk54">'Regulier werk'!$H$49</definedName>
    <definedName name="dagwerk55">'Regulier werk'!$H$50</definedName>
    <definedName name="dagwerk56">'Regulier werk'!$H$51</definedName>
    <definedName name="dagwerk57">'Regulier werk'!$H$52</definedName>
    <definedName name="dagwerk58">'Regulier werk'!$H$53</definedName>
    <definedName name="dagwerk59">'Regulier werk'!$H$54</definedName>
    <definedName name="dagwerk60">'Regulier werk'!$H$55</definedName>
    <definedName name="dagwerk61">'Regulier werk'!$H$56</definedName>
    <definedName name="dagwerk62">'Regulier werk'!$H$57</definedName>
    <definedName name="dagwerk63">'Regulier werk'!$H$58</definedName>
    <definedName name="dagwerk64">'Regulier werk'!$H$59</definedName>
    <definedName name="dagwerk65">'Regulier werk'!$H$60</definedName>
    <definedName name="dagwerk66">'Regulier werk'!$H$61</definedName>
    <definedName name="dagwerk67">'Regulier werk'!$H$62</definedName>
    <definedName name="dagwerk68">'Regulier werk'!$H$63</definedName>
    <definedName name="dagwerk69">'Regulier werk'!$H$64</definedName>
    <definedName name="dagwerk70">'Regulier werk'!$H$65</definedName>
    <definedName name="dagwerk71">'Regulier werk'!$H$66</definedName>
    <definedName name="dagwerk72">'Regulier werk'!$H$67</definedName>
    <definedName name="dagwerk73">'Regulier werk'!$H$68</definedName>
    <definedName name="dagwerk74">'Regulier werk'!$H$69</definedName>
    <definedName name="dagwerk75">'Regulier werk'!$H$70</definedName>
    <definedName name="dagwerk76">'Regulier werk'!$H$71</definedName>
    <definedName name="dagwerk77">'Regulier werk'!$H$72</definedName>
    <definedName name="dagwerktabel1">Objectinformatie!$H$5:$H$37</definedName>
    <definedName name="dagwerktabel2">Objectinformatie!$H$40:$H$67</definedName>
    <definedName name="gemuurtarief1">'Regulier werk'!$J$41</definedName>
    <definedName name="gemuurtarief2">'Regulier werk'!$J$75</definedName>
    <definedName name="kengetaltabel1">Objectinformatie!$G$5:$G$37</definedName>
    <definedName name="kengetaltabel2">Objectinformatie!$G$40:$G$67</definedName>
    <definedName name="object1_opptabel1">Objectinformatie!$J$5:$J$37</definedName>
    <definedName name="object1_opptabel2">Objectinformatie!$J$40:$J$67</definedName>
    <definedName name="object2_opptabel1">Objectinformatie!$K$5:$K$37</definedName>
    <definedName name="object2_opptabel2">Objectinformatie!$K$40:$K$67</definedName>
    <definedName name="object3_opptabel1">Objectinformatie!$L$5:$L$37</definedName>
    <definedName name="object3_opptabel2">Objectinformatie!$L$40:$L$67</definedName>
    <definedName name="object4_opptabel1">Objectinformatie!$M$5:$M$37</definedName>
    <definedName name="object4_opptabel2">Objectinformatie!$M$40:$M$67</definedName>
    <definedName name="object5_opptabel1">Objectinformatie!$N$5:$N$37</definedName>
    <definedName name="object5_opptabel2">Objectinformatie!$N$40:$N$67</definedName>
    <definedName name="object6_opptabel1">Objectinformatie!$O$5:$O$37</definedName>
    <definedName name="object6_opptabel2">Objectinformatie!$O$40:$O$67</definedName>
    <definedName name="object7_opptabel1">Objectinformatie!$P$5:$P$37</definedName>
    <definedName name="object7_opptabel2">Objectinformatie!$P$40:$P$67</definedName>
    <definedName name="objectprijs1_1">Objecten!$Q$6</definedName>
    <definedName name="objectprijs1_2">Objecten!$Q$17</definedName>
    <definedName name="objectprijs2_1">Objecten!$Q$7</definedName>
    <definedName name="objectprijs3_1">Objecten!$Q$8</definedName>
    <definedName name="objectprijs3_2">Objecten!$Q$18</definedName>
    <definedName name="objectprijs4_1">Objecten!$Q$9</definedName>
    <definedName name="objectprijs4_2">Objecten!$Q$19</definedName>
    <definedName name="objectprijs5_1">Objecten!$Q$10</definedName>
    <definedName name="objectprijs6_1">Objecten!$Q$11</definedName>
    <definedName name="objectprijs7_1">Objecten!$Q$12</definedName>
    <definedName name="objecturen1_1">Objecten!$P$6</definedName>
    <definedName name="objecturen1_2">Objecten!$P$17</definedName>
    <definedName name="objecturen2_1">Objecten!$P$7</definedName>
    <definedName name="objecturen3_1">Objecten!$P$8</definedName>
    <definedName name="objecturen3_2">Objecten!$P$18</definedName>
    <definedName name="objecturen4_1">Objecten!$P$9</definedName>
    <definedName name="objecturen4_2">Objecten!$P$19</definedName>
    <definedName name="objecturen5_1">Objecten!$P$10</definedName>
    <definedName name="objecturen6_1">Objecten!$P$11</definedName>
    <definedName name="objecturen7_1">Objecten!$P$12</definedName>
    <definedName name="objecturenhf1_1">Objecten!$O$6</definedName>
    <definedName name="objecturenhf1_2">Objecten!$O$17</definedName>
    <definedName name="objecturenhf2_1">Objecten!$O$7</definedName>
    <definedName name="objecturenhf3_1">Objecten!$O$8</definedName>
    <definedName name="objecturenhf3_2">Objecten!$O$18</definedName>
    <definedName name="objecturenhf4_1">Objecten!$O$9</definedName>
    <definedName name="objecturenhf4_2">Objecten!$O$19</definedName>
    <definedName name="objecturenhf5_1">Objecten!$O$10</definedName>
    <definedName name="objecturenhf6_1">Objecten!$O$11</definedName>
    <definedName name="objecturenhf7_1">Objecten!$O$12</definedName>
    <definedName name="prijsdag1">'Regulier werk'!$L$39</definedName>
    <definedName name="prijsdag2">'Regulier werk'!$L$73</definedName>
    <definedName name="prijsjaar">'Regulier werk'!$N$78</definedName>
    <definedName name="prijsjaar1">'Regulier werk'!$N$39</definedName>
    <definedName name="prijsjaar2">'Regulier werk'!$N$73</definedName>
    <definedName name="prijsjaarafroep">Afroep!$K$14</definedName>
    <definedName name="prijsjaarafroep1">Afroep!$K$12</definedName>
    <definedName name="prijsjaarglas">Glas!$K$21</definedName>
    <definedName name="prijsjaarglas1">Glas!$K$19</definedName>
    <definedName name="prijsjaarnietmeewerkend">'Niet-meewerkende objectleiding'!$J$103</definedName>
    <definedName name="prijsjaartotaal">Objecten!$Q$23</definedName>
    <definedName name="prijsjaartotaal1">Objecten!$Q$13</definedName>
    <definedName name="prijsjaartotaal2">Objecten!$Q$20</definedName>
    <definedName name="prijsjaartotaaloverzicht">'Totaalblad Objecten'!$G$12</definedName>
    <definedName name="prijsmaandtotaal1">Objecten!$R$13</definedName>
    <definedName name="prijsmaandtotaal2">Objecten!$R$20</definedName>
    <definedName name="prodnorm13">'Regulier werk'!$G$38</definedName>
    <definedName name="prodnorm14">'Regulier werk'!$G$6</definedName>
    <definedName name="prodnorm15">'Regulier werk'!$G$7</definedName>
    <definedName name="prodnorm16">'Regulier werk'!$G$8</definedName>
    <definedName name="prodnorm17">'Regulier werk'!$G$9</definedName>
    <definedName name="prodnorm18">'Regulier werk'!$G$10</definedName>
    <definedName name="prodnorm19">'Regulier werk'!$G$11</definedName>
    <definedName name="prodnorm20">'Regulier werk'!$G$12</definedName>
    <definedName name="prodnorm21">'Regulier werk'!$G$13</definedName>
    <definedName name="prodnorm22">'Regulier werk'!$G$14</definedName>
    <definedName name="prodnorm23">'Regulier werk'!$G$15</definedName>
    <definedName name="prodnorm24">'Regulier werk'!$G$16</definedName>
    <definedName name="prodnorm25">'Regulier werk'!$G$17</definedName>
    <definedName name="prodnorm26">'Regulier werk'!$G$18</definedName>
    <definedName name="prodnorm27">'Regulier werk'!$G$19</definedName>
    <definedName name="prodnorm28">'Regulier werk'!$G$20</definedName>
    <definedName name="prodnorm29">'Regulier werk'!$G$21</definedName>
    <definedName name="prodnorm30">'Regulier werk'!$G$22</definedName>
    <definedName name="prodnorm31">'Regulier werk'!$G$23</definedName>
    <definedName name="prodnorm32">'Regulier werk'!$G$24</definedName>
    <definedName name="prodnorm33">'Regulier werk'!$G$25</definedName>
    <definedName name="prodnorm34">'Regulier werk'!$G$26</definedName>
    <definedName name="prodnorm35">'Regulier werk'!$G$27</definedName>
    <definedName name="prodnorm36">'Regulier werk'!$G$28</definedName>
    <definedName name="prodnorm37">'Regulier werk'!$G$29</definedName>
    <definedName name="prodnorm38">'Regulier werk'!$G$30</definedName>
    <definedName name="prodnorm39">'Regulier werk'!$G$31</definedName>
    <definedName name="prodnorm40">'Regulier werk'!$G$32</definedName>
    <definedName name="prodnorm41">'Regulier werk'!$G$33</definedName>
    <definedName name="prodnorm42">'Regulier werk'!$G$34</definedName>
    <definedName name="prodnorm43">'Regulier werk'!$G$35</definedName>
    <definedName name="prodnorm44">'Regulier werk'!$G$36</definedName>
    <definedName name="prodnorm45">'Regulier werk'!$G$37</definedName>
    <definedName name="prodnorm50">'Regulier werk'!$G$45</definedName>
    <definedName name="prodnorm51">'Regulier werk'!$G$46</definedName>
    <definedName name="prodnorm52">'Regulier werk'!$G$47</definedName>
    <definedName name="prodnorm53">'Regulier werk'!$G$48</definedName>
    <definedName name="prodnorm54">'Regulier werk'!$G$49</definedName>
    <definedName name="prodnorm55">'Regulier werk'!$G$50</definedName>
    <definedName name="prodnorm56">'Regulier werk'!$G$51</definedName>
    <definedName name="prodnorm57">'Regulier werk'!$G$52</definedName>
    <definedName name="prodnorm58">'Regulier werk'!$G$53</definedName>
    <definedName name="prodnorm59">'Regulier werk'!$G$54</definedName>
    <definedName name="prodnorm60">'Regulier werk'!$G$55</definedName>
    <definedName name="prodnorm61">'Regulier werk'!$G$56</definedName>
    <definedName name="prodnorm62">'Regulier werk'!$G$57</definedName>
    <definedName name="prodnorm63">'Regulier werk'!$G$58</definedName>
    <definedName name="prodnorm64">'Regulier werk'!$G$59</definedName>
    <definedName name="prodnorm65">'Regulier werk'!$G$60</definedName>
    <definedName name="prodnorm66">'Regulier werk'!$G$61</definedName>
    <definedName name="prodnorm67">'Regulier werk'!$G$62</definedName>
    <definedName name="prodnorm68">'Regulier werk'!$G$63</definedName>
    <definedName name="prodnorm69">'Regulier werk'!$G$64</definedName>
    <definedName name="prodnorm70">'Regulier werk'!$G$65</definedName>
    <definedName name="prodnorm71">'Regulier werk'!$G$66</definedName>
    <definedName name="prodnorm72">'Regulier werk'!$G$67</definedName>
    <definedName name="prodnorm73">'Regulier werk'!$G$68</definedName>
    <definedName name="prodnorm74">'Regulier werk'!$G$69</definedName>
    <definedName name="prodnorm75">'Regulier werk'!$G$70</definedName>
    <definedName name="prodnorm76">'Regulier werk'!$G$71</definedName>
    <definedName name="prodnorm77">'Regulier werk'!$G$72</definedName>
    <definedName name="taakfreqtabel1">Objectinformatie!$E$5:$E$37</definedName>
    <definedName name="taakfreqtabel2">Objectinformatie!$E$40:$E$67</definedName>
    <definedName name="tabeltype">Omreken!$B$5:$B$5</definedName>
    <definedName name="tarieftabel1">Objectinformatie!$I$5:$I$37</definedName>
    <definedName name="tarieftabel2">Objectinformatie!$I$40:$I$67</definedName>
    <definedName name="tzpjt1">'Niet-meewerkende objectleiding'!$J$69</definedName>
    <definedName name="tzpjt1_1">'Niet-meewerkende objectleiding'!$J$13</definedName>
    <definedName name="tzpjt1_2">'Niet-meewerkende objectleiding'!$J$80</definedName>
    <definedName name="tzpjt2">'Niet-meewerkende objectleiding'!$J$100</definedName>
    <definedName name="tzpjt2_1">'Niet-meewerkende objectleiding'!$J$22</definedName>
    <definedName name="tzpjt3_1">'Niet-meewerkende objectleiding'!$J$31</definedName>
    <definedName name="tzpjt3_2">'Niet-meewerkende objectleiding'!$J$89</definedName>
    <definedName name="tzpjt4_1">'Niet-meewerkende objectleiding'!$J$40</definedName>
    <definedName name="tzpjt4_2">'Niet-meewerkende objectleiding'!$J$98</definedName>
    <definedName name="tzpjt5_1">'Niet-meewerkende objectleiding'!$J$49</definedName>
    <definedName name="tzpjt6_1">'Niet-meewerkende objectleiding'!$J$58</definedName>
    <definedName name="tzpjt7_1">'Niet-meewerkende objectleiding'!$J$67</definedName>
    <definedName name="tzpmt1">'Niet-meewerkende objectleiding'!$K$69</definedName>
    <definedName name="tzpmt1_1">'Niet-meewerkende objectleiding'!$K$13</definedName>
    <definedName name="tzpmt1_2">'Niet-meewerkende objectleiding'!$K$80</definedName>
    <definedName name="tzpmt2">'Niet-meewerkende objectleiding'!$K$100</definedName>
    <definedName name="tzpmt2_1">'Niet-meewerkende objectleiding'!$K$22</definedName>
    <definedName name="tzpmt3_1">'Niet-meewerkende objectleiding'!$K$31</definedName>
    <definedName name="tzpmt3_2">'Niet-meewerkende objectleiding'!$K$89</definedName>
    <definedName name="tzpmt4_1">'Niet-meewerkende objectleiding'!$K$40</definedName>
    <definedName name="tzpmt4_2">'Niet-meewerkende objectleiding'!$K$98</definedName>
    <definedName name="tzpmt5_1">'Niet-meewerkende objectleiding'!$K$49</definedName>
    <definedName name="tzpmt6_1">'Niet-meewerkende objectleiding'!$K$58</definedName>
    <definedName name="tzpmt7_1">'Niet-meewerkende objectleiding'!$K$67</definedName>
    <definedName name="tzujt1">'Niet-meewerkende objectleiding'!$H$69</definedName>
    <definedName name="tzujt1_1">'Niet-meewerkende objectleiding'!$H$13</definedName>
    <definedName name="tzujt1_2">'Niet-meewerkende objectleiding'!$H$80</definedName>
    <definedName name="tzujt2">'Niet-meewerkende objectleiding'!$H$100</definedName>
    <definedName name="tzujt2_1">'Niet-meewerkende objectleiding'!$H$22</definedName>
    <definedName name="tzujt3_1">'Niet-meewerkende objectleiding'!$H$31</definedName>
    <definedName name="tzujt3_2">'Niet-meewerkende objectleiding'!$H$89</definedName>
    <definedName name="tzujt4_1">'Niet-meewerkende objectleiding'!$H$40</definedName>
    <definedName name="tzujt4_2">'Niet-meewerkende objectleiding'!$H$98</definedName>
    <definedName name="tzujt5_1">'Niet-meewerkende objectleiding'!$H$49</definedName>
    <definedName name="tzujt6_1">'Niet-meewerkende objectleiding'!$H$58</definedName>
    <definedName name="tzujt7_1">'Niet-meewerkende objectleiding'!$H$67</definedName>
    <definedName name="urendag1">'Regulier werk'!$K$39</definedName>
    <definedName name="urendag2">'Regulier werk'!$K$73</definedName>
    <definedName name="urenjaar">'Regulier werk'!$M$78</definedName>
    <definedName name="urenjaar1">'Regulier werk'!$M$39</definedName>
    <definedName name="urenjaar2">'Regulier werk'!$M$73</definedName>
    <definedName name="urenjaarnietmeewerkend">'Niet-meewerkende objectleiding'!$H$103</definedName>
    <definedName name="urenjaartotaal">Objecten!$P$23</definedName>
    <definedName name="urenjaartotaal1">Objecten!$P$13</definedName>
    <definedName name="urenjaartotaal2">Objecten!$P$20</definedName>
    <definedName name="urenjaartotaalhf">Objecten!$O$23</definedName>
    <definedName name="urenjaartotaalhf1">Objecten!$O$13</definedName>
    <definedName name="urenjaartotaalhf2">Objecten!$O$20</definedName>
    <definedName name="urenjaartotaaloverzicht">'Totaalblad Objecten'!$F$12</definedName>
    <definedName name="urenjaartotaaloverzichthf">'Totaalblad Objecten'!$E$12</definedName>
    <definedName name="uurfactortabel1">Objectinformatie!$F$5:$F$37</definedName>
    <definedName name="uurfactortabel2">Objectinformatie!$F$40:$F$67</definedName>
    <definedName name="uurtarief13">'Regulier werk'!$J$38</definedName>
    <definedName name="uurtarief14">'Regulier werk'!$J$6</definedName>
    <definedName name="uurtarief15">'Regulier werk'!$J$7</definedName>
    <definedName name="uurtarief16">'Regulier werk'!$J$8</definedName>
    <definedName name="uurtarief17">'Regulier werk'!$J$9</definedName>
    <definedName name="uurtarief18">'Regulier werk'!$J$10</definedName>
    <definedName name="uurtarief19">'Regulier werk'!$J$11</definedName>
    <definedName name="uurtarief20">'Regulier werk'!$J$12</definedName>
    <definedName name="uurtarief21">'Regulier werk'!$J$13</definedName>
    <definedName name="uurtarief22">'Regulier werk'!$J$14</definedName>
    <definedName name="uurtarief23">'Regulier werk'!$J$15</definedName>
    <definedName name="uurtarief24">'Regulier werk'!$J$16</definedName>
    <definedName name="uurtarief25">'Regulier werk'!$J$17</definedName>
    <definedName name="uurtarief26">'Regulier werk'!$J$18</definedName>
    <definedName name="uurtarief27">'Regulier werk'!$J$19</definedName>
    <definedName name="uurtarief28">'Regulier werk'!$J$20</definedName>
    <definedName name="uurtarief29">'Regulier werk'!$J$21</definedName>
    <definedName name="uurtarief30">'Regulier werk'!$J$22</definedName>
    <definedName name="uurtarief31">'Regulier werk'!$J$23</definedName>
    <definedName name="uurtarief32">'Regulier werk'!$J$24</definedName>
    <definedName name="uurtarief33">'Regulier werk'!$J$25</definedName>
    <definedName name="uurtarief34">'Regulier werk'!$J$26</definedName>
    <definedName name="uurtarief35">'Regulier werk'!$J$27</definedName>
    <definedName name="uurtarief36">'Regulier werk'!$J$28</definedName>
    <definedName name="uurtarief37">'Regulier werk'!$J$29</definedName>
    <definedName name="uurtarief38">'Regulier werk'!$J$30</definedName>
    <definedName name="uurtarief39">'Regulier werk'!$J$31</definedName>
    <definedName name="uurtarief40">'Regulier werk'!$J$32</definedName>
    <definedName name="uurtarief41">'Regulier werk'!$J$33</definedName>
    <definedName name="uurtarief42">'Regulier werk'!$J$34</definedName>
    <definedName name="uurtarief43">'Regulier werk'!$J$35</definedName>
    <definedName name="uurtarief44">'Regulier werk'!$J$36</definedName>
    <definedName name="uurtarief45">'Regulier werk'!$J$37</definedName>
    <definedName name="uurtarief50">'Regulier werk'!$J$45</definedName>
    <definedName name="uurtarief51">'Regulier werk'!$J$46</definedName>
    <definedName name="uurtarief52">'Regulier werk'!$J$47</definedName>
    <definedName name="uurtarief53">'Regulier werk'!$J$48</definedName>
    <definedName name="uurtarief54">'Regulier werk'!$J$49</definedName>
    <definedName name="uurtarief55">'Regulier werk'!$J$50</definedName>
    <definedName name="uurtarief56">'Regulier werk'!$J$51</definedName>
    <definedName name="uurtarief57">'Regulier werk'!$J$52</definedName>
    <definedName name="uurtarief58">'Regulier werk'!$J$53</definedName>
    <definedName name="uurtarief59">'Regulier werk'!$J$54</definedName>
    <definedName name="uurtarief60">'Regulier werk'!$J$55</definedName>
    <definedName name="uurtarief61">'Regulier werk'!$J$56</definedName>
    <definedName name="uurtarief62">'Regulier werk'!$J$57</definedName>
    <definedName name="uurtarief63">'Regulier werk'!$J$58</definedName>
    <definedName name="uurtarief64">'Regulier werk'!$J$59</definedName>
    <definedName name="uurtarief65">'Regulier werk'!$J$60</definedName>
    <definedName name="uurtarief66">'Regulier werk'!$J$61</definedName>
    <definedName name="uurtarief67">'Regulier werk'!$J$62</definedName>
    <definedName name="uurtarief68">'Regulier werk'!$J$63</definedName>
    <definedName name="uurtarief69">'Regulier werk'!$J$64</definedName>
    <definedName name="uurtarief70">'Regulier werk'!$J$65</definedName>
    <definedName name="uurtarief71">'Regulier werk'!$J$66</definedName>
    <definedName name="uurtarief72">'Regulier werk'!$J$67</definedName>
    <definedName name="uurtarief73">'Regulier werk'!$J$68</definedName>
    <definedName name="uurtarief74">'Regulier werk'!$J$69</definedName>
    <definedName name="uurtarief75">'Regulier werk'!$J$70</definedName>
    <definedName name="uurtarief76">'Regulier werk'!$J$71</definedName>
    <definedName name="uurtarief77">'Regulier werk'!$J$72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1" i="12" l="1"/>
  <c r="J49" i="11"/>
  <c r="K49" i="11" s="1"/>
  <c r="H49" i="11"/>
  <c r="C49" i="11"/>
  <c r="L49" i="11" s="1"/>
  <c r="M49" i="11" s="1"/>
  <c r="J48" i="11"/>
  <c r="K48" i="11" s="1"/>
  <c r="H48" i="11"/>
  <c r="C48" i="11"/>
  <c r="J44" i="11"/>
  <c r="K44" i="11" s="1"/>
  <c r="H44" i="11"/>
  <c r="J43" i="11"/>
  <c r="K43" i="11" s="1"/>
  <c r="K45" i="11" s="1"/>
  <c r="H43" i="11"/>
  <c r="K39" i="11"/>
  <c r="J39" i="11"/>
  <c r="H39" i="11"/>
  <c r="C39" i="11"/>
  <c r="L39" i="11" s="1"/>
  <c r="M39" i="11" s="1"/>
  <c r="J38" i="11"/>
  <c r="K38" i="11" s="1"/>
  <c r="H38" i="11"/>
  <c r="C38" i="11"/>
  <c r="L38" i="11" s="1"/>
  <c r="M38" i="11" s="1"/>
  <c r="J37" i="11"/>
  <c r="K37" i="11" s="1"/>
  <c r="H37" i="11"/>
  <c r="C37" i="11"/>
  <c r="L37" i="11" s="1"/>
  <c r="M37" i="11" s="1"/>
  <c r="J36" i="11"/>
  <c r="K36" i="11" s="1"/>
  <c r="K40" i="11" s="1"/>
  <c r="H36" i="11"/>
  <c r="K35" i="11"/>
  <c r="J35" i="11"/>
  <c r="H35" i="11"/>
  <c r="K31" i="11"/>
  <c r="J31" i="11"/>
  <c r="H31" i="11"/>
  <c r="K30" i="11"/>
  <c r="J30" i="11"/>
  <c r="H30" i="11"/>
  <c r="C30" i="11"/>
  <c r="L30" i="11" s="1"/>
  <c r="M30" i="11" s="1"/>
  <c r="K29" i="11"/>
  <c r="J29" i="11"/>
  <c r="H29" i="11"/>
  <c r="J28" i="11"/>
  <c r="K28" i="11" s="1"/>
  <c r="H28" i="11"/>
  <c r="J27" i="11"/>
  <c r="K27" i="11" s="1"/>
  <c r="K32" i="11" s="1"/>
  <c r="H27" i="11"/>
  <c r="J23" i="11"/>
  <c r="K23" i="11" s="1"/>
  <c r="H23" i="11"/>
  <c r="C23" i="11"/>
  <c r="L23" i="11" s="1"/>
  <c r="M23" i="11" s="1"/>
  <c r="J22" i="11"/>
  <c r="K22" i="11" s="1"/>
  <c r="L22" i="11" s="1"/>
  <c r="M22" i="11" s="1"/>
  <c r="H22" i="11"/>
  <c r="C22" i="11"/>
  <c r="J21" i="11"/>
  <c r="K21" i="11" s="1"/>
  <c r="K24" i="11" s="1"/>
  <c r="H21" i="11"/>
  <c r="J17" i="11"/>
  <c r="K17" i="11" s="1"/>
  <c r="H17" i="11"/>
  <c r="J16" i="11"/>
  <c r="K16" i="11" s="1"/>
  <c r="H16" i="11"/>
  <c r="C16" i="11"/>
  <c r="L16" i="11" s="1"/>
  <c r="M16" i="11" s="1"/>
  <c r="K15" i="11"/>
  <c r="J15" i="11"/>
  <c r="H15" i="11"/>
  <c r="C15" i="11"/>
  <c r="L15" i="11" s="1"/>
  <c r="M15" i="11" s="1"/>
  <c r="J14" i="11"/>
  <c r="K14" i="11" s="1"/>
  <c r="H14" i="11"/>
  <c r="K13" i="11"/>
  <c r="J13" i="11"/>
  <c r="H13" i="11"/>
  <c r="J12" i="11"/>
  <c r="K12" i="11" s="1"/>
  <c r="K18" i="11" s="1"/>
  <c r="H12" i="11"/>
  <c r="C12" i="11"/>
  <c r="K8" i="11"/>
  <c r="J8" i="11"/>
  <c r="H8" i="11"/>
  <c r="J7" i="11"/>
  <c r="K7" i="11" s="1"/>
  <c r="H7" i="11"/>
  <c r="C7" i="11"/>
  <c r="K6" i="11"/>
  <c r="K9" i="11" s="1"/>
  <c r="J6" i="11"/>
  <c r="H6" i="11"/>
  <c r="C6" i="11"/>
  <c r="A1" i="11"/>
  <c r="J18" i="10"/>
  <c r="J17" i="10"/>
  <c r="J16" i="10"/>
  <c r="J15" i="10"/>
  <c r="J14" i="10"/>
  <c r="C14" i="10"/>
  <c r="K14" i="10" s="1"/>
  <c r="L14" i="10" s="1"/>
  <c r="J13" i="10"/>
  <c r="C13" i="10"/>
  <c r="K13" i="10" s="1"/>
  <c r="L13" i="10" s="1"/>
  <c r="J12" i="10"/>
  <c r="J11" i="10"/>
  <c r="J10" i="10"/>
  <c r="C10" i="10"/>
  <c r="K10" i="10" s="1"/>
  <c r="L10" i="10" s="1"/>
  <c r="J9" i="10"/>
  <c r="J8" i="10"/>
  <c r="K7" i="10"/>
  <c r="L7" i="10" s="1"/>
  <c r="J7" i="10"/>
  <c r="C7" i="10"/>
  <c r="J6" i="10"/>
  <c r="C6" i="10"/>
  <c r="K6" i="10" s="1"/>
  <c r="A1" i="10"/>
  <c r="A1" i="9"/>
  <c r="J11" i="8"/>
  <c r="J10" i="8"/>
  <c r="J9" i="8"/>
  <c r="J8" i="8"/>
  <c r="J7" i="8"/>
  <c r="C7" i="8"/>
  <c r="K7" i="8" s="1"/>
  <c r="L7" i="8" s="1"/>
  <c r="J6" i="8"/>
  <c r="A1" i="8"/>
  <c r="A1" i="7"/>
  <c r="K97" i="6"/>
  <c r="J97" i="6"/>
  <c r="H97" i="6"/>
  <c r="C97" i="6"/>
  <c r="I97" i="6" s="1"/>
  <c r="J96" i="6"/>
  <c r="K96" i="6" s="1"/>
  <c r="H96" i="6"/>
  <c r="C96" i="6"/>
  <c r="I96" i="6" s="1"/>
  <c r="K95" i="6"/>
  <c r="J95" i="6"/>
  <c r="H95" i="6"/>
  <c r="C95" i="6"/>
  <c r="I95" i="6" s="1"/>
  <c r="J94" i="6"/>
  <c r="K94" i="6" s="1"/>
  <c r="H94" i="6"/>
  <c r="C94" i="6"/>
  <c r="I94" i="6" s="1"/>
  <c r="J93" i="6"/>
  <c r="J98" i="6" s="1"/>
  <c r="H93" i="6"/>
  <c r="H98" i="6" s="1"/>
  <c r="C93" i="6"/>
  <c r="I93" i="6" s="1"/>
  <c r="J88" i="6"/>
  <c r="K88" i="6" s="1"/>
  <c r="I88" i="6"/>
  <c r="H88" i="6"/>
  <c r="C88" i="6"/>
  <c r="J87" i="6"/>
  <c r="K87" i="6" s="1"/>
  <c r="H87" i="6"/>
  <c r="I87" i="6" s="1"/>
  <c r="C87" i="6"/>
  <c r="K86" i="6"/>
  <c r="J86" i="6"/>
  <c r="H86" i="6"/>
  <c r="I86" i="6" s="1"/>
  <c r="C86" i="6"/>
  <c r="J85" i="6"/>
  <c r="K85" i="6" s="1"/>
  <c r="H85" i="6"/>
  <c r="C85" i="6"/>
  <c r="I85" i="6" s="1"/>
  <c r="J84" i="6"/>
  <c r="J89" i="6" s="1"/>
  <c r="H84" i="6"/>
  <c r="H89" i="6" s="1"/>
  <c r="C84" i="6"/>
  <c r="I84" i="6" s="1"/>
  <c r="J80" i="6"/>
  <c r="H80" i="6"/>
  <c r="K79" i="6"/>
  <c r="J79" i="6"/>
  <c r="H79" i="6"/>
  <c r="C79" i="6"/>
  <c r="I79" i="6" s="1"/>
  <c r="K78" i="6"/>
  <c r="J78" i="6"/>
  <c r="H78" i="6"/>
  <c r="I78" i="6" s="1"/>
  <c r="C78" i="6"/>
  <c r="K77" i="6"/>
  <c r="J77" i="6"/>
  <c r="H77" i="6"/>
  <c r="C77" i="6"/>
  <c r="I77" i="6" s="1"/>
  <c r="J76" i="6"/>
  <c r="K76" i="6" s="1"/>
  <c r="K80" i="6" s="1"/>
  <c r="I76" i="6"/>
  <c r="H76" i="6"/>
  <c r="C76" i="6"/>
  <c r="K75" i="6"/>
  <c r="J75" i="6"/>
  <c r="H75" i="6"/>
  <c r="H67" i="6"/>
  <c r="H10" i="7" s="1"/>
  <c r="J66" i="6"/>
  <c r="J67" i="6" s="1"/>
  <c r="I10" i="7" s="1"/>
  <c r="H66" i="6"/>
  <c r="C66" i="6"/>
  <c r="I66" i="6" s="1"/>
  <c r="J65" i="6"/>
  <c r="K65" i="6" s="1"/>
  <c r="I65" i="6"/>
  <c r="H65" i="6"/>
  <c r="C65" i="6"/>
  <c r="J64" i="6"/>
  <c r="K64" i="6" s="1"/>
  <c r="H64" i="6"/>
  <c r="I64" i="6" s="1"/>
  <c r="C64" i="6"/>
  <c r="K63" i="6"/>
  <c r="J63" i="6"/>
  <c r="H63" i="6"/>
  <c r="I63" i="6" s="1"/>
  <c r="C63" i="6"/>
  <c r="J62" i="6"/>
  <c r="K62" i="6" s="1"/>
  <c r="H62" i="6"/>
  <c r="J57" i="6"/>
  <c r="K57" i="6" s="1"/>
  <c r="H57" i="6"/>
  <c r="C57" i="6"/>
  <c r="I57" i="6" s="1"/>
  <c r="K56" i="6"/>
  <c r="J56" i="6"/>
  <c r="H56" i="6"/>
  <c r="H58" i="6" s="1"/>
  <c r="H9" i="7" s="1"/>
  <c r="C56" i="6"/>
  <c r="I56" i="6" s="1"/>
  <c r="K55" i="6"/>
  <c r="J55" i="6"/>
  <c r="H55" i="6"/>
  <c r="I55" i="6" s="1"/>
  <c r="C55" i="6"/>
  <c r="K54" i="6"/>
  <c r="J54" i="6"/>
  <c r="H54" i="6"/>
  <c r="C54" i="6"/>
  <c r="I54" i="6" s="1"/>
  <c r="J53" i="6"/>
  <c r="K53" i="6" s="1"/>
  <c r="H53" i="6"/>
  <c r="J48" i="6"/>
  <c r="K48" i="6" s="1"/>
  <c r="H48" i="6"/>
  <c r="C48" i="6"/>
  <c r="I48" i="6" s="1"/>
  <c r="J47" i="6"/>
  <c r="K47" i="6" s="1"/>
  <c r="H47" i="6"/>
  <c r="H49" i="6" s="1"/>
  <c r="H8" i="7" s="1"/>
  <c r="C47" i="6"/>
  <c r="I47" i="6" s="1"/>
  <c r="K46" i="6"/>
  <c r="J46" i="6"/>
  <c r="H46" i="6"/>
  <c r="C46" i="6"/>
  <c r="I46" i="6" s="1"/>
  <c r="K45" i="6"/>
  <c r="J45" i="6"/>
  <c r="H45" i="6"/>
  <c r="C45" i="6"/>
  <c r="I45" i="6" s="1"/>
  <c r="J44" i="6"/>
  <c r="K44" i="6" s="1"/>
  <c r="K49" i="6" s="1"/>
  <c r="H44" i="6"/>
  <c r="K39" i="6"/>
  <c r="J39" i="6"/>
  <c r="H39" i="6"/>
  <c r="C39" i="6"/>
  <c r="I39" i="6" s="1"/>
  <c r="J38" i="6"/>
  <c r="K38" i="6" s="1"/>
  <c r="H38" i="6"/>
  <c r="C38" i="6"/>
  <c r="I38" i="6" s="1"/>
  <c r="K37" i="6"/>
  <c r="J37" i="6"/>
  <c r="H37" i="6"/>
  <c r="I37" i="6" s="1"/>
  <c r="C37" i="6"/>
  <c r="J36" i="6"/>
  <c r="K36" i="6" s="1"/>
  <c r="H36" i="6"/>
  <c r="C36" i="6"/>
  <c r="I36" i="6" s="1"/>
  <c r="J35" i="6"/>
  <c r="K35" i="6" s="1"/>
  <c r="H35" i="6"/>
  <c r="H40" i="6" s="1"/>
  <c r="K30" i="6"/>
  <c r="J30" i="6"/>
  <c r="H30" i="6"/>
  <c r="C30" i="6"/>
  <c r="I30" i="6" s="1"/>
  <c r="K29" i="6"/>
  <c r="J29" i="6"/>
  <c r="I29" i="6"/>
  <c r="H29" i="6"/>
  <c r="C29" i="6"/>
  <c r="K28" i="6"/>
  <c r="J28" i="6"/>
  <c r="H28" i="6"/>
  <c r="C28" i="6"/>
  <c r="I28" i="6" s="1"/>
  <c r="J27" i="6"/>
  <c r="K27" i="6" s="1"/>
  <c r="I27" i="6"/>
  <c r="H27" i="6"/>
  <c r="H31" i="6" s="1"/>
  <c r="H6" i="7" s="1"/>
  <c r="C27" i="6"/>
  <c r="K26" i="6"/>
  <c r="K31" i="6" s="1"/>
  <c r="J26" i="6"/>
  <c r="J31" i="6" s="1"/>
  <c r="I6" i="7" s="1"/>
  <c r="H26" i="6"/>
  <c r="J21" i="6"/>
  <c r="K21" i="6" s="1"/>
  <c r="H21" i="6"/>
  <c r="C21" i="6"/>
  <c r="I21" i="6" s="1"/>
  <c r="J20" i="6"/>
  <c r="K20" i="6" s="1"/>
  <c r="H20" i="6"/>
  <c r="C20" i="6"/>
  <c r="I20" i="6" s="1"/>
  <c r="J19" i="6"/>
  <c r="K19" i="6" s="1"/>
  <c r="H19" i="6"/>
  <c r="C19" i="6"/>
  <c r="I19" i="6" s="1"/>
  <c r="J18" i="6"/>
  <c r="K18" i="6" s="1"/>
  <c r="H18" i="6"/>
  <c r="H22" i="6" s="1"/>
  <c r="H5" i="7" s="1"/>
  <c r="C18" i="6"/>
  <c r="J17" i="6"/>
  <c r="J22" i="6" s="1"/>
  <c r="I5" i="7" s="1"/>
  <c r="H17" i="6"/>
  <c r="J12" i="6"/>
  <c r="K12" i="6" s="1"/>
  <c r="H12" i="6"/>
  <c r="C12" i="6"/>
  <c r="I12" i="6" s="1"/>
  <c r="K11" i="6"/>
  <c r="J11" i="6"/>
  <c r="I11" i="6"/>
  <c r="H11" i="6"/>
  <c r="C11" i="6"/>
  <c r="K10" i="6"/>
  <c r="J10" i="6"/>
  <c r="I10" i="6"/>
  <c r="H10" i="6"/>
  <c r="C10" i="6"/>
  <c r="K9" i="6"/>
  <c r="J9" i="6"/>
  <c r="H9" i="6"/>
  <c r="I9" i="6" s="1"/>
  <c r="C9" i="6"/>
  <c r="J8" i="6"/>
  <c r="J13" i="6" s="1"/>
  <c r="H8" i="6"/>
  <c r="H13" i="6" s="1"/>
  <c r="A1" i="6"/>
  <c r="A1" i="5"/>
  <c r="G67" i="4"/>
  <c r="G66" i="4"/>
  <c r="I63" i="4"/>
  <c r="H63" i="4"/>
  <c r="G63" i="4"/>
  <c r="E63" i="4"/>
  <c r="I62" i="4"/>
  <c r="H62" i="4"/>
  <c r="G62" i="4"/>
  <c r="E62" i="4"/>
  <c r="I61" i="4"/>
  <c r="H61" i="4"/>
  <c r="E61" i="4"/>
  <c r="G59" i="4"/>
  <c r="G58" i="4"/>
  <c r="I55" i="4"/>
  <c r="H55" i="4"/>
  <c r="G55" i="4"/>
  <c r="E55" i="4"/>
  <c r="I54" i="4"/>
  <c r="H54" i="4"/>
  <c r="G54" i="4"/>
  <c r="E54" i="4"/>
  <c r="I53" i="4"/>
  <c r="H53" i="4"/>
  <c r="E53" i="4"/>
  <c r="G51" i="4"/>
  <c r="G50" i="4"/>
  <c r="E48" i="4"/>
  <c r="I47" i="4"/>
  <c r="H47" i="4"/>
  <c r="G47" i="4"/>
  <c r="E47" i="4"/>
  <c r="I46" i="4"/>
  <c r="H46" i="4"/>
  <c r="G46" i="4"/>
  <c r="E46" i="4"/>
  <c r="I45" i="4"/>
  <c r="H45" i="4"/>
  <c r="E45" i="4"/>
  <c r="G43" i="4"/>
  <c r="G42" i="4"/>
  <c r="E41" i="4"/>
  <c r="I37" i="4"/>
  <c r="H37" i="4"/>
  <c r="G37" i="4"/>
  <c r="E37" i="4"/>
  <c r="I36" i="4"/>
  <c r="H36" i="4"/>
  <c r="G36" i="4"/>
  <c r="I35" i="4"/>
  <c r="H35" i="4"/>
  <c r="H34" i="4"/>
  <c r="I33" i="4"/>
  <c r="I32" i="4"/>
  <c r="I29" i="4"/>
  <c r="H29" i="4"/>
  <c r="I28" i="4"/>
  <c r="H28" i="4"/>
  <c r="G28" i="4"/>
  <c r="I27" i="4"/>
  <c r="H27" i="4"/>
  <c r="H26" i="4"/>
  <c r="I25" i="4"/>
  <c r="I24" i="4"/>
  <c r="G24" i="4"/>
  <c r="I21" i="4"/>
  <c r="H21" i="4"/>
  <c r="I20" i="4"/>
  <c r="H20" i="4"/>
  <c r="G20" i="4"/>
  <c r="E20" i="4"/>
  <c r="I19" i="4"/>
  <c r="H19" i="4"/>
  <c r="H18" i="4"/>
  <c r="I17" i="4"/>
  <c r="I16" i="4"/>
  <c r="G16" i="4"/>
  <c r="I13" i="4"/>
  <c r="H13" i="4"/>
  <c r="I12" i="4"/>
  <c r="H12" i="4"/>
  <c r="G12" i="4"/>
  <c r="I11" i="4"/>
  <c r="H11" i="4"/>
  <c r="H10" i="4"/>
  <c r="I9" i="4"/>
  <c r="I8" i="4"/>
  <c r="G8" i="4"/>
  <c r="I5" i="4"/>
  <c r="H5" i="4"/>
  <c r="L72" i="3"/>
  <c r="K72" i="3"/>
  <c r="M72" i="3" s="1"/>
  <c r="N72" i="3" s="1"/>
  <c r="J72" i="3"/>
  <c r="I67" i="4" s="1"/>
  <c r="H72" i="3"/>
  <c r="H67" i="4" s="1"/>
  <c r="G72" i="3"/>
  <c r="K71" i="3"/>
  <c r="M71" i="3" s="1"/>
  <c r="N71" i="3" s="1"/>
  <c r="J71" i="3"/>
  <c r="I66" i="4" s="1"/>
  <c r="H71" i="3"/>
  <c r="H66" i="4" s="1"/>
  <c r="G71" i="3"/>
  <c r="J70" i="3"/>
  <c r="I65" i="4" s="1"/>
  <c r="H70" i="3"/>
  <c r="H65" i="4" s="1"/>
  <c r="G70" i="3"/>
  <c r="K70" i="3" s="1"/>
  <c r="M70" i="3" s="1"/>
  <c r="N70" i="3" s="1"/>
  <c r="F70" i="3"/>
  <c r="J69" i="3"/>
  <c r="I64" i="4" s="1"/>
  <c r="H69" i="3"/>
  <c r="H64" i="4" s="1"/>
  <c r="G69" i="3"/>
  <c r="G64" i="4" s="1"/>
  <c r="L68" i="3"/>
  <c r="K68" i="3"/>
  <c r="M68" i="3" s="1"/>
  <c r="N68" i="3" s="1"/>
  <c r="J68" i="3"/>
  <c r="H68" i="3"/>
  <c r="G68" i="3"/>
  <c r="K67" i="3"/>
  <c r="M67" i="3" s="1"/>
  <c r="N67" i="3" s="1"/>
  <c r="J67" i="3"/>
  <c r="L67" i="3" s="1"/>
  <c r="H67" i="3"/>
  <c r="G67" i="3"/>
  <c r="J66" i="3"/>
  <c r="H66" i="3"/>
  <c r="G66" i="3"/>
  <c r="G61" i="4" s="1"/>
  <c r="F66" i="3"/>
  <c r="J65" i="3"/>
  <c r="I60" i="4" s="1"/>
  <c r="H65" i="3"/>
  <c r="H60" i="4" s="1"/>
  <c r="G65" i="3"/>
  <c r="G60" i="4" s="1"/>
  <c r="L64" i="3"/>
  <c r="K64" i="3"/>
  <c r="M64" i="3" s="1"/>
  <c r="N64" i="3" s="1"/>
  <c r="J64" i="3"/>
  <c r="I59" i="4" s="1"/>
  <c r="H64" i="3"/>
  <c r="H59" i="4" s="1"/>
  <c r="G64" i="3"/>
  <c r="F64" i="3"/>
  <c r="K63" i="3"/>
  <c r="M63" i="3" s="1"/>
  <c r="N63" i="3" s="1"/>
  <c r="J63" i="3"/>
  <c r="I58" i="4" s="1"/>
  <c r="H63" i="3"/>
  <c r="H58" i="4" s="1"/>
  <c r="G63" i="3"/>
  <c r="J62" i="3"/>
  <c r="I57" i="4" s="1"/>
  <c r="H62" i="3"/>
  <c r="H57" i="4" s="1"/>
  <c r="G62" i="3"/>
  <c r="G57" i="4" s="1"/>
  <c r="F62" i="3"/>
  <c r="J61" i="3"/>
  <c r="H61" i="3"/>
  <c r="H56" i="4" s="1"/>
  <c r="G61" i="3"/>
  <c r="G56" i="4" s="1"/>
  <c r="L60" i="3"/>
  <c r="K60" i="3"/>
  <c r="M60" i="3" s="1"/>
  <c r="N60" i="3" s="1"/>
  <c r="J60" i="3"/>
  <c r="H60" i="3"/>
  <c r="G60" i="3"/>
  <c r="K59" i="3"/>
  <c r="M59" i="3" s="1"/>
  <c r="N59" i="3" s="1"/>
  <c r="J59" i="3"/>
  <c r="L59" i="3" s="1"/>
  <c r="H59" i="3"/>
  <c r="G59" i="3"/>
  <c r="J58" i="3"/>
  <c r="H58" i="3"/>
  <c r="G58" i="3"/>
  <c r="G53" i="4" s="1"/>
  <c r="F58" i="3"/>
  <c r="J57" i="3"/>
  <c r="I52" i="4" s="1"/>
  <c r="H57" i="3"/>
  <c r="H52" i="4" s="1"/>
  <c r="G57" i="3"/>
  <c r="G52" i="4" s="1"/>
  <c r="L56" i="3"/>
  <c r="K56" i="3"/>
  <c r="M56" i="3" s="1"/>
  <c r="N56" i="3" s="1"/>
  <c r="J56" i="3"/>
  <c r="I51" i="4" s="1"/>
  <c r="H56" i="3"/>
  <c r="H51" i="4" s="1"/>
  <c r="G56" i="3"/>
  <c r="F56" i="3"/>
  <c r="K55" i="3"/>
  <c r="M55" i="3" s="1"/>
  <c r="N55" i="3" s="1"/>
  <c r="J55" i="3"/>
  <c r="I50" i="4" s="1"/>
  <c r="H55" i="3"/>
  <c r="H50" i="4" s="1"/>
  <c r="G55" i="3"/>
  <c r="J54" i="3"/>
  <c r="I49" i="4" s="1"/>
  <c r="H54" i="3"/>
  <c r="H49" i="4" s="1"/>
  <c r="G54" i="3"/>
  <c r="K54" i="3" s="1"/>
  <c r="M54" i="3" s="1"/>
  <c r="N54" i="3" s="1"/>
  <c r="F54" i="3"/>
  <c r="J53" i="3"/>
  <c r="H53" i="3"/>
  <c r="H48" i="4" s="1"/>
  <c r="G53" i="3"/>
  <c r="G48" i="4" s="1"/>
  <c r="L52" i="3"/>
  <c r="K52" i="3"/>
  <c r="M52" i="3" s="1"/>
  <c r="N52" i="3" s="1"/>
  <c r="J52" i="3"/>
  <c r="H52" i="3"/>
  <c r="G52" i="3"/>
  <c r="F52" i="3"/>
  <c r="K51" i="3"/>
  <c r="M51" i="3" s="1"/>
  <c r="N51" i="3" s="1"/>
  <c r="J51" i="3"/>
  <c r="L51" i="3" s="1"/>
  <c r="H51" i="3"/>
  <c r="G51" i="3"/>
  <c r="J50" i="3"/>
  <c r="H50" i="3"/>
  <c r="G50" i="3"/>
  <c r="G45" i="4" s="1"/>
  <c r="F50" i="3"/>
  <c r="J49" i="3"/>
  <c r="I44" i="4" s="1"/>
  <c r="H49" i="3"/>
  <c r="H44" i="4" s="1"/>
  <c r="G49" i="3"/>
  <c r="G44" i="4" s="1"/>
  <c r="L48" i="3"/>
  <c r="K48" i="3"/>
  <c r="M48" i="3" s="1"/>
  <c r="N48" i="3" s="1"/>
  <c r="J48" i="3"/>
  <c r="I43" i="4" s="1"/>
  <c r="H48" i="3"/>
  <c r="H43" i="4" s="1"/>
  <c r="G48" i="3"/>
  <c r="F48" i="3"/>
  <c r="K47" i="3"/>
  <c r="M47" i="3" s="1"/>
  <c r="N47" i="3" s="1"/>
  <c r="J47" i="3"/>
  <c r="I42" i="4" s="1"/>
  <c r="H47" i="3"/>
  <c r="H42" i="4" s="1"/>
  <c r="G47" i="3"/>
  <c r="J46" i="3"/>
  <c r="I41" i="4" s="1"/>
  <c r="H46" i="3"/>
  <c r="H41" i="4" s="1"/>
  <c r="G46" i="3"/>
  <c r="K46" i="3" s="1"/>
  <c r="M46" i="3" s="1"/>
  <c r="N46" i="3" s="1"/>
  <c r="F46" i="3"/>
  <c r="J45" i="3"/>
  <c r="H45" i="3"/>
  <c r="H40" i="4" s="1"/>
  <c r="G45" i="3"/>
  <c r="G40" i="4" s="1"/>
  <c r="L38" i="3"/>
  <c r="K38" i="3"/>
  <c r="M38" i="3" s="1"/>
  <c r="N38" i="3" s="1"/>
  <c r="J37" i="3"/>
  <c r="H37" i="3"/>
  <c r="G37" i="3"/>
  <c r="K37" i="3" s="1"/>
  <c r="J36" i="3"/>
  <c r="H36" i="3"/>
  <c r="G36" i="3"/>
  <c r="G35" i="4" s="1"/>
  <c r="K35" i="3"/>
  <c r="L35" i="3" s="1"/>
  <c r="J35" i="3"/>
  <c r="I34" i="4" s="1"/>
  <c r="H35" i="3"/>
  <c r="G35" i="3"/>
  <c r="G34" i="4" s="1"/>
  <c r="J34" i="3"/>
  <c r="H34" i="3"/>
  <c r="H33" i="4" s="1"/>
  <c r="G34" i="3"/>
  <c r="K34" i="3" s="1"/>
  <c r="J33" i="3"/>
  <c r="H33" i="3"/>
  <c r="H32" i="4" s="1"/>
  <c r="G33" i="3"/>
  <c r="G32" i="4" s="1"/>
  <c r="J32" i="3"/>
  <c r="H32" i="3"/>
  <c r="H31" i="4" s="1"/>
  <c r="G32" i="3"/>
  <c r="G31" i="4" s="1"/>
  <c r="K31" i="3"/>
  <c r="L31" i="3" s="1"/>
  <c r="J31" i="3"/>
  <c r="I30" i="4" s="1"/>
  <c r="H31" i="3"/>
  <c r="H30" i="4" s="1"/>
  <c r="G31" i="3"/>
  <c r="G30" i="4" s="1"/>
  <c r="J30" i="3"/>
  <c r="H30" i="3"/>
  <c r="G30" i="3"/>
  <c r="K30" i="3" s="1"/>
  <c r="J29" i="3"/>
  <c r="H29" i="3"/>
  <c r="G29" i="3"/>
  <c r="K29" i="3" s="1"/>
  <c r="J28" i="3"/>
  <c r="H28" i="3"/>
  <c r="G28" i="3"/>
  <c r="G27" i="4" s="1"/>
  <c r="F28" i="3"/>
  <c r="K27" i="3"/>
  <c r="L27" i="3" s="1"/>
  <c r="J27" i="3"/>
  <c r="I26" i="4" s="1"/>
  <c r="H27" i="3"/>
  <c r="G27" i="3"/>
  <c r="G26" i="4" s="1"/>
  <c r="J26" i="3"/>
  <c r="H26" i="3"/>
  <c r="H25" i="4" s="1"/>
  <c r="G26" i="3"/>
  <c r="K26" i="3" s="1"/>
  <c r="J25" i="3"/>
  <c r="H25" i="3"/>
  <c r="H24" i="4" s="1"/>
  <c r="G25" i="3"/>
  <c r="K25" i="3" s="1"/>
  <c r="J24" i="3"/>
  <c r="H24" i="3"/>
  <c r="H23" i="4" s="1"/>
  <c r="G24" i="3"/>
  <c r="G23" i="4" s="1"/>
  <c r="K23" i="3"/>
  <c r="L23" i="3" s="1"/>
  <c r="J23" i="3"/>
  <c r="I22" i="4" s="1"/>
  <c r="H23" i="3"/>
  <c r="H22" i="4" s="1"/>
  <c r="G23" i="3"/>
  <c r="G22" i="4" s="1"/>
  <c r="J22" i="3"/>
  <c r="H22" i="3"/>
  <c r="G22" i="3"/>
  <c r="K22" i="3" s="1"/>
  <c r="J21" i="3"/>
  <c r="H21" i="3"/>
  <c r="G21" i="3"/>
  <c r="K21" i="3" s="1"/>
  <c r="J20" i="3"/>
  <c r="H20" i="3"/>
  <c r="G20" i="3"/>
  <c r="G19" i="4" s="1"/>
  <c r="K19" i="3"/>
  <c r="M19" i="3" s="1"/>
  <c r="N19" i="3" s="1"/>
  <c r="J19" i="3"/>
  <c r="I18" i="4" s="1"/>
  <c r="H19" i="3"/>
  <c r="G19" i="3"/>
  <c r="G18" i="4" s="1"/>
  <c r="J18" i="3"/>
  <c r="H18" i="3"/>
  <c r="H17" i="4" s="1"/>
  <c r="G18" i="3"/>
  <c r="K18" i="3" s="1"/>
  <c r="J17" i="3"/>
  <c r="H17" i="3"/>
  <c r="H16" i="4" s="1"/>
  <c r="G17" i="3"/>
  <c r="K17" i="3" s="1"/>
  <c r="J16" i="3"/>
  <c r="H16" i="3"/>
  <c r="H15" i="4" s="1"/>
  <c r="G16" i="3"/>
  <c r="G15" i="4" s="1"/>
  <c r="K15" i="3"/>
  <c r="L15" i="3" s="1"/>
  <c r="J15" i="3"/>
  <c r="I14" i="4" s="1"/>
  <c r="H15" i="3"/>
  <c r="H14" i="4" s="1"/>
  <c r="G15" i="3"/>
  <c r="G14" i="4" s="1"/>
  <c r="J14" i="3"/>
  <c r="H14" i="3"/>
  <c r="G14" i="3"/>
  <c r="K14" i="3" s="1"/>
  <c r="J13" i="3"/>
  <c r="H13" i="3"/>
  <c r="G13" i="3"/>
  <c r="K13" i="3" s="1"/>
  <c r="J12" i="3"/>
  <c r="H12" i="3"/>
  <c r="G12" i="3"/>
  <c r="G11" i="4" s="1"/>
  <c r="K11" i="3"/>
  <c r="L11" i="3" s="1"/>
  <c r="J11" i="3"/>
  <c r="I10" i="4" s="1"/>
  <c r="H11" i="3"/>
  <c r="G11" i="3"/>
  <c r="G10" i="4" s="1"/>
  <c r="J10" i="3"/>
  <c r="H10" i="3"/>
  <c r="H9" i="4" s="1"/>
  <c r="G10" i="3"/>
  <c r="K10" i="3" s="1"/>
  <c r="J9" i="3"/>
  <c r="H9" i="3"/>
  <c r="H8" i="4" s="1"/>
  <c r="G9" i="3"/>
  <c r="K9" i="3" s="1"/>
  <c r="J8" i="3"/>
  <c r="H8" i="3"/>
  <c r="H7" i="4" s="1"/>
  <c r="G8" i="3"/>
  <c r="G7" i="4" s="1"/>
  <c r="K7" i="3"/>
  <c r="L7" i="3" s="1"/>
  <c r="J7" i="3"/>
  <c r="I6" i="4" s="1"/>
  <c r="H7" i="3"/>
  <c r="H6" i="4" s="1"/>
  <c r="G7" i="3"/>
  <c r="G6" i="4" s="1"/>
  <c r="J6" i="3"/>
  <c r="H6" i="3"/>
  <c r="G6" i="3"/>
  <c r="K6" i="3" s="1"/>
  <c r="A1" i="3"/>
  <c r="A1" i="2"/>
  <c r="B33" i="1"/>
  <c r="C11" i="8" s="1"/>
  <c r="K11" i="8" s="1"/>
  <c r="L11" i="8" s="1"/>
  <c r="B32" i="1"/>
  <c r="C14" i="11" s="1"/>
  <c r="L14" i="11" s="1"/>
  <c r="M14" i="11" s="1"/>
  <c r="B31" i="1"/>
  <c r="B30" i="1"/>
  <c r="B29" i="1"/>
  <c r="F57" i="3" s="1"/>
  <c r="B28" i="1"/>
  <c r="F69" i="3" s="1"/>
  <c r="B27" i="1"/>
  <c r="F61" i="3" s="1"/>
  <c r="B26" i="1"/>
  <c r="B25" i="1"/>
  <c r="B24" i="1"/>
  <c r="B23" i="1"/>
  <c r="B22" i="1"/>
  <c r="E27" i="4" s="1"/>
  <c r="B21" i="1"/>
  <c r="B20" i="1"/>
  <c r="B19" i="1"/>
  <c r="B18" i="1"/>
  <c r="B17" i="1"/>
  <c r="F7" i="3" s="1"/>
  <c r="B16" i="1"/>
  <c r="B15" i="1"/>
  <c r="C17" i="6" s="1"/>
  <c r="I17" i="6" s="1"/>
  <c r="B14" i="1"/>
  <c r="B13" i="1"/>
  <c r="M25" i="3" l="1"/>
  <c r="N25" i="3" s="1"/>
  <c r="L25" i="3"/>
  <c r="M34" i="3"/>
  <c r="N34" i="3" s="1"/>
  <c r="L34" i="3"/>
  <c r="M22" i="3"/>
  <c r="N22" i="3" s="1"/>
  <c r="L22" i="3"/>
  <c r="L13" i="3"/>
  <c r="M13" i="3"/>
  <c r="N13" i="3" s="1"/>
  <c r="H100" i="6"/>
  <c r="J100" i="6"/>
  <c r="L6" i="10"/>
  <c r="M14" i="3"/>
  <c r="N14" i="3" s="1"/>
  <c r="L14" i="3"/>
  <c r="L37" i="3"/>
  <c r="M37" i="3"/>
  <c r="N37" i="3" s="1"/>
  <c r="L28" i="3"/>
  <c r="L16" i="3"/>
  <c r="L8" i="3"/>
  <c r="I4" i="7"/>
  <c r="I12" i="7" s="1"/>
  <c r="J69" i="6"/>
  <c r="J103" i="6" s="1"/>
  <c r="M10" i="3"/>
  <c r="N10" i="3" s="1"/>
  <c r="L10" i="3"/>
  <c r="L7" i="11"/>
  <c r="M7" i="11" s="1"/>
  <c r="M26" i="3"/>
  <c r="N26" i="3" s="1"/>
  <c r="L26" i="3"/>
  <c r="H69" i="6"/>
  <c r="H4" i="7"/>
  <c r="M18" i="3"/>
  <c r="N18" i="3" s="1"/>
  <c r="L18" i="3"/>
  <c r="K50" i="11"/>
  <c r="L48" i="11"/>
  <c r="L20" i="3"/>
  <c r="L61" i="3"/>
  <c r="L17" i="3"/>
  <c r="M17" i="3"/>
  <c r="N17" i="3" s="1"/>
  <c r="L9" i="3"/>
  <c r="M9" i="3"/>
  <c r="N9" i="3" s="1"/>
  <c r="L29" i="3"/>
  <c r="M29" i="3"/>
  <c r="N29" i="3" s="1"/>
  <c r="L21" i="3"/>
  <c r="M21" i="3"/>
  <c r="N21" i="3" s="1"/>
  <c r="H7" i="7"/>
  <c r="K40" i="6"/>
  <c r="K58" i="6"/>
  <c r="L32" i="3"/>
  <c r="M6" i="3"/>
  <c r="K39" i="3"/>
  <c r="L6" i="3"/>
  <c r="M30" i="3"/>
  <c r="N30" i="3" s="1"/>
  <c r="L30" i="3"/>
  <c r="L12" i="11"/>
  <c r="C8" i="6"/>
  <c r="I8" i="6" s="1"/>
  <c r="K66" i="6"/>
  <c r="K67" i="6" s="1"/>
  <c r="L6" i="11"/>
  <c r="L19" i="3"/>
  <c r="K17" i="6"/>
  <c r="K22" i="6" s="1"/>
  <c r="M7" i="3"/>
  <c r="N7" i="3" s="1"/>
  <c r="M11" i="3"/>
  <c r="N11" i="3" s="1"/>
  <c r="M15" i="3"/>
  <c r="N15" i="3" s="1"/>
  <c r="M23" i="3"/>
  <c r="N23" i="3" s="1"/>
  <c r="M27" i="3"/>
  <c r="N27" i="3" s="1"/>
  <c r="M31" i="3"/>
  <c r="N31" i="3" s="1"/>
  <c r="M35" i="3"/>
  <c r="N35" i="3" s="1"/>
  <c r="K45" i="3"/>
  <c r="K49" i="3"/>
  <c r="M49" i="3" s="1"/>
  <c r="N49" i="3" s="1"/>
  <c r="K53" i="3"/>
  <c r="M53" i="3" s="1"/>
  <c r="N53" i="3" s="1"/>
  <c r="K57" i="3"/>
  <c r="M57" i="3" s="1"/>
  <c r="N57" i="3" s="1"/>
  <c r="K61" i="3"/>
  <c r="M61" i="3" s="1"/>
  <c r="N61" i="3" s="1"/>
  <c r="K65" i="3"/>
  <c r="M65" i="3" s="1"/>
  <c r="N65" i="3" s="1"/>
  <c r="K69" i="3"/>
  <c r="M69" i="3" s="1"/>
  <c r="N69" i="3" s="1"/>
  <c r="L69" i="3"/>
  <c r="F16" i="3"/>
  <c r="F32" i="3"/>
  <c r="E29" i="4"/>
  <c r="G5" i="4"/>
  <c r="G13" i="4"/>
  <c r="G21" i="4"/>
  <c r="G29" i="4"/>
  <c r="C6" i="8"/>
  <c r="K6" i="8" s="1"/>
  <c r="C31" i="11"/>
  <c r="L31" i="11" s="1"/>
  <c r="M31" i="11" s="1"/>
  <c r="J58" i="6"/>
  <c r="I9" i="7" s="1"/>
  <c r="I18" i="6"/>
  <c r="K8" i="3"/>
  <c r="M8" i="3" s="1"/>
  <c r="N8" i="3" s="1"/>
  <c r="K12" i="3"/>
  <c r="M12" i="3" s="1"/>
  <c r="N12" i="3" s="1"/>
  <c r="K16" i="3"/>
  <c r="M16" i="3" s="1"/>
  <c r="N16" i="3" s="1"/>
  <c r="K20" i="3"/>
  <c r="M20" i="3" s="1"/>
  <c r="N20" i="3" s="1"/>
  <c r="K24" i="3"/>
  <c r="M24" i="3" s="1"/>
  <c r="N24" i="3" s="1"/>
  <c r="K28" i="3"/>
  <c r="M28" i="3" s="1"/>
  <c r="N28" i="3" s="1"/>
  <c r="K32" i="3"/>
  <c r="M32" i="3" s="1"/>
  <c r="N32" i="3" s="1"/>
  <c r="K36" i="3"/>
  <c r="M36" i="3" s="1"/>
  <c r="N36" i="3" s="1"/>
  <c r="C75" i="6"/>
  <c r="I75" i="6" s="1"/>
  <c r="K84" i="6"/>
  <c r="K89" i="6" s="1"/>
  <c r="K100" i="6" s="1"/>
  <c r="C15" i="10"/>
  <c r="K15" i="10" s="1"/>
  <c r="L15" i="10" s="1"/>
  <c r="E28" i="4"/>
  <c r="E6" i="4"/>
  <c r="E14" i="4"/>
  <c r="E22" i="4"/>
  <c r="E30" i="4"/>
  <c r="E40" i="4"/>
  <c r="E56" i="4"/>
  <c r="E64" i="4"/>
  <c r="C62" i="6"/>
  <c r="I62" i="6" s="1"/>
  <c r="C8" i="11"/>
  <c r="L8" i="11" s="1"/>
  <c r="M8" i="11" s="1"/>
  <c r="L49" i="3"/>
  <c r="K8" i="6"/>
  <c r="K13" i="6" s="1"/>
  <c r="F12" i="3"/>
  <c r="K50" i="3"/>
  <c r="M50" i="3" s="1"/>
  <c r="N50" i="3" s="1"/>
  <c r="K66" i="3"/>
  <c r="M66" i="3" s="1"/>
  <c r="N66" i="3" s="1"/>
  <c r="L46" i="3"/>
  <c r="L54" i="3"/>
  <c r="L62" i="3"/>
  <c r="L70" i="3"/>
  <c r="J49" i="6"/>
  <c r="I8" i="7" s="1"/>
  <c r="K62" i="3"/>
  <c r="M62" i="3" s="1"/>
  <c r="N62" i="3" s="1"/>
  <c r="F9" i="3"/>
  <c r="F13" i="3"/>
  <c r="F17" i="3"/>
  <c r="F21" i="3"/>
  <c r="F25" i="3"/>
  <c r="F29" i="3"/>
  <c r="F33" i="3"/>
  <c r="F37" i="3"/>
  <c r="I40" i="4"/>
  <c r="I48" i="4"/>
  <c r="I56" i="4"/>
  <c r="C8" i="10"/>
  <c r="K8" i="10" s="1"/>
  <c r="L8" i="10" s="1"/>
  <c r="C16" i="10"/>
  <c r="K16" i="10" s="1"/>
  <c r="L16" i="10" s="1"/>
  <c r="K58" i="3"/>
  <c r="M58" i="3" s="1"/>
  <c r="N58" i="3" s="1"/>
  <c r="E31" i="4"/>
  <c r="C53" i="6"/>
  <c r="I53" i="6" s="1"/>
  <c r="E7" i="4"/>
  <c r="E23" i="4"/>
  <c r="E49" i="4"/>
  <c r="E57" i="4"/>
  <c r="F47" i="3"/>
  <c r="F51" i="3"/>
  <c r="F55" i="3"/>
  <c r="F59" i="3"/>
  <c r="F63" i="3"/>
  <c r="F67" i="3"/>
  <c r="F71" i="3"/>
  <c r="G41" i="4"/>
  <c r="G49" i="4"/>
  <c r="G65" i="4"/>
  <c r="C8" i="8"/>
  <c r="K8" i="8" s="1"/>
  <c r="L8" i="8" s="1"/>
  <c r="C27" i="11"/>
  <c r="L27" i="11" s="1"/>
  <c r="E12" i="4"/>
  <c r="J40" i="6"/>
  <c r="I7" i="7" s="1"/>
  <c r="C35" i="11"/>
  <c r="L35" i="11" s="1"/>
  <c r="E15" i="4"/>
  <c r="E65" i="4"/>
  <c r="K33" i="3"/>
  <c r="I7" i="4"/>
  <c r="I15" i="4"/>
  <c r="I23" i="4"/>
  <c r="I31" i="4"/>
  <c r="C9" i="10"/>
  <c r="K9" i="10" s="1"/>
  <c r="L9" i="10" s="1"/>
  <c r="C17" i="10"/>
  <c r="K17" i="10" s="1"/>
  <c r="L17" i="10" s="1"/>
  <c r="C17" i="11"/>
  <c r="L17" i="11" s="1"/>
  <c r="M17" i="11" s="1"/>
  <c r="C43" i="11"/>
  <c r="L43" i="11" s="1"/>
  <c r="E36" i="4"/>
  <c r="E8" i="4"/>
  <c r="E16" i="4"/>
  <c r="E24" i="4"/>
  <c r="E32" i="4"/>
  <c r="E42" i="4"/>
  <c r="H17" i="5" s="1"/>
  <c r="J17" i="5" s="1"/>
  <c r="O17" i="5" s="1"/>
  <c r="E50" i="4"/>
  <c r="E58" i="4"/>
  <c r="E66" i="4"/>
  <c r="C44" i="6"/>
  <c r="I44" i="6" s="1"/>
  <c r="K93" i="6"/>
  <c r="K98" i="6" s="1"/>
  <c r="C9" i="8"/>
  <c r="K9" i="8" s="1"/>
  <c r="L9" i="8" s="1"/>
  <c r="L47" i="3"/>
  <c r="L55" i="3"/>
  <c r="L63" i="3"/>
  <c r="L71" i="3"/>
  <c r="F14" i="3"/>
  <c r="F38" i="3"/>
  <c r="C18" i="10"/>
  <c r="K18" i="10" s="1"/>
  <c r="L18" i="10" s="1"/>
  <c r="C28" i="11"/>
  <c r="L28" i="11" s="1"/>
  <c r="M28" i="11" s="1"/>
  <c r="F22" i="3"/>
  <c r="E9" i="4"/>
  <c r="E17" i="4"/>
  <c r="E25" i="4"/>
  <c r="E33" i="4"/>
  <c r="E43" i="4"/>
  <c r="E51" i="4"/>
  <c r="E59" i="4"/>
  <c r="E67" i="4"/>
  <c r="C35" i="6"/>
  <c r="I35" i="6" s="1"/>
  <c r="C36" i="11"/>
  <c r="L36" i="11" s="1"/>
  <c r="M36" i="11" s="1"/>
  <c r="F18" i="3"/>
  <c r="F68" i="3"/>
  <c r="G17" i="4"/>
  <c r="G33" i="4"/>
  <c r="C44" i="11"/>
  <c r="L44" i="11" s="1"/>
  <c r="M44" i="11" s="1"/>
  <c r="E21" i="4"/>
  <c r="F10" i="3"/>
  <c r="C10" i="8"/>
  <c r="K10" i="8" s="1"/>
  <c r="L10" i="8" s="1"/>
  <c r="F36" i="3"/>
  <c r="E13" i="4"/>
  <c r="H9" i="5" s="1"/>
  <c r="J9" i="5" s="1"/>
  <c r="O9" i="5" s="1"/>
  <c r="F26" i="3"/>
  <c r="F60" i="3"/>
  <c r="F72" i="3"/>
  <c r="G9" i="4"/>
  <c r="G25" i="4"/>
  <c r="C11" i="10"/>
  <c r="K11" i="10" s="1"/>
  <c r="L11" i="10" s="1"/>
  <c r="C13" i="11"/>
  <c r="L13" i="11" s="1"/>
  <c r="M13" i="11" s="1"/>
  <c r="F24" i="3"/>
  <c r="F34" i="3"/>
  <c r="E10" i="4"/>
  <c r="E18" i="4"/>
  <c r="E26" i="4"/>
  <c r="E34" i="4"/>
  <c r="E44" i="4"/>
  <c r="E52" i="4"/>
  <c r="E60" i="4"/>
  <c r="C26" i="6"/>
  <c r="I26" i="6" s="1"/>
  <c r="C21" i="11"/>
  <c r="L21" i="11" s="1"/>
  <c r="F6" i="3"/>
  <c r="F30" i="3"/>
  <c r="C29" i="11"/>
  <c r="L29" i="11" s="1"/>
  <c r="M29" i="11" s="1"/>
  <c r="L57" i="3"/>
  <c r="F20" i="3"/>
  <c r="E5" i="4"/>
  <c r="F8" i="3"/>
  <c r="F11" i="3"/>
  <c r="F15" i="3"/>
  <c r="F19" i="3"/>
  <c r="F23" i="3"/>
  <c r="F27" i="3"/>
  <c r="F31" i="3"/>
  <c r="F35" i="3"/>
  <c r="C12" i="10"/>
  <c r="K12" i="10" s="1"/>
  <c r="L12" i="10" s="1"/>
  <c r="E11" i="4"/>
  <c r="E19" i="4"/>
  <c r="E35" i="4"/>
  <c r="F45" i="3"/>
  <c r="F49" i="3"/>
  <c r="F53" i="3"/>
  <c r="F65" i="3"/>
  <c r="N6" i="3" l="1"/>
  <c r="E5" i="12"/>
  <c r="F5" i="12" s="1"/>
  <c r="J105" i="6"/>
  <c r="H18" i="5"/>
  <c r="J18" i="5" s="1"/>
  <c r="O18" i="5" s="1"/>
  <c r="O20" i="5" s="1"/>
  <c r="H19" i="5"/>
  <c r="J19" i="5" s="1"/>
  <c r="O19" i="5" s="1"/>
  <c r="E7" i="7" s="1"/>
  <c r="G18" i="5"/>
  <c r="K18" i="5" s="1"/>
  <c r="P18" i="5" s="1"/>
  <c r="L17" i="5"/>
  <c r="L18" i="5"/>
  <c r="G17" i="5"/>
  <c r="K17" i="5" s="1"/>
  <c r="P17" i="5" s="1"/>
  <c r="P20" i="5" s="1"/>
  <c r="L19" i="5"/>
  <c r="G19" i="5"/>
  <c r="K19" i="5" s="1"/>
  <c r="P19" i="5" s="1"/>
  <c r="L45" i="11"/>
  <c r="M45" i="11" s="1"/>
  <c r="M43" i="11"/>
  <c r="K12" i="8"/>
  <c r="L6" i="8"/>
  <c r="G9" i="5"/>
  <c r="K9" i="5" s="1"/>
  <c r="P9" i="5" s="1"/>
  <c r="F7" i="7" s="1"/>
  <c r="L6" i="5"/>
  <c r="G6" i="5"/>
  <c r="K6" i="5" s="1"/>
  <c r="P6" i="5" s="1"/>
  <c r="L9" i="5"/>
  <c r="L11" i="5"/>
  <c r="G12" i="5"/>
  <c r="K12" i="5" s="1"/>
  <c r="P12" i="5" s="1"/>
  <c r="F10" i="7" s="1"/>
  <c r="G11" i="5"/>
  <c r="K11" i="5" s="1"/>
  <c r="P11" i="5" s="1"/>
  <c r="F9" i="7" s="1"/>
  <c r="L8" i="5"/>
  <c r="G8" i="5"/>
  <c r="K8" i="5" s="1"/>
  <c r="P8" i="5" s="1"/>
  <c r="F6" i="7" s="1"/>
  <c r="L10" i="5"/>
  <c r="G10" i="5"/>
  <c r="K10" i="5" s="1"/>
  <c r="P10" i="5" s="1"/>
  <c r="F8" i="7" s="1"/>
  <c r="L7" i="5"/>
  <c r="L12" i="5"/>
  <c r="G7" i="5"/>
  <c r="K7" i="5" s="1"/>
  <c r="P7" i="5" s="1"/>
  <c r="F5" i="7" s="1"/>
  <c r="H10" i="5"/>
  <c r="J10" i="5" s="1"/>
  <c r="O10" i="5" s="1"/>
  <c r="E8" i="7" s="1"/>
  <c r="K73" i="3"/>
  <c r="M45" i="3"/>
  <c r="K19" i="10"/>
  <c r="H6" i="5"/>
  <c r="J6" i="5" s="1"/>
  <c r="O6" i="5" s="1"/>
  <c r="L58" i="3"/>
  <c r="L50" i="11"/>
  <c r="M50" i="11" s="1"/>
  <c r="M48" i="11"/>
  <c r="L50" i="3"/>
  <c r="H7" i="5"/>
  <c r="J7" i="5" s="1"/>
  <c r="O7" i="5" s="1"/>
  <c r="E5" i="7" s="1"/>
  <c r="M21" i="11"/>
  <c r="L24" i="11"/>
  <c r="M24" i="11" s="1"/>
  <c r="L53" i="3"/>
  <c r="L33" i="3"/>
  <c r="M33" i="3"/>
  <c r="N33" i="3" s="1"/>
  <c r="H12" i="5"/>
  <c r="J12" i="5" s="1"/>
  <c r="O12" i="5" s="1"/>
  <c r="E10" i="7" s="1"/>
  <c r="M35" i="11"/>
  <c r="L40" i="11"/>
  <c r="M40" i="11" s="1"/>
  <c r="L24" i="3"/>
  <c r="L66" i="3"/>
  <c r="L12" i="3"/>
  <c r="L39" i="3" s="1"/>
  <c r="H8" i="5"/>
  <c r="J8" i="5" s="1"/>
  <c r="O8" i="5" s="1"/>
  <c r="E6" i="7" s="1"/>
  <c r="L9" i="11"/>
  <c r="M9" i="11" s="1"/>
  <c r="M6" i="11"/>
  <c r="H12" i="7"/>
  <c r="K69" i="6"/>
  <c r="K103" i="6" s="1"/>
  <c r="K105" i="6" s="1"/>
  <c r="M27" i="11"/>
  <c r="L32" i="11"/>
  <c r="M32" i="11" s="1"/>
  <c r="H103" i="6"/>
  <c r="D5" i="12" s="1"/>
  <c r="D9" i="12" s="1"/>
  <c r="L45" i="3"/>
  <c r="L73" i="3" s="1"/>
  <c r="H11" i="5"/>
  <c r="J11" i="5" s="1"/>
  <c r="O11" i="5" s="1"/>
  <c r="E9" i="7" s="1"/>
  <c r="L65" i="3"/>
  <c r="L18" i="11"/>
  <c r="M18" i="11" s="1"/>
  <c r="M12" i="11"/>
  <c r="L36" i="3"/>
  <c r="P13" i="5" l="1"/>
  <c r="P23" i="5" s="1"/>
  <c r="F4" i="7"/>
  <c r="F12" i="7" s="1"/>
  <c r="B4" i="12" s="1"/>
  <c r="B9" i="12" s="1"/>
  <c r="B11" i="12" s="1"/>
  <c r="N39" i="3"/>
  <c r="K21" i="10"/>
  <c r="L19" i="10"/>
  <c r="N45" i="3"/>
  <c r="N73" i="3" s="1"/>
  <c r="M73" i="3"/>
  <c r="J75" i="3" s="1"/>
  <c r="M39" i="3"/>
  <c r="E4" i="7"/>
  <c r="E12" i="7" s="1"/>
  <c r="C4" i="12" s="1"/>
  <c r="C9" i="12" s="1"/>
  <c r="O13" i="5"/>
  <c r="O23" i="5" s="1"/>
  <c r="L12" i="8"/>
  <c r="K14" i="8"/>
  <c r="F18" i="5" l="1"/>
  <c r="M18" i="5" s="1"/>
  <c r="N18" i="5" s="1"/>
  <c r="Q18" i="5" s="1"/>
  <c r="R18" i="5" s="1"/>
  <c r="F17" i="5"/>
  <c r="M17" i="5" s="1"/>
  <c r="N17" i="5" s="1"/>
  <c r="Q17" i="5" s="1"/>
  <c r="F19" i="5"/>
  <c r="M19" i="5" s="1"/>
  <c r="N19" i="5" s="1"/>
  <c r="Q19" i="5" s="1"/>
  <c r="R19" i="5" s="1"/>
  <c r="N78" i="3"/>
  <c r="E6" i="12"/>
  <c r="F6" i="12" s="1"/>
  <c r="L14" i="8"/>
  <c r="L21" i="10"/>
  <c r="E7" i="12"/>
  <c r="F7" i="12" s="1"/>
  <c r="J41" i="3"/>
  <c r="M78" i="3"/>
  <c r="F9" i="5" l="1"/>
  <c r="M9" i="5" s="1"/>
  <c r="N9" i="5" s="1"/>
  <c r="Q9" i="5" s="1"/>
  <c r="F6" i="5"/>
  <c r="M6" i="5" s="1"/>
  <c r="N6" i="5" s="1"/>
  <c r="Q6" i="5" s="1"/>
  <c r="F11" i="5"/>
  <c r="M11" i="5" s="1"/>
  <c r="N11" i="5" s="1"/>
  <c r="Q11" i="5" s="1"/>
  <c r="F8" i="5"/>
  <c r="M8" i="5" s="1"/>
  <c r="N8" i="5" s="1"/>
  <c r="Q8" i="5" s="1"/>
  <c r="F10" i="5"/>
  <c r="M10" i="5" s="1"/>
  <c r="N10" i="5" s="1"/>
  <c r="Q10" i="5" s="1"/>
  <c r="F7" i="5"/>
  <c r="M7" i="5" s="1"/>
  <c r="N7" i="5" s="1"/>
  <c r="Q7" i="5" s="1"/>
  <c r="F12" i="5"/>
  <c r="M12" i="5" s="1"/>
  <c r="N12" i="5" s="1"/>
  <c r="Q12" i="5" s="1"/>
  <c r="R17" i="5"/>
  <c r="R20" i="5" s="1"/>
  <c r="Q20" i="5"/>
  <c r="G10" i="7" l="1"/>
  <c r="J10" i="7" s="1"/>
  <c r="K10" i="7" s="1"/>
  <c r="L10" i="7" s="1"/>
  <c r="R12" i="5"/>
  <c r="R7" i="5"/>
  <c r="G5" i="7"/>
  <c r="J5" i="7" s="1"/>
  <c r="K5" i="7" s="1"/>
  <c r="L5" i="7" s="1"/>
  <c r="R10" i="5"/>
  <c r="G8" i="7"/>
  <c r="J8" i="7" s="1"/>
  <c r="K8" i="7" s="1"/>
  <c r="L8" i="7" s="1"/>
  <c r="G9" i="7"/>
  <c r="J9" i="7" s="1"/>
  <c r="K9" i="7" s="1"/>
  <c r="L9" i="7" s="1"/>
  <c r="R11" i="5"/>
  <c r="R8" i="5"/>
  <c r="G6" i="7"/>
  <c r="J6" i="7" s="1"/>
  <c r="K6" i="7" s="1"/>
  <c r="L6" i="7" s="1"/>
  <c r="Q13" i="5"/>
  <c r="Q23" i="5" s="1"/>
  <c r="Q25" i="5" s="1"/>
  <c r="G4" i="7"/>
  <c r="R6" i="5"/>
  <c r="G7" i="7"/>
  <c r="J7" i="7" s="1"/>
  <c r="K7" i="7" s="1"/>
  <c r="L7" i="7" s="1"/>
  <c r="R9" i="5"/>
  <c r="G12" i="7" l="1"/>
  <c r="E4" i="12" s="1"/>
  <c r="J4" i="7"/>
  <c r="R13" i="5"/>
  <c r="R23" i="5" s="1"/>
  <c r="R25" i="5" s="1"/>
  <c r="K4" i="7" l="1"/>
  <c r="J12" i="7"/>
  <c r="E9" i="12"/>
  <c r="F9" i="12" s="1"/>
  <c r="F4" i="12"/>
  <c r="L4" i="7" l="1"/>
  <c r="L12" i="7" s="1"/>
  <c r="K12" i="7"/>
</calcChain>
</file>

<file path=xl/sharedStrings.xml><?xml version="1.0" encoding="utf-8"?>
<sst xmlns="http://schemas.openxmlformats.org/spreadsheetml/2006/main" count="1801" uniqueCount="562">
  <si>
    <t>Blad 'Omreken'</t>
  </si>
  <si>
    <t>Dit blad mag niet worden gewijzigd!</t>
  </si>
  <si>
    <t>Type:</t>
  </si>
  <si>
    <t>Invultabel</t>
  </si>
  <si>
    <t>Werkdagen</t>
  </si>
  <si>
    <t xml:space="preserve">per jaar: </t>
  </si>
  <si>
    <t xml:space="preserve">per week: </t>
  </si>
  <si>
    <t>FREQ</t>
  </si>
  <si>
    <t>FACTOR</t>
  </si>
  <si>
    <t>5W</t>
  </si>
  <si>
    <t>4W</t>
  </si>
  <si>
    <t>200J</t>
  </si>
  <si>
    <t>3W</t>
  </si>
  <si>
    <t>120J</t>
  </si>
  <si>
    <t>2W</t>
  </si>
  <si>
    <t>80J</t>
  </si>
  <si>
    <t>55J</t>
  </si>
  <si>
    <t>1W</t>
  </si>
  <si>
    <t>40J</t>
  </si>
  <si>
    <t>33J</t>
  </si>
  <si>
    <t>26J</t>
  </si>
  <si>
    <t>12J</t>
  </si>
  <si>
    <t>11J</t>
  </si>
  <si>
    <t>10J</t>
  </si>
  <si>
    <t>8J</t>
  </si>
  <si>
    <t>6J</t>
  </si>
  <si>
    <t>4J</t>
  </si>
  <si>
    <t>3J</t>
  </si>
  <si>
    <t>2J</t>
  </si>
  <si>
    <t>1J</t>
  </si>
  <si>
    <t>NORM-CODE</t>
  </si>
  <si>
    <t>CATEGORIE</t>
  </si>
  <si>
    <t>DAGEN/JAAR</t>
  </si>
  <si>
    <t>OMSCHRIJVING</t>
  </si>
  <si>
    <t>PRODUCTIE-NORM</t>
  </si>
  <si>
    <t>% HOOG-FREQUENT</t>
  </si>
  <si>
    <t>EENHEID</t>
  </si>
  <si>
    <t>TARIEF (EURO)</t>
  </si>
  <si>
    <t xml:space="preserve">WERKDAG             </t>
  </si>
  <si>
    <t>BHB</t>
  </si>
  <si>
    <t xml:space="preserve">B    </t>
  </si>
  <si>
    <t>Kantoor-/personeels-/vergaderruimte - harde vloeren (basis)</t>
  </si>
  <si>
    <t>m²/uur</t>
  </si>
  <si>
    <t>CHB</t>
  </si>
  <si>
    <t>Computerlokaal - harde vloeren (basis)</t>
  </si>
  <si>
    <t>LHB</t>
  </si>
  <si>
    <t>Leslokalen/studieruimte - harde vloeren (basis)</t>
  </si>
  <si>
    <t>BHV</t>
  </si>
  <si>
    <t>Kantoor-/personeels-/vergaderruimte - harde vloeren (volledig)</t>
  </si>
  <si>
    <t>CHV</t>
  </si>
  <si>
    <t>Computerlokaal - harde vloeren (volledig)</t>
  </si>
  <si>
    <t>LHV</t>
  </si>
  <si>
    <t>Leslokalen/studieruimte - harde vloeren (volledig)</t>
  </si>
  <si>
    <t>OLHB</t>
  </si>
  <si>
    <t>Open studieruimte - harde vloeren (basis)</t>
  </si>
  <si>
    <t>OLHV</t>
  </si>
  <si>
    <t>Open studieruimte - harde vloeren (volledig)</t>
  </si>
  <si>
    <t>WPHB</t>
  </si>
  <si>
    <t>Werkplaats - harde vloeren (basis)</t>
  </si>
  <si>
    <t>WPHV</t>
  </si>
  <si>
    <t>Werkplaats - harde vloeren (volledig)</t>
  </si>
  <si>
    <t>STZB</t>
  </si>
  <si>
    <t>Zelfstudie ruimte - zachte vloeren (basis)</t>
  </si>
  <si>
    <t>STZV</t>
  </si>
  <si>
    <t>Zelfstudie ruimte - zachte vloeren (volledig)</t>
  </si>
  <si>
    <t>BZB</t>
  </si>
  <si>
    <t>Kantoor-/personeels-/vergaderruimte - zachte vloeren (basis)</t>
  </si>
  <si>
    <t>LZB</t>
  </si>
  <si>
    <t>Leslokalen/studieruimte - zachte vloeren (basis)</t>
  </si>
  <si>
    <t>BZV</t>
  </si>
  <si>
    <t>Kantoor-/personeels-/vergaderruimte - zachte vloeren (volledig)</t>
  </si>
  <si>
    <t>LZV</t>
  </si>
  <si>
    <t>Leslokalen/studieruimte - zachte vloeren (volledig)</t>
  </si>
  <si>
    <t>PMHB</t>
  </si>
  <si>
    <t xml:space="preserve">PM   </t>
  </si>
  <si>
    <t>Praktijklokaal minimaal - harde vloeren (basis)</t>
  </si>
  <si>
    <t>PMHV</t>
  </si>
  <si>
    <t>Praktijklokaal minimaal - harde vloeren (volledig)</t>
  </si>
  <si>
    <t>PMZB</t>
  </si>
  <si>
    <t>Praktijklokaal minimaal - zachte vloeren (basis)</t>
  </si>
  <si>
    <t>PMZV</t>
  </si>
  <si>
    <t>Praktijklokaal minimaal - zachte vloeren (volledig)</t>
  </si>
  <si>
    <t>PSHB</t>
  </si>
  <si>
    <t xml:space="preserve">PS   </t>
  </si>
  <si>
    <t>Praktijklokaal specialistisch - harde vloeren (basis)</t>
  </si>
  <si>
    <t>PSHV</t>
  </si>
  <si>
    <t>Praktijklokaal specialistisch - harde vloeren (volledig)</t>
  </si>
  <si>
    <t>PSZB</t>
  </si>
  <si>
    <t>Praktijklokaal specialistisch - zachte vloeren (basis)</t>
  </si>
  <si>
    <t>PSZV</t>
  </si>
  <si>
    <t>Praktijklokaal specialistisch - zachte vloeren (volledig)</t>
  </si>
  <si>
    <t>PTHB</t>
  </si>
  <si>
    <t xml:space="preserve">PT   </t>
  </si>
  <si>
    <t>Praktijklokaal techniek - harde vloeren (basis)</t>
  </si>
  <si>
    <t>PTHV</t>
  </si>
  <si>
    <t>Praktijklokaal techniek - harde vloeren (volledig)</t>
  </si>
  <si>
    <t>PUHB</t>
  </si>
  <si>
    <t xml:space="preserve">PU   </t>
  </si>
  <si>
    <t>Praktijklokaal uitgebreid - harde vloeren (basis)</t>
  </si>
  <si>
    <t>PUHV</t>
  </si>
  <si>
    <t>Praktijklokaal uitgebreid - harde vloeren (volledig)</t>
  </si>
  <si>
    <t>DHB</t>
  </si>
  <si>
    <t xml:space="preserve">S    </t>
  </si>
  <si>
    <t>Douche/wasruimte - harde vloeren (basis)</t>
  </si>
  <si>
    <t>KHB</t>
  </si>
  <si>
    <t>Kleedruimte - harde vloeren (basis)</t>
  </si>
  <si>
    <t>SHB</t>
  </si>
  <si>
    <t>Sanitaire ruimte/toiletgroep - harde vloeren (basis)</t>
  </si>
  <si>
    <t>DHV</t>
  </si>
  <si>
    <t>Douche/wasruimte - harde vloeren (volledig)</t>
  </si>
  <si>
    <t>KHV</t>
  </si>
  <si>
    <t>Kleedruimte - harde vloeren (volledig)</t>
  </si>
  <si>
    <t>SHV</t>
  </si>
  <si>
    <t>Sanitaire ruimte/toiletgroep - harde vloeren (volledig)</t>
  </si>
  <si>
    <t>AHB</t>
  </si>
  <si>
    <t xml:space="preserve">V    </t>
  </si>
  <si>
    <t>Aula/pauzeruimte - harde vloeren (basis)</t>
  </si>
  <si>
    <t>EHB</t>
  </si>
  <si>
    <t>Entree - harde vloeren (basis)</t>
  </si>
  <si>
    <t>GHB</t>
  </si>
  <si>
    <t>Gym-/speelzaal/multifunc ruimte - harde vloeren (basis)</t>
  </si>
  <si>
    <t>IHB</t>
  </si>
  <si>
    <t>Lift - harde vloeren (basis)</t>
  </si>
  <si>
    <t>PHB</t>
  </si>
  <si>
    <t>Pantry/keuken - harde vloeren (basis)</t>
  </si>
  <si>
    <t>THB</t>
  </si>
  <si>
    <t>Trap - harde vloeren (basis)</t>
  </si>
  <si>
    <t>VHB</t>
  </si>
  <si>
    <t>Verkeersruimte/garderobe/reprografie - harde vloeren (basis)</t>
  </si>
  <si>
    <t>AHV</t>
  </si>
  <si>
    <t>Aula/pauzeruimte - harde vloeren (volledig)</t>
  </si>
  <si>
    <t>EHV</t>
  </si>
  <si>
    <t>Entree - harde vloeren (volledig)</t>
  </si>
  <si>
    <t>GHV</t>
  </si>
  <si>
    <t>Gym-l/speelzaal/multifunc ruimte - harde vloeren (volledig)</t>
  </si>
  <si>
    <t>IHV</t>
  </si>
  <si>
    <t>Lift - harde vloeren (volledig)</t>
  </si>
  <si>
    <t>PHV</t>
  </si>
  <si>
    <t>Pantry/keuken - harde vloeren (volledig)</t>
  </si>
  <si>
    <t>THV</t>
  </si>
  <si>
    <t>Trap - harde vloeren (volledig)</t>
  </si>
  <si>
    <t>VHV</t>
  </si>
  <si>
    <t>Verkeersruimte/garderobe/reprografie - harde vloeren (volledig)</t>
  </si>
  <si>
    <t>EZB</t>
  </si>
  <si>
    <t>Entree - zachte vloeren (basis)</t>
  </si>
  <si>
    <t>GZB</t>
  </si>
  <si>
    <t>Gym-/speelzaal/multifunc ruimte - zachte vloeren (basis)</t>
  </si>
  <si>
    <t>PZB</t>
  </si>
  <si>
    <t>Pantry/keuken - zachte vloeren (basis)</t>
  </si>
  <si>
    <t>TZB</t>
  </si>
  <si>
    <t>Trap - zachte vloeren (basis)</t>
  </si>
  <si>
    <t>VZB</t>
  </si>
  <si>
    <t>Verkeersruimte/garderobe/reprografie - zachte vloeren (basis)</t>
  </si>
  <si>
    <t>EZV</t>
  </si>
  <si>
    <t>Entree - zachte vloeren (volledig)</t>
  </si>
  <si>
    <t>GZV</t>
  </si>
  <si>
    <t>Gym-/speelzaal/multifunc ruimte - zachte vloeren (volledig)</t>
  </si>
  <si>
    <t>PZV</t>
  </si>
  <si>
    <t>Pantry/keuken - zachte vloeren (volledig)</t>
  </si>
  <si>
    <t>TZV</t>
  </si>
  <si>
    <t>Trap - zachte vloeren (volledig)</t>
  </si>
  <si>
    <t>VZV</t>
  </si>
  <si>
    <t>Verkeersruimte/garderobe/reprografie - zachte vloeren (volledig)</t>
  </si>
  <si>
    <t xml:space="preserve">WERKDAG VAKANTIE    </t>
  </si>
  <si>
    <t>VBHB</t>
  </si>
  <si>
    <t>VBZB</t>
  </si>
  <si>
    <t>VLHB</t>
  </si>
  <si>
    <t>VDHB</t>
  </si>
  <si>
    <t>VKHB</t>
  </si>
  <si>
    <t>Kleedkamer - harde vloeren (basis)</t>
  </si>
  <si>
    <t>VSHB</t>
  </si>
  <si>
    <t>VAHB</t>
  </si>
  <si>
    <t>Aula/pauze ruimte - harde vloeren (basis)</t>
  </si>
  <si>
    <t>VEHB</t>
  </si>
  <si>
    <t>VEZB</t>
  </si>
  <si>
    <t>VGHB</t>
  </si>
  <si>
    <t>VIHB</t>
  </si>
  <si>
    <t>VTHB</t>
  </si>
  <si>
    <t>VTZB</t>
  </si>
  <si>
    <t>VVHB</t>
  </si>
  <si>
    <t>VVZB</t>
  </si>
  <si>
    <t>TAAK</t>
  </si>
  <si>
    <t>WERK- SOORT</t>
  </si>
  <si>
    <t>OPP OF AANTAL</t>
  </si>
  <si>
    <t>OPP OF AANTAL /DAG</t>
  </si>
  <si>
    <t>UREN/ DAG</t>
  </si>
  <si>
    <t>PRIJS/ DAG</t>
  </si>
  <si>
    <t>UREN/ JAAR</t>
  </si>
  <si>
    <t>PRIJS/ JAAR</t>
  </si>
  <si>
    <t>AH</t>
  </si>
  <si>
    <t>interieur</t>
  </si>
  <si>
    <t>Aula/pauzeruimte - harde vloeren</t>
  </si>
  <si>
    <t>BH</t>
  </si>
  <si>
    <t>Kantoor/personeels-/vergaderrruimte - harde vloeren</t>
  </si>
  <si>
    <t>BZ</t>
  </si>
  <si>
    <t>Kantoor/personeels-/vergaderrruimte - zachte vloeren</t>
  </si>
  <si>
    <t>CH</t>
  </si>
  <si>
    <t>Computerlokaal - harde vloeren</t>
  </si>
  <si>
    <t>DH</t>
  </si>
  <si>
    <t>Douche/wasruimte - harde vloeren</t>
  </si>
  <si>
    <t>EH</t>
  </si>
  <si>
    <t>Entree - harde vloeren</t>
  </si>
  <si>
    <t>EZ</t>
  </si>
  <si>
    <t>Entree - zachte vloeren</t>
  </si>
  <si>
    <t>GH</t>
  </si>
  <si>
    <t>Gymzaal/sportruimte/toestelberging - harde vloeren</t>
  </si>
  <si>
    <t>GZ</t>
  </si>
  <si>
    <t>Gymzaal/sportruimte/toestelberging - zachte vloeren</t>
  </si>
  <si>
    <t>IH</t>
  </si>
  <si>
    <t>Lift - harde vloeren</t>
  </si>
  <si>
    <t>KLH</t>
  </si>
  <si>
    <t>Kleedruimte - harde vloeren</t>
  </si>
  <si>
    <t>LH</t>
  </si>
  <si>
    <t>Leslokaal/studieruimte - harde vloeren</t>
  </si>
  <si>
    <t>LZ</t>
  </si>
  <si>
    <t>Leslokaal/studieruimte - zachte vloeren</t>
  </si>
  <si>
    <t>OLH</t>
  </si>
  <si>
    <t>Open lesruimte - harde vloeren</t>
  </si>
  <si>
    <t>PH</t>
  </si>
  <si>
    <t>Pantry/keuken - harde vloeren</t>
  </si>
  <si>
    <t>PMH</t>
  </si>
  <si>
    <t>Praktijklokaal minimaal - harde vloeren</t>
  </si>
  <si>
    <t>PMZ</t>
  </si>
  <si>
    <t>Praktijklokaal minimaal - zachte vloeren</t>
  </si>
  <si>
    <t>PSH</t>
  </si>
  <si>
    <t>Praktijklokaal specialistisch - harde vloeren</t>
  </si>
  <si>
    <t>PSZ</t>
  </si>
  <si>
    <t>Praktijklokaal specialistisch - zachte vloeren</t>
  </si>
  <si>
    <t>PTH</t>
  </si>
  <si>
    <t>Praktijklokaal techniek - harde vloeren</t>
  </si>
  <si>
    <t>PUH</t>
  </si>
  <si>
    <t>Praktijklokaal uitgebreid - harde vloeren</t>
  </si>
  <si>
    <t>PZ</t>
  </si>
  <si>
    <t>Pantry/keuken - zachte vloeren</t>
  </si>
  <si>
    <t>SH</t>
  </si>
  <si>
    <t>Sanitaire ruimte/toiletten - harde vloeren</t>
  </si>
  <si>
    <t>SHN</t>
  </si>
  <si>
    <t>Sanitaire ruimte/toiletten - harde vloeren - naloop</t>
  </si>
  <si>
    <t>STZ</t>
  </si>
  <si>
    <t>Zelfstudieruimte - zachte vloeren</t>
  </si>
  <si>
    <t>TH</t>
  </si>
  <si>
    <t>Trap - harde vloeren</t>
  </si>
  <si>
    <t>TZ</t>
  </si>
  <si>
    <t>Trap - zachte vloeren</t>
  </si>
  <si>
    <t>VH</t>
  </si>
  <si>
    <t>Verkeersruimte/garderobe/reprografie - harde vloeren</t>
  </si>
  <si>
    <t>VZ</t>
  </si>
  <si>
    <t>Verkeersruimte/garderobe/reprografie - zachte vloeren</t>
  </si>
  <si>
    <t>WPH</t>
  </si>
  <si>
    <t>Werkplaats - harde vloeren</t>
  </si>
  <si>
    <t>Z003</t>
  </si>
  <si>
    <t>extra</t>
  </si>
  <si>
    <t>Dieptereinigingen keuken</t>
  </si>
  <si>
    <t xml:space="preserve">Totaal Werkdag             </t>
  </si>
  <si>
    <t xml:space="preserve">Gemiddeld uurtarief Werkdag             </t>
  </si>
  <si>
    <t>VAH</t>
  </si>
  <si>
    <t>VBH</t>
  </si>
  <si>
    <t>VBZ</t>
  </si>
  <si>
    <t>VDH</t>
  </si>
  <si>
    <t>Douche ruimte - harde vloeren</t>
  </si>
  <si>
    <t>VEH</t>
  </si>
  <si>
    <t>VEZ</t>
  </si>
  <si>
    <t>VGH</t>
  </si>
  <si>
    <t>VIH</t>
  </si>
  <si>
    <t>VKLH</t>
  </si>
  <si>
    <t>Kleedkamer - harde vloeren</t>
  </si>
  <si>
    <t>VLH</t>
  </si>
  <si>
    <t>VSH</t>
  </si>
  <si>
    <t>VTH</t>
  </si>
  <si>
    <t>VTZ</t>
  </si>
  <si>
    <t>VVH</t>
  </si>
  <si>
    <t>VVZ</t>
  </si>
  <si>
    <t xml:space="preserve">Totaal werkdag vakantie    </t>
  </si>
  <si>
    <t xml:space="preserve">Gemiddeld uurtarief werkdag vakantie    </t>
  </si>
  <si>
    <t>Totaal regulier werk excl. BTW</t>
  </si>
  <si>
    <t>Omrekentabel t.b.v. Invultabel Objecten (niet afdrukken)</t>
  </si>
  <si>
    <t>DAGSOORT</t>
  </si>
  <si>
    <t>WERKSOORT</t>
  </si>
  <si>
    <t>FREQ DECIMAAL</t>
  </si>
  <si>
    <t>UURFACTOR</t>
  </si>
  <si>
    <t>KENGETAL</t>
  </si>
  <si>
    <t>TARIEF</t>
  </si>
  <si>
    <t xml:space="preserve">  DSW003</t>
  </si>
  <si>
    <t xml:space="preserve">  HML001</t>
  </si>
  <si>
    <t xml:space="preserve">  HML002</t>
  </si>
  <si>
    <t xml:space="preserve">  MPL002</t>
  </si>
  <si>
    <t xml:space="preserve">  NTB012</t>
  </si>
  <si>
    <t xml:space="preserve">  STB019</t>
  </si>
  <si>
    <t xml:space="preserve">  STB6_8</t>
  </si>
  <si>
    <t>Werkdag</t>
  </si>
  <si>
    <t>werkdag vakantie</t>
  </si>
  <si>
    <t>OBJECT</t>
  </si>
  <si>
    <t>NAAM</t>
  </si>
  <si>
    <t>ADRES</t>
  </si>
  <si>
    <t>PLAATS</t>
  </si>
  <si>
    <t>BASIS UUR- TARIEF</t>
  </si>
  <si>
    <t>UREN/ UITVOERING</t>
  </si>
  <si>
    <t>UREN HOOG-FREQUENT/ UITVOERING</t>
  </si>
  <si>
    <t>UREN HOOG-FREQUENT SUPPLETIE/ UITVOERING</t>
  </si>
  <si>
    <t>UREN HOOG-FREQUENT TOTAAL/ UITVOERING</t>
  </si>
  <si>
    <t>UREN TOTAAL/ UITVOERING</t>
  </si>
  <si>
    <t>PRIJS/ UITVOERING</t>
  </si>
  <si>
    <t>PRIJS SUPPLETIE/ UITVOERING</t>
  </si>
  <si>
    <t>PRIJS TOTAAL/ UITVOERING</t>
  </si>
  <si>
    <t>UREN HOOG-FREQUENT/ JAAR</t>
  </si>
  <si>
    <t>PRIJS/ JAAR (EURO)</t>
  </si>
  <si>
    <t>PRIJS/ MAAND (EURO)</t>
  </si>
  <si>
    <t>DSW003</t>
  </si>
  <si>
    <t>ROC Dasseweide</t>
  </si>
  <si>
    <t>Dasseweide 3</t>
  </si>
  <si>
    <t>Nieuwegein</t>
  </si>
  <si>
    <t>HML001</t>
  </si>
  <si>
    <t>ROC Harmonielaan 1</t>
  </si>
  <si>
    <t>Harmonielaan 1</t>
  </si>
  <si>
    <t>HML002</t>
  </si>
  <si>
    <t>ROC Harmonielaan 2</t>
  </si>
  <si>
    <t>Harmonielaan 2</t>
  </si>
  <si>
    <t>MPL002</t>
  </si>
  <si>
    <t>ROC Marco Pololaan</t>
  </si>
  <si>
    <t>Marco Pololaan 2</t>
  </si>
  <si>
    <t>Utrecht</t>
  </si>
  <si>
    <t>NTB012</t>
  </si>
  <si>
    <t>ROC Newtonbaan</t>
  </si>
  <si>
    <t>Newtonbaan 12</t>
  </si>
  <si>
    <t>STB019</t>
  </si>
  <si>
    <t>ROC Structuurbaan 19</t>
  </si>
  <si>
    <t>Structuurbaan 19</t>
  </si>
  <si>
    <t>STB6_8</t>
  </si>
  <si>
    <t>ROC Structuurbaan 6-8</t>
  </si>
  <si>
    <t>Structuurbaan 6 + 8</t>
  </si>
  <si>
    <t>Totaal regulier werk incl. suppleties (excl. BTW)</t>
  </si>
  <si>
    <t>Totaal regulier werk incl. suppleties (incl. BTW)</t>
  </si>
  <si>
    <t>CODE</t>
  </si>
  <si>
    <t>FREQ (dagen)</t>
  </si>
  <si>
    <t>FUNCTIENAAM</t>
  </si>
  <si>
    <t>UURTARIEF (euro)</t>
  </si>
  <si>
    <t>PERC. VAN UREN/JAAR REGULIER WERK</t>
  </si>
  <si>
    <t>VASTE UREN/KEER (decimaal)</t>
  </si>
  <si>
    <t>UREN/ KEER</t>
  </si>
  <si>
    <t>PRIJS/ JAAR (euro)</t>
  </si>
  <si>
    <t>PRIJS/ MAAND (euro)</t>
  </si>
  <si>
    <t>DSW003 - ROC Dasseweide, Dasseweide 3, Nieuwegein</t>
  </si>
  <si>
    <t>1000</t>
  </si>
  <si>
    <t>Niet meewerkende objectleiding</t>
  </si>
  <si>
    <t>&lt;invullen functie afh. van uren uitvoering per jaar&gt;</t>
  </si>
  <si>
    <t>&lt;invullen functie met vaste uren per dag&gt;</t>
  </si>
  <si>
    <t>Totaal DSW003 - ROC Dasseweide, Dasseweide 3, Nieuwegein</t>
  </si>
  <si>
    <t>HML001 - ROC Harmonielaan 1, Harmonielaan 1, Nieuwegein</t>
  </si>
  <si>
    <t>Totaal HML001 - ROC Harmonielaan 1, Harmonielaan 1, Nieuwegein</t>
  </si>
  <si>
    <t>HML002 - ROC Harmonielaan 2, Harmonielaan 2, Nieuwegein</t>
  </si>
  <si>
    <t>Totaal HML002 - ROC Harmonielaan 2, Harmonielaan 2, Nieuwegein</t>
  </si>
  <si>
    <t>MPL002 - ROC Marco Pololaan, Marco Pololaan 2, Utrecht</t>
  </si>
  <si>
    <t>Totaal MPL002 - ROC Marco Pololaan, Marco Pololaan 2, Utrecht</t>
  </si>
  <si>
    <t>NTB012 - ROC Newtonbaan, Newtonbaan 12, Nieuwegein</t>
  </si>
  <si>
    <t>Totaal NTB012 - ROC Newtonbaan, Newtonbaan 12, Nieuwegein</t>
  </si>
  <si>
    <t>STB019 - ROC Structuurbaan 19, Structuurbaan 19, Nieuwegein</t>
  </si>
  <si>
    <t>Totaal STB019 - ROC Structuurbaan 19, Structuurbaan 19, Nieuwegein</t>
  </si>
  <si>
    <t>STB6_8 - ROC Structuurbaan 6-8, Structuurbaan 6 + 8, Nieuwegein</t>
  </si>
  <si>
    <t>Totaal STB6_8 - ROC Structuurbaan 6-8, Structuurbaan 6 + 8, Nieuwegein</t>
  </si>
  <si>
    <t>V1000</t>
  </si>
  <si>
    <t>Totaal niet-meewerkende objectleiding</t>
  </si>
  <si>
    <t>Totaal niet-meewerkende objectleiding (incl. BTW)</t>
  </si>
  <si>
    <t>PRIJS UITVOEREND/ JAAR</t>
  </si>
  <si>
    <t>UREN LEIDING/ JAAR</t>
  </si>
  <si>
    <t>PRIJS LEIDING/ JAAR</t>
  </si>
  <si>
    <t>PRIJS MET LEIDING/ JAAR</t>
  </si>
  <si>
    <t>PRIJS/ MAAND EXCL.BTW</t>
  </si>
  <si>
    <t>PRIJS/ MAAND INCL.BTW</t>
  </si>
  <si>
    <t>Totaal van alle objecten</t>
  </si>
  <si>
    <t>BEURT</t>
  </si>
  <si>
    <t>FREQ (DAGEN)</t>
  </si>
  <si>
    <t>HOEVEELHEID /KEER</t>
  </si>
  <si>
    <t>UURTARIEF (EURO)</t>
  </si>
  <si>
    <t>NORM</t>
  </si>
  <si>
    <t>PRIJS/ EENHEID (EURO)</t>
  </si>
  <si>
    <t>PRIJS/ KEER</t>
  </si>
  <si>
    <t>9000</t>
  </si>
  <si>
    <t>Medewerker Regiewerkzaamheden</t>
  </si>
  <si>
    <t>prijs per uur</t>
  </si>
  <si>
    <t>9100</t>
  </si>
  <si>
    <t>Medewerker specialistische werkzaamheden</t>
  </si>
  <si>
    <t>9300</t>
  </si>
  <si>
    <t>Uurtarief glasbewassing</t>
  </si>
  <si>
    <t>9500</t>
  </si>
  <si>
    <t>Uurtarief medewerker bouwschoonmaak</t>
  </si>
  <si>
    <t>9501</t>
  </si>
  <si>
    <t>Uurtarief medewerker specialitisch bouwschoonmaak</t>
  </si>
  <si>
    <t>XB</t>
  </si>
  <si>
    <t>Periodiek beschermde vloeren</t>
  </si>
  <si>
    <t>tijdsnorm in vloer m²/uur</t>
  </si>
  <si>
    <t>Totaal afroep excl. BTW</t>
  </si>
  <si>
    <t>STAFFEL</t>
  </si>
  <si>
    <t>2000A</t>
  </si>
  <si>
    <t>Systeemkast/monitor reinigen</t>
  </si>
  <si>
    <t>prijs per stuk</t>
  </si>
  <si>
    <t>&lt; 25 stuks</t>
  </si>
  <si>
    <t>2000B</t>
  </si>
  <si>
    <t>25 tot 100 stuks</t>
  </si>
  <si>
    <t>2000C</t>
  </si>
  <si>
    <t>100 tot 500 stuks</t>
  </si>
  <si>
    <t>2000D</t>
  </si>
  <si>
    <t>&gt;= 500 stuks</t>
  </si>
  <si>
    <t>2010A</t>
  </si>
  <si>
    <t>Printer uitwendig reinigen</t>
  </si>
  <si>
    <t>2010B</t>
  </si>
  <si>
    <t>2010C</t>
  </si>
  <si>
    <t>2010D</t>
  </si>
  <si>
    <t>2020A</t>
  </si>
  <si>
    <t>Fax uitwendig reinigen</t>
  </si>
  <si>
    <t>2020B</t>
  </si>
  <si>
    <t>2020C</t>
  </si>
  <si>
    <t>2020D</t>
  </si>
  <si>
    <t>2030A</t>
  </si>
  <si>
    <t>Toetsenbord reinigen</t>
  </si>
  <si>
    <t>2030B</t>
  </si>
  <si>
    <t>2030C</t>
  </si>
  <si>
    <t>2030D</t>
  </si>
  <si>
    <t>3000A</t>
  </si>
  <si>
    <t>Lamellen (horizontaal) reinigen (alumin)</t>
  </si>
  <si>
    <t>prijs per m²</t>
  </si>
  <si>
    <t>&lt; 5 m²</t>
  </si>
  <si>
    <t>3000B</t>
  </si>
  <si>
    <t>5 &lt; 25 m²</t>
  </si>
  <si>
    <t>3000C</t>
  </si>
  <si>
    <t>25 &lt; 100 m²</t>
  </si>
  <si>
    <t>3000D</t>
  </si>
  <si>
    <t>&gt;=100 m²</t>
  </si>
  <si>
    <t>3001A</t>
  </si>
  <si>
    <t>Lamellen (horizontaal) reinigen (stof)</t>
  </si>
  <si>
    <t>3001B</t>
  </si>
  <si>
    <t>3001C</t>
  </si>
  <si>
    <t>3001D</t>
  </si>
  <si>
    <t>3002A</t>
  </si>
  <si>
    <t>Lamellen (horizontaal) reinigen (kunst)</t>
  </si>
  <si>
    <t>3002B</t>
  </si>
  <si>
    <t>3002C</t>
  </si>
  <si>
    <t>3002D</t>
  </si>
  <si>
    <t>3010A</t>
  </si>
  <si>
    <t>Lamellen (verticaal) reinigen (alumin)</t>
  </si>
  <si>
    <t>3010B</t>
  </si>
  <si>
    <t>3010C</t>
  </si>
  <si>
    <t>3010D</t>
  </si>
  <si>
    <t>3011A</t>
  </si>
  <si>
    <t>Lamellen (verticaal) reinigen (stof)</t>
  </si>
  <si>
    <t>3011B</t>
  </si>
  <si>
    <t>3011C</t>
  </si>
  <si>
    <t>3011D</t>
  </si>
  <si>
    <t>3012A</t>
  </si>
  <si>
    <t>Lamellen (verticaal) reinigen (kunst)</t>
  </si>
  <si>
    <t>3012B</t>
  </si>
  <si>
    <t>3012C</t>
  </si>
  <si>
    <t>3012D</t>
  </si>
  <si>
    <t>3020A</t>
  </si>
  <si>
    <t>Gordijnen reinigen</t>
  </si>
  <si>
    <t>3020B</t>
  </si>
  <si>
    <t>3020C</t>
  </si>
  <si>
    <t>3020D</t>
  </si>
  <si>
    <t>3040A</t>
  </si>
  <si>
    <t>Stoel (kunststof) reinigen</t>
  </si>
  <si>
    <t>3040B</t>
  </si>
  <si>
    <t>3040C</t>
  </si>
  <si>
    <t>3040D</t>
  </si>
  <si>
    <t>3050A</t>
  </si>
  <si>
    <t>Stoel (stoffen bekleding) reinigen</t>
  </si>
  <si>
    <t>3050B</t>
  </si>
  <si>
    <t>3050C</t>
  </si>
  <si>
    <t>3050D</t>
  </si>
  <si>
    <t>3200A</t>
  </si>
  <si>
    <t>Trespa/gevelbeplating reinigen</t>
  </si>
  <si>
    <t>&lt; 500 m²</t>
  </si>
  <si>
    <t>3200B</t>
  </si>
  <si>
    <t>500 &lt; 1000 m²</t>
  </si>
  <si>
    <t>3200C</t>
  </si>
  <si>
    <t>1000 &lt; 2000 m²</t>
  </si>
  <si>
    <t>3200D</t>
  </si>
  <si>
    <t>&gt;= 2000 m²</t>
  </si>
  <si>
    <t>4000A</t>
  </si>
  <si>
    <t>Vloer schrobben/waterzuigen</t>
  </si>
  <si>
    <t>4000B</t>
  </si>
  <si>
    <t>4000C</t>
  </si>
  <si>
    <t>4000D</t>
  </si>
  <si>
    <t>4010A</t>
  </si>
  <si>
    <t>Sure step vloeren opwrijven</t>
  </si>
  <si>
    <t>4010B</t>
  </si>
  <si>
    <t>4010C</t>
  </si>
  <si>
    <t>4010D</t>
  </si>
  <si>
    <t>4020A</t>
  </si>
  <si>
    <t>Linoleum sprayen /opwrijven</t>
  </si>
  <si>
    <t>4020B</t>
  </si>
  <si>
    <t>4020C</t>
  </si>
  <si>
    <t>4020D</t>
  </si>
  <si>
    <t>4030A</t>
  </si>
  <si>
    <t>Linoleum vloeren strippen/conserveren</t>
  </si>
  <si>
    <t>4030B</t>
  </si>
  <si>
    <t>4030C</t>
  </si>
  <si>
    <t>4030D</t>
  </si>
  <si>
    <t>4040A</t>
  </si>
  <si>
    <t>Tapijt reinigen droge methode (Host)</t>
  </si>
  <si>
    <t>4040B</t>
  </si>
  <si>
    <t>4040C</t>
  </si>
  <si>
    <t>4040D</t>
  </si>
  <si>
    <t>4050A</t>
  </si>
  <si>
    <t>Tapijt reinigen op koolzuur basis</t>
  </si>
  <si>
    <t>4050B</t>
  </si>
  <si>
    <t>4050C</t>
  </si>
  <si>
    <t>4050D</t>
  </si>
  <si>
    <t>4060A</t>
  </si>
  <si>
    <t>Tapijt reinigen sproei/extractie methode</t>
  </si>
  <si>
    <t>4060B</t>
  </si>
  <si>
    <t>4060C</t>
  </si>
  <si>
    <t>4060D</t>
  </si>
  <si>
    <t>4070A</t>
  </si>
  <si>
    <t>Tapijt borstelzuigen</t>
  </si>
  <si>
    <t>4070B</t>
  </si>
  <si>
    <t>4070C</t>
  </si>
  <si>
    <t>4070D</t>
  </si>
  <si>
    <t>4080A</t>
  </si>
  <si>
    <t>Sanitair vloer reinigen d.m.v. "stomen"</t>
  </si>
  <si>
    <t>4080B</t>
  </si>
  <si>
    <t>4080C</t>
  </si>
  <si>
    <t>4080D</t>
  </si>
  <si>
    <t>Totaal afroep incidenteel excl. BTW</t>
  </si>
  <si>
    <t>8000</t>
  </si>
  <si>
    <t>Gevelglas buitenzijde</t>
  </si>
  <si>
    <t>8010</t>
  </si>
  <si>
    <t>Gevelglas binnenzijde</t>
  </si>
  <si>
    <t>8020</t>
  </si>
  <si>
    <t>Separatieglas (m ² is totaal)</t>
  </si>
  <si>
    <t>8025</t>
  </si>
  <si>
    <t>Vliesglas</t>
  </si>
  <si>
    <t>8026</t>
  </si>
  <si>
    <t>Lichtkoepel buiten</t>
  </si>
  <si>
    <t>8027</t>
  </si>
  <si>
    <t>Balustrade glas</t>
  </si>
  <si>
    <t>8028</t>
  </si>
  <si>
    <t>Trespabeplating</t>
  </si>
  <si>
    <t>8029</t>
  </si>
  <si>
    <t>Lichtkoepel binnenzijde</t>
  </si>
  <si>
    <t>8030</t>
  </si>
  <si>
    <t>Gevelbeplating</t>
  </si>
  <si>
    <t>8040</t>
  </si>
  <si>
    <t>Dakglas</t>
  </si>
  <si>
    <t>8500</t>
  </si>
  <si>
    <t>Hoogwerker t.b.v. Vondellaan</t>
  </si>
  <si>
    <t>totaalprijs</t>
  </si>
  <si>
    <t>8501</t>
  </si>
  <si>
    <t>Hoogwerker t.b.v. Herculesplein</t>
  </si>
  <si>
    <t>8502</t>
  </si>
  <si>
    <t>Hoogwerker t.b.v. Disketteweg</t>
  </si>
  <si>
    <t>Totaal glas excl. BTW</t>
  </si>
  <si>
    <t>Soort werk</t>
  </si>
  <si>
    <t>Uren per jaar uitvoering</t>
  </si>
  <si>
    <t>Uren hoogfrequent per jaar uitvoering</t>
  </si>
  <si>
    <t>Uren per jaar leiding</t>
  </si>
  <si>
    <t>Bedrag per jaar excl. BTW (euro)</t>
  </si>
  <si>
    <t>Bedrag per jaar incl. BTW (euro)</t>
  </si>
  <si>
    <t>Regulier werk</t>
  </si>
  <si>
    <t>Objectleiding</t>
  </si>
  <si>
    <t>Afroepwerk (geschatte frequenties)</t>
  </si>
  <si>
    <t>Glas</t>
  </si>
  <si>
    <t>Totaal generaal</t>
  </si>
  <si>
    <t>Percentage objectleiding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</si>
</sst>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[$€-2]\ * #,##0.00_-;_-[$€-2]\ * #,##0.00\-;_-[$€-2]\ * &quot;-&quot;??_-;_-@_-"/>
    <numFmt numFmtId="165" formatCode="#,##0.0000"/>
  </numFmts>
  <fonts count="2" x14ac:knownFonts="1">
    <font>
      <sz val="10"/>
      <color theme="1"/>
      <name val="Verdana"/>
      <family val="2"/>
    </font>
    <font>
      <b/>
      <sz val="10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0" borderId="0" xfId="0" applyFont="1"/>
    <xf numFmtId="0" fontId="0" fillId="2" borderId="1" xfId="0" applyFill="1" applyBorder="1"/>
    <xf numFmtId="0" fontId="0" fillId="2" borderId="2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7" xfId="0" applyFill="1" applyBorder="1"/>
    <xf numFmtId="0" fontId="0" fillId="2" borderId="8" xfId="0" applyFill="1" applyBorder="1"/>
    <xf numFmtId="49" fontId="0" fillId="3" borderId="6" xfId="0" applyNumberFormat="1" applyFill="1" applyBorder="1" applyAlignment="1">
      <alignment wrapText="1"/>
    </xf>
    <xf numFmtId="0" fontId="0" fillId="3" borderId="4" xfId="0" applyFill="1" applyBorder="1"/>
    <xf numFmtId="0" fontId="0" fillId="3" borderId="9" xfId="0" applyFill="1" applyBorder="1"/>
    <xf numFmtId="0" fontId="0" fillId="3" borderId="5" xfId="0" applyFill="1" applyBorder="1"/>
    <xf numFmtId="0" fontId="0" fillId="3" borderId="7" xfId="0" applyFill="1" applyBorder="1"/>
    <xf numFmtId="0" fontId="0" fillId="3" borderId="13" xfId="0" applyFill="1" applyBorder="1"/>
    <xf numFmtId="0" fontId="0" fillId="3" borderId="8" xfId="0" applyFill="1" applyBorder="1"/>
    <xf numFmtId="49" fontId="0" fillId="2" borderId="14" xfId="0" applyNumberFormat="1" applyFill="1" applyBorder="1"/>
    <xf numFmtId="1" fontId="0" fillId="2" borderId="14" xfId="0" applyNumberFormat="1" applyFill="1" applyBorder="1"/>
    <xf numFmtId="4" fontId="0" fillId="0" borderId="14" xfId="0" applyNumberFormat="1" applyBorder="1" applyProtection="1">
      <protection locked="0"/>
    </xf>
    <xf numFmtId="10" fontId="0" fillId="0" borderId="14" xfId="0" applyNumberFormat="1" applyBorder="1" applyProtection="1">
      <protection locked="0"/>
    </xf>
    <xf numFmtId="164" fontId="0" fillId="0" borderId="14" xfId="0" applyNumberFormat="1" applyBorder="1" applyProtection="1">
      <protection locked="0"/>
    </xf>
    <xf numFmtId="49" fontId="0" fillId="2" borderId="15" xfId="0" applyNumberFormat="1" applyFill="1" applyBorder="1"/>
    <xf numFmtId="1" fontId="0" fillId="2" borderId="15" xfId="0" applyNumberFormat="1" applyFill="1" applyBorder="1"/>
    <xf numFmtId="4" fontId="0" fillId="0" borderId="15" xfId="0" applyNumberFormat="1" applyBorder="1" applyProtection="1">
      <protection locked="0"/>
    </xf>
    <xf numFmtId="10" fontId="0" fillId="0" borderId="15" xfId="0" applyNumberFormat="1" applyBorder="1" applyProtection="1">
      <protection locked="0"/>
    </xf>
    <xf numFmtId="164" fontId="0" fillId="0" borderId="15" xfId="0" applyNumberFormat="1" applyBorder="1" applyProtection="1">
      <protection locked="0"/>
    </xf>
    <xf numFmtId="49" fontId="0" fillId="2" borderId="16" xfId="0" applyNumberFormat="1" applyFill="1" applyBorder="1"/>
    <xf numFmtId="1" fontId="0" fillId="2" borderId="16" xfId="0" applyNumberFormat="1" applyFill="1" applyBorder="1"/>
    <xf numFmtId="4" fontId="0" fillId="0" borderId="16" xfId="0" applyNumberFormat="1" applyBorder="1" applyProtection="1">
      <protection locked="0"/>
    </xf>
    <xf numFmtId="10" fontId="0" fillId="0" borderId="16" xfId="0" applyNumberFormat="1" applyBorder="1" applyProtection="1">
      <protection locked="0"/>
    </xf>
    <xf numFmtId="164" fontId="0" fillId="0" borderId="16" xfId="0" applyNumberFormat="1" applyBorder="1" applyProtection="1">
      <protection locked="0"/>
    </xf>
    <xf numFmtId="4" fontId="0" fillId="2" borderId="14" xfId="0" applyNumberFormat="1" applyFill="1" applyBorder="1"/>
    <xf numFmtId="165" fontId="0" fillId="2" borderId="14" xfId="0" applyNumberFormat="1" applyFill="1" applyBorder="1"/>
    <xf numFmtId="10" fontId="0" fillId="2" borderId="14" xfId="0" applyNumberFormat="1" applyFill="1" applyBorder="1"/>
    <xf numFmtId="164" fontId="0" fillId="2" borderId="14" xfId="0" applyNumberFormat="1" applyFill="1" applyBorder="1"/>
    <xf numFmtId="4" fontId="0" fillId="2" borderId="15" xfId="0" applyNumberFormat="1" applyFill="1" applyBorder="1"/>
    <xf numFmtId="165" fontId="0" fillId="2" borderId="15" xfId="0" applyNumberFormat="1" applyFill="1" applyBorder="1"/>
    <xf numFmtId="10" fontId="0" fillId="2" borderId="15" xfId="0" applyNumberFormat="1" applyFill="1" applyBorder="1"/>
    <xf numFmtId="164" fontId="0" fillId="2" borderId="15" xfId="0" applyNumberFormat="1" applyFill="1" applyBorder="1"/>
    <xf numFmtId="4" fontId="0" fillId="2" borderId="16" xfId="0" applyNumberFormat="1" applyFill="1" applyBorder="1"/>
    <xf numFmtId="165" fontId="0" fillId="0" borderId="16" xfId="0" applyNumberFormat="1" applyBorder="1" applyProtection="1">
      <protection locked="0"/>
    </xf>
    <xf numFmtId="164" fontId="0" fillId="2" borderId="16" xfId="0" applyNumberFormat="1" applyFill="1" applyBorder="1"/>
    <xf numFmtId="49" fontId="0" fillId="3" borderId="10" xfId="0" applyNumberFormat="1" applyFill="1" applyBorder="1"/>
    <xf numFmtId="0" fontId="0" fillId="3" borderId="11" xfId="0" applyFill="1" applyBorder="1"/>
    <xf numFmtId="4" fontId="0" fillId="3" borderId="6" xfId="0" applyNumberFormat="1" applyFill="1" applyBorder="1"/>
    <xf numFmtId="164" fontId="0" fillId="3" borderId="6" xfId="0" applyNumberFormat="1" applyFill="1" applyBorder="1"/>
    <xf numFmtId="164" fontId="0" fillId="3" borderId="17" xfId="0" applyNumberFormat="1" applyFill="1" applyBorder="1"/>
    <xf numFmtId="0" fontId="0" fillId="3" borderId="10" xfId="0" applyFill="1" applyBorder="1"/>
    <xf numFmtId="0" fontId="0" fillId="3" borderId="18" xfId="0" applyFill="1" applyBorder="1"/>
    <xf numFmtId="165" fontId="0" fillId="2" borderId="16" xfId="0" applyNumberFormat="1" applyFill="1" applyBorder="1"/>
    <xf numFmtId="10" fontId="0" fillId="2" borderId="16" xfId="0" applyNumberFormat="1" applyFill="1" applyBorder="1"/>
    <xf numFmtId="49" fontId="0" fillId="3" borderId="3" xfId="0" applyNumberFormat="1" applyFill="1" applyBorder="1"/>
    <xf numFmtId="0" fontId="0" fillId="3" borderId="19" xfId="0" applyFill="1" applyBorder="1"/>
    <xf numFmtId="49" fontId="0" fillId="3" borderId="19" xfId="0" applyNumberFormat="1" applyFill="1" applyBorder="1"/>
    <xf numFmtId="0" fontId="0" fillId="3" borderId="6" xfId="0" applyFill="1" applyBorder="1"/>
    <xf numFmtId="49" fontId="0" fillId="4" borderId="14" xfId="0" applyNumberFormat="1" applyFill="1" applyBorder="1" applyProtection="1">
      <protection locked="0"/>
    </xf>
    <xf numFmtId="164" fontId="0" fillId="4" borderId="14" xfId="0" applyNumberFormat="1" applyFill="1" applyBorder="1" applyProtection="1">
      <protection locked="0"/>
    </xf>
    <xf numFmtId="4" fontId="0" fillId="0" borderId="14" xfId="0" applyNumberFormat="1" applyBorder="1"/>
    <xf numFmtId="49" fontId="0" fillId="4" borderId="15" xfId="0" applyNumberFormat="1" applyFill="1" applyBorder="1" applyProtection="1">
      <protection locked="0"/>
    </xf>
    <xf numFmtId="164" fontId="0" fillId="4" borderId="15" xfId="0" applyNumberFormat="1" applyFill="1" applyBorder="1" applyProtection="1">
      <protection locked="0"/>
    </xf>
    <xf numFmtId="4" fontId="0" fillId="0" borderId="15" xfId="0" applyNumberFormat="1" applyBorder="1"/>
    <xf numFmtId="49" fontId="0" fillId="4" borderId="16" xfId="0" applyNumberFormat="1" applyFill="1" applyBorder="1" applyProtection="1">
      <protection locked="0"/>
    </xf>
    <xf numFmtId="164" fontId="0" fillId="4" borderId="16" xfId="0" applyNumberFormat="1" applyFill="1" applyBorder="1" applyProtection="1">
      <protection locked="0"/>
    </xf>
    <xf numFmtId="4" fontId="0" fillId="0" borderId="16" xfId="0" applyNumberFormat="1" applyBorder="1"/>
    <xf numFmtId="0" fontId="0" fillId="0" borderId="4" xfId="0" applyBorder="1"/>
    <xf numFmtId="0" fontId="0" fillId="0" borderId="9" xfId="0" applyBorder="1"/>
    <xf numFmtId="0" fontId="0" fillId="0" borderId="5" xfId="0" applyBorder="1"/>
    <xf numFmtId="0" fontId="0" fillId="3" borderId="7" xfId="0" applyFill="1" applyBorder="1" applyAlignment="1"/>
    <xf numFmtId="4" fontId="0" fillId="3" borderId="14" xfId="0" applyNumberFormat="1" applyFill="1" applyBorder="1"/>
    <xf numFmtId="1" fontId="0" fillId="0" borderId="15" xfId="0" applyNumberFormat="1" applyBorder="1"/>
    <xf numFmtId="49" fontId="0" fillId="0" borderId="15" xfId="0" applyNumberFormat="1" applyBorder="1"/>
    <xf numFmtId="4" fontId="0" fillId="3" borderId="15" xfId="0" applyNumberFormat="1" applyFill="1" applyBorder="1"/>
    <xf numFmtId="10" fontId="0" fillId="3" borderId="15" xfId="0" applyNumberFormat="1" applyFill="1" applyBorder="1"/>
    <xf numFmtId="1" fontId="0" fillId="0" borderId="16" xfId="0" applyNumberFormat="1" applyBorder="1"/>
    <xf numFmtId="49" fontId="0" fillId="0" borderId="16" xfId="0" applyNumberFormat="1" applyBorder="1"/>
    <xf numFmtId="10" fontId="0" fillId="3" borderId="16" xfId="0" applyNumberFormat="1" applyFill="1" applyBorder="1"/>
    <xf numFmtId="49" fontId="0" fillId="3" borderId="10" xfId="0" applyNumberFormat="1" applyFill="1" applyBorder="1" applyAlignment="1"/>
    <xf numFmtId="4" fontId="0" fillId="4" borderId="14" xfId="0" applyNumberFormat="1" applyFill="1" applyBorder="1" applyProtection="1">
      <protection locked="0"/>
    </xf>
    <xf numFmtId="4" fontId="0" fillId="3" borderId="14" xfId="0" applyNumberFormat="1" applyFill="1" applyBorder="1" applyProtection="1">
      <protection locked="0"/>
    </xf>
    <xf numFmtId="4" fontId="0" fillId="4" borderId="15" xfId="0" applyNumberFormat="1" applyFill="1" applyBorder="1" applyProtection="1">
      <protection locked="0"/>
    </xf>
    <xf numFmtId="4" fontId="0" fillId="3" borderId="15" xfId="0" applyNumberFormat="1" applyFill="1" applyBorder="1" applyProtection="1">
      <protection locked="0"/>
    </xf>
    <xf numFmtId="4" fontId="0" fillId="4" borderId="16" xfId="0" applyNumberFormat="1" applyFill="1" applyBorder="1" applyProtection="1">
      <protection locked="0"/>
    </xf>
    <xf numFmtId="164" fontId="0" fillId="3" borderId="16" xfId="0" applyNumberFormat="1" applyFill="1" applyBorder="1" applyProtection="1">
      <protection locked="0"/>
    </xf>
    <xf numFmtId="164" fontId="0" fillId="3" borderId="12" xfId="0" applyNumberFormat="1" applyFill="1" applyBorder="1"/>
    <xf numFmtId="0" fontId="0" fillId="3" borderId="12" xfId="0" applyFill="1" applyBorder="1"/>
    <xf numFmtId="4" fontId="0" fillId="3" borderId="16" xfId="0" applyNumberFormat="1" applyFill="1" applyBorder="1" applyProtection="1">
      <protection locked="0"/>
    </xf>
    <xf numFmtId="0" fontId="0" fillId="3" borderId="10" xfId="0" applyFill="1" applyBorder="1" applyAlignment="1"/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49" fontId="0" fillId="3" borderId="14" xfId="0" applyNumberFormat="1" applyFill="1" applyBorder="1" applyAlignment="1">
      <alignment wrapText="1"/>
    </xf>
    <xf numFmtId="49" fontId="0" fillId="3" borderId="15" xfId="0" applyNumberFormat="1" applyFill="1" applyBorder="1" applyAlignment="1">
      <alignment wrapText="1"/>
    </xf>
    <xf numFmtId="49" fontId="0" fillId="3" borderId="16" xfId="0" applyNumberFormat="1" applyFill="1" applyBorder="1" applyAlignment="1">
      <alignment wrapText="1"/>
    </xf>
    <xf numFmtId="4" fontId="0" fillId="3" borderId="16" xfId="0" applyNumberFormat="1" applyFill="1" applyBorder="1"/>
    <xf numFmtId="10" fontId="0" fillId="3" borderId="6" xfId="0" applyNumberForma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D6C5A1-D785-449A-977C-9582DD9FDDAC}">
  <dimension ref="A1:B33"/>
  <sheetViews>
    <sheetView workbookViewId="0"/>
  </sheetViews>
  <sheetFormatPr defaultRowHeight="12.75" x14ac:dyDescent="0.2"/>
  <sheetData>
    <row r="1" spans="1:2" x14ac:dyDescent="0.2">
      <c r="A1" s="1" t="s">
        <v>0</v>
      </c>
    </row>
    <row r="3" spans="1:2" x14ac:dyDescent="0.2">
      <c r="A3" t="s">
        <v>1</v>
      </c>
    </row>
    <row r="5" spans="1:2" x14ac:dyDescent="0.2">
      <c r="A5" t="s">
        <v>2</v>
      </c>
      <c r="B5" t="s">
        <v>3</v>
      </c>
    </row>
    <row r="7" spans="1:2" x14ac:dyDescent="0.2">
      <c r="A7" s="4" t="s">
        <v>4</v>
      </c>
      <c r="B7" s="5"/>
    </row>
    <row r="8" spans="1:2" x14ac:dyDescent="0.2">
      <c r="A8" s="2"/>
      <c r="B8" s="3"/>
    </row>
    <row r="9" spans="1:2" x14ac:dyDescent="0.2">
      <c r="A9" s="2" t="s">
        <v>5</v>
      </c>
      <c r="B9" s="3">
        <v>255</v>
      </c>
    </row>
    <row r="10" spans="1:2" x14ac:dyDescent="0.2">
      <c r="A10" s="2" t="s">
        <v>6</v>
      </c>
      <c r="B10" s="3">
        <v>5</v>
      </c>
    </row>
    <row r="11" spans="1:2" x14ac:dyDescent="0.2">
      <c r="A11" s="2"/>
      <c r="B11" s="3"/>
    </row>
    <row r="12" spans="1:2" x14ac:dyDescent="0.2">
      <c r="A12" s="2" t="s">
        <v>7</v>
      </c>
      <c r="B12" s="3" t="s">
        <v>8</v>
      </c>
    </row>
    <row r="13" spans="1:2" x14ac:dyDescent="0.2">
      <c r="A13" s="2" t="s">
        <v>9</v>
      </c>
      <c r="B13" s="3">
        <f>IF(A13="2½W",2.5/dagenperweek1,IF(RIGHT(A13,1)="W",VALUE(LEFT(A13,LEN(A13)-1))/dagenperweek1,IF(RIGHT(A13,1)="J",VALUE(LEFT(A13,LEN(A13)-1))/dagenperjaar1,"handmatig!")))</f>
        <v>1</v>
      </c>
    </row>
    <row r="14" spans="1:2" x14ac:dyDescent="0.2">
      <c r="A14" s="2" t="s">
        <v>10</v>
      </c>
      <c r="B14" s="3">
        <f>IF(A14="2½W",2.5/dagenperweek1,IF(RIGHT(A14,1)="W",VALUE(LEFT(A14,LEN(A14)-1))/dagenperweek1,IF(RIGHT(A14,1)="J",VALUE(LEFT(A14,LEN(A14)-1))/dagenperjaar1,"handmatig!")))</f>
        <v>0.8</v>
      </c>
    </row>
    <row r="15" spans="1:2" x14ac:dyDescent="0.2">
      <c r="A15" s="2" t="s">
        <v>11</v>
      </c>
      <c r="B15" s="3">
        <f>IF(A15="2½W",2.5/dagenperweek1,IF(RIGHT(A15,1)="W",VALUE(LEFT(A15,LEN(A15)-1))/dagenperweek1,IF(RIGHT(A15,1)="J",VALUE(LEFT(A15,LEN(A15)-1))/dagenperjaar1,"handmatig!")))</f>
        <v>0.78431372549019607</v>
      </c>
    </row>
    <row r="16" spans="1:2" x14ac:dyDescent="0.2">
      <c r="A16" s="2" t="s">
        <v>12</v>
      </c>
      <c r="B16" s="3">
        <f>IF(A16="2½W",2.5/dagenperweek1,IF(RIGHT(A16,1)="W",VALUE(LEFT(A16,LEN(A16)-1))/dagenperweek1,IF(RIGHT(A16,1)="J",VALUE(LEFT(A16,LEN(A16)-1))/dagenperjaar1,"handmatig!")))</f>
        <v>0.6</v>
      </c>
    </row>
    <row r="17" spans="1:2" x14ac:dyDescent="0.2">
      <c r="A17" s="2" t="s">
        <v>13</v>
      </c>
      <c r="B17" s="3">
        <f>IF(A17="2½W",2.5/dagenperweek1,IF(RIGHT(A17,1)="W",VALUE(LEFT(A17,LEN(A17)-1))/dagenperweek1,IF(RIGHT(A17,1)="J",VALUE(LEFT(A17,LEN(A17)-1))/dagenperjaar1,"handmatig!")))</f>
        <v>0.47058823529411764</v>
      </c>
    </row>
    <row r="18" spans="1:2" x14ac:dyDescent="0.2">
      <c r="A18" s="2" t="s">
        <v>14</v>
      </c>
      <c r="B18" s="3">
        <f>IF(A18="2½W",2.5/dagenperweek1,IF(RIGHT(A18,1)="W",VALUE(LEFT(A18,LEN(A18)-1))/dagenperweek1,IF(RIGHT(A18,1)="J",VALUE(LEFT(A18,LEN(A18)-1))/dagenperjaar1,"handmatig!")))</f>
        <v>0.4</v>
      </c>
    </row>
    <row r="19" spans="1:2" x14ac:dyDescent="0.2">
      <c r="A19" s="2" t="s">
        <v>15</v>
      </c>
      <c r="B19" s="3">
        <f>IF(A19="2½W",2.5/dagenperweek1,IF(RIGHT(A19,1)="W",VALUE(LEFT(A19,LEN(A19)-1))/dagenperweek1,IF(RIGHT(A19,1)="J",VALUE(LEFT(A19,LEN(A19)-1))/dagenperjaar1,"handmatig!")))</f>
        <v>0.31372549019607843</v>
      </c>
    </row>
    <row r="20" spans="1:2" x14ac:dyDescent="0.2">
      <c r="A20" s="2" t="s">
        <v>16</v>
      </c>
      <c r="B20" s="3">
        <f>IF(A20="2½W",2.5/dagenperweek1,IF(RIGHT(A20,1)="W",VALUE(LEFT(A20,LEN(A20)-1))/dagenperweek1,IF(RIGHT(A20,1)="J",VALUE(LEFT(A20,LEN(A20)-1))/dagenperjaar1,"handmatig!")))</f>
        <v>0.21568627450980393</v>
      </c>
    </row>
    <row r="21" spans="1:2" x14ac:dyDescent="0.2">
      <c r="A21" s="2" t="s">
        <v>17</v>
      </c>
      <c r="B21" s="3">
        <f>IF(A21="2½W",2.5/dagenperweek1,IF(RIGHT(A21,1)="W",VALUE(LEFT(A21,LEN(A21)-1))/dagenperweek1,IF(RIGHT(A21,1)="J",VALUE(LEFT(A21,LEN(A21)-1))/dagenperjaar1,"handmatig!")))</f>
        <v>0.2</v>
      </c>
    </row>
    <row r="22" spans="1:2" x14ac:dyDescent="0.2">
      <c r="A22" s="2" t="s">
        <v>18</v>
      </c>
      <c r="B22" s="3">
        <f>IF(A22="2½W",2.5/dagenperweek1,IF(RIGHT(A22,1)="W",VALUE(LEFT(A22,LEN(A22)-1))/dagenperweek1,IF(RIGHT(A22,1)="J",VALUE(LEFT(A22,LEN(A22)-1))/dagenperjaar1,"handmatig!")))</f>
        <v>0.15686274509803921</v>
      </c>
    </row>
    <row r="23" spans="1:2" x14ac:dyDescent="0.2">
      <c r="A23" s="2" t="s">
        <v>19</v>
      </c>
      <c r="B23" s="3">
        <f>IF(A23="2½W",2.5/dagenperweek1,IF(RIGHT(A23,1)="W",VALUE(LEFT(A23,LEN(A23)-1))/dagenperweek1,IF(RIGHT(A23,1)="J",VALUE(LEFT(A23,LEN(A23)-1))/dagenperjaar1,"handmatig!")))</f>
        <v>0.12941176470588237</v>
      </c>
    </row>
    <row r="24" spans="1:2" x14ac:dyDescent="0.2">
      <c r="A24" s="2" t="s">
        <v>20</v>
      </c>
      <c r="B24" s="3">
        <f>IF(A24="2½W",2.5/dagenperweek1,IF(RIGHT(A24,1)="W",VALUE(LEFT(A24,LEN(A24)-1))/dagenperweek1,IF(RIGHT(A24,1)="J",VALUE(LEFT(A24,LEN(A24)-1))/dagenperjaar1,"handmatig!")))</f>
        <v>0.10196078431372549</v>
      </c>
    </row>
    <row r="25" spans="1:2" x14ac:dyDescent="0.2">
      <c r="A25" s="2" t="s">
        <v>21</v>
      </c>
      <c r="B25" s="3">
        <f>IF(A25="2½W",2.5/dagenperweek1,IF(RIGHT(A25,1)="W",VALUE(LEFT(A25,LEN(A25)-1))/dagenperweek1,IF(RIGHT(A25,1)="J",VALUE(LEFT(A25,LEN(A25)-1))/dagenperjaar1,"handmatig!")))</f>
        <v>4.7058823529411764E-2</v>
      </c>
    </row>
    <row r="26" spans="1:2" x14ac:dyDescent="0.2">
      <c r="A26" s="2" t="s">
        <v>22</v>
      </c>
      <c r="B26" s="3">
        <f>IF(A26="2½W",2.5/dagenperweek1,IF(RIGHT(A26,1)="W",VALUE(LEFT(A26,LEN(A26)-1))/dagenperweek1,IF(RIGHT(A26,1)="J",VALUE(LEFT(A26,LEN(A26)-1))/dagenperjaar1,"handmatig!")))</f>
        <v>4.3137254901960784E-2</v>
      </c>
    </row>
    <row r="27" spans="1:2" x14ac:dyDescent="0.2">
      <c r="A27" s="2" t="s">
        <v>23</v>
      </c>
      <c r="B27" s="3">
        <f>IF(A27="2½W",2.5/dagenperweek1,IF(RIGHT(A27,1)="W",VALUE(LEFT(A27,LEN(A27)-1))/dagenperweek1,IF(RIGHT(A27,1)="J",VALUE(LEFT(A27,LEN(A27)-1))/dagenperjaar1,"handmatig!")))</f>
        <v>3.9215686274509803E-2</v>
      </c>
    </row>
    <row r="28" spans="1:2" x14ac:dyDescent="0.2">
      <c r="A28" s="2" t="s">
        <v>24</v>
      </c>
      <c r="B28" s="3">
        <f>IF(A28="2½W",2.5/dagenperweek1,IF(RIGHT(A28,1)="W",VALUE(LEFT(A28,LEN(A28)-1))/dagenperweek1,IF(RIGHT(A28,1)="J",VALUE(LEFT(A28,LEN(A28)-1))/dagenperjaar1,"handmatig!")))</f>
        <v>3.1372549019607843E-2</v>
      </c>
    </row>
    <row r="29" spans="1:2" x14ac:dyDescent="0.2">
      <c r="A29" s="2" t="s">
        <v>25</v>
      </c>
      <c r="B29" s="3">
        <f>IF(A29="2½W",2.5/dagenperweek1,IF(RIGHT(A29,1)="W",VALUE(LEFT(A29,LEN(A29)-1))/dagenperweek1,IF(RIGHT(A29,1)="J",VALUE(LEFT(A29,LEN(A29)-1))/dagenperjaar1,"handmatig!")))</f>
        <v>2.3529411764705882E-2</v>
      </c>
    </row>
    <row r="30" spans="1:2" x14ac:dyDescent="0.2">
      <c r="A30" s="2" t="s">
        <v>26</v>
      </c>
      <c r="B30" s="3">
        <f>IF(A30="2½W",2.5/dagenperweek1,IF(RIGHT(A30,1)="W",VALUE(LEFT(A30,LEN(A30)-1))/dagenperweek1,IF(RIGHT(A30,1)="J",VALUE(LEFT(A30,LEN(A30)-1))/dagenperjaar1,"handmatig!")))</f>
        <v>1.5686274509803921E-2</v>
      </c>
    </row>
    <row r="31" spans="1:2" x14ac:dyDescent="0.2">
      <c r="A31" s="2" t="s">
        <v>27</v>
      </c>
      <c r="B31" s="3">
        <f>IF(A31="2½W",2.5/dagenperweek1,IF(RIGHT(A31,1)="W",VALUE(LEFT(A31,LEN(A31)-1))/dagenperweek1,IF(RIGHT(A31,1)="J",VALUE(LEFT(A31,LEN(A31)-1))/dagenperjaar1,"handmatig!")))</f>
        <v>1.1764705882352941E-2</v>
      </c>
    </row>
    <row r="32" spans="1:2" x14ac:dyDescent="0.2">
      <c r="A32" s="2" t="s">
        <v>28</v>
      </c>
      <c r="B32" s="3">
        <f>IF(A32="2½W",2.5/dagenperweek1,IF(RIGHT(A32,1)="W",VALUE(LEFT(A32,LEN(A32)-1))/dagenperweek1,IF(RIGHT(A32,1)="J",VALUE(LEFT(A32,LEN(A32)-1))/dagenperjaar1,"handmatig!")))</f>
        <v>7.8431372549019607E-3</v>
      </c>
    </row>
    <row r="33" spans="1:2" x14ac:dyDescent="0.2">
      <c r="A33" s="6" t="s">
        <v>29</v>
      </c>
      <c r="B33" s="7">
        <f>IF(A33="2½W",2.5/dagenperweek1,IF(RIGHT(A33,1)="W",VALUE(LEFT(A33,LEN(A33)-1))/dagenperweek1,IF(RIGHT(A33,1)="J",VALUE(LEFT(A33,LEN(A33)-1))/dagenperjaar1,"handmatig!")))</f>
        <v>3.9215686274509803E-3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C6CB77-8C5F-4B1A-A72E-ECC0208E3611}">
  <dimension ref="A1:L21"/>
  <sheetViews>
    <sheetView workbookViewId="0"/>
  </sheetViews>
  <sheetFormatPr defaultRowHeight="12.75" x14ac:dyDescent="0.2"/>
  <cols>
    <col min="1" max="1" width="7.625" customWidth="1"/>
    <col min="2" max="2" width="6.625" customWidth="1"/>
    <col min="3" max="3" width="7.625" customWidth="1"/>
    <col min="4" max="4" width="50.625" customWidth="1"/>
    <col min="5" max="6" width="14.625" customWidth="1"/>
    <col min="7" max="9" width="11.625" customWidth="1"/>
    <col min="10" max="10" width="12.625" customWidth="1"/>
    <col min="11" max="11" width="14.625" customWidth="1"/>
    <col min="12" max="12" width="13.625" customWidth="1"/>
  </cols>
  <sheetData>
    <row r="1" spans="1:12" x14ac:dyDescent="0.2">
      <c r="A1" s="1" t="str">
        <f>CONCATENATE("Bijlage I3.8: ",tabeltype," glas")</f>
        <v>Bijlage I3.8: Invultabel glas</v>
      </c>
    </row>
    <row r="3" spans="1:12" ht="38.25" x14ac:dyDescent="0.2">
      <c r="A3" s="8" t="s">
        <v>369</v>
      </c>
      <c r="B3" s="8" t="s">
        <v>7</v>
      </c>
      <c r="C3" s="8" t="s">
        <v>370</v>
      </c>
      <c r="D3" s="8" t="s">
        <v>33</v>
      </c>
      <c r="E3" s="8" t="s">
        <v>36</v>
      </c>
      <c r="F3" s="8" t="s">
        <v>371</v>
      </c>
      <c r="G3" s="8" t="s">
        <v>372</v>
      </c>
      <c r="H3" s="8" t="s">
        <v>373</v>
      </c>
      <c r="I3" s="8" t="s">
        <v>374</v>
      </c>
      <c r="J3" s="8" t="s">
        <v>375</v>
      </c>
      <c r="K3" s="8" t="s">
        <v>188</v>
      </c>
      <c r="L3" s="8" t="s">
        <v>306</v>
      </c>
    </row>
    <row r="4" spans="1:12" x14ac:dyDescent="0.2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1"/>
    </row>
    <row r="5" spans="1:12" x14ac:dyDescent="0.2">
      <c r="A5" s="12" t="s">
        <v>38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4"/>
    </row>
    <row r="6" spans="1:12" x14ac:dyDescent="0.2">
      <c r="A6" s="15" t="s">
        <v>522</v>
      </c>
      <c r="B6" s="15" t="s">
        <v>28</v>
      </c>
      <c r="C6" s="16">
        <f>IF(ISBLANK(B6),0,IF(ISERROR(VALUE(B6)),VLOOKUP(B6,dagsoorttabel1,2,FALSE)*dagenperjaar1,VALUE(B6)))</f>
        <v>2</v>
      </c>
      <c r="D6" s="15" t="s">
        <v>523</v>
      </c>
      <c r="E6" s="15" t="s">
        <v>419</v>
      </c>
      <c r="F6" s="76">
        <v>7340.95</v>
      </c>
      <c r="G6" s="19"/>
      <c r="H6" s="77"/>
      <c r="I6" s="19"/>
      <c r="J6" s="33">
        <f>IF(ISBLANK(F6),0,F6)*I6</f>
        <v>0</v>
      </c>
      <c r="K6" s="33">
        <f>C6*J6</f>
        <v>0</v>
      </c>
      <c r="L6" s="33">
        <f>K6/12</f>
        <v>0</v>
      </c>
    </row>
    <row r="7" spans="1:12" x14ac:dyDescent="0.2">
      <c r="A7" s="20" t="s">
        <v>524</v>
      </c>
      <c r="B7" s="20" t="s">
        <v>28</v>
      </c>
      <c r="C7" s="21">
        <f>IF(ISBLANK(B7),0,IF(ISERROR(VALUE(B7)),VLOOKUP(B7,dagsoorttabel1,2,FALSE)*dagenperjaar1,VALUE(B7)))</f>
        <v>2</v>
      </c>
      <c r="D7" s="20" t="s">
        <v>525</v>
      </c>
      <c r="E7" s="20" t="s">
        <v>419</v>
      </c>
      <c r="F7" s="78">
        <v>8195.9500000000007</v>
      </c>
      <c r="G7" s="24"/>
      <c r="H7" s="79"/>
      <c r="I7" s="24"/>
      <c r="J7" s="37">
        <f>IF(ISBLANK(F7),0,F7)*I7</f>
        <v>0</v>
      </c>
      <c r="K7" s="37">
        <f>C7*J7</f>
        <v>0</v>
      </c>
      <c r="L7" s="37">
        <f>K7/12</f>
        <v>0</v>
      </c>
    </row>
    <row r="8" spans="1:12" x14ac:dyDescent="0.2">
      <c r="A8" s="20" t="s">
        <v>526</v>
      </c>
      <c r="B8" s="20" t="s">
        <v>28</v>
      </c>
      <c r="C8" s="21">
        <f>IF(ISBLANK(B8),0,IF(ISERROR(VALUE(B8)),VLOOKUP(B8,dagsoorttabel1,2,FALSE)*dagenperjaar1,VALUE(B8)))</f>
        <v>2</v>
      </c>
      <c r="D8" s="20" t="s">
        <v>527</v>
      </c>
      <c r="E8" s="20" t="s">
        <v>419</v>
      </c>
      <c r="F8" s="78">
        <v>7733.92</v>
      </c>
      <c r="G8" s="24"/>
      <c r="H8" s="79"/>
      <c r="I8" s="24"/>
      <c r="J8" s="37">
        <f>IF(ISBLANK(F8),0,F8)*I8</f>
        <v>0</v>
      </c>
      <c r="K8" s="37">
        <f>C8*J8</f>
        <v>0</v>
      </c>
      <c r="L8" s="37">
        <f>K8/12</f>
        <v>0</v>
      </c>
    </row>
    <row r="9" spans="1:12" x14ac:dyDescent="0.2">
      <c r="A9" s="20" t="s">
        <v>528</v>
      </c>
      <c r="B9" s="20" t="s">
        <v>28</v>
      </c>
      <c r="C9" s="21">
        <f>IF(ISBLANK(B9),0,IF(ISERROR(VALUE(B9)),VLOOKUP(B9,dagsoorttabel1,2,FALSE)*dagenperjaar1,VALUE(B9)))</f>
        <v>2</v>
      </c>
      <c r="D9" s="20" t="s">
        <v>529</v>
      </c>
      <c r="E9" s="20" t="s">
        <v>419</v>
      </c>
      <c r="F9" s="78">
        <v>8.5</v>
      </c>
      <c r="G9" s="24"/>
      <c r="H9" s="79"/>
      <c r="I9" s="24"/>
      <c r="J9" s="37">
        <f>IF(ISBLANK(F9),0,F9)*I9</f>
        <v>0</v>
      </c>
      <c r="K9" s="37">
        <f>C9*J9</f>
        <v>0</v>
      </c>
      <c r="L9" s="37">
        <f>K9/12</f>
        <v>0</v>
      </c>
    </row>
    <row r="10" spans="1:12" x14ac:dyDescent="0.2">
      <c r="A10" s="20" t="s">
        <v>530</v>
      </c>
      <c r="B10" s="20" t="s">
        <v>28</v>
      </c>
      <c r="C10" s="21">
        <f>IF(ISBLANK(B10),0,IF(ISERROR(VALUE(B10)),VLOOKUP(B10,dagsoorttabel1,2,FALSE)*dagenperjaar1,VALUE(B10)))</f>
        <v>2</v>
      </c>
      <c r="D10" s="20" t="s">
        <v>531</v>
      </c>
      <c r="E10" s="20" t="s">
        <v>419</v>
      </c>
      <c r="F10" s="78">
        <v>49</v>
      </c>
      <c r="G10" s="24"/>
      <c r="H10" s="79"/>
      <c r="I10" s="24"/>
      <c r="J10" s="37">
        <f>IF(ISBLANK(F10),0,F10)*I10</f>
        <v>0</v>
      </c>
      <c r="K10" s="37">
        <f>C10*J10</f>
        <v>0</v>
      </c>
      <c r="L10" s="37">
        <f>K10/12</f>
        <v>0</v>
      </c>
    </row>
    <row r="11" spans="1:12" x14ac:dyDescent="0.2">
      <c r="A11" s="20" t="s">
        <v>532</v>
      </c>
      <c r="B11" s="20" t="s">
        <v>28</v>
      </c>
      <c r="C11" s="21">
        <f>IF(ISBLANK(B11),0,IF(ISERROR(VALUE(B11)),VLOOKUP(B11,dagsoorttabel1,2,FALSE)*dagenperjaar1,VALUE(B11)))</f>
        <v>2</v>
      </c>
      <c r="D11" s="20" t="s">
        <v>533</v>
      </c>
      <c r="E11" s="20" t="s">
        <v>419</v>
      </c>
      <c r="F11" s="78">
        <v>165.4</v>
      </c>
      <c r="G11" s="24"/>
      <c r="H11" s="79"/>
      <c r="I11" s="24"/>
      <c r="J11" s="37">
        <f>IF(ISBLANK(F11),0,F11)*I11</f>
        <v>0</v>
      </c>
      <c r="K11" s="37">
        <f>C11*J11</f>
        <v>0</v>
      </c>
      <c r="L11" s="37">
        <f>K11/12</f>
        <v>0</v>
      </c>
    </row>
    <row r="12" spans="1:12" x14ac:dyDescent="0.2">
      <c r="A12" s="20" t="s">
        <v>534</v>
      </c>
      <c r="B12" s="20" t="s">
        <v>28</v>
      </c>
      <c r="C12" s="21">
        <f>IF(ISBLANK(B12),0,IF(ISERROR(VALUE(B12)),VLOOKUP(B12,dagsoorttabel1,2,FALSE)*dagenperjaar1,VALUE(B12)))</f>
        <v>2</v>
      </c>
      <c r="D12" s="20" t="s">
        <v>535</v>
      </c>
      <c r="E12" s="20" t="s">
        <v>419</v>
      </c>
      <c r="F12" s="78">
        <v>133.1</v>
      </c>
      <c r="G12" s="24"/>
      <c r="H12" s="79"/>
      <c r="I12" s="24"/>
      <c r="J12" s="37">
        <f>IF(ISBLANK(F12),0,F12)*I12</f>
        <v>0</v>
      </c>
      <c r="K12" s="37">
        <f>C12*J12</f>
        <v>0</v>
      </c>
      <c r="L12" s="37">
        <f>K12/12</f>
        <v>0</v>
      </c>
    </row>
    <row r="13" spans="1:12" x14ac:dyDescent="0.2">
      <c r="A13" s="20" t="s">
        <v>536</v>
      </c>
      <c r="B13" s="20" t="s">
        <v>28</v>
      </c>
      <c r="C13" s="21">
        <f>IF(ISBLANK(B13),0,IF(ISERROR(VALUE(B13)),VLOOKUP(B13,dagsoorttabel1,2,FALSE)*dagenperjaar1,VALUE(B13)))</f>
        <v>2</v>
      </c>
      <c r="D13" s="20" t="s">
        <v>537</v>
      </c>
      <c r="E13" s="20" t="s">
        <v>419</v>
      </c>
      <c r="F13" s="78">
        <v>49</v>
      </c>
      <c r="G13" s="24"/>
      <c r="H13" s="79"/>
      <c r="I13" s="24"/>
      <c r="J13" s="37">
        <f>IF(ISBLANK(F13),0,F13)*I13</f>
        <v>0</v>
      </c>
      <c r="K13" s="37">
        <f>C13*J13</f>
        <v>0</v>
      </c>
      <c r="L13" s="37">
        <f>K13/12</f>
        <v>0</v>
      </c>
    </row>
    <row r="14" spans="1:12" x14ac:dyDescent="0.2">
      <c r="A14" s="20" t="s">
        <v>538</v>
      </c>
      <c r="B14" s="20" t="s">
        <v>28</v>
      </c>
      <c r="C14" s="21">
        <f>IF(ISBLANK(B14),0,IF(ISERROR(VALUE(B14)),VLOOKUP(B14,dagsoorttabel1,2,FALSE)*dagenperjaar1,VALUE(B14)))</f>
        <v>2</v>
      </c>
      <c r="D14" s="20" t="s">
        <v>539</v>
      </c>
      <c r="E14" s="20" t="s">
        <v>419</v>
      </c>
      <c r="F14" s="78">
        <v>830</v>
      </c>
      <c r="G14" s="24"/>
      <c r="H14" s="79"/>
      <c r="I14" s="24"/>
      <c r="J14" s="37">
        <f>IF(ISBLANK(F14),0,F14)*I14</f>
        <v>0</v>
      </c>
      <c r="K14" s="37">
        <f>C14*J14</f>
        <v>0</v>
      </c>
      <c r="L14" s="37">
        <f>K14/12</f>
        <v>0</v>
      </c>
    </row>
    <row r="15" spans="1:12" x14ac:dyDescent="0.2">
      <c r="A15" s="20" t="s">
        <v>540</v>
      </c>
      <c r="B15" s="20" t="s">
        <v>28</v>
      </c>
      <c r="C15" s="21">
        <f>IF(ISBLANK(B15),0,IF(ISERROR(VALUE(B15)),VLOOKUP(B15,dagsoorttabel1,2,FALSE)*dagenperjaar1,VALUE(B15)))</f>
        <v>2</v>
      </c>
      <c r="D15" s="20" t="s">
        <v>541</v>
      </c>
      <c r="E15" s="20" t="s">
        <v>419</v>
      </c>
      <c r="F15" s="78">
        <v>200</v>
      </c>
      <c r="G15" s="24"/>
      <c r="H15" s="79"/>
      <c r="I15" s="24"/>
      <c r="J15" s="37">
        <f>IF(ISBLANK(F15),0,F15)*I15</f>
        <v>0</v>
      </c>
      <c r="K15" s="37">
        <f>C15*J15</f>
        <v>0</v>
      </c>
      <c r="L15" s="37">
        <f>K15/12</f>
        <v>0</v>
      </c>
    </row>
    <row r="16" spans="1:12" x14ac:dyDescent="0.2">
      <c r="A16" s="20" t="s">
        <v>542</v>
      </c>
      <c r="B16" s="20" t="s">
        <v>28</v>
      </c>
      <c r="C16" s="21">
        <f>IF(ISBLANK(B16),0,IF(ISERROR(VALUE(B16)),VLOOKUP(B16,dagsoorttabel1,2,FALSE)*dagenperjaar1,VALUE(B16)))</f>
        <v>2</v>
      </c>
      <c r="D16" s="20" t="s">
        <v>543</v>
      </c>
      <c r="E16" s="20" t="s">
        <v>544</v>
      </c>
      <c r="F16" s="59"/>
      <c r="G16" s="24"/>
      <c r="H16" s="79"/>
      <c r="I16" s="24"/>
      <c r="J16" s="37">
        <f>IF(ISBLANK(F16),1,F16)*I16</f>
        <v>0</v>
      </c>
      <c r="K16" s="37">
        <f>C16*J16</f>
        <v>0</v>
      </c>
      <c r="L16" s="37">
        <f>K16/12</f>
        <v>0</v>
      </c>
    </row>
    <row r="17" spans="1:12" x14ac:dyDescent="0.2">
      <c r="A17" s="20" t="s">
        <v>545</v>
      </c>
      <c r="B17" s="20" t="s">
        <v>28</v>
      </c>
      <c r="C17" s="21">
        <f>IF(ISBLANK(B17),0,IF(ISERROR(VALUE(B17)),VLOOKUP(B17,dagsoorttabel1,2,FALSE)*dagenperjaar1,VALUE(B17)))</f>
        <v>2</v>
      </c>
      <c r="D17" s="20" t="s">
        <v>546</v>
      </c>
      <c r="E17" s="20" t="s">
        <v>544</v>
      </c>
      <c r="F17" s="59"/>
      <c r="G17" s="24"/>
      <c r="H17" s="79"/>
      <c r="I17" s="24"/>
      <c r="J17" s="37">
        <f>IF(ISBLANK(F17),1,F17)*I17</f>
        <v>0</v>
      </c>
      <c r="K17" s="37">
        <f>C17*J17</f>
        <v>0</v>
      </c>
      <c r="L17" s="37">
        <f>K17/12</f>
        <v>0</v>
      </c>
    </row>
    <row r="18" spans="1:12" x14ac:dyDescent="0.2">
      <c r="A18" s="25" t="s">
        <v>547</v>
      </c>
      <c r="B18" s="25" t="s">
        <v>28</v>
      </c>
      <c r="C18" s="26">
        <f>IF(ISBLANK(B18),0,IF(ISERROR(VALUE(B18)),VLOOKUP(B18,dagsoorttabel1,2,FALSE)*dagenperjaar1,VALUE(B18)))</f>
        <v>2</v>
      </c>
      <c r="D18" s="25" t="s">
        <v>548</v>
      </c>
      <c r="E18" s="25" t="s">
        <v>544</v>
      </c>
      <c r="F18" s="62"/>
      <c r="G18" s="29"/>
      <c r="H18" s="84"/>
      <c r="I18" s="29"/>
      <c r="J18" s="40">
        <f>IF(ISBLANK(F18),1,F18)*I18</f>
        <v>0</v>
      </c>
      <c r="K18" s="40">
        <f>C18*J18</f>
        <v>0</v>
      </c>
      <c r="L18" s="40">
        <f>K18/12</f>
        <v>0</v>
      </c>
    </row>
    <row r="19" spans="1:12" x14ac:dyDescent="0.2">
      <c r="A19" s="41" t="s">
        <v>253</v>
      </c>
      <c r="B19" s="42"/>
      <c r="C19" s="42"/>
      <c r="D19" s="42"/>
      <c r="E19" s="42"/>
      <c r="F19" s="42"/>
      <c r="G19" s="42"/>
      <c r="H19" s="42"/>
      <c r="I19" s="42"/>
      <c r="J19" s="42"/>
      <c r="K19" s="44">
        <f>SUM(K6:K18)</f>
        <v>0</v>
      </c>
      <c r="L19" s="82">
        <f>K19/12</f>
        <v>0</v>
      </c>
    </row>
    <row r="21" spans="1:12" x14ac:dyDescent="0.2">
      <c r="A21" s="41" t="s">
        <v>549</v>
      </c>
      <c r="B21" s="42"/>
      <c r="C21" s="42"/>
      <c r="D21" s="42"/>
      <c r="E21" s="42"/>
      <c r="F21" s="42"/>
      <c r="G21" s="42"/>
      <c r="H21" s="42"/>
      <c r="I21" s="42"/>
      <c r="J21" s="42"/>
      <c r="K21" s="44">
        <f>prijsjaarglas1</f>
        <v>0</v>
      </c>
      <c r="L21" s="82">
        <f>K21/12</f>
        <v>0</v>
      </c>
    </row>
  </sheetData>
  <pageMargins left="0.7" right="0.7" top="0.75" bottom="0.75" header="0.3" footer="0.3"/>
  <pageSetup paperSize="9" scale="65" orientation="landscape" horizontalDpi="4294967295" verticalDpi="4294967295" r:id="rId1"/>
  <headerFooter>
    <oddFooter>&amp;LROC Midden Nederland EA 2022                                &amp;ROpmaakdatum: 19-05-2022
Intexso - De Start 5 - Leusden
+31 (33) 2778485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AD3E61-12F0-4872-BAA2-AD146679EF39}">
  <dimension ref="A1:M50"/>
  <sheetViews>
    <sheetView workbookViewId="0"/>
  </sheetViews>
  <sheetFormatPr defaultRowHeight="12.75" x14ac:dyDescent="0.2"/>
  <cols>
    <col min="1" max="1" width="7.625" customWidth="1"/>
    <col min="2" max="2" width="6.625" customWidth="1"/>
    <col min="3" max="3" width="7.625" customWidth="1"/>
    <col min="4" max="4" width="11.625" customWidth="1"/>
    <col min="5" max="5" width="50.625" customWidth="1"/>
    <col min="6" max="7" width="14.625" customWidth="1"/>
    <col min="8" max="10" width="11.625" customWidth="1"/>
    <col min="11" max="11" width="12.625" customWidth="1"/>
    <col min="12" max="12" width="14.625" customWidth="1"/>
    <col min="13" max="13" width="13.625" customWidth="1"/>
  </cols>
  <sheetData>
    <row r="1" spans="1:13" x14ac:dyDescent="0.2">
      <c r="A1" s="1" t="str">
        <f>CONCATENATE("Bijlage I3.9: ",tabeltype," glas per locatie")</f>
        <v>Bijlage I3.9: Invultabel glas per locatie</v>
      </c>
    </row>
    <row r="3" spans="1:13" ht="38.25" x14ac:dyDescent="0.2">
      <c r="A3" s="8" t="s">
        <v>369</v>
      </c>
      <c r="B3" s="8" t="s">
        <v>7</v>
      </c>
      <c r="C3" s="8" t="s">
        <v>370</v>
      </c>
      <c r="D3" s="8" t="s">
        <v>276</v>
      </c>
      <c r="E3" s="8" t="s">
        <v>33</v>
      </c>
      <c r="F3" s="8" t="s">
        <v>36</v>
      </c>
      <c r="G3" s="8" t="s">
        <v>371</v>
      </c>
      <c r="H3" s="8" t="s">
        <v>372</v>
      </c>
      <c r="I3" s="8" t="s">
        <v>373</v>
      </c>
      <c r="J3" s="8" t="s">
        <v>374</v>
      </c>
      <c r="K3" s="8" t="s">
        <v>375</v>
      </c>
      <c r="L3" s="8" t="s">
        <v>188</v>
      </c>
      <c r="M3" s="8" t="s">
        <v>306</v>
      </c>
    </row>
    <row r="5" spans="1:13" x14ac:dyDescent="0.2">
      <c r="A5" s="85" t="s">
        <v>341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83"/>
    </row>
    <row r="6" spans="1:13" x14ac:dyDescent="0.2">
      <c r="A6" s="15" t="s">
        <v>522</v>
      </c>
      <c r="B6" s="15" t="s">
        <v>28</v>
      </c>
      <c r="C6" s="16">
        <f>IF(ISBLANK(B6),0,IF(ISERROR(VALUE(B6)),VLOOKUP(B6,dagsoorttabel1,2,FALSE)*dagenperjaar1,VALUE(B6)))</f>
        <v>2</v>
      </c>
      <c r="D6" s="15" t="s">
        <v>289</v>
      </c>
      <c r="E6" s="15" t="s">
        <v>523</v>
      </c>
      <c r="F6" s="15" t="s">
        <v>419</v>
      </c>
      <c r="G6" s="76">
        <v>650.19000000000005</v>
      </c>
      <c r="H6" s="86">
        <f>Glas!G6</f>
        <v>0</v>
      </c>
      <c r="I6" s="77"/>
      <c r="J6" s="86">
        <f>Glas!I6</f>
        <v>0</v>
      </c>
      <c r="K6" s="33">
        <f>IF(ISBLANK(G6),0,G6)*J6</f>
        <v>0</v>
      </c>
      <c r="L6" s="33">
        <f>C6*K6</f>
        <v>0</v>
      </c>
      <c r="M6" s="33">
        <f>L6/12</f>
        <v>0</v>
      </c>
    </row>
    <row r="7" spans="1:13" x14ac:dyDescent="0.2">
      <c r="A7" s="20" t="s">
        <v>524</v>
      </c>
      <c r="B7" s="20" t="s">
        <v>28</v>
      </c>
      <c r="C7" s="21">
        <f>IF(ISBLANK(B7),0,IF(ISERROR(VALUE(B7)),VLOOKUP(B7,dagsoorttabel1,2,FALSE)*dagenperjaar1,VALUE(B7)))</f>
        <v>2</v>
      </c>
      <c r="D7" s="20" t="s">
        <v>289</v>
      </c>
      <c r="E7" s="20" t="s">
        <v>525</v>
      </c>
      <c r="F7" s="20" t="s">
        <v>419</v>
      </c>
      <c r="G7" s="78">
        <v>650.19000000000005</v>
      </c>
      <c r="H7" s="87">
        <f>Glas!G7</f>
        <v>0</v>
      </c>
      <c r="I7" s="79"/>
      <c r="J7" s="87">
        <f>Glas!I7</f>
        <v>0</v>
      </c>
      <c r="K7" s="37">
        <f>IF(ISBLANK(G7),0,G7)*J7</f>
        <v>0</v>
      </c>
      <c r="L7" s="37">
        <f>C7*K7</f>
        <v>0</v>
      </c>
      <c r="M7" s="37">
        <f>L7/12</f>
        <v>0</v>
      </c>
    </row>
    <row r="8" spans="1:13" x14ac:dyDescent="0.2">
      <c r="A8" s="25" t="s">
        <v>526</v>
      </c>
      <c r="B8" s="25" t="s">
        <v>28</v>
      </c>
      <c r="C8" s="26">
        <f>IF(ISBLANK(B8),0,IF(ISERROR(VALUE(B8)),VLOOKUP(B8,dagsoorttabel1,2,FALSE)*dagenperjaar1,VALUE(B8)))</f>
        <v>2</v>
      </c>
      <c r="D8" s="25" t="s">
        <v>289</v>
      </c>
      <c r="E8" s="25" t="s">
        <v>527</v>
      </c>
      <c r="F8" s="25" t="s">
        <v>419</v>
      </c>
      <c r="G8" s="80">
        <v>743.26</v>
      </c>
      <c r="H8" s="88">
        <f>Glas!G8</f>
        <v>0</v>
      </c>
      <c r="I8" s="84"/>
      <c r="J8" s="88">
        <f>Glas!I8</f>
        <v>0</v>
      </c>
      <c r="K8" s="40">
        <f>IF(ISBLANK(G8),0,G8)*J8</f>
        <v>0</v>
      </c>
      <c r="L8" s="40">
        <f>C8*K8</f>
        <v>0</v>
      </c>
      <c r="M8" s="40">
        <f>L8/12</f>
        <v>0</v>
      </c>
    </row>
    <row r="9" spans="1:13" x14ac:dyDescent="0.2">
      <c r="A9" s="75" t="s">
        <v>346</v>
      </c>
      <c r="B9" s="42"/>
      <c r="C9" s="42"/>
      <c r="D9" s="42"/>
      <c r="E9" s="42"/>
      <c r="F9" s="42"/>
      <c r="G9" s="42"/>
      <c r="H9" s="42"/>
      <c r="I9" s="42"/>
      <c r="J9" s="42"/>
      <c r="K9" s="44">
        <f>SUM(K6:K8)</f>
        <v>0</v>
      </c>
      <c r="L9" s="44">
        <f>SUM(L6:L8)</f>
        <v>0</v>
      </c>
      <c r="M9" s="82">
        <f>L9/12</f>
        <v>0</v>
      </c>
    </row>
    <row r="11" spans="1:13" x14ac:dyDescent="0.2">
      <c r="A11" s="85" t="s">
        <v>347</v>
      </c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83"/>
    </row>
    <row r="12" spans="1:13" x14ac:dyDescent="0.2">
      <c r="A12" s="15" t="s">
        <v>522</v>
      </c>
      <c r="B12" s="15" t="s">
        <v>28</v>
      </c>
      <c r="C12" s="16">
        <f>IF(ISBLANK(B12),0,IF(ISERROR(VALUE(B12)),VLOOKUP(B12,dagsoorttabel1,2,FALSE)*dagenperjaar1,VALUE(B12)))</f>
        <v>2</v>
      </c>
      <c r="D12" s="15" t="s">
        <v>289</v>
      </c>
      <c r="E12" s="15" t="s">
        <v>523</v>
      </c>
      <c r="F12" s="15" t="s">
        <v>419</v>
      </c>
      <c r="G12" s="76">
        <v>1445</v>
      </c>
      <c r="H12" s="86">
        <f>Glas!G6</f>
        <v>0</v>
      </c>
      <c r="I12" s="77"/>
      <c r="J12" s="86">
        <f>Glas!I6</f>
        <v>0</v>
      </c>
      <c r="K12" s="33">
        <f>IF(ISBLANK(G12),0,G12)*J12</f>
        <v>0</v>
      </c>
      <c r="L12" s="33">
        <f>C12*K12</f>
        <v>0</v>
      </c>
      <c r="M12" s="33">
        <f>L12/12</f>
        <v>0</v>
      </c>
    </row>
    <row r="13" spans="1:13" x14ac:dyDescent="0.2">
      <c r="A13" s="20" t="s">
        <v>524</v>
      </c>
      <c r="B13" s="20" t="s">
        <v>28</v>
      </c>
      <c r="C13" s="21">
        <f>IF(ISBLANK(B13),0,IF(ISERROR(VALUE(B13)),VLOOKUP(B13,dagsoorttabel1,2,FALSE)*dagenperjaar1,VALUE(B13)))</f>
        <v>2</v>
      </c>
      <c r="D13" s="20" t="s">
        <v>289</v>
      </c>
      <c r="E13" s="20" t="s">
        <v>525</v>
      </c>
      <c r="F13" s="20" t="s">
        <v>419</v>
      </c>
      <c r="G13" s="78">
        <v>1445</v>
      </c>
      <c r="H13" s="87">
        <f>Glas!G7</f>
        <v>0</v>
      </c>
      <c r="I13" s="79"/>
      <c r="J13" s="87">
        <f>Glas!I7</f>
        <v>0</v>
      </c>
      <c r="K13" s="37">
        <f>IF(ISBLANK(G13),0,G13)*J13</f>
        <v>0</v>
      </c>
      <c r="L13" s="37">
        <f>C13*K13</f>
        <v>0</v>
      </c>
      <c r="M13" s="37">
        <f>L13/12</f>
        <v>0</v>
      </c>
    </row>
    <row r="14" spans="1:13" x14ac:dyDescent="0.2">
      <c r="A14" s="20" t="s">
        <v>526</v>
      </c>
      <c r="B14" s="20" t="s">
        <v>28</v>
      </c>
      <c r="C14" s="21">
        <f>IF(ISBLANK(B14),0,IF(ISERROR(VALUE(B14)),VLOOKUP(B14,dagsoorttabel1,2,FALSE)*dagenperjaar1,VALUE(B14)))</f>
        <v>2</v>
      </c>
      <c r="D14" s="20" t="s">
        <v>289</v>
      </c>
      <c r="E14" s="20" t="s">
        <v>527</v>
      </c>
      <c r="F14" s="20" t="s">
        <v>419</v>
      </c>
      <c r="G14" s="78">
        <v>1268.4000000000001</v>
      </c>
      <c r="H14" s="87">
        <f>Glas!G8</f>
        <v>0</v>
      </c>
      <c r="I14" s="79"/>
      <c r="J14" s="87">
        <f>Glas!I8</f>
        <v>0</v>
      </c>
      <c r="K14" s="37">
        <f>IF(ISBLANK(G14),0,G14)*J14</f>
        <v>0</v>
      </c>
      <c r="L14" s="37">
        <f>C14*K14</f>
        <v>0</v>
      </c>
      <c r="M14" s="37">
        <f>L14/12</f>
        <v>0</v>
      </c>
    </row>
    <row r="15" spans="1:13" x14ac:dyDescent="0.2">
      <c r="A15" s="20" t="s">
        <v>528</v>
      </c>
      <c r="B15" s="20" t="s">
        <v>28</v>
      </c>
      <c r="C15" s="21">
        <f>IF(ISBLANK(B15),0,IF(ISERROR(VALUE(B15)),VLOOKUP(B15,dagsoorttabel1,2,FALSE)*dagenperjaar1,VALUE(B15)))</f>
        <v>2</v>
      </c>
      <c r="D15" s="20" t="s">
        <v>289</v>
      </c>
      <c r="E15" s="20" t="s">
        <v>529</v>
      </c>
      <c r="F15" s="20" t="s">
        <v>419</v>
      </c>
      <c r="G15" s="78">
        <v>8.5</v>
      </c>
      <c r="H15" s="87">
        <f>Glas!G9</f>
        <v>0</v>
      </c>
      <c r="I15" s="79"/>
      <c r="J15" s="87">
        <f>Glas!I9</f>
        <v>0</v>
      </c>
      <c r="K15" s="37">
        <f>IF(ISBLANK(G15),0,G15)*J15</f>
        <v>0</v>
      </c>
      <c r="L15" s="37">
        <f>C15*K15</f>
        <v>0</v>
      </c>
      <c r="M15" s="37">
        <f>L15/12</f>
        <v>0</v>
      </c>
    </row>
    <row r="16" spans="1:13" x14ac:dyDescent="0.2">
      <c r="A16" s="20" t="s">
        <v>530</v>
      </c>
      <c r="B16" s="20" t="s">
        <v>28</v>
      </c>
      <c r="C16" s="21">
        <f>IF(ISBLANK(B16),0,IF(ISERROR(VALUE(B16)),VLOOKUP(B16,dagsoorttabel1,2,FALSE)*dagenperjaar1,VALUE(B16)))</f>
        <v>2</v>
      </c>
      <c r="D16" s="20" t="s">
        <v>289</v>
      </c>
      <c r="E16" s="20" t="s">
        <v>531</v>
      </c>
      <c r="F16" s="20" t="s">
        <v>419</v>
      </c>
      <c r="G16" s="78">
        <v>49</v>
      </c>
      <c r="H16" s="87">
        <f>Glas!G10</f>
        <v>0</v>
      </c>
      <c r="I16" s="79"/>
      <c r="J16" s="87">
        <f>Glas!I10</f>
        <v>0</v>
      </c>
      <c r="K16" s="37">
        <f>IF(ISBLANK(G16),0,G16)*J16</f>
        <v>0</v>
      </c>
      <c r="L16" s="37">
        <f>C16*K16</f>
        <v>0</v>
      </c>
      <c r="M16" s="37">
        <f>L16/12</f>
        <v>0</v>
      </c>
    </row>
    <row r="17" spans="1:13" x14ac:dyDescent="0.2">
      <c r="A17" s="25" t="s">
        <v>536</v>
      </c>
      <c r="B17" s="25" t="s">
        <v>28</v>
      </c>
      <c r="C17" s="26">
        <f>IF(ISBLANK(B17),0,IF(ISERROR(VALUE(B17)),VLOOKUP(B17,dagsoorttabel1,2,FALSE)*dagenperjaar1,VALUE(B17)))</f>
        <v>2</v>
      </c>
      <c r="D17" s="25" t="s">
        <v>289</v>
      </c>
      <c r="E17" s="25" t="s">
        <v>537</v>
      </c>
      <c r="F17" s="25" t="s">
        <v>419</v>
      </c>
      <c r="G17" s="80">
        <v>49</v>
      </c>
      <c r="H17" s="88">
        <f>Glas!G13</f>
        <v>0</v>
      </c>
      <c r="I17" s="84"/>
      <c r="J17" s="88">
        <f>Glas!I13</f>
        <v>0</v>
      </c>
      <c r="K17" s="40">
        <f>IF(ISBLANK(G17),0,G17)*J17</f>
        <v>0</v>
      </c>
      <c r="L17" s="40">
        <f>C17*K17</f>
        <v>0</v>
      </c>
      <c r="M17" s="40">
        <f>L17/12</f>
        <v>0</v>
      </c>
    </row>
    <row r="18" spans="1:13" x14ac:dyDescent="0.2">
      <c r="A18" s="75" t="s">
        <v>348</v>
      </c>
      <c r="B18" s="42"/>
      <c r="C18" s="42"/>
      <c r="D18" s="42"/>
      <c r="E18" s="42"/>
      <c r="F18" s="42"/>
      <c r="G18" s="42"/>
      <c r="H18" s="42"/>
      <c r="I18" s="42"/>
      <c r="J18" s="42"/>
      <c r="K18" s="44">
        <f>SUM(K12:K17)</f>
        <v>0</v>
      </c>
      <c r="L18" s="44">
        <f>SUM(L12:L17)</f>
        <v>0</v>
      </c>
      <c r="M18" s="82">
        <f>L18/12</f>
        <v>0</v>
      </c>
    </row>
    <row r="20" spans="1:13" x14ac:dyDescent="0.2">
      <c r="A20" s="85" t="s">
        <v>349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83"/>
    </row>
    <row r="21" spans="1:13" x14ac:dyDescent="0.2">
      <c r="A21" s="15" t="s">
        <v>522</v>
      </c>
      <c r="B21" s="15" t="s">
        <v>28</v>
      </c>
      <c r="C21" s="16">
        <f>IF(ISBLANK(B21),0,IF(ISERROR(VALUE(B21)),VLOOKUP(B21,dagsoorttabel1,2,FALSE)*dagenperjaar1,VALUE(B21)))</f>
        <v>2</v>
      </c>
      <c r="D21" s="15" t="s">
        <v>289</v>
      </c>
      <c r="E21" s="15" t="s">
        <v>523</v>
      </c>
      <c r="F21" s="15" t="s">
        <v>419</v>
      </c>
      <c r="G21" s="76">
        <v>2046.96</v>
      </c>
      <c r="H21" s="86">
        <f>Glas!G6</f>
        <v>0</v>
      </c>
      <c r="I21" s="77"/>
      <c r="J21" s="86">
        <f>Glas!I6</f>
        <v>0</v>
      </c>
      <c r="K21" s="33">
        <f>IF(ISBLANK(G21),0,G21)*J21</f>
        <v>0</v>
      </c>
      <c r="L21" s="33">
        <f>C21*K21</f>
        <v>0</v>
      </c>
      <c r="M21" s="33">
        <f>L21/12</f>
        <v>0</v>
      </c>
    </row>
    <row r="22" spans="1:13" x14ac:dyDescent="0.2">
      <c r="A22" s="20" t="s">
        <v>524</v>
      </c>
      <c r="B22" s="20" t="s">
        <v>28</v>
      </c>
      <c r="C22" s="21">
        <f>IF(ISBLANK(B22),0,IF(ISERROR(VALUE(B22)),VLOOKUP(B22,dagsoorttabel1,2,FALSE)*dagenperjaar1,VALUE(B22)))</f>
        <v>2</v>
      </c>
      <c r="D22" s="20" t="s">
        <v>289</v>
      </c>
      <c r="E22" s="20" t="s">
        <v>525</v>
      </c>
      <c r="F22" s="20" t="s">
        <v>419</v>
      </c>
      <c r="G22" s="78">
        <v>2046.96</v>
      </c>
      <c r="H22" s="87">
        <f>Glas!G7</f>
        <v>0</v>
      </c>
      <c r="I22" s="79"/>
      <c r="J22" s="87">
        <f>Glas!I7</f>
        <v>0</v>
      </c>
      <c r="K22" s="37">
        <f>IF(ISBLANK(G22),0,G22)*J22</f>
        <v>0</v>
      </c>
      <c r="L22" s="37">
        <f>C22*K22</f>
        <v>0</v>
      </c>
      <c r="M22" s="37">
        <f>L22/12</f>
        <v>0</v>
      </c>
    </row>
    <row r="23" spans="1:13" x14ac:dyDescent="0.2">
      <c r="A23" s="25" t="s">
        <v>526</v>
      </c>
      <c r="B23" s="25" t="s">
        <v>28</v>
      </c>
      <c r="C23" s="26">
        <f>IF(ISBLANK(B23),0,IF(ISERROR(VALUE(B23)),VLOOKUP(B23,dagsoorttabel1,2,FALSE)*dagenperjaar1,VALUE(B23)))</f>
        <v>2</v>
      </c>
      <c r="D23" s="25" t="s">
        <v>289</v>
      </c>
      <c r="E23" s="25" t="s">
        <v>527</v>
      </c>
      <c r="F23" s="25" t="s">
        <v>419</v>
      </c>
      <c r="G23" s="80">
        <v>2299.46</v>
      </c>
      <c r="H23" s="88">
        <f>Glas!G8</f>
        <v>0</v>
      </c>
      <c r="I23" s="84"/>
      <c r="J23" s="88">
        <f>Glas!I8</f>
        <v>0</v>
      </c>
      <c r="K23" s="40">
        <f>IF(ISBLANK(G23),0,G23)*J23</f>
        <v>0</v>
      </c>
      <c r="L23" s="40">
        <f>C23*K23</f>
        <v>0</v>
      </c>
      <c r="M23" s="40">
        <f>L23/12</f>
        <v>0</v>
      </c>
    </row>
    <row r="24" spans="1:13" x14ac:dyDescent="0.2">
      <c r="A24" s="75" t="s">
        <v>350</v>
      </c>
      <c r="B24" s="42"/>
      <c r="C24" s="42"/>
      <c r="D24" s="42"/>
      <c r="E24" s="42"/>
      <c r="F24" s="42"/>
      <c r="G24" s="42"/>
      <c r="H24" s="42"/>
      <c r="I24" s="42"/>
      <c r="J24" s="42"/>
      <c r="K24" s="44">
        <f>SUM(K21:K23)</f>
        <v>0</v>
      </c>
      <c r="L24" s="44">
        <f>SUM(L21:L23)</f>
        <v>0</v>
      </c>
      <c r="M24" s="82">
        <f>L24/12</f>
        <v>0</v>
      </c>
    </row>
    <row r="26" spans="1:13" x14ac:dyDescent="0.2">
      <c r="A26" s="85" t="s">
        <v>351</v>
      </c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83"/>
    </row>
    <row r="27" spans="1:13" x14ac:dyDescent="0.2">
      <c r="A27" s="15" t="s">
        <v>522</v>
      </c>
      <c r="B27" s="15" t="s">
        <v>28</v>
      </c>
      <c r="C27" s="16">
        <f>IF(ISBLANK(B27),0,IF(ISERROR(VALUE(B27)),VLOOKUP(B27,dagsoorttabel1,2,FALSE)*dagenperjaar1,VALUE(B27)))</f>
        <v>2</v>
      </c>
      <c r="D27" s="15" t="s">
        <v>289</v>
      </c>
      <c r="E27" s="15" t="s">
        <v>523</v>
      </c>
      <c r="F27" s="15" t="s">
        <v>419</v>
      </c>
      <c r="G27" s="76">
        <v>1602</v>
      </c>
      <c r="H27" s="86">
        <f>Glas!G6</f>
        <v>0</v>
      </c>
      <c r="I27" s="77"/>
      <c r="J27" s="86">
        <f>Glas!I6</f>
        <v>0</v>
      </c>
      <c r="K27" s="33">
        <f>IF(ISBLANK(G27),0,G27)*J27</f>
        <v>0</v>
      </c>
      <c r="L27" s="33">
        <f>C27*K27</f>
        <v>0</v>
      </c>
      <c r="M27" s="33">
        <f>L27/12</f>
        <v>0</v>
      </c>
    </row>
    <row r="28" spans="1:13" x14ac:dyDescent="0.2">
      <c r="A28" s="20" t="s">
        <v>524</v>
      </c>
      <c r="B28" s="20" t="s">
        <v>28</v>
      </c>
      <c r="C28" s="21">
        <f>IF(ISBLANK(B28),0,IF(ISERROR(VALUE(B28)),VLOOKUP(B28,dagsoorttabel1,2,FALSE)*dagenperjaar1,VALUE(B28)))</f>
        <v>2</v>
      </c>
      <c r="D28" s="20" t="s">
        <v>289</v>
      </c>
      <c r="E28" s="20" t="s">
        <v>525</v>
      </c>
      <c r="F28" s="20" t="s">
        <v>419</v>
      </c>
      <c r="G28" s="78">
        <v>1602</v>
      </c>
      <c r="H28" s="87">
        <f>Glas!G7</f>
        <v>0</v>
      </c>
      <c r="I28" s="79"/>
      <c r="J28" s="87">
        <f>Glas!I7</f>
        <v>0</v>
      </c>
      <c r="K28" s="37">
        <f>IF(ISBLANK(G28),0,G28)*J28</f>
        <v>0</v>
      </c>
      <c r="L28" s="37">
        <f>C28*K28</f>
        <v>0</v>
      </c>
      <c r="M28" s="37">
        <f>L28/12</f>
        <v>0</v>
      </c>
    </row>
    <row r="29" spans="1:13" x14ac:dyDescent="0.2">
      <c r="A29" s="20" t="s">
        <v>526</v>
      </c>
      <c r="B29" s="20" t="s">
        <v>28</v>
      </c>
      <c r="C29" s="21">
        <f>IF(ISBLANK(B29),0,IF(ISERROR(VALUE(B29)),VLOOKUP(B29,dagsoorttabel1,2,FALSE)*dagenperjaar1,VALUE(B29)))</f>
        <v>2</v>
      </c>
      <c r="D29" s="20" t="s">
        <v>289</v>
      </c>
      <c r="E29" s="20" t="s">
        <v>527</v>
      </c>
      <c r="F29" s="20" t="s">
        <v>419</v>
      </c>
      <c r="G29" s="78">
        <v>1460</v>
      </c>
      <c r="H29" s="87">
        <f>Glas!G8</f>
        <v>0</v>
      </c>
      <c r="I29" s="79"/>
      <c r="J29" s="87">
        <f>Glas!I8</f>
        <v>0</v>
      </c>
      <c r="K29" s="37">
        <f>IF(ISBLANK(G29),0,G29)*J29</f>
        <v>0</v>
      </c>
      <c r="L29" s="37">
        <f>C29*K29</f>
        <v>0</v>
      </c>
      <c r="M29" s="37">
        <f>L29/12</f>
        <v>0</v>
      </c>
    </row>
    <row r="30" spans="1:13" x14ac:dyDescent="0.2">
      <c r="A30" s="20" t="s">
        <v>538</v>
      </c>
      <c r="B30" s="20" t="s">
        <v>28</v>
      </c>
      <c r="C30" s="21">
        <f>IF(ISBLANK(B30),0,IF(ISERROR(VALUE(B30)),VLOOKUP(B30,dagsoorttabel1,2,FALSE)*dagenperjaar1,VALUE(B30)))</f>
        <v>2</v>
      </c>
      <c r="D30" s="20" t="s">
        <v>289</v>
      </c>
      <c r="E30" s="20" t="s">
        <v>539</v>
      </c>
      <c r="F30" s="20" t="s">
        <v>419</v>
      </c>
      <c r="G30" s="78">
        <v>830</v>
      </c>
      <c r="H30" s="87">
        <f>Glas!G14</f>
        <v>0</v>
      </c>
      <c r="I30" s="79"/>
      <c r="J30" s="87">
        <f>Glas!I14</f>
        <v>0</v>
      </c>
      <c r="K30" s="37">
        <f>IF(ISBLANK(G30),0,G30)*J30</f>
        <v>0</v>
      </c>
      <c r="L30" s="37">
        <f>C30*K30</f>
        <v>0</v>
      </c>
      <c r="M30" s="37">
        <f>L30/12</f>
        <v>0</v>
      </c>
    </row>
    <row r="31" spans="1:13" x14ac:dyDescent="0.2">
      <c r="A31" s="25" t="s">
        <v>540</v>
      </c>
      <c r="B31" s="25" t="s">
        <v>28</v>
      </c>
      <c r="C31" s="26">
        <f>IF(ISBLANK(B31),0,IF(ISERROR(VALUE(B31)),VLOOKUP(B31,dagsoorttabel1,2,FALSE)*dagenperjaar1,VALUE(B31)))</f>
        <v>2</v>
      </c>
      <c r="D31" s="25" t="s">
        <v>289</v>
      </c>
      <c r="E31" s="25" t="s">
        <v>541</v>
      </c>
      <c r="F31" s="25" t="s">
        <v>419</v>
      </c>
      <c r="G31" s="80">
        <v>200</v>
      </c>
      <c r="H31" s="88">
        <f>Glas!G15</f>
        <v>0</v>
      </c>
      <c r="I31" s="84"/>
      <c r="J31" s="88">
        <f>Glas!I15</f>
        <v>0</v>
      </c>
      <c r="K31" s="40">
        <f>IF(ISBLANK(G31),0,G31)*J31</f>
        <v>0</v>
      </c>
      <c r="L31" s="40">
        <f>C31*K31</f>
        <v>0</v>
      </c>
      <c r="M31" s="40">
        <f>L31/12</f>
        <v>0</v>
      </c>
    </row>
    <row r="32" spans="1:13" x14ac:dyDescent="0.2">
      <c r="A32" s="75" t="s">
        <v>352</v>
      </c>
      <c r="B32" s="42"/>
      <c r="C32" s="42"/>
      <c r="D32" s="42"/>
      <c r="E32" s="42"/>
      <c r="F32" s="42"/>
      <c r="G32" s="42"/>
      <c r="H32" s="42"/>
      <c r="I32" s="42"/>
      <c r="J32" s="42"/>
      <c r="K32" s="44">
        <f>SUM(K27:K31)</f>
        <v>0</v>
      </c>
      <c r="L32" s="44">
        <f>SUM(L27:L31)</f>
        <v>0</v>
      </c>
      <c r="M32" s="82">
        <f>L32/12</f>
        <v>0</v>
      </c>
    </row>
    <row r="34" spans="1:13" x14ac:dyDescent="0.2">
      <c r="A34" s="85" t="s">
        <v>353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83"/>
    </row>
    <row r="35" spans="1:13" x14ac:dyDescent="0.2">
      <c r="A35" s="15" t="s">
        <v>522</v>
      </c>
      <c r="B35" s="15" t="s">
        <v>28</v>
      </c>
      <c r="C35" s="16">
        <f>IF(ISBLANK(B35),0,IF(ISERROR(VALUE(B35)),VLOOKUP(B35,dagsoorttabel1,2,FALSE)*dagenperjaar1,VALUE(B35)))</f>
        <v>2</v>
      </c>
      <c r="D35" s="15" t="s">
        <v>289</v>
      </c>
      <c r="E35" s="15" t="s">
        <v>523</v>
      </c>
      <c r="F35" s="15" t="s">
        <v>419</v>
      </c>
      <c r="G35" s="76">
        <v>1596.8</v>
      </c>
      <c r="H35" s="86">
        <f>Glas!G6</f>
        <v>0</v>
      </c>
      <c r="I35" s="77"/>
      <c r="J35" s="86">
        <f>Glas!I6</f>
        <v>0</v>
      </c>
      <c r="K35" s="33">
        <f>IF(ISBLANK(G35),0,G35)*J35</f>
        <v>0</v>
      </c>
      <c r="L35" s="33">
        <f>C35*K35</f>
        <v>0</v>
      </c>
      <c r="M35" s="33">
        <f>L35/12</f>
        <v>0</v>
      </c>
    </row>
    <row r="36" spans="1:13" x14ac:dyDescent="0.2">
      <c r="A36" s="20" t="s">
        <v>524</v>
      </c>
      <c r="B36" s="20" t="s">
        <v>28</v>
      </c>
      <c r="C36" s="21">
        <f>IF(ISBLANK(B36),0,IF(ISERROR(VALUE(B36)),VLOOKUP(B36,dagsoorttabel1,2,FALSE)*dagenperjaar1,VALUE(B36)))</f>
        <v>2</v>
      </c>
      <c r="D36" s="20" t="s">
        <v>289</v>
      </c>
      <c r="E36" s="20" t="s">
        <v>525</v>
      </c>
      <c r="F36" s="20" t="s">
        <v>419</v>
      </c>
      <c r="G36" s="78">
        <v>1596.8</v>
      </c>
      <c r="H36" s="87">
        <f>Glas!G7</f>
        <v>0</v>
      </c>
      <c r="I36" s="79"/>
      <c r="J36" s="87">
        <f>Glas!I7</f>
        <v>0</v>
      </c>
      <c r="K36" s="37">
        <f>IF(ISBLANK(G36),0,G36)*J36</f>
        <v>0</v>
      </c>
      <c r="L36" s="37">
        <f>C36*K36</f>
        <v>0</v>
      </c>
      <c r="M36" s="37">
        <f>L36/12</f>
        <v>0</v>
      </c>
    </row>
    <row r="37" spans="1:13" x14ac:dyDescent="0.2">
      <c r="A37" s="20" t="s">
        <v>526</v>
      </c>
      <c r="B37" s="20" t="s">
        <v>28</v>
      </c>
      <c r="C37" s="21">
        <f>IF(ISBLANK(B37),0,IF(ISERROR(VALUE(B37)),VLOOKUP(B37,dagsoorttabel1,2,FALSE)*dagenperjaar1,VALUE(B37)))</f>
        <v>2</v>
      </c>
      <c r="D37" s="20" t="s">
        <v>289</v>
      </c>
      <c r="E37" s="20" t="s">
        <v>527</v>
      </c>
      <c r="F37" s="20" t="s">
        <v>419</v>
      </c>
      <c r="G37" s="78">
        <v>1412.8</v>
      </c>
      <c r="H37" s="87">
        <f>Glas!G8</f>
        <v>0</v>
      </c>
      <c r="I37" s="79"/>
      <c r="J37" s="87">
        <f>Glas!I8</f>
        <v>0</v>
      </c>
      <c r="K37" s="37">
        <f>IF(ISBLANK(G37),0,G37)*J37</f>
        <v>0</v>
      </c>
      <c r="L37" s="37">
        <f>C37*K37</f>
        <v>0</v>
      </c>
      <c r="M37" s="37">
        <f>L37/12</f>
        <v>0</v>
      </c>
    </row>
    <row r="38" spans="1:13" x14ac:dyDescent="0.2">
      <c r="A38" s="20" t="s">
        <v>532</v>
      </c>
      <c r="B38" s="20" t="s">
        <v>28</v>
      </c>
      <c r="C38" s="21">
        <f>IF(ISBLANK(B38),0,IF(ISERROR(VALUE(B38)),VLOOKUP(B38,dagsoorttabel1,2,FALSE)*dagenperjaar1,VALUE(B38)))</f>
        <v>2</v>
      </c>
      <c r="D38" s="20" t="s">
        <v>289</v>
      </c>
      <c r="E38" s="20" t="s">
        <v>533</v>
      </c>
      <c r="F38" s="20" t="s">
        <v>419</v>
      </c>
      <c r="G38" s="78">
        <v>165.4</v>
      </c>
      <c r="H38" s="87">
        <f>Glas!G11</f>
        <v>0</v>
      </c>
      <c r="I38" s="79"/>
      <c r="J38" s="87">
        <f>Glas!I11</f>
        <v>0</v>
      </c>
      <c r="K38" s="37">
        <f>IF(ISBLANK(G38),0,G38)*J38</f>
        <v>0</v>
      </c>
      <c r="L38" s="37">
        <f>C38*K38</f>
        <v>0</v>
      </c>
      <c r="M38" s="37">
        <f>L38/12</f>
        <v>0</v>
      </c>
    </row>
    <row r="39" spans="1:13" x14ac:dyDescent="0.2">
      <c r="A39" s="25" t="s">
        <v>534</v>
      </c>
      <c r="B39" s="25" t="s">
        <v>28</v>
      </c>
      <c r="C39" s="26">
        <f>IF(ISBLANK(B39),0,IF(ISERROR(VALUE(B39)),VLOOKUP(B39,dagsoorttabel1,2,FALSE)*dagenperjaar1,VALUE(B39)))</f>
        <v>2</v>
      </c>
      <c r="D39" s="25" t="s">
        <v>289</v>
      </c>
      <c r="E39" s="25" t="s">
        <v>535</v>
      </c>
      <c r="F39" s="25" t="s">
        <v>419</v>
      </c>
      <c r="G39" s="80">
        <v>133.1</v>
      </c>
      <c r="H39" s="88">
        <f>Glas!G12</f>
        <v>0</v>
      </c>
      <c r="I39" s="84"/>
      <c r="J39" s="88">
        <f>Glas!I12</f>
        <v>0</v>
      </c>
      <c r="K39" s="40">
        <f>IF(ISBLANK(G39),0,G39)*J39</f>
        <v>0</v>
      </c>
      <c r="L39" s="40">
        <f>C39*K39</f>
        <v>0</v>
      </c>
      <c r="M39" s="40">
        <f>L39/12</f>
        <v>0</v>
      </c>
    </row>
    <row r="40" spans="1:13" x14ac:dyDescent="0.2">
      <c r="A40" s="75" t="s">
        <v>354</v>
      </c>
      <c r="B40" s="42"/>
      <c r="C40" s="42"/>
      <c r="D40" s="42"/>
      <c r="E40" s="42"/>
      <c r="F40" s="42"/>
      <c r="G40" s="42"/>
      <c r="H40" s="42"/>
      <c r="I40" s="42"/>
      <c r="J40" s="42"/>
      <c r="K40" s="44">
        <f>SUM(K35:K39)</f>
        <v>0</v>
      </c>
      <c r="L40" s="44">
        <f>SUM(L35:L39)</f>
        <v>0</v>
      </c>
      <c r="M40" s="82">
        <f>L40/12</f>
        <v>0</v>
      </c>
    </row>
    <row r="42" spans="1:13" x14ac:dyDescent="0.2">
      <c r="A42" s="85" t="s">
        <v>355</v>
      </c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83"/>
    </row>
    <row r="43" spans="1:13" x14ac:dyDescent="0.2">
      <c r="A43" s="15" t="s">
        <v>524</v>
      </c>
      <c r="B43" s="15" t="s">
        <v>28</v>
      </c>
      <c r="C43" s="16">
        <f>IF(ISBLANK(B43),0,IF(ISERROR(VALUE(B43)),VLOOKUP(B43,dagsoorttabel1,2,FALSE)*dagenperjaar1,VALUE(B43)))</f>
        <v>2</v>
      </c>
      <c r="D43" s="15" t="s">
        <v>289</v>
      </c>
      <c r="E43" s="15" t="s">
        <v>525</v>
      </c>
      <c r="F43" s="15" t="s">
        <v>419</v>
      </c>
      <c r="G43" s="76">
        <v>180</v>
      </c>
      <c r="H43" s="86">
        <f>Glas!G7</f>
        <v>0</v>
      </c>
      <c r="I43" s="77"/>
      <c r="J43" s="86">
        <f>Glas!I7</f>
        <v>0</v>
      </c>
      <c r="K43" s="33">
        <f>IF(ISBLANK(G43),0,G43)*J43</f>
        <v>0</v>
      </c>
      <c r="L43" s="33">
        <f>C43*K43</f>
        <v>0</v>
      </c>
      <c r="M43" s="33">
        <f>L43/12</f>
        <v>0</v>
      </c>
    </row>
    <row r="44" spans="1:13" x14ac:dyDescent="0.2">
      <c r="A44" s="25" t="s">
        <v>526</v>
      </c>
      <c r="B44" s="25" t="s">
        <v>28</v>
      </c>
      <c r="C44" s="26">
        <f>IF(ISBLANK(B44),0,IF(ISERROR(VALUE(B44)),VLOOKUP(B44,dagsoorttabel1,2,FALSE)*dagenperjaar1,VALUE(B44)))</f>
        <v>2</v>
      </c>
      <c r="D44" s="25" t="s">
        <v>289</v>
      </c>
      <c r="E44" s="25" t="s">
        <v>527</v>
      </c>
      <c r="F44" s="25" t="s">
        <v>419</v>
      </c>
      <c r="G44" s="80">
        <v>130</v>
      </c>
      <c r="H44" s="88">
        <f>Glas!G8</f>
        <v>0</v>
      </c>
      <c r="I44" s="84"/>
      <c r="J44" s="88">
        <f>Glas!I8</f>
        <v>0</v>
      </c>
      <c r="K44" s="40">
        <f>IF(ISBLANK(G44),0,G44)*J44</f>
        <v>0</v>
      </c>
      <c r="L44" s="40">
        <f>C44*K44</f>
        <v>0</v>
      </c>
      <c r="M44" s="40">
        <f>L44/12</f>
        <v>0</v>
      </c>
    </row>
    <row r="45" spans="1:13" x14ac:dyDescent="0.2">
      <c r="A45" s="75" t="s">
        <v>356</v>
      </c>
      <c r="B45" s="42"/>
      <c r="C45" s="42"/>
      <c r="D45" s="42"/>
      <c r="E45" s="42"/>
      <c r="F45" s="42"/>
      <c r="G45" s="42"/>
      <c r="H45" s="42"/>
      <c r="I45" s="42"/>
      <c r="J45" s="42"/>
      <c r="K45" s="44">
        <f>SUM(K43:K44)</f>
        <v>0</v>
      </c>
      <c r="L45" s="44">
        <f>SUM(L43:L44)</f>
        <v>0</v>
      </c>
      <c r="M45" s="82">
        <f>L45/12</f>
        <v>0</v>
      </c>
    </row>
    <row r="47" spans="1:13" x14ac:dyDescent="0.2">
      <c r="A47" s="85" t="s">
        <v>357</v>
      </c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83"/>
    </row>
    <row r="48" spans="1:13" x14ac:dyDescent="0.2">
      <c r="A48" s="15" t="s">
        <v>524</v>
      </c>
      <c r="B48" s="15" t="s">
        <v>28</v>
      </c>
      <c r="C48" s="16">
        <f>IF(ISBLANK(B48),0,IF(ISERROR(VALUE(B48)),VLOOKUP(B48,dagsoorttabel1,2,FALSE)*dagenperjaar1,VALUE(B48)))</f>
        <v>2</v>
      </c>
      <c r="D48" s="15" t="s">
        <v>289</v>
      </c>
      <c r="E48" s="15" t="s">
        <v>525</v>
      </c>
      <c r="F48" s="15" t="s">
        <v>419</v>
      </c>
      <c r="G48" s="76">
        <v>675</v>
      </c>
      <c r="H48" s="86">
        <f>Glas!G7</f>
        <v>0</v>
      </c>
      <c r="I48" s="77"/>
      <c r="J48" s="86">
        <f>Glas!I7</f>
        <v>0</v>
      </c>
      <c r="K48" s="33">
        <f>IF(ISBLANK(G48),0,G48)*J48</f>
        <v>0</v>
      </c>
      <c r="L48" s="33">
        <f>C48*K48</f>
        <v>0</v>
      </c>
      <c r="M48" s="33">
        <f>L48/12</f>
        <v>0</v>
      </c>
    </row>
    <row r="49" spans="1:13" x14ac:dyDescent="0.2">
      <c r="A49" s="25" t="s">
        <v>526</v>
      </c>
      <c r="B49" s="25" t="s">
        <v>28</v>
      </c>
      <c r="C49" s="26">
        <f>IF(ISBLANK(B49),0,IF(ISERROR(VALUE(B49)),VLOOKUP(B49,dagsoorttabel1,2,FALSE)*dagenperjaar1,VALUE(B49)))</f>
        <v>2</v>
      </c>
      <c r="D49" s="25" t="s">
        <v>289</v>
      </c>
      <c r="E49" s="25" t="s">
        <v>527</v>
      </c>
      <c r="F49" s="25" t="s">
        <v>419</v>
      </c>
      <c r="G49" s="80">
        <v>420</v>
      </c>
      <c r="H49" s="88">
        <f>Glas!G8</f>
        <v>0</v>
      </c>
      <c r="I49" s="84"/>
      <c r="J49" s="88">
        <f>Glas!I8</f>
        <v>0</v>
      </c>
      <c r="K49" s="40">
        <f>IF(ISBLANK(G49),0,G49)*J49</f>
        <v>0</v>
      </c>
      <c r="L49" s="40">
        <f>C49*K49</f>
        <v>0</v>
      </c>
      <c r="M49" s="40">
        <f>L49/12</f>
        <v>0</v>
      </c>
    </row>
    <row r="50" spans="1:13" x14ac:dyDescent="0.2">
      <c r="A50" s="75" t="s">
        <v>358</v>
      </c>
      <c r="B50" s="42"/>
      <c r="C50" s="42"/>
      <c r="D50" s="42"/>
      <c r="E50" s="42"/>
      <c r="F50" s="42"/>
      <c r="G50" s="42"/>
      <c r="H50" s="42"/>
      <c r="I50" s="42"/>
      <c r="J50" s="42"/>
      <c r="K50" s="44">
        <f>SUM(K48:K49)</f>
        <v>0</v>
      </c>
      <c r="L50" s="44">
        <f>SUM(L48:L49)</f>
        <v>0</v>
      </c>
      <c r="M50" s="82">
        <f>L50/12</f>
        <v>0</v>
      </c>
    </row>
  </sheetData>
  <pageMargins left="0.7" right="0.7" top="0.75" bottom="0.75" header="0.3" footer="0.3"/>
  <pageSetup paperSize="9" scale="65" orientation="landscape" horizontalDpi="4294967295" verticalDpi="4294967295" r:id="rId1"/>
  <headerFooter>
    <oddFooter>&amp;LROC Midden Nederland EA 2022                                &amp;ROpmaakdatum: 19-05-2022
Intexso - De Start 5 - Leusden
+31 (33) 2778485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C9295-EB52-49BC-93E1-3E4F9E82AFE1}">
  <dimension ref="A1:F11"/>
  <sheetViews>
    <sheetView tabSelected="1" workbookViewId="0"/>
  </sheetViews>
  <sheetFormatPr defaultRowHeight="12.75" x14ac:dyDescent="0.2"/>
  <cols>
    <col min="1" max="1" width="30.625" customWidth="1"/>
    <col min="2" max="6" width="20.625" customWidth="1"/>
  </cols>
  <sheetData>
    <row r="1" spans="1:6" x14ac:dyDescent="0.2">
      <c r="A1" s="1" t="str">
        <f>CONCATENATE("Bijlage I3.10: ",tabeltype," totaalblad schoonmaakwerk")</f>
        <v>Bijlage I3.10: Invultabel totaalblad schoonmaakwerk</v>
      </c>
    </row>
    <row r="3" spans="1:6" ht="25.5" x14ac:dyDescent="0.2">
      <c r="A3" s="8" t="s">
        <v>550</v>
      </c>
      <c r="B3" s="8" t="s">
        <v>551</v>
      </c>
      <c r="C3" s="8" t="s">
        <v>552</v>
      </c>
      <c r="D3" s="8" t="s">
        <v>553</v>
      </c>
      <c r="E3" s="8" t="s">
        <v>554</v>
      </c>
      <c r="F3" s="8" t="s">
        <v>555</v>
      </c>
    </row>
    <row r="4" spans="1:6" x14ac:dyDescent="0.2">
      <c r="A4" s="89" t="s">
        <v>556</v>
      </c>
      <c r="B4" s="30">
        <f>urenjaartotaaloverzicht</f>
        <v>0</v>
      </c>
      <c r="C4" s="30">
        <f>urenjaartotaaloverzichthf</f>
        <v>0</v>
      </c>
      <c r="D4" s="67"/>
      <c r="E4" s="33">
        <f>prijsjaartotaaloverzicht</f>
        <v>0</v>
      </c>
      <c r="F4" s="33">
        <f>E4*1.21</f>
        <v>0</v>
      </c>
    </row>
    <row r="5" spans="1:6" x14ac:dyDescent="0.2">
      <c r="A5" s="90" t="s">
        <v>557</v>
      </c>
      <c r="B5" s="70"/>
      <c r="C5" s="70"/>
      <c r="D5" s="34">
        <f>urenjaarnietmeewerkend</f>
        <v>0</v>
      </c>
      <c r="E5" s="37">
        <f>prijsjaarnietmeewerkend</f>
        <v>0</v>
      </c>
      <c r="F5" s="37">
        <f>E5*1.21</f>
        <v>0</v>
      </c>
    </row>
    <row r="6" spans="1:6" ht="25.5" x14ac:dyDescent="0.2">
      <c r="A6" s="90" t="s">
        <v>558</v>
      </c>
      <c r="B6" s="70"/>
      <c r="C6" s="70"/>
      <c r="D6" s="70"/>
      <c r="E6" s="37">
        <f>prijsjaarafroep</f>
        <v>0</v>
      </c>
      <c r="F6" s="37">
        <f>E6*1.21</f>
        <v>0</v>
      </c>
    </row>
    <row r="7" spans="1:6" x14ac:dyDescent="0.2">
      <c r="A7" s="91" t="s">
        <v>559</v>
      </c>
      <c r="B7" s="92"/>
      <c r="C7" s="92"/>
      <c r="D7" s="92"/>
      <c r="E7" s="40">
        <f>prijsjaarglas</f>
        <v>0</v>
      </c>
      <c r="F7" s="40">
        <f>E7*1.21</f>
        <v>0</v>
      </c>
    </row>
    <row r="9" spans="1:6" x14ac:dyDescent="0.2">
      <c r="A9" s="8" t="s">
        <v>560</v>
      </c>
      <c r="B9" s="43">
        <f>SUM(B4:B7)</f>
        <v>0</v>
      </c>
      <c r="C9" s="43">
        <f>SUM(C4:C7)</f>
        <v>0</v>
      </c>
      <c r="D9" s="43">
        <f>SUM(D4:D7)</f>
        <v>0</v>
      </c>
      <c r="E9" s="44">
        <f>SUM(E4:E7)</f>
        <v>0</v>
      </c>
      <c r="F9" s="44">
        <f>E9*1.21</f>
        <v>0</v>
      </c>
    </row>
    <row r="11" spans="1:6" x14ac:dyDescent="0.2">
      <c r="A11" s="8" t="s">
        <v>561</v>
      </c>
      <c r="B11" s="93">
        <f>IF(B9&gt;0,D9/B9,0)</f>
        <v>0</v>
      </c>
    </row>
  </sheetData>
  <pageMargins left="0.7" right="0.7" top="0.75" bottom="0.75" header="0.3" footer="0.3"/>
  <pageSetup paperSize="9" scale="70" orientation="landscape" horizontalDpi="4294967295" verticalDpi="4294967295" r:id="rId1"/>
  <headerFooter>
    <oddFooter>&amp;LROC Midden Nederland EA 2022                                &amp;ROpmaakdatum: 19-05-2022
Intexso - De Start 5 - Leusden
+31 (33) 2778485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7E027-D066-448F-A9F8-8EC2489A3761}">
  <dimension ref="A1:H80"/>
  <sheetViews>
    <sheetView workbookViewId="0"/>
  </sheetViews>
  <sheetFormatPr defaultRowHeight="12.75" x14ac:dyDescent="0.2"/>
  <cols>
    <col min="1" max="1" width="7.625" customWidth="1"/>
    <col min="2" max="2" width="6.625" customWidth="1"/>
    <col min="3" max="3" width="4.625" customWidth="1"/>
    <col min="4" max="4" width="50.625" customWidth="1"/>
    <col min="5" max="6" width="11.625" customWidth="1"/>
    <col min="7" max="7" width="9.625" customWidth="1"/>
    <col min="8" max="8" width="11.625" customWidth="1"/>
  </cols>
  <sheetData>
    <row r="1" spans="1:8" x14ac:dyDescent="0.2">
      <c r="A1" s="1" t="str">
        <f>CONCATENATE("Bijlage I3.1: ",tabeltype," categorienormen")</f>
        <v>Bijlage I3.1: Invultabel categorienormen</v>
      </c>
    </row>
    <row r="3" spans="1:8" ht="38.25" x14ac:dyDescent="0.2">
      <c r="A3" s="8" t="s">
        <v>30</v>
      </c>
      <c r="B3" s="8" t="s">
        <v>31</v>
      </c>
      <c r="C3" s="8" t="s">
        <v>32</v>
      </c>
      <c r="D3" s="8" t="s">
        <v>33</v>
      </c>
      <c r="E3" s="8" t="s">
        <v>34</v>
      </c>
      <c r="F3" s="8" t="s">
        <v>35</v>
      </c>
      <c r="G3" s="8" t="s">
        <v>36</v>
      </c>
      <c r="H3" s="8" t="s">
        <v>37</v>
      </c>
    </row>
    <row r="4" spans="1:8" x14ac:dyDescent="0.2">
      <c r="A4" s="9"/>
      <c r="B4" s="10"/>
      <c r="C4" s="10"/>
      <c r="D4" s="10"/>
      <c r="E4" s="10"/>
      <c r="F4" s="10"/>
      <c r="G4" s="10"/>
      <c r="H4" s="11"/>
    </row>
    <row r="5" spans="1:8" x14ac:dyDescent="0.2">
      <c r="A5" s="12" t="s">
        <v>38</v>
      </c>
      <c r="B5" s="13"/>
      <c r="C5" s="13"/>
      <c r="D5" s="13"/>
      <c r="E5" s="13"/>
      <c r="F5" s="13"/>
      <c r="G5" s="13"/>
      <c r="H5" s="14"/>
    </row>
    <row r="6" spans="1:8" x14ac:dyDescent="0.2">
      <c r="A6" s="15" t="s">
        <v>39</v>
      </c>
      <c r="B6" s="16" t="s">
        <v>40</v>
      </c>
      <c r="C6" s="15">
        <v>1</v>
      </c>
      <c r="D6" s="15" t="s">
        <v>41</v>
      </c>
      <c r="E6" s="17"/>
      <c r="F6" s="18"/>
      <c r="G6" s="15" t="s">
        <v>42</v>
      </c>
      <c r="H6" s="19"/>
    </row>
    <row r="7" spans="1:8" x14ac:dyDescent="0.2">
      <c r="A7" s="20" t="s">
        <v>43</v>
      </c>
      <c r="B7" s="21" t="s">
        <v>40</v>
      </c>
      <c r="C7" s="20">
        <v>1</v>
      </c>
      <c r="D7" s="20" t="s">
        <v>44</v>
      </c>
      <c r="E7" s="22"/>
      <c r="F7" s="23"/>
      <c r="G7" s="20" t="s">
        <v>42</v>
      </c>
      <c r="H7" s="24"/>
    </row>
    <row r="8" spans="1:8" x14ac:dyDescent="0.2">
      <c r="A8" s="20" t="s">
        <v>45</v>
      </c>
      <c r="B8" s="21" t="s">
        <v>40</v>
      </c>
      <c r="C8" s="20">
        <v>1</v>
      </c>
      <c r="D8" s="20" t="s">
        <v>46</v>
      </c>
      <c r="E8" s="22"/>
      <c r="F8" s="23"/>
      <c r="G8" s="20" t="s">
        <v>42</v>
      </c>
      <c r="H8" s="24"/>
    </row>
    <row r="9" spans="1:8" x14ac:dyDescent="0.2">
      <c r="A9" s="20" t="s">
        <v>47</v>
      </c>
      <c r="B9" s="21" t="s">
        <v>40</v>
      </c>
      <c r="C9" s="20">
        <v>40</v>
      </c>
      <c r="D9" s="20" t="s">
        <v>48</v>
      </c>
      <c r="E9" s="22"/>
      <c r="F9" s="23"/>
      <c r="G9" s="20" t="s">
        <v>42</v>
      </c>
      <c r="H9" s="24"/>
    </row>
    <row r="10" spans="1:8" x14ac:dyDescent="0.2">
      <c r="A10" s="20" t="s">
        <v>49</v>
      </c>
      <c r="B10" s="21" t="s">
        <v>40</v>
      </c>
      <c r="C10" s="20">
        <v>40</v>
      </c>
      <c r="D10" s="20" t="s">
        <v>50</v>
      </c>
      <c r="E10" s="22"/>
      <c r="F10" s="23"/>
      <c r="G10" s="20" t="s">
        <v>42</v>
      </c>
      <c r="H10" s="24"/>
    </row>
    <row r="11" spans="1:8" x14ac:dyDescent="0.2">
      <c r="A11" s="20" t="s">
        <v>51</v>
      </c>
      <c r="B11" s="21" t="s">
        <v>40</v>
      </c>
      <c r="C11" s="20">
        <v>40</v>
      </c>
      <c r="D11" s="20" t="s">
        <v>52</v>
      </c>
      <c r="E11" s="22"/>
      <c r="F11" s="23"/>
      <c r="G11" s="20" t="s">
        <v>42</v>
      </c>
      <c r="H11" s="24"/>
    </row>
    <row r="12" spans="1:8" x14ac:dyDescent="0.2">
      <c r="A12" s="20" t="s">
        <v>53</v>
      </c>
      <c r="B12" s="21" t="s">
        <v>40</v>
      </c>
      <c r="C12" s="20">
        <v>1</v>
      </c>
      <c r="D12" s="20" t="s">
        <v>54</v>
      </c>
      <c r="E12" s="22"/>
      <c r="F12" s="23"/>
      <c r="G12" s="20" t="s">
        <v>42</v>
      </c>
      <c r="H12" s="24"/>
    </row>
    <row r="13" spans="1:8" x14ac:dyDescent="0.2">
      <c r="A13" s="20" t="s">
        <v>55</v>
      </c>
      <c r="B13" s="21" t="s">
        <v>40</v>
      </c>
      <c r="C13" s="20">
        <v>40</v>
      </c>
      <c r="D13" s="20" t="s">
        <v>56</v>
      </c>
      <c r="E13" s="22"/>
      <c r="F13" s="23"/>
      <c r="G13" s="20" t="s">
        <v>42</v>
      </c>
      <c r="H13" s="24"/>
    </row>
    <row r="14" spans="1:8" x14ac:dyDescent="0.2">
      <c r="A14" s="20" t="s">
        <v>57</v>
      </c>
      <c r="B14" s="21" t="s">
        <v>40</v>
      </c>
      <c r="C14" s="20">
        <v>1</v>
      </c>
      <c r="D14" s="20" t="s">
        <v>58</v>
      </c>
      <c r="E14" s="22"/>
      <c r="F14" s="23"/>
      <c r="G14" s="20" t="s">
        <v>42</v>
      </c>
      <c r="H14" s="24"/>
    </row>
    <row r="15" spans="1:8" x14ac:dyDescent="0.2">
      <c r="A15" s="20" t="s">
        <v>59</v>
      </c>
      <c r="B15" s="21" t="s">
        <v>40</v>
      </c>
      <c r="C15" s="20">
        <v>40</v>
      </c>
      <c r="D15" s="20" t="s">
        <v>60</v>
      </c>
      <c r="E15" s="22"/>
      <c r="F15" s="23"/>
      <c r="G15" s="20" t="s">
        <v>42</v>
      </c>
      <c r="H15" s="24"/>
    </row>
    <row r="16" spans="1:8" x14ac:dyDescent="0.2">
      <c r="A16" s="20" t="s">
        <v>61</v>
      </c>
      <c r="B16" s="21" t="s">
        <v>40</v>
      </c>
      <c r="C16" s="20">
        <v>1</v>
      </c>
      <c r="D16" s="20" t="s">
        <v>62</v>
      </c>
      <c r="E16" s="22"/>
      <c r="F16" s="23"/>
      <c r="G16" s="20" t="s">
        <v>42</v>
      </c>
      <c r="H16" s="24"/>
    </row>
    <row r="17" spans="1:8" x14ac:dyDescent="0.2">
      <c r="A17" s="20" t="s">
        <v>63</v>
      </c>
      <c r="B17" s="21" t="s">
        <v>40</v>
      </c>
      <c r="C17" s="20">
        <v>40</v>
      </c>
      <c r="D17" s="20" t="s">
        <v>64</v>
      </c>
      <c r="E17" s="22"/>
      <c r="F17" s="23"/>
      <c r="G17" s="20" t="s">
        <v>42</v>
      </c>
      <c r="H17" s="24"/>
    </row>
    <row r="18" spans="1:8" x14ac:dyDescent="0.2">
      <c r="A18" s="20" t="s">
        <v>65</v>
      </c>
      <c r="B18" s="21" t="s">
        <v>40</v>
      </c>
      <c r="C18" s="20">
        <v>1</v>
      </c>
      <c r="D18" s="20" t="s">
        <v>66</v>
      </c>
      <c r="E18" s="22"/>
      <c r="F18" s="23"/>
      <c r="G18" s="20" t="s">
        <v>42</v>
      </c>
      <c r="H18" s="24"/>
    </row>
    <row r="19" spans="1:8" x14ac:dyDescent="0.2">
      <c r="A19" s="20" t="s">
        <v>67</v>
      </c>
      <c r="B19" s="21" t="s">
        <v>40</v>
      </c>
      <c r="C19" s="20">
        <v>1</v>
      </c>
      <c r="D19" s="20" t="s">
        <v>68</v>
      </c>
      <c r="E19" s="22"/>
      <c r="F19" s="23"/>
      <c r="G19" s="20" t="s">
        <v>42</v>
      </c>
      <c r="H19" s="24"/>
    </row>
    <row r="20" spans="1:8" x14ac:dyDescent="0.2">
      <c r="A20" s="20" t="s">
        <v>69</v>
      </c>
      <c r="B20" s="21" t="s">
        <v>40</v>
      </c>
      <c r="C20" s="20">
        <v>40</v>
      </c>
      <c r="D20" s="20" t="s">
        <v>70</v>
      </c>
      <c r="E20" s="22"/>
      <c r="F20" s="23"/>
      <c r="G20" s="20" t="s">
        <v>42</v>
      </c>
      <c r="H20" s="24"/>
    </row>
    <row r="21" spans="1:8" x14ac:dyDescent="0.2">
      <c r="A21" s="20" t="s">
        <v>71</v>
      </c>
      <c r="B21" s="21" t="s">
        <v>40</v>
      </c>
      <c r="C21" s="20">
        <v>40</v>
      </c>
      <c r="D21" s="20" t="s">
        <v>72</v>
      </c>
      <c r="E21" s="22"/>
      <c r="F21" s="23"/>
      <c r="G21" s="20" t="s">
        <v>42</v>
      </c>
      <c r="H21" s="24"/>
    </row>
    <row r="22" spans="1:8" x14ac:dyDescent="0.2">
      <c r="A22" s="20" t="s">
        <v>73</v>
      </c>
      <c r="B22" s="21" t="s">
        <v>74</v>
      </c>
      <c r="C22" s="20">
        <v>1</v>
      </c>
      <c r="D22" s="20" t="s">
        <v>75</v>
      </c>
      <c r="E22" s="22"/>
      <c r="F22" s="23"/>
      <c r="G22" s="20" t="s">
        <v>42</v>
      </c>
      <c r="H22" s="24"/>
    </row>
    <row r="23" spans="1:8" x14ac:dyDescent="0.2">
      <c r="A23" s="20" t="s">
        <v>76</v>
      </c>
      <c r="B23" s="21" t="s">
        <v>74</v>
      </c>
      <c r="C23" s="20">
        <v>40</v>
      </c>
      <c r="D23" s="20" t="s">
        <v>77</v>
      </c>
      <c r="E23" s="22"/>
      <c r="F23" s="23"/>
      <c r="G23" s="20" t="s">
        <v>42</v>
      </c>
      <c r="H23" s="24"/>
    </row>
    <row r="24" spans="1:8" x14ac:dyDescent="0.2">
      <c r="A24" s="20" t="s">
        <v>78</v>
      </c>
      <c r="B24" s="21" t="s">
        <v>74</v>
      </c>
      <c r="C24" s="20">
        <v>1</v>
      </c>
      <c r="D24" s="20" t="s">
        <v>79</v>
      </c>
      <c r="E24" s="22"/>
      <c r="F24" s="23"/>
      <c r="G24" s="20" t="s">
        <v>42</v>
      </c>
      <c r="H24" s="24"/>
    </row>
    <row r="25" spans="1:8" x14ac:dyDescent="0.2">
      <c r="A25" s="20" t="s">
        <v>80</v>
      </c>
      <c r="B25" s="21" t="s">
        <v>74</v>
      </c>
      <c r="C25" s="20">
        <v>40</v>
      </c>
      <c r="D25" s="20" t="s">
        <v>81</v>
      </c>
      <c r="E25" s="22"/>
      <c r="F25" s="23"/>
      <c r="G25" s="20" t="s">
        <v>42</v>
      </c>
      <c r="H25" s="24"/>
    </row>
    <row r="26" spans="1:8" x14ac:dyDescent="0.2">
      <c r="A26" s="20" t="s">
        <v>82</v>
      </c>
      <c r="B26" s="21" t="s">
        <v>83</v>
      </c>
      <c r="C26" s="20">
        <v>1</v>
      </c>
      <c r="D26" s="20" t="s">
        <v>84</v>
      </c>
      <c r="E26" s="22"/>
      <c r="F26" s="23"/>
      <c r="G26" s="20" t="s">
        <v>42</v>
      </c>
      <c r="H26" s="24"/>
    </row>
    <row r="27" spans="1:8" x14ac:dyDescent="0.2">
      <c r="A27" s="20" t="s">
        <v>85</v>
      </c>
      <c r="B27" s="21" t="s">
        <v>83</v>
      </c>
      <c r="C27" s="20">
        <v>40</v>
      </c>
      <c r="D27" s="20" t="s">
        <v>86</v>
      </c>
      <c r="E27" s="22"/>
      <c r="F27" s="23"/>
      <c r="G27" s="20" t="s">
        <v>42</v>
      </c>
      <c r="H27" s="24"/>
    </row>
    <row r="28" spans="1:8" x14ac:dyDescent="0.2">
      <c r="A28" s="20" t="s">
        <v>87</v>
      </c>
      <c r="B28" s="21" t="s">
        <v>83</v>
      </c>
      <c r="C28" s="20">
        <v>1</v>
      </c>
      <c r="D28" s="20" t="s">
        <v>88</v>
      </c>
      <c r="E28" s="22"/>
      <c r="F28" s="23"/>
      <c r="G28" s="20" t="s">
        <v>42</v>
      </c>
      <c r="H28" s="24"/>
    </row>
    <row r="29" spans="1:8" x14ac:dyDescent="0.2">
      <c r="A29" s="20" t="s">
        <v>89</v>
      </c>
      <c r="B29" s="21" t="s">
        <v>83</v>
      </c>
      <c r="C29" s="20">
        <v>40</v>
      </c>
      <c r="D29" s="20" t="s">
        <v>90</v>
      </c>
      <c r="E29" s="22"/>
      <c r="F29" s="23"/>
      <c r="G29" s="20" t="s">
        <v>42</v>
      </c>
      <c r="H29" s="24"/>
    </row>
    <row r="30" spans="1:8" x14ac:dyDescent="0.2">
      <c r="A30" s="20" t="s">
        <v>91</v>
      </c>
      <c r="B30" s="21" t="s">
        <v>92</v>
      </c>
      <c r="C30" s="20">
        <v>1</v>
      </c>
      <c r="D30" s="20" t="s">
        <v>93</v>
      </c>
      <c r="E30" s="22"/>
      <c r="F30" s="23"/>
      <c r="G30" s="20" t="s">
        <v>42</v>
      </c>
      <c r="H30" s="24"/>
    </row>
    <row r="31" spans="1:8" x14ac:dyDescent="0.2">
      <c r="A31" s="20" t="s">
        <v>94</v>
      </c>
      <c r="B31" s="21" t="s">
        <v>92</v>
      </c>
      <c r="C31" s="20">
        <v>40</v>
      </c>
      <c r="D31" s="20" t="s">
        <v>95</v>
      </c>
      <c r="E31" s="22"/>
      <c r="F31" s="23"/>
      <c r="G31" s="20" t="s">
        <v>42</v>
      </c>
      <c r="H31" s="24"/>
    </row>
    <row r="32" spans="1:8" x14ac:dyDescent="0.2">
      <c r="A32" s="20" t="s">
        <v>96</v>
      </c>
      <c r="B32" s="21" t="s">
        <v>97</v>
      </c>
      <c r="C32" s="20">
        <v>1</v>
      </c>
      <c r="D32" s="20" t="s">
        <v>98</v>
      </c>
      <c r="E32" s="22"/>
      <c r="F32" s="23"/>
      <c r="G32" s="20" t="s">
        <v>42</v>
      </c>
      <c r="H32" s="24"/>
    </row>
    <row r="33" spans="1:8" x14ac:dyDescent="0.2">
      <c r="A33" s="20" t="s">
        <v>99</v>
      </c>
      <c r="B33" s="21" t="s">
        <v>97</v>
      </c>
      <c r="C33" s="20">
        <v>40</v>
      </c>
      <c r="D33" s="20" t="s">
        <v>100</v>
      </c>
      <c r="E33" s="22"/>
      <c r="F33" s="23"/>
      <c r="G33" s="20" t="s">
        <v>42</v>
      </c>
      <c r="H33" s="24"/>
    </row>
    <row r="34" spans="1:8" x14ac:dyDescent="0.2">
      <c r="A34" s="20" t="s">
        <v>101</v>
      </c>
      <c r="B34" s="21" t="s">
        <v>102</v>
      </c>
      <c r="C34" s="20">
        <v>1</v>
      </c>
      <c r="D34" s="20" t="s">
        <v>103</v>
      </c>
      <c r="E34" s="22"/>
      <c r="F34" s="23"/>
      <c r="G34" s="20" t="s">
        <v>42</v>
      </c>
      <c r="H34" s="24"/>
    </row>
    <row r="35" spans="1:8" x14ac:dyDescent="0.2">
      <c r="A35" s="20" t="s">
        <v>104</v>
      </c>
      <c r="B35" s="21" t="s">
        <v>102</v>
      </c>
      <c r="C35" s="20">
        <v>1</v>
      </c>
      <c r="D35" s="20" t="s">
        <v>105</v>
      </c>
      <c r="E35" s="22"/>
      <c r="F35" s="23"/>
      <c r="G35" s="20" t="s">
        <v>42</v>
      </c>
      <c r="H35" s="24"/>
    </row>
    <row r="36" spans="1:8" x14ac:dyDescent="0.2">
      <c r="A36" s="20" t="s">
        <v>106</v>
      </c>
      <c r="B36" s="21" t="s">
        <v>102</v>
      </c>
      <c r="C36" s="20">
        <v>1</v>
      </c>
      <c r="D36" s="20" t="s">
        <v>107</v>
      </c>
      <c r="E36" s="22"/>
      <c r="F36" s="23"/>
      <c r="G36" s="20" t="s">
        <v>42</v>
      </c>
      <c r="H36" s="24"/>
    </row>
    <row r="37" spans="1:8" x14ac:dyDescent="0.2">
      <c r="A37" s="20" t="s">
        <v>108</v>
      </c>
      <c r="B37" s="21" t="s">
        <v>102</v>
      </c>
      <c r="C37" s="20">
        <v>40</v>
      </c>
      <c r="D37" s="20" t="s">
        <v>109</v>
      </c>
      <c r="E37" s="22"/>
      <c r="F37" s="23"/>
      <c r="G37" s="20" t="s">
        <v>42</v>
      </c>
      <c r="H37" s="24"/>
    </row>
    <row r="38" spans="1:8" x14ac:dyDescent="0.2">
      <c r="A38" s="20" t="s">
        <v>110</v>
      </c>
      <c r="B38" s="21" t="s">
        <v>102</v>
      </c>
      <c r="C38" s="20">
        <v>40</v>
      </c>
      <c r="D38" s="20" t="s">
        <v>111</v>
      </c>
      <c r="E38" s="22"/>
      <c r="F38" s="23"/>
      <c r="G38" s="20" t="s">
        <v>42</v>
      </c>
      <c r="H38" s="24"/>
    </row>
    <row r="39" spans="1:8" x14ac:dyDescent="0.2">
      <c r="A39" s="20" t="s">
        <v>112</v>
      </c>
      <c r="B39" s="21" t="s">
        <v>102</v>
      </c>
      <c r="C39" s="20">
        <v>40</v>
      </c>
      <c r="D39" s="20" t="s">
        <v>113</v>
      </c>
      <c r="E39" s="22"/>
      <c r="F39" s="23"/>
      <c r="G39" s="20" t="s">
        <v>42</v>
      </c>
      <c r="H39" s="24"/>
    </row>
    <row r="40" spans="1:8" x14ac:dyDescent="0.2">
      <c r="A40" s="20" t="s">
        <v>114</v>
      </c>
      <c r="B40" s="21" t="s">
        <v>115</v>
      </c>
      <c r="C40" s="20">
        <v>1</v>
      </c>
      <c r="D40" s="20" t="s">
        <v>116</v>
      </c>
      <c r="E40" s="22"/>
      <c r="F40" s="23"/>
      <c r="G40" s="20" t="s">
        <v>42</v>
      </c>
      <c r="H40" s="24"/>
    </row>
    <row r="41" spans="1:8" x14ac:dyDescent="0.2">
      <c r="A41" s="20" t="s">
        <v>117</v>
      </c>
      <c r="B41" s="21" t="s">
        <v>115</v>
      </c>
      <c r="C41" s="20">
        <v>1</v>
      </c>
      <c r="D41" s="20" t="s">
        <v>118</v>
      </c>
      <c r="E41" s="22"/>
      <c r="F41" s="23"/>
      <c r="G41" s="20" t="s">
        <v>42</v>
      </c>
      <c r="H41" s="24"/>
    </row>
    <row r="42" spans="1:8" x14ac:dyDescent="0.2">
      <c r="A42" s="20" t="s">
        <v>119</v>
      </c>
      <c r="B42" s="21" t="s">
        <v>115</v>
      </c>
      <c r="C42" s="20">
        <v>1</v>
      </c>
      <c r="D42" s="20" t="s">
        <v>120</v>
      </c>
      <c r="E42" s="22"/>
      <c r="F42" s="23"/>
      <c r="G42" s="20" t="s">
        <v>42</v>
      </c>
      <c r="H42" s="24"/>
    </row>
    <row r="43" spans="1:8" x14ac:dyDescent="0.2">
      <c r="A43" s="20" t="s">
        <v>121</v>
      </c>
      <c r="B43" s="21" t="s">
        <v>115</v>
      </c>
      <c r="C43" s="20">
        <v>1</v>
      </c>
      <c r="D43" s="20" t="s">
        <v>122</v>
      </c>
      <c r="E43" s="22"/>
      <c r="F43" s="23"/>
      <c r="G43" s="20" t="s">
        <v>42</v>
      </c>
      <c r="H43" s="24"/>
    </row>
    <row r="44" spans="1:8" x14ac:dyDescent="0.2">
      <c r="A44" s="20" t="s">
        <v>123</v>
      </c>
      <c r="B44" s="21" t="s">
        <v>115</v>
      </c>
      <c r="C44" s="20">
        <v>1</v>
      </c>
      <c r="D44" s="20" t="s">
        <v>124</v>
      </c>
      <c r="E44" s="22"/>
      <c r="F44" s="23"/>
      <c r="G44" s="20" t="s">
        <v>42</v>
      </c>
      <c r="H44" s="24"/>
    </row>
    <row r="45" spans="1:8" x14ac:dyDescent="0.2">
      <c r="A45" s="20" t="s">
        <v>125</v>
      </c>
      <c r="B45" s="21" t="s">
        <v>115</v>
      </c>
      <c r="C45" s="20">
        <v>1</v>
      </c>
      <c r="D45" s="20" t="s">
        <v>126</v>
      </c>
      <c r="E45" s="22"/>
      <c r="F45" s="23"/>
      <c r="G45" s="20" t="s">
        <v>42</v>
      </c>
      <c r="H45" s="24"/>
    </row>
    <row r="46" spans="1:8" x14ac:dyDescent="0.2">
      <c r="A46" s="20" t="s">
        <v>127</v>
      </c>
      <c r="B46" s="21" t="s">
        <v>115</v>
      </c>
      <c r="C46" s="20">
        <v>1</v>
      </c>
      <c r="D46" s="20" t="s">
        <v>128</v>
      </c>
      <c r="E46" s="22"/>
      <c r="F46" s="23"/>
      <c r="G46" s="20" t="s">
        <v>42</v>
      </c>
      <c r="H46" s="24"/>
    </row>
    <row r="47" spans="1:8" x14ac:dyDescent="0.2">
      <c r="A47" s="20" t="s">
        <v>129</v>
      </c>
      <c r="B47" s="21" t="s">
        <v>115</v>
      </c>
      <c r="C47" s="20">
        <v>40</v>
      </c>
      <c r="D47" s="20" t="s">
        <v>130</v>
      </c>
      <c r="E47" s="22"/>
      <c r="F47" s="23"/>
      <c r="G47" s="20" t="s">
        <v>42</v>
      </c>
      <c r="H47" s="24"/>
    </row>
    <row r="48" spans="1:8" x14ac:dyDescent="0.2">
      <c r="A48" s="20" t="s">
        <v>131</v>
      </c>
      <c r="B48" s="21" t="s">
        <v>115</v>
      </c>
      <c r="C48" s="20">
        <v>40</v>
      </c>
      <c r="D48" s="20" t="s">
        <v>132</v>
      </c>
      <c r="E48" s="22"/>
      <c r="F48" s="23"/>
      <c r="G48" s="20" t="s">
        <v>42</v>
      </c>
      <c r="H48" s="24"/>
    </row>
    <row r="49" spans="1:8" x14ac:dyDescent="0.2">
      <c r="A49" s="20" t="s">
        <v>133</v>
      </c>
      <c r="B49" s="21" t="s">
        <v>115</v>
      </c>
      <c r="C49" s="20">
        <v>40</v>
      </c>
      <c r="D49" s="20" t="s">
        <v>134</v>
      </c>
      <c r="E49" s="22"/>
      <c r="F49" s="23"/>
      <c r="G49" s="20" t="s">
        <v>42</v>
      </c>
      <c r="H49" s="24"/>
    </row>
    <row r="50" spans="1:8" x14ac:dyDescent="0.2">
      <c r="A50" s="20" t="s">
        <v>135</v>
      </c>
      <c r="B50" s="21" t="s">
        <v>115</v>
      </c>
      <c r="C50" s="20">
        <v>40</v>
      </c>
      <c r="D50" s="20" t="s">
        <v>136</v>
      </c>
      <c r="E50" s="22"/>
      <c r="F50" s="23"/>
      <c r="G50" s="20" t="s">
        <v>42</v>
      </c>
      <c r="H50" s="24"/>
    </row>
    <row r="51" spans="1:8" x14ac:dyDescent="0.2">
      <c r="A51" s="20" t="s">
        <v>137</v>
      </c>
      <c r="B51" s="21" t="s">
        <v>115</v>
      </c>
      <c r="C51" s="20">
        <v>40</v>
      </c>
      <c r="D51" s="20" t="s">
        <v>138</v>
      </c>
      <c r="E51" s="22"/>
      <c r="F51" s="23"/>
      <c r="G51" s="20" t="s">
        <v>42</v>
      </c>
      <c r="H51" s="24"/>
    </row>
    <row r="52" spans="1:8" x14ac:dyDescent="0.2">
      <c r="A52" s="20" t="s">
        <v>139</v>
      </c>
      <c r="B52" s="21" t="s">
        <v>115</v>
      </c>
      <c r="C52" s="20">
        <v>40</v>
      </c>
      <c r="D52" s="20" t="s">
        <v>140</v>
      </c>
      <c r="E52" s="22"/>
      <c r="F52" s="23"/>
      <c r="G52" s="20" t="s">
        <v>42</v>
      </c>
      <c r="H52" s="24"/>
    </row>
    <row r="53" spans="1:8" x14ac:dyDescent="0.2">
      <c r="A53" s="20" t="s">
        <v>141</v>
      </c>
      <c r="B53" s="21" t="s">
        <v>115</v>
      </c>
      <c r="C53" s="20">
        <v>40</v>
      </c>
      <c r="D53" s="20" t="s">
        <v>142</v>
      </c>
      <c r="E53" s="22"/>
      <c r="F53" s="23"/>
      <c r="G53" s="20" t="s">
        <v>42</v>
      </c>
      <c r="H53" s="24"/>
    </row>
    <row r="54" spans="1:8" x14ac:dyDescent="0.2">
      <c r="A54" s="20" t="s">
        <v>143</v>
      </c>
      <c r="B54" s="21" t="s">
        <v>115</v>
      </c>
      <c r="C54" s="20">
        <v>1</v>
      </c>
      <c r="D54" s="20" t="s">
        <v>144</v>
      </c>
      <c r="E54" s="22"/>
      <c r="F54" s="23"/>
      <c r="G54" s="20" t="s">
        <v>42</v>
      </c>
      <c r="H54" s="24"/>
    </row>
    <row r="55" spans="1:8" x14ac:dyDescent="0.2">
      <c r="A55" s="20" t="s">
        <v>145</v>
      </c>
      <c r="B55" s="21" t="s">
        <v>115</v>
      </c>
      <c r="C55" s="20">
        <v>1</v>
      </c>
      <c r="D55" s="20" t="s">
        <v>146</v>
      </c>
      <c r="E55" s="22"/>
      <c r="F55" s="23"/>
      <c r="G55" s="20" t="s">
        <v>42</v>
      </c>
      <c r="H55" s="24"/>
    </row>
    <row r="56" spans="1:8" x14ac:dyDescent="0.2">
      <c r="A56" s="20" t="s">
        <v>147</v>
      </c>
      <c r="B56" s="21" t="s">
        <v>115</v>
      </c>
      <c r="C56" s="20">
        <v>1</v>
      </c>
      <c r="D56" s="20" t="s">
        <v>148</v>
      </c>
      <c r="E56" s="22"/>
      <c r="F56" s="23"/>
      <c r="G56" s="20" t="s">
        <v>42</v>
      </c>
      <c r="H56" s="24"/>
    </row>
    <row r="57" spans="1:8" x14ac:dyDescent="0.2">
      <c r="A57" s="20" t="s">
        <v>149</v>
      </c>
      <c r="B57" s="21" t="s">
        <v>115</v>
      </c>
      <c r="C57" s="20">
        <v>1</v>
      </c>
      <c r="D57" s="20" t="s">
        <v>150</v>
      </c>
      <c r="E57" s="22"/>
      <c r="F57" s="23"/>
      <c r="G57" s="20" t="s">
        <v>42</v>
      </c>
      <c r="H57" s="24"/>
    </row>
    <row r="58" spans="1:8" x14ac:dyDescent="0.2">
      <c r="A58" s="20" t="s">
        <v>151</v>
      </c>
      <c r="B58" s="21" t="s">
        <v>115</v>
      </c>
      <c r="C58" s="20">
        <v>1</v>
      </c>
      <c r="D58" s="20" t="s">
        <v>152</v>
      </c>
      <c r="E58" s="22"/>
      <c r="F58" s="23"/>
      <c r="G58" s="20" t="s">
        <v>42</v>
      </c>
      <c r="H58" s="24"/>
    </row>
    <row r="59" spans="1:8" x14ac:dyDescent="0.2">
      <c r="A59" s="20" t="s">
        <v>153</v>
      </c>
      <c r="B59" s="21" t="s">
        <v>115</v>
      </c>
      <c r="C59" s="20">
        <v>40</v>
      </c>
      <c r="D59" s="20" t="s">
        <v>154</v>
      </c>
      <c r="E59" s="22"/>
      <c r="F59" s="23"/>
      <c r="G59" s="20" t="s">
        <v>42</v>
      </c>
      <c r="H59" s="24"/>
    </row>
    <row r="60" spans="1:8" x14ac:dyDescent="0.2">
      <c r="A60" s="20" t="s">
        <v>155</v>
      </c>
      <c r="B60" s="21" t="s">
        <v>115</v>
      </c>
      <c r="C60" s="20">
        <v>40</v>
      </c>
      <c r="D60" s="20" t="s">
        <v>156</v>
      </c>
      <c r="E60" s="22"/>
      <c r="F60" s="23"/>
      <c r="G60" s="20" t="s">
        <v>42</v>
      </c>
      <c r="H60" s="24"/>
    </row>
    <row r="61" spans="1:8" x14ac:dyDescent="0.2">
      <c r="A61" s="20" t="s">
        <v>157</v>
      </c>
      <c r="B61" s="21" t="s">
        <v>115</v>
      </c>
      <c r="C61" s="20">
        <v>40</v>
      </c>
      <c r="D61" s="20" t="s">
        <v>158</v>
      </c>
      <c r="E61" s="22"/>
      <c r="F61" s="23"/>
      <c r="G61" s="20" t="s">
        <v>42</v>
      </c>
      <c r="H61" s="24"/>
    </row>
    <row r="62" spans="1:8" x14ac:dyDescent="0.2">
      <c r="A62" s="20" t="s">
        <v>159</v>
      </c>
      <c r="B62" s="21" t="s">
        <v>115</v>
      </c>
      <c r="C62" s="20">
        <v>40</v>
      </c>
      <c r="D62" s="20" t="s">
        <v>160</v>
      </c>
      <c r="E62" s="22"/>
      <c r="F62" s="23"/>
      <c r="G62" s="20" t="s">
        <v>42</v>
      </c>
      <c r="H62" s="24"/>
    </row>
    <row r="63" spans="1:8" x14ac:dyDescent="0.2">
      <c r="A63" s="25" t="s">
        <v>161</v>
      </c>
      <c r="B63" s="26" t="s">
        <v>115</v>
      </c>
      <c r="C63" s="25">
        <v>40</v>
      </c>
      <c r="D63" s="25" t="s">
        <v>162</v>
      </c>
      <c r="E63" s="27"/>
      <c r="F63" s="28"/>
      <c r="G63" s="25" t="s">
        <v>42</v>
      </c>
      <c r="H63" s="29"/>
    </row>
    <row r="64" spans="1:8" x14ac:dyDescent="0.2">
      <c r="A64" s="9"/>
      <c r="B64" s="10"/>
      <c r="C64" s="10"/>
      <c r="D64" s="10"/>
      <c r="E64" s="10"/>
      <c r="F64" s="10"/>
      <c r="G64" s="10"/>
      <c r="H64" s="11"/>
    </row>
    <row r="65" spans="1:8" x14ac:dyDescent="0.2">
      <c r="A65" s="12" t="s">
        <v>163</v>
      </c>
      <c r="B65" s="13"/>
      <c r="C65" s="13"/>
      <c r="D65" s="13"/>
      <c r="E65" s="13"/>
      <c r="F65" s="13"/>
      <c r="G65" s="13"/>
      <c r="H65" s="14"/>
    </row>
    <row r="66" spans="1:8" x14ac:dyDescent="0.2">
      <c r="A66" s="15" t="s">
        <v>164</v>
      </c>
      <c r="B66" s="16" t="s">
        <v>40</v>
      </c>
      <c r="C66" s="15">
        <v>1</v>
      </c>
      <c r="D66" s="15" t="s">
        <v>41</v>
      </c>
      <c r="E66" s="17"/>
      <c r="F66" s="18"/>
      <c r="G66" s="15" t="s">
        <v>42</v>
      </c>
      <c r="H66" s="19"/>
    </row>
    <row r="67" spans="1:8" x14ac:dyDescent="0.2">
      <c r="A67" s="20" t="s">
        <v>165</v>
      </c>
      <c r="B67" s="21" t="s">
        <v>40</v>
      </c>
      <c r="C67" s="20">
        <v>1</v>
      </c>
      <c r="D67" s="20" t="s">
        <v>66</v>
      </c>
      <c r="E67" s="22"/>
      <c r="F67" s="23"/>
      <c r="G67" s="20" t="s">
        <v>42</v>
      </c>
      <c r="H67" s="24"/>
    </row>
    <row r="68" spans="1:8" x14ac:dyDescent="0.2">
      <c r="A68" s="20" t="s">
        <v>166</v>
      </c>
      <c r="B68" s="21" t="s">
        <v>40</v>
      </c>
      <c r="C68" s="20">
        <v>1</v>
      </c>
      <c r="D68" s="20" t="s">
        <v>46</v>
      </c>
      <c r="E68" s="22"/>
      <c r="F68" s="23"/>
      <c r="G68" s="20" t="s">
        <v>42</v>
      </c>
      <c r="H68" s="24"/>
    </row>
    <row r="69" spans="1:8" x14ac:dyDescent="0.2">
      <c r="A69" s="20" t="s">
        <v>167</v>
      </c>
      <c r="B69" s="21" t="s">
        <v>102</v>
      </c>
      <c r="C69" s="20">
        <v>1</v>
      </c>
      <c r="D69" s="20" t="s">
        <v>103</v>
      </c>
      <c r="E69" s="22"/>
      <c r="F69" s="23"/>
      <c r="G69" s="20" t="s">
        <v>42</v>
      </c>
      <c r="H69" s="24"/>
    </row>
    <row r="70" spans="1:8" x14ac:dyDescent="0.2">
      <c r="A70" s="20" t="s">
        <v>168</v>
      </c>
      <c r="B70" s="21" t="s">
        <v>102</v>
      </c>
      <c r="C70" s="20">
        <v>1</v>
      </c>
      <c r="D70" s="20" t="s">
        <v>169</v>
      </c>
      <c r="E70" s="22"/>
      <c r="F70" s="23"/>
      <c r="G70" s="20" t="s">
        <v>42</v>
      </c>
      <c r="H70" s="24"/>
    </row>
    <row r="71" spans="1:8" x14ac:dyDescent="0.2">
      <c r="A71" s="20" t="s">
        <v>170</v>
      </c>
      <c r="B71" s="21" t="s">
        <v>102</v>
      </c>
      <c r="C71" s="20">
        <v>1</v>
      </c>
      <c r="D71" s="20" t="s">
        <v>107</v>
      </c>
      <c r="E71" s="22"/>
      <c r="F71" s="23"/>
      <c r="G71" s="20" t="s">
        <v>42</v>
      </c>
      <c r="H71" s="24"/>
    </row>
    <row r="72" spans="1:8" x14ac:dyDescent="0.2">
      <c r="A72" s="20" t="s">
        <v>171</v>
      </c>
      <c r="B72" s="21" t="s">
        <v>115</v>
      </c>
      <c r="C72" s="20">
        <v>1</v>
      </c>
      <c r="D72" s="20" t="s">
        <v>172</v>
      </c>
      <c r="E72" s="22"/>
      <c r="F72" s="23"/>
      <c r="G72" s="20" t="s">
        <v>42</v>
      </c>
      <c r="H72" s="24"/>
    </row>
    <row r="73" spans="1:8" x14ac:dyDescent="0.2">
      <c r="A73" s="20" t="s">
        <v>173</v>
      </c>
      <c r="B73" s="21" t="s">
        <v>115</v>
      </c>
      <c r="C73" s="20">
        <v>1</v>
      </c>
      <c r="D73" s="20" t="s">
        <v>118</v>
      </c>
      <c r="E73" s="22"/>
      <c r="F73" s="23"/>
      <c r="G73" s="20" t="s">
        <v>42</v>
      </c>
      <c r="H73" s="24"/>
    </row>
    <row r="74" spans="1:8" x14ac:dyDescent="0.2">
      <c r="A74" s="20" t="s">
        <v>174</v>
      </c>
      <c r="B74" s="21" t="s">
        <v>115</v>
      </c>
      <c r="C74" s="20">
        <v>1</v>
      </c>
      <c r="D74" s="20" t="s">
        <v>144</v>
      </c>
      <c r="E74" s="22"/>
      <c r="F74" s="23"/>
      <c r="G74" s="20" t="s">
        <v>42</v>
      </c>
      <c r="H74" s="24"/>
    </row>
    <row r="75" spans="1:8" x14ac:dyDescent="0.2">
      <c r="A75" s="20" t="s">
        <v>175</v>
      </c>
      <c r="B75" s="21" t="s">
        <v>115</v>
      </c>
      <c r="C75" s="20">
        <v>1</v>
      </c>
      <c r="D75" s="20" t="s">
        <v>120</v>
      </c>
      <c r="E75" s="22"/>
      <c r="F75" s="23"/>
      <c r="G75" s="20" t="s">
        <v>42</v>
      </c>
      <c r="H75" s="24"/>
    </row>
    <row r="76" spans="1:8" x14ac:dyDescent="0.2">
      <c r="A76" s="20" t="s">
        <v>176</v>
      </c>
      <c r="B76" s="21" t="s">
        <v>115</v>
      </c>
      <c r="C76" s="20">
        <v>1</v>
      </c>
      <c r="D76" s="20" t="s">
        <v>122</v>
      </c>
      <c r="E76" s="22"/>
      <c r="F76" s="23"/>
      <c r="G76" s="20" t="s">
        <v>42</v>
      </c>
      <c r="H76" s="24"/>
    </row>
    <row r="77" spans="1:8" x14ac:dyDescent="0.2">
      <c r="A77" s="20" t="s">
        <v>177</v>
      </c>
      <c r="B77" s="21" t="s">
        <v>115</v>
      </c>
      <c r="C77" s="20">
        <v>1</v>
      </c>
      <c r="D77" s="20" t="s">
        <v>126</v>
      </c>
      <c r="E77" s="22"/>
      <c r="F77" s="23"/>
      <c r="G77" s="20" t="s">
        <v>42</v>
      </c>
      <c r="H77" s="24"/>
    </row>
    <row r="78" spans="1:8" x14ac:dyDescent="0.2">
      <c r="A78" s="20" t="s">
        <v>178</v>
      </c>
      <c r="B78" s="21" t="s">
        <v>115</v>
      </c>
      <c r="C78" s="20">
        <v>1</v>
      </c>
      <c r="D78" s="20" t="s">
        <v>150</v>
      </c>
      <c r="E78" s="22"/>
      <c r="F78" s="23"/>
      <c r="G78" s="20" t="s">
        <v>42</v>
      </c>
      <c r="H78" s="24"/>
    </row>
    <row r="79" spans="1:8" x14ac:dyDescent="0.2">
      <c r="A79" s="20" t="s">
        <v>179</v>
      </c>
      <c r="B79" s="21" t="s">
        <v>115</v>
      </c>
      <c r="C79" s="20">
        <v>1</v>
      </c>
      <c r="D79" s="20" t="s">
        <v>128</v>
      </c>
      <c r="E79" s="22"/>
      <c r="F79" s="23"/>
      <c r="G79" s="20" t="s">
        <v>42</v>
      </c>
      <c r="H79" s="24"/>
    </row>
    <row r="80" spans="1:8" x14ac:dyDescent="0.2">
      <c r="A80" s="25" t="s">
        <v>180</v>
      </c>
      <c r="B80" s="26" t="s">
        <v>115</v>
      </c>
      <c r="C80" s="25">
        <v>1</v>
      </c>
      <c r="D80" s="25" t="s">
        <v>152</v>
      </c>
      <c r="E80" s="27"/>
      <c r="F80" s="28"/>
      <c r="G80" s="25" t="s">
        <v>42</v>
      </c>
      <c r="H80" s="29"/>
    </row>
  </sheetData>
  <pageMargins left="0.7" right="0.7" top="0.75" bottom="0.75" header="0.3" footer="0.3"/>
  <pageSetup paperSize="9" scale="70" orientation="landscape" horizontalDpi="4294967295" verticalDpi="4294967295" r:id="rId1"/>
  <headerFooter>
    <oddFooter>&amp;LROC Midden Nederland EA 2022                                &amp;ROpmaakdatum: 19-05-2022
Intexso - De Start 5 - Leusden
+31 (33) 2778485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79ABB5-70D1-45A7-B91A-68467CC105BE}">
  <dimension ref="A1:N78"/>
  <sheetViews>
    <sheetView workbookViewId="0"/>
  </sheetViews>
  <sheetFormatPr defaultRowHeight="12.75" x14ac:dyDescent="0.2"/>
  <cols>
    <col min="1" max="1" width="7.625" customWidth="1"/>
    <col min="2" max="2" width="6.625" customWidth="1"/>
    <col min="3" max="3" width="12.625" customWidth="1"/>
    <col min="4" max="4" width="35.625" customWidth="1"/>
    <col min="5" max="5" width="12.625" customWidth="1"/>
    <col min="6" max="8" width="11.625" customWidth="1"/>
    <col min="9" max="9" width="9.625" customWidth="1"/>
    <col min="10" max="12" width="11.625" customWidth="1"/>
    <col min="13" max="13" width="12.625" customWidth="1"/>
    <col min="14" max="14" width="14.625" customWidth="1"/>
  </cols>
  <sheetData>
    <row r="1" spans="1:14" x14ac:dyDescent="0.2">
      <c r="A1" s="1" t="str">
        <f>CONCATENATE("Bijlage I3.2: ",tabeltype," regulier werk")</f>
        <v>Bijlage I3.2: Invultabel regulier werk</v>
      </c>
    </row>
    <row r="3" spans="1:14" ht="38.25" x14ac:dyDescent="0.2">
      <c r="A3" s="8" t="s">
        <v>181</v>
      </c>
      <c r="B3" s="8" t="s">
        <v>7</v>
      </c>
      <c r="C3" s="8" t="s">
        <v>182</v>
      </c>
      <c r="D3" s="8" t="s">
        <v>33</v>
      </c>
      <c r="E3" s="8" t="s">
        <v>183</v>
      </c>
      <c r="F3" s="8" t="s">
        <v>184</v>
      </c>
      <c r="G3" s="8" t="s">
        <v>34</v>
      </c>
      <c r="H3" s="8" t="s">
        <v>35</v>
      </c>
      <c r="I3" s="8" t="s">
        <v>36</v>
      </c>
      <c r="J3" s="8" t="s">
        <v>37</v>
      </c>
      <c r="K3" s="8" t="s">
        <v>185</v>
      </c>
      <c r="L3" s="8" t="s">
        <v>186</v>
      </c>
      <c r="M3" s="8" t="s">
        <v>187</v>
      </c>
      <c r="N3" s="8" t="s">
        <v>188</v>
      </c>
    </row>
    <row r="4" spans="1:14" x14ac:dyDescent="0.2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1"/>
    </row>
    <row r="5" spans="1:14" x14ac:dyDescent="0.2">
      <c r="A5" s="12" t="s">
        <v>38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4"/>
    </row>
    <row r="6" spans="1:14" x14ac:dyDescent="0.2">
      <c r="A6" s="15" t="s">
        <v>189</v>
      </c>
      <c r="B6" s="15" t="s">
        <v>11</v>
      </c>
      <c r="C6" s="15" t="s">
        <v>190</v>
      </c>
      <c r="D6" s="15" t="s">
        <v>191</v>
      </c>
      <c r="E6" s="30">
        <v>2685.0699999999997</v>
      </c>
      <c r="F6" s="30">
        <f>E6*VLOOKUP(B6,dagsoorttabel1,2,FALSE)</f>
        <v>2105.9372549019604</v>
      </c>
      <c r="G6" s="31">
        <f>IF(AND(catpn_1_AHB_1&gt;0,catpn_1_AHV_40&gt;0),(dagenperjaar1*VLOOKUP(B6,dagsoorttabel1,2,FALSE))/(((dagenperjaar1*VLOOKUP(B6,dagsoorttabel1,2,FALSE))-catfd_1_AHV_40)/catpn_1_AHB_1+catfd_1_AHV_40/catpn_1_AHV_40),0)</f>
        <v>0</v>
      </c>
      <c r="H6" s="32">
        <f>IF(AND(catpn_1_AHB_1&gt;0,catpn_1_AHV_40&gt;0),(catdw_1_AHB_1*((dagenperjaar1*VLOOKUP(B6,dagsoorttabel1,2,FALSE))-catfd_1_AHV_40)/catpn_1_AHB_1+catdw_1_AHV_40*catfd_1_AHV_40/catpn_1_AHV_40)/(((dagenperjaar1*VLOOKUP(B6,dagsoorttabel1,2,FALSE))-catfd_1_AHV_40)/catpn_1_AHB_1+catfd_1_AHV_40/catpn_1_AHV_40),0)</f>
        <v>0</v>
      </c>
      <c r="I6" s="15" t="s">
        <v>42</v>
      </c>
      <c r="J6" s="33">
        <f>IF(AND(catpn_1_AHB_1&gt;0,catpn_1_AHV_40&gt;0),(cattf_1_AHB_1*((dagenperjaar1*VLOOKUP(B6,dagsoorttabel1,2,FALSE))-catfd_1_AHV_40)/catpn_1_AHB_1+cattf_1_AHV_40*catfd_1_AHV_40/catpn_1_AHV_40)/(((dagenperjaar1*VLOOKUP(B6,dagsoorttabel1,2,FALSE))-catfd_1_AHV_40)/catpn_1_AHB_1+catfd_1_AHV_40/catpn_1_AHV_40),0)</f>
        <v>0</v>
      </c>
      <c r="K6" s="30">
        <f>IF(OR(ISBLANK(G6),G6=0),0,F6/ROUND(G6,4))</f>
        <v>0</v>
      </c>
      <c r="L6" s="33">
        <f>ROUND(J6,2)*K6</f>
        <v>0</v>
      </c>
      <c r="M6" s="30">
        <f>K6*dagenperjaar1</f>
        <v>0</v>
      </c>
      <c r="N6" s="33">
        <f>M6*ROUND(J6,2)</f>
        <v>0</v>
      </c>
    </row>
    <row r="7" spans="1:14" x14ac:dyDescent="0.2">
      <c r="A7" s="20" t="s">
        <v>192</v>
      </c>
      <c r="B7" s="20" t="s">
        <v>13</v>
      </c>
      <c r="C7" s="20" t="s">
        <v>190</v>
      </c>
      <c r="D7" s="20" t="s">
        <v>193</v>
      </c>
      <c r="E7" s="34">
        <v>4803.95</v>
      </c>
      <c r="F7" s="34">
        <f>E7*VLOOKUP(B7,dagsoorttabel1,2,FALSE)</f>
        <v>2260.6823529411763</v>
      </c>
      <c r="G7" s="35">
        <f>IF(AND(catpn_1_BHB_1&gt;0,catpn_1_BHV_40&gt;0),(dagenperjaar1*VLOOKUP(B7,dagsoorttabel1,2,FALSE))/(((dagenperjaar1*VLOOKUP(B7,dagsoorttabel1,2,FALSE))-catfd_1_BHV_40)/catpn_1_BHB_1+catfd_1_BHV_40/catpn_1_BHV_40),0)</f>
        <v>0</v>
      </c>
      <c r="H7" s="36">
        <f>IF(AND(catpn_1_BHB_1&gt;0,catpn_1_BHV_40&gt;0),(catdw_1_BHB_1*((dagenperjaar1*VLOOKUP(B7,dagsoorttabel1,2,FALSE))-catfd_1_BHV_40)/catpn_1_BHB_1+catdw_1_BHV_40*catfd_1_BHV_40/catpn_1_BHV_40)/(((dagenperjaar1*VLOOKUP(B7,dagsoorttabel1,2,FALSE))-catfd_1_BHV_40)/catpn_1_BHB_1+catfd_1_BHV_40/catpn_1_BHV_40),0)</f>
        <v>0</v>
      </c>
      <c r="I7" s="20" t="s">
        <v>42</v>
      </c>
      <c r="J7" s="37">
        <f>IF(AND(catpn_1_BHB_1&gt;0,catpn_1_BHV_40&gt;0),(cattf_1_BHB_1*((dagenperjaar1*VLOOKUP(B7,dagsoorttabel1,2,FALSE))-catfd_1_BHV_40)/catpn_1_BHB_1+cattf_1_BHV_40*catfd_1_BHV_40/catpn_1_BHV_40)/(((dagenperjaar1*VLOOKUP(B7,dagsoorttabel1,2,FALSE))-catfd_1_BHV_40)/catpn_1_BHB_1+catfd_1_BHV_40/catpn_1_BHV_40),0)</f>
        <v>0</v>
      </c>
      <c r="K7" s="34">
        <f>IF(OR(ISBLANK(G7),G7=0),0,F7/ROUND(G7,4))</f>
        <v>0</v>
      </c>
      <c r="L7" s="37">
        <f>ROUND(J7,2)*K7</f>
        <v>0</v>
      </c>
      <c r="M7" s="34">
        <f>K7*dagenperjaar1</f>
        <v>0</v>
      </c>
      <c r="N7" s="37">
        <f>M7*ROUND(J7,2)</f>
        <v>0</v>
      </c>
    </row>
    <row r="8" spans="1:14" x14ac:dyDescent="0.2">
      <c r="A8" s="20" t="s">
        <v>194</v>
      </c>
      <c r="B8" s="20" t="s">
        <v>13</v>
      </c>
      <c r="C8" s="20" t="s">
        <v>190</v>
      </c>
      <c r="D8" s="20" t="s">
        <v>195</v>
      </c>
      <c r="E8" s="34">
        <v>809.01</v>
      </c>
      <c r="F8" s="34">
        <f>E8*VLOOKUP(B8,dagsoorttabel1,2,FALSE)</f>
        <v>380.7105882352941</v>
      </c>
      <c r="G8" s="35">
        <f>IF(AND(catpn_1_BZB_1&gt;0,catpn_1_BZV_40&gt;0),(dagenperjaar1*VLOOKUP(B8,dagsoorttabel1,2,FALSE))/(((dagenperjaar1*VLOOKUP(B8,dagsoorttabel1,2,FALSE))-catfd_1_BZV_40)/catpn_1_BZB_1+catfd_1_BZV_40/catpn_1_BZV_40),0)</f>
        <v>0</v>
      </c>
      <c r="H8" s="36">
        <f>IF(AND(catpn_1_BZB_1&gt;0,catpn_1_BZV_40&gt;0),(catdw_1_BZB_1*((dagenperjaar1*VLOOKUP(B8,dagsoorttabel1,2,FALSE))-catfd_1_BZV_40)/catpn_1_BZB_1+catdw_1_BZV_40*catfd_1_BZV_40/catpn_1_BZV_40)/(((dagenperjaar1*VLOOKUP(B8,dagsoorttabel1,2,FALSE))-catfd_1_BZV_40)/catpn_1_BZB_1+catfd_1_BZV_40/catpn_1_BZV_40),0)</f>
        <v>0</v>
      </c>
      <c r="I8" s="20" t="s">
        <v>42</v>
      </c>
      <c r="J8" s="37">
        <f>IF(AND(catpn_1_BZB_1&gt;0,catpn_1_BZV_40&gt;0),(cattf_1_BZB_1*((dagenperjaar1*VLOOKUP(B8,dagsoorttabel1,2,FALSE))-catfd_1_BZV_40)/catpn_1_BZB_1+cattf_1_BZV_40*catfd_1_BZV_40/catpn_1_BZV_40)/(((dagenperjaar1*VLOOKUP(B8,dagsoorttabel1,2,FALSE))-catfd_1_BZV_40)/catpn_1_BZB_1+catfd_1_BZV_40/catpn_1_BZV_40),0)</f>
        <v>0</v>
      </c>
      <c r="K8" s="34">
        <f>IF(OR(ISBLANK(G8),G8=0),0,F8/ROUND(G8,4))</f>
        <v>0</v>
      </c>
      <c r="L8" s="37">
        <f>ROUND(J8,2)*K8</f>
        <v>0</v>
      </c>
      <c r="M8" s="34">
        <f>K8*dagenperjaar1</f>
        <v>0</v>
      </c>
      <c r="N8" s="37">
        <f>M8*ROUND(J8,2)</f>
        <v>0</v>
      </c>
    </row>
    <row r="9" spans="1:14" x14ac:dyDescent="0.2">
      <c r="A9" s="20" t="s">
        <v>196</v>
      </c>
      <c r="B9" s="20" t="s">
        <v>13</v>
      </c>
      <c r="C9" s="20" t="s">
        <v>190</v>
      </c>
      <c r="D9" s="20" t="s">
        <v>197</v>
      </c>
      <c r="E9" s="34">
        <v>1137.03</v>
      </c>
      <c r="F9" s="34">
        <f>E9*VLOOKUP(B9,dagsoorttabel1,2,FALSE)</f>
        <v>535.07294117647052</v>
      </c>
      <c r="G9" s="35">
        <f>IF(AND(catpn_1_CHB_1&gt;0,catpn_1_CHV_40&gt;0),(dagenperjaar1*VLOOKUP(B9,dagsoorttabel1,2,FALSE))/(((dagenperjaar1*VLOOKUP(B9,dagsoorttabel1,2,FALSE))-catfd_1_CHV_40)/catpn_1_CHB_1+catfd_1_CHV_40/catpn_1_CHV_40),0)</f>
        <v>0</v>
      </c>
      <c r="H9" s="36">
        <f>IF(AND(catpn_1_CHB_1&gt;0,catpn_1_CHV_40&gt;0),(catdw_1_CHB_1*((dagenperjaar1*VLOOKUP(B9,dagsoorttabel1,2,FALSE))-catfd_1_CHV_40)/catpn_1_CHB_1+catdw_1_CHV_40*catfd_1_CHV_40/catpn_1_CHV_40)/(((dagenperjaar1*VLOOKUP(B9,dagsoorttabel1,2,FALSE))-catfd_1_CHV_40)/catpn_1_CHB_1+catfd_1_CHV_40/catpn_1_CHV_40),0)</f>
        <v>0</v>
      </c>
      <c r="I9" s="20" t="s">
        <v>42</v>
      </c>
      <c r="J9" s="37">
        <f>IF(AND(catpn_1_CHB_1&gt;0,catpn_1_CHV_40&gt;0),(cattf_1_CHB_1*((dagenperjaar1*VLOOKUP(B9,dagsoorttabel1,2,FALSE))-catfd_1_CHV_40)/catpn_1_CHB_1+cattf_1_CHV_40*catfd_1_CHV_40/catpn_1_CHV_40)/(((dagenperjaar1*VLOOKUP(B9,dagsoorttabel1,2,FALSE))-catfd_1_CHV_40)/catpn_1_CHB_1+catfd_1_CHV_40/catpn_1_CHV_40),0)</f>
        <v>0</v>
      </c>
      <c r="K9" s="34">
        <f>IF(OR(ISBLANK(G9),G9=0),0,F9/ROUND(G9,4))</f>
        <v>0</v>
      </c>
      <c r="L9" s="37">
        <f>ROUND(J9,2)*K9</f>
        <v>0</v>
      </c>
      <c r="M9" s="34">
        <f>K9*dagenperjaar1</f>
        <v>0</v>
      </c>
      <c r="N9" s="37">
        <f>M9*ROUND(J9,2)</f>
        <v>0</v>
      </c>
    </row>
    <row r="10" spans="1:14" x14ac:dyDescent="0.2">
      <c r="A10" s="20" t="s">
        <v>198</v>
      </c>
      <c r="B10" s="20" t="s">
        <v>11</v>
      </c>
      <c r="C10" s="20" t="s">
        <v>190</v>
      </c>
      <c r="D10" s="20" t="s">
        <v>199</v>
      </c>
      <c r="E10" s="34">
        <v>112.13</v>
      </c>
      <c r="F10" s="34">
        <f>E10*VLOOKUP(B10,dagsoorttabel1,2,FALSE)</f>
        <v>87.945098039215679</v>
      </c>
      <c r="G10" s="35">
        <f>IF(AND(catpn_1_DHB_1&gt;0,catpn_1_DHV_40&gt;0),(dagenperjaar1*VLOOKUP(B10,dagsoorttabel1,2,FALSE))/(((dagenperjaar1*VLOOKUP(B10,dagsoorttabel1,2,FALSE))-catfd_1_DHV_40)/catpn_1_DHB_1+catfd_1_DHV_40/catpn_1_DHV_40),0)</f>
        <v>0</v>
      </c>
      <c r="H10" s="36">
        <f>IF(AND(catpn_1_DHB_1&gt;0,catpn_1_DHV_40&gt;0),(catdw_1_DHB_1*((dagenperjaar1*VLOOKUP(B10,dagsoorttabel1,2,FALSE))-catfd_1_DHV_40)/catpn_1_DHB_1+catdw_1_DHV_40*catfd_1_DHV_40/catpn_1_DHV_40)/(((dagenperjaar1*VLOOKUP(B10,dagsoorttabel1,2,FALSE))-catfd_1_DHV_40)/catpn_1_DHB_1+catfd_1_DHV_40/catpn_1_DHV_40),0)</f>
        <v>0</v>
      </c>
      <c r="I10" s="20" t="s">
        <v>42</v>
      </c>
      <c r="J10" s="37">
        <f>IF(AND(catpn_1_DHB_1&gt;0,catpn_1_DHV_40&gt;0),(cattf_1_DHB_1*((dagenperjaar1*VLOOKUP(B10,dagsoorttabel1,2,FALSE))-catfd_1_DHV_40)/catpn_1_DHB_1+cattf_1_DHV_40*catfd_1_DHV_40/catpn_1_DHV_40)/(((dagenperjaar1*VLOOKUP(B10,dagsoorttabel1,2,FALSE))-catfd_1_DHV_40)/catpn_1_DHB_1+catfd_1_DHV_40/catpn_1_DHV_40),0)</f>
        <v>0</v>
      </c>
      <c r="K10" s="34">
        <f>IF(OR(ISBLANK(G10),G10=0),0,F10/ROUND(G10,4))</f>
        <v>0</v>
      </c>
      <c r="L10" s="37">
        <f>ROUND(J10,2)*K10</f>
        <v>0</v>
      </c>
      <c r="M10" s="34">
        <f>K10*dagenperjaar1</f>
        <v>0</v>
      </c>
      <c r="N10" s="37">
        <f>M10*ROUND(J10,2)</f>
        <v>0</v>
      </c>
    </row>
    <row r="11" spans="1:14" x14ac:dyDescent="0.2">
      <c r="A11" s="20" t="s">
        <v>200</v>
      </c>
      <c r="B11" s="20" t="s">
        <v>11</v>
      </c>
      <c r="C11" s="20" t="s">
        <v>190</v>
      </c>
      <c r="D11" s="20" t="s">
        <v>201</v>
      </c>
      <c r="E11" s="34">
        <v>665.39</v>
      </c>
      <c r="F11" s="34">
        <f>E11*VLOOKUP(B11,dagsoorttabel1,2,FALSE)</f>
        <v>521.87450980392157</v>
      </c>
      <c r="G11" s="35">
        <f>IF(AND(catpn_1_EHB_1&gt;0,catpn_1_EHV_40&gt;0),(dagenperjaar1*VLOOKUP(B11,dagsoorttabel1,2,FALSE))/(((dagenperjaar1*VLOOKUP(B11,dagsoorttabel1,2,FALSE))-catfd_1_EHV_40)/catpn_1_EHB_1+catfd_1_EHV_40/catpn_1_EHV_40),0)</f>
        <v>0</v>
      </c>
      <c r="H11" s="36">
        <f>IF(AND(catpn_1_EHB_1&gt;0,catpn_1_EHV_40&gt;0),(catdw_1_EHB_1*((dagenperjaar1*VLOOKUP(B11,dagsoorttabel1,2,FALSE))-catfd_1_EHV_40)/catpn_1_EHB_1+catdw_1_EHV_40*catfd_1_EHV_40/catpn_1_EHV_40)/(((dagenperjaar1*VLOOKUP(B11,dagsoorttabel1,2,FALSE))-catfd_1_EHV_40)/catpn_1_EHB_1+catfd_1_EHV_40/catpn_1_EHV_40),0)</f>
        <v>0</v>
      </c>
      <c r="I11" s="20" t="s">
        <v>42</v>
      </c>
      <c r="J11" s="37">
        <f>IF(AND(catpn_1_EHB_1&gt;0,catpn_1_EHV_40&gt;0),(cattf_1_EHB_1*((dagenperjaar1*VLOOKUP(B11,dagsoorttabel1,2,FALSE))-catfd_1_EHV_40)/catpn_1_EHB_1+cattf_1_EHV_40*catfd_1_EHV_40/catpn_1_EHV_40)/(((dagenperjaar1*VLOOKUP(B11,dagsoorttabel1,2,FALSE))-catfd_1_EHV_40)/catpn_1_EHB_1+catfd_1_EHV_40/catpn_1_EHV_40),0)</f>
        <v>0</v>
      </c>
      <c r="K11" s="34">
        <f>IF(OR(ISBLANK(G11),G11=0),0,F11/ROUND(G11,4))</f>
        <v>0</v>
      </c>
      <c r="L11" s="37">
        <f>ROUND(J11,2)*K11</f>
        <v>0</v>
      </c>
      <c r="M11" s="34">
        <f>K11*dagenperjaar1</f>
        <v>0</v>
      </c>
      <c r="N11" s="37">
        <f>M11*ROUND(J11,2)</f>
        <v>0</v>
      </c>
    </row>
    <row r="12" spans="1:14" x14ac:dyDescent="0.2">
      <c r="A12" s="20" t="s">
        <v>202</v>
      </c>
      <c r="B12" s="20" t="s">
        <v>11</v>
      </c>
      <c r="C12" s="20" t="s">
        <v>190</v>
      </c>
      <c r="D12" s="20" t="s">
        <v>203</v>
      </c>
      <c r="E12" s="34">
        <v>125.87</v>
      </c>
      <c r="F12" s="34">
        <f>E12*VLOOKUP(B12,dagsoorttabel1,2,FALSE)</f>
        <v>98.721568627450978</v>
      </c>
      <c r="G12" s="35">
        <f>IF(AND(catpn_1_EZB_1&gt;0,catpn_1_EZV_40&gt;0),(dagenperjaar1*VLOOKUP(B12,dagsoorttabel1,2,FALSE))/(((dagenperjaar1*VLOOKUP(B12,dagsoorttabel1,2,FALSE))-catfd_1_EZV_40)/catpn_1_EZB_1+catfd_1_EZV_40/catpn_1_EZV_40),0)</f>
        <v>0</v>
      </c>
      <c r="H12" s="36">
        <f>IF(AND(catpn_1_EZB_1&gt;0,catpn_1_EZV_40&gt;0),(catdw_1_EZB_1*((dagenperjaar1*VLOOKUP(B12,dagsoorttabel1,2,FALSE))-catfd_1_EZV_40)/catpn_1_EZB_1+catdw_1_EZV_40*catfd_1_EZV_40/catpn_1_EZV_40)/(((dagenperjaar1*VLOOKUP(B12,dagsoorttabel1,2,FALSE))-catfd_1_EZV_40)/catpn_1_EZB_1+catfd_1_EZV_40/catpn_1_EZV_40),0)</f>
        <v>0</v>
      </c>
      <c r="I12" s="20" t="s">
        <v>42</v>
      </c>
      <c r="J12" s="37">
        <f>IF(AND(catpn_1_EZB_1&gt;0,catpn_1_EZV_40&gt;0),(cattf_1_EZB_1*((dagenperjaar1*VLOOKUP(B12,dagsoorttabel1,2,FALSE))-catfd_1_EZV_40)/catpn_1_EZB_1+cattf_1_EZV_40*catfd_1_EZV_40/catpn_1_EZV_40)/(((dagenperjaar1*VLOOKUP(B12,dagsoorttabel1,2,FALSE))-catfd_1_EZV_40)/catpn_1_EZB_1+catfd_1_EZV_40/catpn_1_EZV_40),0)</f>
        <v>0</v>
      </c>
      <c r="K12" s="34">
        <f>IF(OR(ISBLANK(G12),G12=0),0,F12/ROUND(G12,4))</f>
        <v>0</v>
      </c>
      <c r="L12" s="37">
        <f>ROUND(J12,2)*K12</f>
        <v>0</v>
      </c>
      <c r="M12" s="34">
        <f>K12*dagenperjaar1</f>
        <v>0</v>
      </c>
      <c r="N12" s="37">
        <f>M12*ROUND(J12,2)</f>
        <v>0</v>
      </c>
    </row>
    <row r="13" spans="1:14" x14ac:dyDescent="0.2">
      <c r="A13" s="20" t="s">
        <v>204</v>
      </c>
      <c r="B13" s="20" t="s">
        <v>11</v>
      </c>
      <c r="C13" s="20" t="s">
        <v>190</v>
      </c>
      <c r="D13" s="20" t="s">
        <v>205</v>
      </c>
      <c r="E13" s="34">
        <v>1443.31</v>
      </c>
      <c r="F13" s="34">
        <f>E13*VLOOKUP(B13,dagsoorttabel1,2,FALSE)</f>
        <v>1132.0078431372549</v>
      </c>
      <c r="G13" s="35">
        <f>IF(AND(catpn_1_GHB_1&gt;0,catpn_1_GHV_40&gt;0),(dagenperjaar1*VLOOKUP(B13,dagsoorttabel1,2,FALSE))/(((dagenperjaar1*VLOOKUP(B13,dagsoorttabel1,2,FALSE))-catfd_1_GHV_40)/catpn_1_GHB_1+catfd_1_GHV_40/catpn_1_GHV_40),0)</f>
        <v>0</v>
      </c>
      <c r="H13" s="36">
        <f>IF(AND(catpn_1_GHB_1&gt;0,catpn_1_GHV_40&gt;0),(catdw_1_GHB_1*((dagenperjaar1*VLOOKUP(B13,dagsoorttabel1,2,FALSE))-catfd_1_GHV_40)/catpn_1_GHB_1+catdw_1_GHV_40*catfd_1_GHV_40/catpn_1_GHV_40)/(((dagenperjaar1*VLOOKUP(B13,dagsoorttabel1,2,FALSE))-catfd_1_GHV_40)/catpn_1_GHB_1+catfd_1_GHV_40/catpn_1_GHV_40),0)</f>
        <v>0</v>
      </c>
      <c r="I13" s="20" t="s">
        <v>42</v>
      </c>
      <c r="J13" s="37">
        <f>IF(AND(catpn_1_GHB_1&gt;0,catpn_1_GHV_40&gt;0),(cattf_1_GHB_1*((dagenperjaar1*VLOOKUP(B13,dagsoorttabel1,2,FALSE))-catfd_1_GHV_40)/catpn_1_GHB_1+cattf_1_GHV_40*catfd_1_GHV_40/catpn_1_GHV_40)/(((dagenperjaar1*VLOOKUP(B13,dagsoorttabel1,2,FALSE))-catfd_1_GHV_40)/catpn_1_GHB_1+catfd_1_GHV_40/catpn_1_GHV_40),0)</f>
        <v>0</v>
      </c>
      <c r="K13" s="34">
        <f>IF(OR(ISBLANK(G13),G13=0),0,F13/ROUND(G13,4))</f>
        <v>0</v>
      </c>
      <c r="L13" s="37">
        <f>ROUND(J13,2)*K13</f>
        <v>0</v>
      </c>
      <c r="M13" s="34">
        <f>K13*dagenperjaar1</f>
        <v>0</v>
      </c>
      <c r="N13" s="37">
        <f>M13*ROUND(J13,2)</f>
        <v>0</v>
      </c>
    </row>
    <row r="14" spans="1:14" x14ac:dyDescent="0.2">
      <c r="A14" s="20" t="s">
        <v>206</v>
      </c>
      <c r="B14" s="20" t="s">
        <v>11</v>
      </c>
      <c r="C14" s="20" t="s">
        <v>190</v>
      </c>
      <c r="D14" s="20" t="s">
        <v>207</v>
      </c>
      <c r="E14" s="34">
        <v>129.80000000000001</v>
      </c>
      <c r="F14" s="34">
        <f>E14*VLOOKUP(B14,dagsoorttabel1,2,FALSE)</f>
        <v>101.80392156862746</v>
      </c>
      <c r="G14" s="35">
        <f>IF(AND(catpn_1_GZB_1&gt;0,catpn_1_GZV_40&gt;0),(dagenperjaar1*VLOOKUP(B14,dagsoorttabel1,2,FALSE))/(((dagenperjaar1*VLOOKUP(B14,dagsoorttabel1,2,FALSE))-catfd_1_GZV_40)/catpn_1_GZB_1+catfd_1_GZV_40/catpn_1_GZV_40),0)</f>
        <v>0</v>
      </c>
      <c r="H14" s="36">
        <f>IF(AND(catpn_1_GZB_1&gt;0,catpn_1_GZV_40&gt;0),(catdw_1_GZB_1*((dagenperjaar1*VLOOKUP(B14,dagsoorttabel1,2,FALSE))-catfd_1_GZV_40)/catpn_1_GZB_1+catdw_1_GZV_40*catfd_1_GZV_40/catpn_1_GZV_40)/(((dagenperjaar1*VLOOKUP(B14,dagsoorttabel1,2,FALSE))-catfd_1_GZV_40)/catpn_1_GZB_1+catfd_1_GZV_40/catpn_1_GZV_40),0)</f>
        <v>0</v>
      </c>
      <c r="I14" s="20" t="s">
        <v>42</v>
      </c>
      <c r="J14" s="37">
        <f>IF(AND(catpn_1_GZB_1&gt;0,catpn_1_GZV_40&gt;0),(cattf_1_GZB_1*((dagenperjaar1*VLOOKUP(B14,dagsoorttabel1,2,FALSE))-catfd_1_GZV_40)/catpn_1_GZB_1+cattf_1_GZV_40*catfd_1_GZV_40/catpn_1_GZV_40)/(((dagenperjaar1*VLOOKUP(B14,dagsoorttabel1,2,FALSE))-catfd_1_GZV_40)/catpn_1_GZB_1+catfd_1_GZV_40/catpn_1_GZV_40),0)</f>
        <v>0</v>
      </c>
      <c r="K14" s="34">
        <f>IF(OR(ISBLANK(G14),G14=0),0,F14/ROUND(G14,4))</f>
        <v>0</v>
      </c>
      <c r="L14" s="37">
        <f>ROUND(J14,2)*K14</f>
        <v>0</v>
      </c>
      <c r="M14" s="34">
        <f>K14*dagenperjaar1</f>
        <v>0</v>
      </c>
      <c r="N14" s="37">
        <f>M14*ROUND(J14,2)</f>
        <v>0</v>
      </c>
    </row>
    <row r="15" spans="1:14" x14ac:dyDescent="0.2">
      <c r="A15" s="20" t="s">
        <v>208</v>
      </c>
      <c r="B15" s="20" t="s">
        <v>18</v>
      </c>
      <c r="C15" s="20" t="s">
        <v>190</v>
      </c>
      <c r="D15" s="20" t="s">
        <v>209</v>
      </c>
      <c r="E15" s="34">
        <v>29.689999999999998</v>
      </c>
      <c r="F15" s="34">
        <f>E15*VLOOKUP(B15,dagsoorttabel1,2,FALSE)</f>
        <v>4.6572549019607843</v>
      </c>
      <c r="G15" s="35">
        <f>IF(AND(catpn_1_IHB_1&gt;0,catpn_1_IHV_40&gt;0),(dagenperjaar1*VLOOKUP(B15,dagsoorttabel1,2,FALSE))/(((dagenperjaar1*VLOOKUP(B15,dagsoorttabel1,2,FALSE))-catfd_1_IHV_40)/catpn_1_IHB_1+catfd_1_IHV_40/catpn_1_IHV_40),0)</f>
        <v>0</v>
      </c>
      <c r="H15" s="36">
        <f>IF(AND(catpn_1_IHB_1&gt;0,catpn_1_IHV_40&gt;0),(catdw_1_IHB_1*((dagenperjaar1*VLOOKUP(B15,dagsoorttabel1,2,FALSE))-catfd_1_IHV_40)/catpn_1_IHB_1+catdw_1_IHV_40*catfd_1_IHV_40/catpn_1_IHV_40)/(((dagenperjaar1*VLOOKUP(B15,dagsoorttabel1,2,FALSE))-catfd_1_IHV_40)/catpn_1_IHB_1+catfd_1_IHV_40/catpn_1_IHV_40),0)</f>
        <v>0</v>
      </c>
      <c r="I15" s="20" t="s">
        <v>42</v>
      </c>
      <c r="J15" s="37">
        <f>IF(AND(catpn_1_IHB_1&gt;0,catpn_1_IHV_40&gt;0),(cattf_1_IHB_1*((dagenperjaar1*VLOOKUP(B15,dagsoorttabel1,2,FALSE))-catfd_1_IHV_40)/catpn_1_IHB_1+cattf_1_IHV_40*catfd_1_IHV_40/catpn_1_IHV_40)/(((dagenperjaar1*VLOOKUP(B15,dagsoorttabel1,2,FALSE))-catfd_1_IHV_40)/catpn_1_IHB_1+catfd_1_IHV_40/catpn_1_IHV_40),0)</f>
        <v>0</v>
      </c>
      <c r="K15" s="34">
        <f>IF(OR(ISBLANK(G15),G15=0),0,F15/ROUND(G15,4))</f>
        <v>0</v>
      </c>
      <c r="L15" s="37">
        <f>ROUND(J15,2)*K15</f>
        <v>0</v>
      </c>
      <c r="M15" s="34">
        <f>K15*dagenperjaar1</f>
        <v>0</v>
      </c>
      <c r="N15" s="37">
        <f>M15*ROUND(J15,2)</f>
        <v>0</v>
      </c>
    </row>
    <row r="16" spans="1:14" x14ac:dyDescent="0.2">
      <c r="A16" s="20" t="s">
        <v>210</v>
      </c>
      <c r="B16" s="20" t="s">
        <v>11</v>
      </c>
      <c r="C16" s="20" t="s">
        <v>190</v>
      </c>
      <c r="D16" s="20" t="s">
        <v>211</v>
      </c>
      <c r="E16" s="34">
        <v>456.03</v>
      </c>
      <c r="F16" s="34">
        <f>E16*VLOOKUP(B16,dagsoorttabel1,2,FALSE)</f>
        <v>357.67058823529408</v>
      </c>
      <c r="G16" s="35">
        <f>IF(AND(catpn_1_KHB_1&gt;0,catpn_1_KHV_40&gt;0),(dagenperjaar1*VLOOKUP(B16,dagsoorttabel1,2,FALSE))/(((dagenperjaar1*VLOOKUP(B16,dagsoorttabel1,2,FALSE))-catfd_1_KHV_40)/catpn_1_KHB_1+catfd_1_KHV_40/catpn_1_KHV_40),0)</f>
        <v>0</v>
      </c>
      <c r="H16" s="36">
        <f>IF(AND(catpn_1_KHB_1&gt;0,catpn_1_KHV_40&gt;0),(catdw_1_KHB_1*((dagenperjaar1*VLOOKUP(B16,dagsoorttabel1,2,FALSE))-catfd_1_KHV_40)/catpn_1_KHB_1+catdw_1_KHV_40*catfd_1_KHV_40/catpn_1_KHV_40)/(((dagenperjaar1*VLOOKUP(B16,dagsoorttabel1,2,FALSE))-catfd_1_KHV_40)/catpn_1_KHB_1+catfd_1_KHV_40/catpn_1_KHV_40),0)</f>
        <v>0</v>
      </c>
      <c r="I16" s="20" t="s">
        <v>42</v>
      </c>
      <c r="J16" s="37">
        <f>IF(AND(catpn_1_KHB_1&gt;0,catpn_1_KHV_40&gt;0),(cattf_1_KHB_1*((dagenperjaar1*VLOOKUP(B16,dagsoorttabel1,2,FALSE))-catfd_1_KHV_40)/catpn_1_KHB_1+cattf_1_KHV_40*catfd_1_KHV_40/catpn_1_KHV_40)/(((dagenperjaar1*VLOOKUP(B16,dagsoorttabel1,2,FALSE))-catfd_1_KHV_40)/catpn_1_KHB_1+catfd_1_KHV_40/catpn_1_KHV_40),0)</f>
        <v>0</v>
      </c>
      <c r="K16" s="34">
        <f>IF(OR(ISBLANK(G16),G16=0),0,F16/ROUND(G16,4))</f>
        <v>0</v>
      </c>
      <c r="L16" s="37">
        <f>ROUND(J16,2)*K16</f>
        <v>0</v>
      </c>
      <c r="M16" s="34">
        <f>K16*dagenperjaar1</f>
        <v>0</v>
      </c>
      <c r="N16" s="37">
        <f>M16*ROUND(J16,2)</f>
        <v>0</v>
      </c>
    </row>
    <row r="17" spans="1:14" x14ac:dyDescent="0.2">
      <c r="A17" s="20" t="s">
        <v>212</v>
      </c>
      <c r="B17" s="20" t="s">
        <v>13</v>
      </c>
      <c r="C17" s="20" t="s">
        <v>190</v>
      </c>
      <c r="D17" s="20" t="s">
        <v>213</v>
      </c>
      <c r="E17" s="34">
        <v>11188.189999999997</v>
      </c>
      <c r="F17" s="34">
        <f>E17*VLOOKUP(B17,dagsoorttabel1,2,FALSE)</f>
        <v>5265.0305882352923</v>
      </c>
      <c r="G17" s="35">
        <f>IF(AND(catpn_1_LHB_1&gt;0,catpn_1_LHV_40&gt;0),(dagenperjaar1*VLOOKUP(B17,dagsoorttabel1,2,FALSE))/(((dagenperjaar1*VLOOKUP(B17,dagsoorttabel1,2,FALSE))-catfd_1_LHV_40)/catpn_1_LHB_1+catfd_1_LHV_40/catpn_1_LHV_40),0)</f>
        <v>0</v>
      </c>
      <c r="H17" s="36">
        <f>IF(AND(catpn_1_LHB_1&gt;0,catpn_1_LHV_40&gt;0),(catdw_1_LHB_1*((dagenperjaar1*VLOOKUP(B17,dagsoorttabel1,2,FALSE))-catfd_1_LHV_40)/catpn_1_LHB_1+catdw_1_LHV_40*catfd_1_LHV_40/catpn_1_LHV_40)/(((dagenperjaar1*VLOOKUP(B17,dagsoorttabel1,2,FALSE))-catfd_1_LHV_40)/catpn_1_LHB_1+catfd_1_LHV_40/catpn_1_LHV_40),0)</f>
        <v>0</v>
      </c>
      <c r="I17" s="20" t="s">
        <v>42</v>
      </c>
      <c r="J17" s="37">
        <f>IF(AND(catpn_1_LHB_1&gt;0,catpn_1_LHV_40&gt;0),(cattf_1_LHB_1*((dagenperjaar1*VLOOKUP(B17,dagsoorttabel1,2,FALSE))-catfd_1_LHV_40)/catpn_1_LHB_1+cattf_1_LHV_40*catfd_1_LHV_40/catpn_1_LHV_40)/(((dagenperjaar1*VLOOKUP(B17,dagsoorttabel1,2,FALSE))-catfd_1_LHV_40)/catpn_1_LHB_1+catfd_1_LHV_40/catpn_1_LHV_40),0)</f>
        <v>0</v>
      </c>
      <c r="K17" s="34">
        <f>IF(OR(ISBLANK(G17),G17=0),0,F17/ROUND(G17,4))</f>
        <v>0</v>
      </c>
      <c r="L17" s="37">
        <f>ROUND(J17,2)*K17</f>
        <v>0</v>
      </c>
      <c r="M17" s="34">
        <f>K17*dagenperjaar1</f>
        <v>0</v>
      </c>
      <c r="N17" s="37">
        <f>M17*ROUND(J17,2)</f>
        <v>0</v>
      </c>
    </row>
    <row r="18" spans="1:14" x14ac:dyDescent="0.2">
      <c r="A18" s="20" t="s">
        <v>214</v>
      </c>
      <c r="B18" s="20" t="s">
        <v>13</v>
      </c>
      <c r="C18" s="20" t="s">
        <v>190</v>
      </c>
      <c r="D18" s="20" t="s">
        <v>215</v>
      </c>
      <c r="E18" s="34">
        <v>810.67</v>
      </c>
      <c r="F18" s="34">
        <f>E18*VLOOKUP(B18,dagsoorttabel1,2,FALSE)</f>
        <v>381.4917647058823</v>
      </c>
      <c r="G18" s="35">
        <f>IF(AND(catpn_1_LZB_1&gt;0,catpn_1_LZV_40&gt;0),(dagenperjaar1*VLOOKUP(B18,dagsoorttabel1,2,FALSE))/(((dagenperjaar1*VLOOKUP(B18,dagsoorttabel1,2,FALSE))-catfd_1_LZV_40)/catpn_1_LZB_1+catfd_1_LZV_40/catpn_1_LZV_40),0)</f>
        <v>0</v>
      </c>
      <c r="H18" s="36">
        <f>IF(AND(catpn_1_LZB_1&gt;0,catpn_1_LZV_40&gt;0),(catdw_1_LZB_1*((dagenperjaar1*VLOOKUP(B18,dagsoorttabel1,2,FALSE))-catfd_1_LZV_40)/catpn_1_LZB_1+catdw_1_LZV_40*catfd_1_LZV_40/catpn_1_LZV_40)/(((dagenperjaar1*VLOOKUP(B18,dagsoorttabel1,2,FALSE))-catfd_1_LZV_40)/catpn_1_LZB_1+catfd_1_LZV_40/catpn_1_LZV_40),0)</f>
        <v>0</v>
      </c>
      <c r="I18" s="20" t="s">
        <v>42</v>
      </c>
      <c r="J18" s="37">
        <f>IF(AND(catpn_1_LZB_1&gt;0,catpn_1_LZV_40&gt;0),(cattf_1_LZB_1*((dagenperjaar1*VLOOKUP(B18,dagsoorttabel1,2,FALSE))-catfd_1_LZV_40)/catpn_1_LZB_1+cattf_1_LZV_40*catfd_1_LZV_40/catpn_1_LZV_40)/(((dagenperjaar1*VLOOKUP(B18,dagsoorttabel1,2,FALSE))-catfd_1_LZV_40)/catpn_1_LZB_1+catfd_1_LZV_40/catpn_1_LZV_40),0)</f>
        <v>0</v>
      </c>
      <c r="K18" s="34">
        <f>IF(OR(ISBLANK(G18),G18=0),0,F18/ROUND(G18,4))</f>
        <v>0</v>
      </c>
      <c r="L18" s="37">
        <f>ROUND(J18,2)*K18</f>
        <v>0</v>
      </c>
      <c r="M18" s="34">
        <f>K18*dagenperjaar1</f>
        <v>0</v>
      </c>
      <c r="N18" s="37">
        <f>M18*ROUND(J18,2)</f>
        <v>0</v>
      </c>
    </row>
    <row r="19" spans="1:14" x14ac:dyDescent="0.2">
      <c r="A19" s="20" t="s">
        <v>216</v>
      </c>
      <c r="B19" s="20" t="s">
        <v>11</v>
      </c>
      <c r="C19" s="20" t="s">
        <v>190</v>
      </c>
      <c r="D19" s="20" t="s">
        <v>217</v>
      </c>
      <c r="E19" s="34">
        <v>349.86</v>
      </c>
      <c r="F19" s="34">
        <f>E19*VLOOKUP(B19,dagsoorttabel1,2,FALSE)</f>
        <v>274.40000000000003</v>
      </c>
      <c r="G19" s="35">
        <f>IF(AND(catpn_1_OLHB_1&gt;0,catpn_1_OLHV_40&gt;0),(dagenperjaar1*VLOOKUP(B19,dagsoorttabel1,2,FALSE))/(((dagenperjaar1*VLOOKUP(B19,dagsoorttabel1,2,FALSE))-catfd_1_OLHV_40)/catpn_1_OLHB_1+catfd_1_OLHV_40/catpn_1_OLHV_40),0)</f>
        <v>0</v>
      </c>
      <c r="H19" s="36">
        <f>IF(AND(catpn_1_OLHB_1&gt;0,catpn_1_OLHV_40&gt;0),(catdw_1_OLHB_1*((dagenperjaar1*VLOOKUP(B19,dagsoorttabel1,2,FALSE))-catfd_1_OLHV_40)/catpn_1_OLHB_1+catdw_1_OLHV_40*catfd_1_OLHV_40/catpn_1_OLHV_40)/(((dagenperjaar1*VLOOKUP(B19,dagsoorttabel1,2,FALSE))-catfd_1_OLHV_40)/catpn_1_OLHB_1+catfd_1_OLHV_40/catpn_1_OLHV_40),0)</f>
        <v>0</v>
      </c>
      <c r="I19" s="20" t="s">
        <v>42</v>
      </c>
      <c r="J19" s="37">
        <f>IF(AND(catpn_1_OLHB_1&gt;0,catpn_1_OLHV_40&gt;0),(cattf_1_OLHB_1*((dagenperjaar1*VLOOKUP(B19,dagsoorttabel1,2,FALSE))-catfd_1_OLHV_40)/catpn_1_OLHB_1+cattf_1_OLHV_40*catfd_1_OLHV_40/catpn_1_OLHV_40)/(((dagenperjaar1*VLOOKUP(B19,dagsoorttabel1,2,FALSE))-catfd_1_OLHV_40)/catpn_1_OLHB_1+catfd_1_OLHV_40/catpn_1_OLHV_40),0)</f>
        <v>0</v>
      </c>
      <c r="K19" s="34">
        <f>IF(OR(ISBLANK(G19),G19=0),0,F19/ROUND(G19,4))</f>
        <v>0</v>
      </c>
      <c r="L19" s="37">
        <f>ROUND(J19,2)*K19</f>
        <v>0</v>
      </c>
      <c r="M19" s="34">
        <f>K19*dagenperjaar1</f>
        <v>0</v>
      </c>
      <c r="N19" s="37">
        <f>M19*ROUND(J19,2)</f>
        <v>0</v>
      </c>
    </row>
    <row r="20" spans="1:14" x14ac:dyDescent="0.2">
      <c r="A20" s="20" t="s">
        <v>218</v>
      </c>
      <c r="B20" s="20" t="s">
        <v>11</v>
      </c>
      <c r="C20" s="20" t="s">
        <v>190</v>
      </c>
      <c r="D20" s="20" t="s">
        <v>219</v>
      </c>
      <c r="E20" s="34">
        <v>284.09000000000003</v>
      </c>
      <c r="F20" s="34">
        <f>E20*VLOOKUP(B20,dagsoorttabel1,2,FALSE)</f>
        <v>222.81568627450983</v>
      </c>
      <c r="G20" s="35">
        <f>IF(AND(catpn_1_PHB_1&gt;0,catpn_1_PHV_40&gt;0),(dagenperjaar1*VLOOKUP(B20,dagsoorttabel1,2,FALSE))/(((dagenperjaar1*VLOOKUP(B20,dagsoorttabel1,2,FALSE))-catfd_1_PHV_40)/catpn_1_PHB_1+catfd_1_PHV_40/catpn_1_PHV_40),0)</f>
        <v>0</v>
      </c>
      <c r="H20" s="36">
        <f>IF(AND(catpn_1_PHB_1&gt;0,catpn_1_PHV_40&gt;0),(catdw_1_PHB_1*((dagenperjaar1*VLOOKUP(B20,dagsoorttabel1,2,FALSE))-catfd_1_PHV_40)/catpn_1_PHB_1+catdw_1_PHV_40*catfd_1_PHV_40/catpn_1_PHV_40)/(((dagenperjaar1*VLOOKUP(B20,dagsoorttabel1,2,FALSE))-catfd_1_PHV_40)/catpn_1_PHB_1+catfd_1_PHV_40/catpn_1_PHV_40),0)</f>
        <v>0</v>
      </c>
      <c r="I20" s="20" t="s">
        <v>42</v>
      </c>
      <c r="J20" s="37">
        <f>IF(AND(catpn_1_PHB_1&gt;0,catpn_1_PHV_40&gt;0),(cattf_1_PHB_1*((dagenperjaar1*VLOOKUP(B20,dagsoorttabel1,2,FALSE))-catfd_1_PHV_40)/catpn_1_PHB_1+cattf_1_PHV_40*catfd_1_PHV_40/catpn_1_PHV_40)/(((dagenperjaar1*VLOOKUP(B20,dagsoorttabel1,2,FALSE))-catfd_1_PHV_40)/catpn_1_PHB_1+catfd_1_PHV_40/catpn_1_PHV_40),0)</f>
        <v>0</v>
      </c>
      <c r="K20" s="34">
        <f>IF(OR(ISBLANK(G20),G20=0),0,F20/ROUND(G20,4))</f>
        <v>0</v>
      </c>
      <c r="L20" s="37">
        <f>ROUND(J20,2)*K20</f>
        <v>0</v>
      </c>
      <c r="M20" s="34">
        <f>K20*dagenperjaar1</f>
        <v>0</v>
      </c>
      <c r="N20" s="37">
        <f>M20*ROUND(J20,2)</f>
        <v>0</v>
      </c>
    </row>
    <row r="21" spans="1:14" x14ac:dyDescent="0.2">
      <c r="A21" s="20" t="s">
        <v>220</v>
      </c>
      <c r="B21" s="20" t="s">
        <v>18</v>
      </c>
      <c r="C21" s="20" t="s">
        <v>190</v>
      </c>
      <c r="D21" s="20" t="s">
        <v>221</v>
      </c>
      <c r="E21" s="34">
        <v>3852.41</v>
      </c>
      <c r="F21" s="34">
        <f>E21*VLOOKUP(B21,dagsoorttabel1,2,FALSE)</f>
        <v>604.29960784313721</v>
      </c>
      <c r="G21" s="35">
        <f>IF(AND(catpn_1_PMHB_1&gt;0,catpn_1_PMHV_40&gt;0),(dagenperjaar1*VLOOKUP(B21,dagsoorttabel1,2,FALSE))/(((dagenperjaar1*VLOOKUP(B21,dagsoorttabel1,2,FALSE))-catfd_1_PMHV_40)/catpn_1_PMHB_1+catfd_1_PMHV_40/catpn_1_PMHV_40),0)</f>
        <v>0</v>
      </c>
      <c r="H21" s="36">
        <f>IF(AND(catpn_1_PMHB_1&gt;0,catpn_1_PMHV_40&gt;0),(catdw_1_PMHB_1*((dagenperjaar1*VLOOKUP(B21,dagsoorttabel1,2,FALSE))-catfd_1_PMHV_40)/catpn_1_PMHB_1+catdw_1_PMHV_40*catfd_1_PMHV_40/catpn_1_PMHV_40)/(((dagenperjaar1*VLOOKUP(B21,dagsoorttabel1,2,FALSE))-catfd_1_PMHV_40)/catpn_1_PMHB_1+catfd_1_PMHV_40/catpn_1_PMHV_40),0)</f>
        <v>0</v>
      </c>
      <c r="I21" s="20" t="s">
        <v>42</v>
      </c>
      <c r="J21" s="37">
        <f>IF(AND(catpn_1_PMHB_1&gt;0,catpn_1_PMHV_40&gt;0),(cattf_1_PMHB_1*((dagenperjaar1*VLOOKUP(B21,dagsoorttabel1,2,FALSE))-catfd_1_PMHV_40)/catpn_1_PMHB_1+cattf_1_PMHV_40*catfd_1_PMHV_40/catpn_1_PMHV_40)/(((dagenperjaar1*VLOOKUP(B21,dagsoorttabel1,2,FALSE))-catfd_1_PMHV_40)/catpn_1_PMHB_1+catfd_1_PMHV_40/catpn_1_PMHV_40),0)</f>
        <v>0</v>
      </c>
      <c r="K21" s="34">
        <f>IF(OR(ISBLANK(G21),G21=0),0,F21/ROUND(G21,4))</f>
        <v>0</v>
      </c>
      <c r="L21" s="37">
        <f>ROUND(J21,2)*K21</f>
        <v>0</v>
      </c>
      <c r="M21" s="34">
        <f>K21*dagenperjaar1</f>
        <v>0</v>
      </c>
      <c r="N21" s="37">
        <f>M21*ROUND(J21,2)</f>
        <v>0</v>
      </c>
    </row>
    <row r="22" spans="1:14" x14ac:dyDescent="0.2">
      <c r="A22" s="20" t="s">
        <v>222</v>
      </c>
      <c r="B22" s="20" t="s">
        <v>11</v>
      </c>
      <c r="C22" s="20" t="s">
        <v>190</v>
      </c>
      <c r="D22" s="20" t="s">
        <v>223</v>
      </c>
      <c r="E22" s="34">
        <v>18.8</v>
      </c>
      <c r="F22" s="34">
        <f>E22*VLOOKUP(B22,dagsoorttabel1,2,FALSE)</f>
        <v>14.745098039215687</v>
      </c>
      <c r="G22" s="35">
        <f>IF(AND(catpn_1_PMZB_1&gt;0,catpn_1_PMZV_40&gt;0),(dagenperjaar1*VLOOKUP(B22,dagsoorttabel1,2,FALSE))/(((dagenperjaar1*VLOOKUP(B22,dagsoorttabel1,2,FALSE))-catfd_1_PMZV_40)/catpn_1_PMZB_1+catfd_1_PMZV_40/catpn_1_PMZV_40),0)</f>
        <v>0</v>
      </c>
      <c r="H22" s="36">
        <f>IF(AND(catpn_1_PMZB_1&gt;0,catpn_1_PMZV_40&gt;0),(catdw_1_PMZB_1*((dagenperjaar1*VLOOKUP(B22,dagsoorttabel1,2,FALSE))-catfd_1_PMZV_40)/catpn_1_PMZB_1+catdw_1_PMZV_40*catfd_1_PMZV_40/catpn_1_PMZV_40)/(((dagenperjaar1*VLOOKUP(B22,dagsoorttabel1,2,FALSE))-catfd_1_PMZV_40)/catpn_1_PMZB_1+catfd_1_PMZV_40/catpn_1_PMZV_40),0)</f>
        <v>0</v>
      </c>
      <c r="I22" s="20" t="s">
        <v>42</v>
      </c>
      <c r="J22" s="37">
        <f>IF(AND(catpn_1_PMZB_1&gt;0,catpn_1_PMZV_40&gt;0),(cattf_1_PMZB_1*((dagenperjaar1*VLOOKUP(B22,dagsoorttabel1,2,FALSE))-catfd_1_PMZV_40)/catpn_1_PMZB_1+cattf_1_PMZV_40*catfd_1_PMZV_40/catpn_1_PMZV_40)/(((dagenperjaar1*VLOOKUP(B22,dagsoorttabel1,2,FALSE))-catfd_1_PMZV_40)/catpn_1_PMZB_1+catfd_1_PMZV_40/catpn_1_PMZV_40),0)</f>
        <v>0</v>
      </c>
      <c r="K22" s="34">
        <f>IF(OR(ISBLANK(G22),G22=0),0,F22/ROUND(G22,4))</f>
        <v>0</v>
      </c>
      <c r="L22" s="37">
        <f>ROUND(J22,2)*K22</f>
        <v>0</v>
      </c>
      <c r="M22" s="34">
        <f>K22*dagenperjaar1</f>
        <v>0</v>
      </c>
      <c r="N22" s="37">
        <f>M22*ROUND(J22,2)</f>
        <v>0</v>
      </c>
    </row>
    <row r="23" spans="1:14" x14ac:dyDescent="0.2">
      <c r="A23" s="20" t="s">
        <v>224</v>
      </c>
      <c r="B23" s="20" t="s">
        <v>18</v>
      </c>
      <c r="C23" s="20" t="s">
        <v>190</v>
      </c>
      <c r="D23" s="20" t="s">
        <v>225</v>
      </c>
      <c r="E23" s="34">
        <v>892.02</v>
      </c>
      <c r="F23" s="34">
        <f>E23*VLOOKUP(B23,dagsoorttabel1,2,FALSE)</f>
        <v>139.92470588235292</v>
      </c>
      <c r="G23" s="35">
        <f>IF(AND(catpn_1_PSHB_1&gt;0,catpn_1_PSHV_40&gt;0),(dagenperjaar1*VLOOKUP(B23,dagsoorttabel1,2,FALSE))/(((dagenperjaar1*VLOOKUP(B23,dagsoorttabel1,2,FALSE))-catfd_1_PSHV_40)/catpn_1_PSHB_1+catfd_1_PSHV_40/catpn_1_PSHV_40),0)</f>
        <v>0</v>
      </c>
      <c r="H23" s="36">
        <f>IF(AND(catpn_1_PSHB_1&gt;0,catpn_1_PSHV_40&gt;0),(catdw_1_PSHB_1*((dagenperjaar1*VLOOKUP(B23,dagsoorttabel1,2,FALSE))-catfd_1_PSHV_40)/catpn_1_PSHB_1+catdw_1_PSHV_40*catfd_1_PSHV_40/catpn_1_PSHV_40)/(((dagenperjaar1*VLOOKUP(B23,dagsoorttabel1,2,FALSE))-catfd_1_PSHV_40)/catpn_1_PSHB_1+catfd_1_PSHV_40/catpn_1_PSHV_40),0)</f>
        <v>0</v>
      </c>
      <c r="I23" s="20" t="s">
        <v>42</v>
      </c>
      <c r="J23" s="37">
        <f>IF(AND(catpn_1_PSHB_1&gt;0,catpn_1_PSHV_40&gt;0),(cattf_1_PSHB_1*((dagenperjaar1*VLOOKUP(B23,dagsoorttabel1,2,FALSE))-catfd_1_PSHV_40)/catpn_1_PSHB_1+cattf_1_PSHV_40*catfd_1_PSHV_40/catpn_1_PSHV_40)/(((dagenperjaar1*VLOOKUP(B23,dagsoorttabel1,2,FALSE))-catfd_1_PSHV_40)/catpn_1_PSHB_1+catfd_1_PSHV_40/catpn_1_PSHV_40),0)</f>
        <v>0</v>
      </c>
      <c r="K23" s="34">
        <f>IF(OR(ISBLANK(G23),G23=0),0,F23/ROUND(G23,4))</f>
        <v>0</v>
      </c>
      <c r="L23" s="37">
        <f>ROUND(J23,2)*K23</f>
        <v>0</v>
      </c>
      <c r="M23" s="34">
        <f>K23*dagenperjaar1</f>
        <v>0</v>
      </c>
      <c r="N23" s="37">
        <f>M23*ROUND(J23,2)</f>
        <v>0</v>
      </c>
    </row>
    <row r="24" spans="1:14" x14ac:dyDescent="0.2">
      <c r="A24" s="20" t="s">
        <v>226</v>
      </c>
      <c r="B24" s="20" t="s">
        <v>11</v>
      </c>
      <c r="C24" s="20" t="s">
        <v>190</v>
      </c>
      <c r="D24" s="20" t="s">
        <v>227</v>
      </c>
      <c r="E24" s="34">
        <v>46.78</v>
      </c>
      <c r="F24" s="34">
        <f>E24*VLOOKUP(B24,dagsoorttabel1,2,FALSE)</f>
        <v>36.69019607843137</v>
      </c>
      <c r="G24" s="35">
        <f>IF(AND(catpn_1_PSZB_1&gt;0,catpn_1_PSZV_40&gt;0),(dagenperjaar1*VLOOKUP(B24,dagsoorttabel1,2,FALSE))/(((dagenperjaar1*VLOOKUP(B24,dagsoorttabel1,2,FALSE))-catfd_1_PSZV_40)/catpn_1_PSZB_1+catfd_1_PSZV_40/catpn_1_PSZV_40),0)</f>
        <v>0</v>
      </c>
      <c r="H24" s="36">
        <f>IF(AND(catpn_1_PSZB_1&gt;0,catpn_1_PSZV_40&gt;0),(catdw_1_PSZB_1*((dagenperjaar1*VLOOKUP(B24,dagsoorttabel1,2,FALSE))-catfd_1_PSZV_40)/catpn_1_PSZB_1+catdw_1_PSZV_40*catfd_1_PSZV_40/catpn_1_PSZV_40)/(((dagenperjaar1*VLOOKUP(B24,dagsoorttabel1,2,FALSE))-catfd_1_PSZV_40)/catpn_1_PSZB_1+catfd_1_PSZV_40/catpn_1_PSZV_40),0)</f>
        <v>0</v>
      </c>
      <c r="I24" s="20" t="s">
        <v>42</v>
      </c>
      <c r="J24" s="37">
        <f>IF(AND(catpn_1_PSZB_1&gt;0,catpn_1_PSZV_40&gt;0),(cattf_1_PSZB_1*((dagenperjaar1*VLOOKUP(B24,dagsoorttabel1,2,FALSE))-catfd_1_PSZV_40)/catpn_1_PSZB_1+cattf_1_PSZV_40*catfd_1_PSZV_40/catpn_1_PSZV_40)/(((dagenperjaar1*VLOOKUP(B24,dagsoorttabel1,2,FALSE))-catfd_1_PSZV_40)/catpn_1_PSZB_1+catfd_1_PSZV_40/catpn_1_PSZV_40),0)</f>
        <v>0</v>
      </c>
      <c r="K24" s="34">
        <f>IF(OR(ISBLANK(G24),G24=0),0,F24/ROUND(G24,4))</f>
        <v>0</v>
      </c>
      <c r="L24" s="37">
        <f>ROUND(J24,2)*K24</f>
        <v>0</v>
      </c>
      <c r="M24" s="34">
        <f>K24*dagenperjaar1</f>
        <v>0</v>
      </c>
      <c r="N24" s="37">
        <f>M24*ROUND(J24,2)</f>
        <v>0</v>
      </c>
    </row>
    <row r="25" spans="1:14" x14ac:dyDescent="0.2">
      <c r="A25" s="20" t="s">
        <v>228</v>
      </c>
      <c r="B25" s="20" t="s">
        <v>11</v>
      </c>
      <c r="C25" s="20" t="s">
        <v>190</v>
      </c>
      <c r="D25" s="20" t="s">
        <v>229</v>
      </c>
      <c r="E25" s="34">
        <v>1248.5900000000001</v>
      </c>
      <c r="F25" s="34">
        <f>E25*VLOOKUP(B25,dagsoorttabel1,2,FALSE)</f>
        <v>979.286274509804</v>
      </c>
      <c r="G25" s="35">
        <f>IF(AND(catpn_1_PTHB_1&gt;0,catpn_1_PTHV_40&gt;0),(dagenperjaar1*VLOOKUP(B25,dagsoorttabel1,2,FALSE))/(((dagenperjaar1*VLOOKUP(B25,dagsoorttabel1,2,FALSE))-catfd_1_PTHV_40)/catpn_1_PTHB_1+catfd_1_PTHV_40/catpn_1_PTHV_40),0)</f>
        <v>0</v>
      </c>
      <c r="H25" s="36">
        <f>IF(AND(catpn_1_PTHB_1&gt;0,catpn_1_PTHV_40&gt;0),(catdw_1_PTHB_1*((dagenperjaar1*VLOOKUP(B25,dagsoorttabel1,2,FALSE))-catfd_1_PTHV_40)/catpn_1_PTHB_1+catdw_1_PTHV_40*catfd_1_PTHV_40/catpn_1_PTHV_40)/(((dagenperjaar1*VLOOKUP(B25,dagsoorttabel1,2,FALSE))-catfd_1_PTHV_40)/catpn_1_PTHB_1+catfd_1_PTHV_40/catpn_1_PTHV_40),0)</f>
        <v>0</v>
      </c>
      <c r="I25" s="20" t="s">
        <v>42</v>
      </c>
      <c r="J25" s="37">
        <f>IF(AND(catpn_1_PTHB_1&gt;0,catpn_1_PTHV_40&gt;0),(cattf_1_PTHB_1*((dagenperjaar1*VLOOKUP(B25,dagsoorttabel1,2,FALSE))-catfd_1_PTHV_40)/catpn_1_PTHB_1+cattf_1_PTHV_40*catfd_1_PTHV_40/catpn_1_PTHV_40)/(((dagenperjaar1*VLOOKUP(B25,dagsoorttabel1,2,FALSE))-catfd_1_PTHV_40)/catpn_1_PTHB_1+catfd_1_PTHV_40/catpn_1_PTHV_40),0)</f>
        <v>0</v>
      </c>
      <c r="K25" s="34">
        <f>IF(OR(ISBLANK(G25),G25=0),0,F25/ROUND(G25,4))</f>
        <v>0</v>
      </c>
      <c r="L25" s="37">
        <f>ROUND(J25,2)*K25</f>
        <v>0</v>
      </c>
      <c r="M25" s="34">
        <f>K25*dagenperjaar1</f>
        <v>0</v>
      </c>
      <c r="N25" s="37">
        <f>M25*ROUND(J25,2)</f>
        <v>0</v>
      </c>
    </row>
    <row r="26" spans="1:14" x14ac:dyDescent="0.2">
      <c r="A26" s="20" t="s">
        <v>228</v>
      </c>
      <c r="B26" s="20" t="s">
        <v>18</v>
      </c>
      <c r="C26" s="20" t="s">
        <v>190</v>
      </c>
      <c r="D26" s="20" t="s">
        <v>229</v>
      </c>
      <c r="E26" s="34">
        <v>1034.99</v>
      </c>
      <c r="F26" s="34">
        <f>E26*VLOOKUP(B26,dagsoorttabel1,2,FALSE)</f>
        <v>162.3513725490196</v>
      </c>
      <c r="G26" s="35">
        <f>IF(AND(catpn_1_PTHB_1&gt;0,catpn_1_PTHV_40&gt;0),(dagenperjaar1*VLOOKUP(B26,dagsoorttabel1,2,FALSE))/(((dagenperjaar1*VLOOKUP(B26,dagsoorttabel1,2,FALSE))-catfd_1_PTHV_40)/catpn_1_PTHB_1+catfd_1_PTHV_40/catpn_1_PTHV_40),0)</f>
        <v>0</v>
      </c>
      <c r="H26" s="36">
        <f>IF(AND(catpn_1_PTHB_1&gt;0,catpn_1_PTHV_40&gt;0),(catdw_1_PTHB_1*((dagenperjaar1*VLOOKUP(B26,dagsoorttabel1,2,FALSE))-catfd_1_PTHV_40)/catpn_1_PTHB_1+catdw_1_PTHV_40*catfd_1_PTHV_40/catpn_1_PTHV_40)/(((dagenperjaar1*VLOOKUP(B26,dagsoorttabel1,2,FALSE))-catfd_1_PTHV_40)/catpn_1_PTHB_1+catfd_1_PTHV_40/catpn_1_PTHV_40),0)</f>
        <v>0</v>
      </c>
      <c r="I26" s="20" t="s">
        <v>42</v>
      </c>
      <c r="J26" s="37">
        <f>IF(AND(catpn_1_PTHB_1&gt;0,catpn_1_PTHV_40&gt;0),(cattf_1_PTHB_1*((dagenperjaar1*VLOOKUP(B26,dagsoorttabel1,2,FALSE))-catfd_1_PTHV_40)/catpn_1_PTHB_1+cattf_1_PTHV_40*catfd_1_PTHV_40/catpn_1_PTHV_40)/(((dagenperjaar1*VLOOKUP(B26,dagsoorttabel1,2,FALSE))-catfd_1_PTHV_40)/catpn_1_PTHB_1+catfd_1_PTHV_40/catpn_1_PTHV_40),0)</f>
        <v>0</v>
      </c>
      <c r="K26" s="34">
        <f>IF(OR(ISBLANK(G26),G26=0),0,F26/ROUND(G26,4))</f>
        <v>0</v>
      </c>
      <c r="L26" s="37">
        <f>ROUND(J26,2)*K26</f>
        <v>0</v>
      </c>
      <c r="M26" s="34">
        <f>K26*dagenperjaar1</f>
        <v>0</v>
      </c>
      <c r="N26" s="37">
        <f>M26*ROUND(J26,2)</f>
        <v>0</v>
      </c>
    </row>
    <row r="27" spans="1:14" x14ac:dyDescent="0.2">
      <c r="A27" s="20" t="s">
        <v>230</v>
      </c>
      <c r="B27" s="20" t="s">
        <v>11</v>
      </c>
      <c r="C27" s="20" t="s">
        <v>190</v>
      </c>
      <c r="D27" s="20" t="s">
        <v>231</v>
      </c>
      <c r="E27" s="34">
        <v>518.5</v>
      </c>
      <c r="F27" s="34">
        <f>E27*VLOOKUP(B27,dagsoorttabel1,2,FALSE)</f>
        <v>406.66666666666669</v>
      </c>
      <c r="G27" s="35">
        <f>IF(AND(catpn_1_PUHB_1&gt;0,catpn_1_PUHV_40&gt;0),(dagenperjaar1*VLOOKUP(B27,dagsoorttabel1,2,FALSE))/(((dagenperjaar1*VLOOKUP(B27,dagsoorttabel1,2,FALSE))-catfd_1_PUHV_40)/catpn_1_PUHB_1+catfd_1_PUHV_40/catpn_1_PUHV_40),0)</f>
        <v>0</v>
      </c>
      <c r="H27" s="36">
        <f>IF(AND(catpn_1_PUHB_1&gt;0,catpn_1_PUHV_40&gt;0),(catdw_1_PUHB_1*((dagenperjaar1*VLOOKUP(B27,dagsoorttabel1,2,FALSE))-catfd_1_PUHV_40)/catpn_1_PUHB_1+catdw_1_PUHV_40*catfd_1_PUHV_40/catpn_1_PUHV_40)/(((dagenperjaar1*VLOOKUP(B27,dagsoorttabel1,2,FALSE))-catfd_1_PUHV_40)/catpn_1_PUHB_1+catfd_1_PUHV_40/catpn_1_PUHV_40),0)</f>
        <v>0</v>
      </c>
      <c r="I27" s="20" t="s">
        <v>42</v>
      </c>
      <c r="J27" s="37">
        <f>IF(AND(catpn_1_PUHB_1&gt;0,catpn_1_PUHV_40&gt;0),(cattf_1_PUHB_1*((dagenperjaar1*VLOOKUP(B27,dagsoorttabel1,2,FALSE))-catfd_1_PUHV_40)/catpn_1_PUHB_1+cattf_1_PUHV_40*catfd_1_PUHV_40/catpn_1_PUHV_40)/(((dagenperjaar1*VLOOKUP(B27,dagsoorttabel1,2,FALSE))-catfd_1_PUHV_40)/catpn_1_PUHB_1+catfd_1_PUHV_40/catpn_1_PUHV_40),0)</f>
        <v>0</v>
      </c>
      <c r="K27" s="34">
        <f>IF(OR(ISBLANK(G27),G27=0),0,F27/ROUND(G27,4))</f>
        <v>0</v>
      </c>
      <c r="L27" s="37">
        <f>ROUND(J27,2)*K27</f>
        <v>0</v>
      </c>
      <c r="M27" s="34">
        <f>K27*dagenperjaar1</f>
        <v>0</v>
      </c>
      <c r="N27" s="37">
        <f>M27*ROUND(J27,2)</f>
        <v>0</v>
      </c>
    </row>
    <row r="28" spans="1:14" x14ac:dyDescent="0.2">
      <c r="A28" s="20" t="s">
        <v>230</v>
      </c>
      <c r="B28" s="20" t="s">
        <v>18</v>
      </c>
      <c r="C28" s="20" t="s">
        <v>190</v>
      </c>
      <c r="D28" s="20" t="s">
        <v>231</v>
      </c>
      <c r="E28" s="34">
        <v>324.39999999999998</v>
      </c>
      <c r="F28" s="34">
        <f>E28*VLOOKUP(B28,dagsoorttabel1,2,FALSE)</f>
        <v>50.886274509803918</v>
      </c>
      <c r="G28" s="35">
        <f>IF(AND(catpn_1_PUHB_1&gt;0,catpn_1_PUHV_40&gt;0),(dagenperjaar1*VLOOKUP(B28,dagsoorttabel1,2,FALSE))/(((dagenperjaar1*VLOOKUP(B28,dagsoorttabel1,2,FALSE))-catfd_1_PUHV_40)/catpn_1_PUHB_1+catfd_1_PUHV_40/catpn_1_PUHV_40),0)</f>
        <v>0</v>
      </c>
      <c r="H28" s="36">
        <f>IF(AND(catpn_1_PUHB_1&gt;0,catpn_1_PUHV_40&gt;0),(catdw_1_PUHB_1*((dagenperjaar1*VLOOKUP(B28,dagsoorttabel1,2,FALSE))-catfd_1_PUHV_40)/catpn_1_PUHB_1+catdw_1_PUHV_40*catfd_1_PUHV_40/catpn_1_PUHV_40)/(((dagenperjaar1*VLOOKUP(B28,dagsoorttabel1,2,FALSE))-catfd_1_PUHV_40)/catpn_1_PUHB_1+catfd_1_PUHV_40/catpn_1_PUHV_40),0)</f>
        <v>0</v>
      </c>
      <c r="I28" s="20" t="s">
        <v>42</v>
      </c>
      <c r="J28" s="37">
        <f>IF(AND(catpn_1_PUHB_1&gt;0,catpn_1_PUHV_40&gt;0),(cattf_1_PUHB_1*((dagenperjaar1*VLOOKUP(B28,dagsoorttabel1,2,FALSE))-catfd_1_PUHV_40)/catpn_1_PUHB_1+cattf_1_PUHV_40*catfd_1_PUHV_40/catpn_1_PUHV_40)/(((dagenperjaar1*VLOOKUP(B28,dagsoorttabel1,2,FALSE))-catfd_1_PUHV_40)/catpn_1_PUHB_1+catfd_1_PUHV_40/catpn_1_PUHV_40),0)</f>
        <v>0</v>
      </c>
      <c r="K28" s="34">
        <f>IF(OR(ISBLANK(G28),G28=0),0,F28/ROUND(G28,4))</f>
        <v>0</v>
      </c>
      <c r="L28" s="37">
        <f>ROUND(J28,2)*K28</f>
        <v>0</v>
      </c>
      <c r="M28" s="34">
        <f>K28*dagenperjaar1</f>
        <v>0</v>
      </c>
      <c r="N28" s="37">
        <f>M28*ROUND(J28,2)</f>
        <v>0</v>
      </c>
    </row>
    <row r="29" spans="1:14" x14ac:dyDescent="0.2">
      <c r="A29" s="20" t="s">
        <v>232</v>
      </c>
      <c r="B29" s="20" t="s">
        <v>11</v>
      </c>
      <c r="C29" s="20" t="s">
        <v>190</v>
      </c>
      <c r="D29" s="20" t="s">
        <v>233</v>
      </c>
      <c r="E29" s="34">
        <v>5.18</v>
      </c>
      <c r="F29" s="34">
        <f>E29*VLOOKUP(B29,dagsoorttabel1,2,FALSE)</f>
        <v>4.0627450980392155</v>
      </c>
      <c r="G29" s="35">
        <f>IF(AND(catpn_1_PZB_1&gt;0,catpn_1_PZV_40&gt;0),(dagenperjaar1*VLOOKUP(B29,dagsoorttabel1,2,FALSE))/(((dagenperjaar1*VLOOKUP(B29,dagsoorttabel1,2,FALSE))-catfd_1_PZV_40)/catpn_1_PZB_1+catfd_1_PZV_40/catpn_1_PZV_40),0)</f>
        <v>0</v>
      </c>
      <c r="H29" s="36">
        <f>IF(AND(catpn_1_PZB_1&gt;0,catpn_1_PZV_40&gt;0),(catdw_1_PZB_1*((dagenperjaar1*VLOOKUP(B29,dagsoorttabel1,2,FALSE))-catfd_1_PZV_40)/catpn_1_PZB_1+catdw_1_PZV_40*catfd_1_PZV_40/catpn_1_PZV_40)/(((dagenperjaar1*VLOOKUP(B29,dagsoorttabel1,2,FALSE))-catfd_1_PZV_40)/catpn_1_PZB_1+catfd_1_PZV_40/catpn_1_PZV_40),0)</f>
        <v>0</v>
      </c>
      <c r="I29" s="20" t="s">
        <v>42</v>
      </c>
      <c r="J29" s="37">
        <f>IF(AND(catpn_1_PZB_1&gt;0,catpn_1_PZV_40&gt;0),(cattf_1_PZB_1*((dagenperjaar1*VLOOKUP(B29,dagsoorttabel1,2,FALSE))-catfd_1_PZV_40)/catpn_1_PZB_1+cattf_1_PZV_40*catfd_1_PZV_40/catpn_1_PZV_40)/(((dagenperjaar1*VLOOKUP(B29,dagsoorttabel1,2,FALSE))-catfd_1_PZV_40)/catpn_1_PZB_1+catfd_1_PZV_40/catpn_1_PZV_40),0)</f>
        <v>0</v>
      </c>
      <c r="K29" s="34">
        <f>IF(OR(ISBLANK(G29),G29=0),0,F29/ROUND(G29,4))</f>
        <v>0</v>
      </c>
      <c r="L29" s="37">
        <f>ROUND(J29,2)*K29</f>
        <v>0</v>
      </c>
      <c r="M29" s="34">
        <f>K29*dagenperjaar1</f>
        <v>0</v>
      </c>
      <c r="N29" s="37">
        <f>M29*ROUND(J29,2)</f>
        <v>0</v>
      </c>
    </row>
    <row r="30" spans="1:14" x14ac:dyDescent="0.2">
      <c r="A30" s="20" t="s">
        <v>234</v>
      </c>
      <c r="B30" s="20" t="s">
        <v>11</v>
      </c>
      <c r="C30" s="20" t="s">
        <v>190</v>
      </c>
      <c r="D30" s="20" t="s">
        <v>235</v>
      </c>
      <c r="E30" s="34">
        <v>907.67000000000007</v>
      </c>
      <c r="F30" s="34">
        <f>E30*VLOOKUP(B30,dagsoorttabel1,2,FALSE)</f>
        <v>711.89803921568637</v>
      </c>
      <c r="G30" s="35">
        <f>IF(AND(catpn_1_SHB_1&gt;0,catpn_1_SHV_40&gt;0),(dagenperjaar1*VLOOKUP(B30,dagsoorttabel1,2,FALSE))/(((dagenperjaar1*VLOOKUP(B30,dagsoorttabel1,2,FALSE))-catfd_1_SHV_40)/catpn_1_SHB_1+catfd_1_SHV_40/catpn_1_SHV_40),0)</f>
        <v>0</v>
      </c>
      <c r="H30" s="36">
        <f>IF(AND(catpn_1_SHB_1&gt;0,catpn_1_SHV_40&gt;0),(catdw_1_SHB_1*((dagenperjaar1*VLOOKUP(B30,dagsoorttabel1,2,FALSE))-catfd_1_SHV_40)/catpn_1_SHB_1+catdw_1_SHV_40*catfd_1_SHV_40/catpn_1_SHV_40)/(((dagenperjaar1*VLOOKUP(B30,dagsoorttabel1,2,FALSE))-catfd_1_SHV_40)/catpn_1_SHB_1+catfd_1_SHV_40/catpn_1_SHV_40),0)</f>
        <v>0</v>
      </c>
      <c r="I30" s="20" t="s">
        <v>42</v>
      </c>
      <c r="J30" s="37">
        <f>IF(AND(catpn_1_SHB_1&gt;0,catpn_1_SHV_40&gt;0),(cattf_1_SHB_1*((dagenperjaar1*VLOOKUP(B30,dagsoorttabel1,2,FALSE))-catfd_1_SHV_40)/catpn_1_SHB_1+cattf_1_SHV_40*catfd_1_SHV_40/catpn_1_SHV_40)/(((dagenperjaar1*VLOOKUP(B30,dagsoorttabel1,2,FALSE))-catfd_1_SHV_40)/catpn_1_SHB_1+catfd_1_SHV_40/catpn_1_SHV_40),0)</f>
        <v>0</v>
      </c>
      <c r="K30" s="34">
        <f>IF(OR(ISBLANK(G30),G30=0),0,F30/ROUND(G30,4))</f>
        <v>0</v>
      </c>
      <c r="L30" s="37">
        <f>ROUND(J30,2)*K30</f>
        <v>0</v>
      </c>
      <c r="M30" s="34">
        <f>K30*dagenperjaar1</f>
        <v>0</v>
      </c>
      <c r="N30" s="37">
        <f>M30*ROUND(J30,2)</f>
        <v>0</v>
      </c>
    </row>
    <row r="31" spans="1:14" x14ac:dyDescent="0.2">
      <c r="A31" s="20" t="s">
        <v>236</v>
      </c>
      <c r="B31" s="20" t="s">
        <v>11</v>
      </c>
      <c r="C31" s="20" t="s">
        <v>190</v>
      </c>
      <c r="D31" s="20" t="s">
        <v>237</v>
      </c>
      <c r="E31" s="34">
        <v>714</v>
      </c>
      <c r="F31" s="34">
        <f>E31*VLOOKUP(B31,dagsoorttabel1,2,FALSE)</f>
        <v>560</v>
      </c>
      <c r="G31" s="35">
        <f>catpn_1_SHB_1</f>
        <v>0</v>
      </c>
      <c r="H31" s="36">
        <f>catdw_1_SHB_1</f>
        <v>0</v>
      </c>
      <c r="I31" s="20" t="s">
        <v>42</v>
      </c>
      <c r="J31" s="37">
        <f>cattf_1_SHB_1</f>
        <v>0</v>
      </c>
      <c r="K31" s="34">
        <f>IF(OR(ISBLANK(G31),G31=0),0,F31/ROUND(G31,4))</f>
        <v>0</v>
      </c>
      <c r="L31" s="37">
        <f>ROUND(J31,2)*K31</f>
        <v>0</v>
      </c>
      <c r="M31" s="34">
        <f>K31*dagenperjaar1</f>
        <v>0</v>
      </c>
      <c r="N31" s="37">
        <f>M31*ROUND(J31,2)</f>
        <v>0</v>
      </c>
    </row>
    <row r="32" spans="1:14" x14ac:dyDescent="0.2">
      <c r="A32" s="20" t="s">
        <v>238</v>
      </c>
      <c r="B32" s="20" t="s">
        <v>11</v>
      </c>
      <c r="C32" s="20" t="s">
        <v>190</v>
      </c>
      <c r="D32" s="20" t="s">
        <v>239</v>
      </c>
      <c r="E32" s="34">
        <v>38.120000000000005</v>
      </c>
      <c r="F32" s="34">
        <f>E32*VLOOKUP(B32,dagsoorttabel1,2,FALSE)</f>
        <v>29.898039215686278</v>
      </c>
      <c r="G32" s="35">
        <f>IF(AND(catpn_1_STZB_1&gt;0,catpn_1_STZV_40&gt;0),(dagenperjaar1*VLOOKUP(B32,dagsoorttabel1,2,FALSE))/(((dagenperjaar1*VLOOKUP(B32,dagsoorttabel1,2,FALSE))-catfd_1_STZV_40)/catpn_1_STZB_1+catfd_1_STZV_40/catpn_1_STZV_40),0)</f>
        <v>0</v>
      </c>
      <c r="H32" s="36">
        <f>IF(AND(catpn_1_STZB_1&gt;0,catpn_1_STZV_40&gt;0),(catdw_1_STZB_1*((dagenperjaar1*VLOOKUP(B32,dagsoorttabel1,2,FALSE))-catfd_1_STZV_40)/catpn_1_STZB_1+catdw_1_STZV_40*catfd_1_STZV_40/catpn_1_STZV_40)/(((dagenperjaar1*VLOOKUP(B32,dagsoorttabel1,2,FALSE))-catfd_1_STZV_40)/catpn_1_STZB_1+catfd_1_STZV_40/catpn_1_STZV_40),0)</f>
        <v>0</v>
      </c>
      <c r="I32" s="20" t="s">
        <v>42</v>
      </c>
      <c r="J32" s="37">
        <f>IF(AND(catpn_1_STZB_1&gt;0,catpn_1_STZV_40&gt;0),(cattf_1_STZB_1*((dagenperjaar1*VLOOKUP(B32,dagsoorttabel1,2,FALSE))-catfd_1_STZV_40)/catpn_1_STZB_1+cattf_1_STZV_40*catfd_1_STZV_40/catpn_1_STZV_40)/(((dagenperjaar1*VLOOKUP(B32,dagsoorttabel1,2,FALSE))-catfd_1_STZV_40)/catpn_1_STZB_1+catfd_1_STZV_40/catpn_1_STZV_40),0)</f>
        <v>0</v>
      </c>
      <c r="K32" s="34">
        <f>IF(OR(ISBLANK(G32),G32=0),0,F32/ROUND(G32,4))</f>
        <v>0</v>
      </c>
      <c r="L32" s="37">
        <f>ROUND(J32,2)*K32</f>
        <v>0</v>
      </c>
      <c r="M32" s="34">
        <f>K32*dagenperjaar1</f>
        <v>0</v>
      </c>
      <c r="N32" s="37">
        <f>M32*ROUND(J32,2)</f>
        <v>0</v>
      </c>
    </row>
    <row r="33" spans="1:14" x14ac:dyDescent="0.2">
      <c r="A33" s="20" t="s">
        <v>240</v>
      </c>
      <c r="B33" s="20" t="s">
        <v>11</v>
      </c>
      <c r="C33" s="20" t="s">
        <v>190</v>
      </c>
      <c r="D33" s="20" t="s">
        <v>241</v>
      </c>
      <c r="E33" s="34">
        <v>1485.65</v>
      </c>
      <c r="F33" s="34">
        <f>E33*VLOOKUP(B33,dagsoorttabel1,2,FALSE)</f>
        <v>1165.2156862745098</v>
      </c>
      <c r="G33" s="35">
        <f>IF(AND(catpn_1_THB_1&gt;0,catpn_1_THV_40&gt;0),(dagenperjaar1*VLOOKUP(B33,dagsoorttabel1,2,FALSE))/(((dagenperjaar1*VLOOKUP(B33,dagsoorttabel1,2,FALSE))-catfd_1_THV_40)/catpn_1_THB_1+catfd_1_THV_40/catpn_1_THV_40),0)</f>
        <v>0</v>
      </c>
      <c r="H33" s="36">
        <f>IF(AND(catpn_1_THB_1&gt;0,catpn_1_THV_40&gt;0),(catdw_1_THB_1*((dagenperjaar1*VLOOKUP(B33,dagsoorttabel1,2,FALSE))-catfd_1_THV_40)/catpn_1_THB_1+catdw_1_THV_40*catfd_1_THV_40/catpn_1_THV_40)/(((dagenperjaar1*VLOOKUP(B33,dagsoorttabel1,2,FALSE))-catfd_1_THV_40)/catpn_1_THB_1+catfd_1_THV_40/catpn_1_THV_40),0)</f>
        <v>0</v>
      </c>
      <c r="I33" s="20" t="s">
        <v>42</v>
      </c>
      <c r="J33" s="37">
        <f>IF(AND(catpn_1_THB_1&gt;0,catpn_1_THV_40&gt;0),(cattf_1_THB_1*((dagenperjaar1*VLOOKUP(B33,dagsoorttabel1,2,FALSE))-catfd_1_THV_40)/catpn_1_THB_1+cattf_1_THV_40*catfd_1_THV_40/catpn_1_THV_40)/(((dagenperjaar1*VLOOKUP(B33,dagsoorttabel1,2,FALSE))-catfd_1_THV_40)/catpn_1_THB_1+catfd_1_THV_40/catpn_1_THV_40),0)</f>
        <v>0</v>
      </c>
      <c r="K33" s="34">
        <f>IF(OR(ISBLANK(G33),G33=0),0,F33/ROUND(G33,4))</f>
        <v>0</v>
      </c>
      <c r="L33" s="37">
        <f>ROUND(J33,2)*K33</f>
        <v>0</v>
      </c>
      <c r="M33" s="34">
        <f>K33*dagenperjaar1</f>
        <v>0</v>
      </c>
      <c r="N33" s="37">
        <f>M33*ROUND(J33,2)</f>
        <v>0</v>
      </c>
    </row>
    <row r="34" spans="1:14" x14ac:dyDescent="0.2">
      <c r="A34" s="20" t="s">
        <v>242</v>
      </c>
      <c r="B34" s="20" t="s">
        <v>11</v>
      </c>
      <c r="C34" s="20" t="s">
        <v>190</v>
      </c>
      <c r="D34" s="20" t="s">
        <v>243</v>
      </c>
      <c r="E34" s="34">
        <v>45.48</v>
      </c>
      <c r="F34" s="34">
        <f>E34*VLOOKUP(B34,dagsoorttabel1,2,FALSE)</f>
        <v>35.670588235294112</v>
      </c>
      <c r="G34" s="35">
        <f>IF(AND(catpn_1_TZB_1&gt;0,catpn_1_TZV_40&gt;0),(dagenperjaar1*VLOOKUP(B34,dagsoorttabel1,2,FALSE))/(((dagenperjaar1*VLOOKUP(B34,dagsoorttabel1,2,FALSE))-catfd_1_TZV_40)/catpn_1_TZB_1+catfd_1_TZV_40/catpn_1_TZV_40),0)</f>
        <v>0</v>
      </c>
      <c r="H34" s="36">
        <f>IF(AND(catpn_1_TZB_1&gt;0,catpn_1_TZV_40&gt;0),(catdw_1_TZB_1*((dagenperjaar1*VLOOKUP(B34,dagsoorttabel1,2,FALSE))-catfd_1_TZV_40)/catpn_1_TZB_1+catdw_1_TZV_40*catfd_1_TZV_40/catpn_1_TZV_40)/(((dagenperjaar1*VLOOKUP(B34,dagsoorttabel1,2,FALSE))-catfd_1_TZV_40)/catpn_1_TZB_1+catfd_1_TZV_40/catpn_1_TZV_40),0)</f>
        <v>0</v>
      </c>
      <c r="I34" s="20" t="s">
        <v>42</v>
      </c>
      <c r="J34" s="37">
        <f>IF(AND(catpn_1_TZB_1&gt;0,catpn_1_TZV_40&gt;0),(cattf_1_TZB_1*((dagenperjaar1*VLOOKUP(B34,dagsoorttabel1,2,FALSE))-catfd_1_TZV_40)/catpn_1_TZB_1+cattf_1_TZV_40*catfd_1_TZV_40/catpn_1_TZV_40)/(((dagenperjaar1*VLOOKUP(B34,dagsoorttabel1,2,FALSE))-catfd_1_TZV_40)/catpn_1_TZB_1+catfd_1_TZV_40/catpn_1_TZV_40),0)</f>
        <v>0</v>
      </c>
      <c r="K34" s="34">
        <f>IF(OR(ISBLANK(G34),G34=0),0,F34/ROUND(G34,4))</f>
        <v>0</v>
      </c>
      <c r="L34" s="37">
        <f>ROUND(J34,2)*K34</f>
        <v>0</v>
      </c>
      <c r="M34" s="34">
        <f>K34*dagenperjaar1</f>
        <v>0</v>
      </c>
      <c r="N34" s="37">
        <f>M34*ROUND(J34,2)</f>
        <v>0</v>
      </c>
    </row>
    <row r="35" spans="1:14" x14ac:dyDescent="0.2">
      <c r="A35" s="20" t="s">
        <v>244</v>
      </c>
      <c r="B35" s="20" t="s">
        <v>11</v>
      </c>
      <c r="C35" s="20" t="s">
        <v>190</v>
      </c>
      <c r="D35" s="20" t="s">
        <v>245</v>
      </c>
      <c r="E35" s="34">
        <v>8381.32</v>
      </c>
      <c r="F35" s="34">
        <f>E35*VLOOKUP(B35,dagsoorttabel1,2,FALSE)</f>
        <v>6573.5843137254897</v>
      </c>
      <c r="G35" s="35">
        <f>IF(AND(catpn_1_VHB_1&gt;0,catpn_1_VHV_40&gt;0),(dagenperjaar1*VLOOKUP(B35,dagsoorttabel1,2,FALSE))/(((dagenperjaar1*VLOOKUP(B35,dagsoorttabel1,2,FALSE))-catfd_1_VHV_40)/catpn_1_VHB_1+catfd_1_VHV_40/catpn_1_VHV_40),0)</f>
        <v>0</v>
      </c>
      <c r="H35" s="36">
        <f>IF(AND(catpn_1_VHB_1&gt;0,catpn_1_VHV_40&gt;0),(catdw_1_VHB_1*((dagenperjaar1*VLOOKUP(B35,dagsoorttabel1,2,FALSE))-catfd_1_VHV_40)/catpn_1_VHB_1+catdw_1_VHV_40*catfd_1_VHV_40/catpn_1_VHV_40)/(((dagenperjaar1*VLOOKUP(B35,dagsoorttabel1,2,FALSE))-catfd_1_VHV_40)/catpn_1_VHB_1+catfd_1_VHV_40/catpn_1_VHV_40),0)</f>
        <v>0</v>
      </c>
      <c r="I35" s="20" t="s">
        <v>42</v>
      </c>
      <c r="J35" s="37">
        <f>IF(AND(catpn_1_VHB_1&gt;0,catpn_1_VHV_40&gt;0),(cattf_1_VHB_1*((dagenperjaar1*VLOOKUP(B35,dagsoorttabel1,2,FALSE))-catfd_1_VHV_40)/catpn_1_VHB_1+cattf_1_VHV_40*catfd_1_VHV_40/catpn_1_VHV_40)/(((dagenperjaar1*VLOOKUP(B35,dagsoorttabel1,2,FALSE))-catfd_1_VHV_40)/catpn_1_VHB_1+catfd_1_VHV_40/catpn_1_VHV_40),0)</f>
        <v>0</v>
      </c>
      <c r="K35" s="34">
        <f>IF(OR(ISBLANK(G35),G35=0),0,F35/ROUND(G35,4))</f>
        <v>0</v>
      </c>
      <c r="L35" s="37">
        <f>ROUND(J35,2)*K35</f>
        <v>0</v>
      </c>
      <c r="M35" s="34">
        <f>K35*dagenperjaar1</f>
        <v>0</v>
      </c>
      <c r="N35" s="37">
        <f>M35*ROUND(J35,2)</f>
        <v>0</v>
      </c>
    </row>
    <row r="36" spans="1:14" x14ac:dyDescent="0.2">
      <c r="A36" s="20" t="s">
        <v>246</v>
      </c>
      <c r="B36" s="20" t="s">
        <v>11</v>
      </c>
      <c r="C36" s="20" t="s">
        <v>190</v>
      </c>
      <c r="D36" s="20" t="s">
        <v>247</v>
      </c>
      <c r="E36" s="34">
        <v>174.73</v>
      </c>
      <c r="F36" s="34">
        <f>E36*VLOOKUP(B36,dagsoorttabel1,2,FALSE)</f>
        <v>137.04313725490195</v>
      </c>
      <c r="G36" s="35">
        <f>IF(AND(catpn_1_VZB_1&gt;0,catpn_1_VZV_40&gt;0),(dagenperjaar1*VLOOKUP(B36,dagsoorttabel1,2,FALSE))/(((dagenperjaar1*VLOOKUP(B36,dagsoorttabel1,2,FALSE))-catfd_1_VZV_40)/catpn_1_VZB_1+catfd_1_VZV_40/catpn_1_VZV_40),0)</f>
        <v>0</v>
      </c>
      <c r="H36" s="36">
        <f>IF(AND(catpn_1_VZB_1&gt;0,catpn_1_VZV_40&gt;0),(catdw_1_VZB_1*((dagenperjaar1*VLOOKUP(B36,dagsoorttabel1,2,FALSE))-catfd_1_VZV_40)/catpn_1_VZB_1+catdw_1_VZV_40*catfd_1_VZV_40/catpn_1_VZV_40)/(((dagenperjaar1*VLOOKUP(B36,dagsoorttabel1,2,FALSE))-catfd_1_VZV_40)/catpn_1_VZB_1+catfd_1_VZV_40/catpn_1_VZV_40),0)</f>
        <v>0</v>
      </c>
      <c r="I36" s="20" t="s">
        <v>42</v>
      </c>
      <c r="J36" s="37">
        <f>IF(AND(catpn_1_VZB_1&gt;0,catpn_1_VZV_40&gt;0),(cattf_1_VZB_1*((dagenperjaar1*VLOOKUP(B36,dagsoorttabel1,2,FALSE))-catfd_1_VZV_40)/catpn_1_VZB_1+cattf_1_VZV_40*catfd_1_VZV_40/catpn_1_VZV_40)/(((dagenperjaar1*VLOOKUP(B36,dagsoorttabel1,2,FALSE))-catfd_1_VZV_40)/catpn_1_VZB_1+catfd_1_VZV_40/catpn_1_VZV_40),0)</f>
        <v>0</v>
      </c>
      <c r="K36" s="34">
        <f>IF(OR(ISBLANK(G36),G36=0),0,F36/ROUND(G36,4))</f>
        <v>0</v>
      </c>
      <c r="L36" s="37">
        <f>ROUND(J36,2)*K36</f>
        <v>0</v>
      </c>
      <c r="M36" s="34">
        <f>K36*dagenperjaar1</f>
        <v>0</v>
      </c>
      <c r="N36" s="37">
        <f>M36*ROUND(J36,2)</f>
        <v>0</v>
      </c>
    </row>
    <row r="37" spans="1:14" x14ac:dyDescent="0.2">
      <c r="A37" s="20" t="s">
        <v>248</v>
      </c>
      <c r="B37" s="20" t="s">
        <v>11</v>
      </c>
      <c r="C37" s="20" t="s">
        <v>190</v>
      </c>
      <c r="D37" s="20" t="s">
        <v>249</v>
      </c>
      <c r="E37" s="34">
        <v>26</v>
      </c>
      <c r="F37" s="34">
        <f>E37*VLOOKUP(B37,dagsoorttabel1,2,FALSE)</f>
        <v>20.392156862745097</v>
      </c>
      <c r="G37" s="35">
        <f>IF(AND(catpn_1_WPHB_1&gt;0,catpn_1_WPHV_40&gt;0),(dagenperjaar1*VLOOKUP(B37,dagsoorttabel1,2,FALSE))/(((dagenperjaar1*VLOOKUP(B37,dagsoorttabel1,2,FALSE))-catfd_1_WPHV_40)/catpn_1_WPHB_1+catfd_1_WPHV_40/catpn_1_WPHV_40),0)</f>
        <v>0</v>
      </c>
      <c r="H37" s="36">
        <f>IF(AND(catpn_1_WPHB_1&gt;0,catpn_1_WPHV_40&gt;0),(catdw_1_WPHB_1*((dagenperjaar1*VLOOKUP(B37,dagsoorttabel1,2,FALSE))-catfd_1_WPHV_40)/catpn_1_WPHB_1+catdw_1_WPHV_40*catfd_1_WPHV_40/catpn_1_WPHV_40)/(((dagenperjaar1*VLOOKUP(B37,dagsoorttabel1,2,FALSE))-catfd_1_WPHV_40)/catpn_1_WPHB_1+catfd_1_WPHV_40/catpn_1_WPHV_40),0)</f>
        <v>0</v>
      </c>
      <c r="I37" s="20" t="s">
        <v>42</v>
      </c>
      <c r="J37" s="37">
        <f>IF(AND(catpn_1_WPHB_1&gt;0,catpn_1_WPHV_40&gt;0),(cattf_1_WPHB_1*((dagenperjaar1*VLOOKUP(B37,dagsoorttabel1,2,FALSE))-catfd_1_WPHV_40)/catpn_1_WPHB_1+cattf_1_WPHV_40*catfd_1_WPHV_40/catpn_1_WPHV_40)/(((dagenperjaar1*VLOOKUP(B37,dagsoorttabel1,2,FALSE))-catfd_1_WPHV_40)/catpn_1_WPHB_1+catfd_1_WPHV_40/catpn_1_WPHV_40),0)</f>
        <v>0</v>
      </c>
      <c r="K37" s="34">
        <f>IF(OR(ISBLANK(G37),G37=0),0,F37/ROUND(G37,4))</f>
        <v>0</v>
      </c>
      <c r="L37" s="37">
        <f>ROUND(J37,2)*K37</f>
        <v>0</v>
      </c>
      <c r="M37" s="34">
        <f>K37*dagenperjaar1</f>
        <v>0</v>
      </c>
      <c r="N37" s="37">
        <f>M37*ROUND(J37,2)</f>
        <v>0</v>
      </c>
    </row>
    <row r="38" spans="1:14" x14ac:dyDescent="0.2">
      <c r="A38" s="25" t="s">
        <v>250</v>
      </c>
      <c r="B38" s="25" t="s">
        <v>29</v>
      </c>
      <c r="C38" s="25" t="s">
        <v>251</v>
      </c>
      <c r="D38" s="25" t="s">
        <v>252</v>
      </c>
      <c r="E38" s="38">
        <v>1021.99</v>
      </c>
      <c r="F38" s="38">
        <f>E38*VLOOKUP(B38,dagsoorttabel1,2,FALSE)</f>
        <v>4.0078039215686276</v>
      </c>
      <c r="G38" s="39"/>
      <c r="H38" s="28"/>
      <c r="I38" s="25" t="s">
        <v>42</v>
      </c>
      <c r="J38" s="29"/>
      <c r="K38" s="38">
        <f>IF(OR(ISBLANK(G38),G38=0),0,F38/ROUND(G38,4))</f>
        <v>0</v>
      </c>
      <c r="L38" s="40">
        <f>ROUND(J38,2)*K38</f>
        <v>0</v>
      </c>
      <c r="M38" s="38">
        <f>K38*dagenperjaar1</f>
        <v>0</v>
      </c>
      <c r="N38" s="40">
        <f>M38*ROUND(J38,2)</f>
        <v>0</v>
      </c>
    </row>
    <row r="39" spans="1:14" x14ac:dyDescent="0.2">
      <c r="A39" s="41" t="s">
        <v>253</v>
      </c>
      <c r="B39" s="42"/>
      <c r="C39" s="42"/>
      <c r="D39" s="42"/>
      <c r="E39" s="42"/>
      <c r="F39" s="42"/>
      <c r="G39" s="42"/>
      <c r="H39" s="42"/>
      <c r="I39" s="42"/>
      <c r="J39" s="42"/>
      <c r="K39" s="43">
        <f>SUM(K6:K38)</f>
        <v>0</v>
      </c>
      <c r="L39" s="44">
        <f>SUM(L6:L38)</f>
        <v>0</v>
      </c>
      <c r="M39" s="43">
        <f>SUM(M6:M38)</f>
        <v>0</v>
      </c>
      <c r="N39" s="45">
        <f>SUM(N6:N38)</f>
        <v>0</v>
      </c>
    </row>
    <row r="40" spans="1:14" x14ac:dyDescent="0.2">
      <c r="A40" s="46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7"/>
    </row>
    <row r="41" spans="1:14" x14ac:dyDescent="0.2">
      <c r="A41" s="41" t="s">
        <v>254</v>
      </c>
      <c r="B41" s="42"/>
      <c r="C41" s="42"/>
      <c r="D41" s="42"/>
      <c r="E41" s="42"/>
      <c r="F41" s="42"/>
      <c r="G41" s="42"/>
      <c r="H41" s="42"/>
      <c r="I41" s="42"/>
      <c r="J41" s="44">
        <f>IF(urenjaar1&gt;0,SUMIF(M6:M38,"&gt;0",N6:N38)/urenjaar1,0)</f>
        <v>0</v>
      </c>
      <c r="K41" s="42"/>
      <c r="L41" s="42"/>
      <c r="M41" s="42"/>
      <c r="N41" s="47"/>
    </row>
    <row r="42" spans="1:14" x14ac:dyDescent="0.2">
      <c r="A42" s="46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7"/>
    </row>
    <row r="43" spans="1:14" x14ac:dyDescent="0.2">
      <c r="A43" s="9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1"/>
    </row>
    <row r="44" spans="1:14" x14ac:dyDescent="0.2">
      <c r="A44" s="12" t="s">
        <v>163</v>
      </c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4"/>
    </row>
    <row r="45" spans="1:14" x14ac:dyDescent="0.2">
      <c r="A45" s="15" t="s">
        <v>255</v>
      </c>
      <c r="B45" s="15" t="s">
        <v>25</v>
      </c>
      <c r="C45" s="15" t="s">
        <v>190</v>
      </c>
      <c r="D45" s="15" t="s">
        <v>191</v>
      </c>
      <c r="E45" s="30">
        <v>350.02</v>
      </c>
      <c r="F45" s="30">
        <f>E45*VLOOKUP(B45,dagsoorttabel1,2,FALSE)</f>
        <v>8.2357647058823531</v>
      </c>
      <c r="G45" s="31">
        <f>catpn_2_VAHB_1</f>
        <v>0</v>
      </c>
      <c r="H45" s="32">
        <f>catdw_2_VAHB_1</f>
        <v>0</v>
      </c>
      <c r="I45" s="15" t="s">
        <v>42</v>
      </c>
      <c r="J45" s="33">
        <f>cattf_2_VAHB_1</f>
        <v>0</v>
      </c>
      <c r="K45" s="30">
        <f>IF(OR(ISBLANK(G45),G45=0),0,F45/ROUND(G45,4))</f>
        <v>0</v>
      </c>
      <c r="L45" s="33">
        <f>ROUND(J45,2)*K45</f>
        <v>0</v>
      </c>
      <c r="M45" s="30">
        <f>K45*dagenperjaar1</f>
        <v>0</v>
      </c>
      <c r="N45" s="33">
        <f>M45*ROUND(J45,2)</f>
        <v>0</v>
      </c>
    </row>
    <row r="46" spans="1:14" x14ac:dyDescent="0.2">
      <c r="A46" s="20" t="s">
        <v>256</v>
      </c>
      <c r="B46" s="20" t="s">
        <v>26</v>
      </c>
      <c r="C46" s="20" t="s">
        <v>190</v>
      </c>
      <c r="D46" s="20" t="s">
        <v>193</v>
      </c>
      <c r="E46" s="34">
        <v>1110.97</v>
      </c>
      <c r="F46" s="34">
        <f>E46*VLOOKUP(B46,dagsoorttabel1,2,FALSE)</f>
        <v>17.426980392156864</v>
      </c>
      <c r="G46" s="35">
        <f>catpn_2_VBHB_1</f>
        <v>0</v>
      </c>
      <c r="H46" s="36">
        <f>catdw_2_VBHB_1</f>
        <v>0</v>
      </c>
      <c r="I46" s="20" t="s">
        <v>42</v>
      </c>
      <c r="J46" s="37">
        <f>cattf_2_VBHB_1</f>
        <v>0</v>
      </c>
      <c r="K46" s="34">
        <f>IF(OR(ISBLANK(G46),G46=0),0,F46/ROUND(G46,4))</f>
        <v>0</v>
      </c>
      <c r="L46" s="37">
        <f>ROUND(J46,2)*K46</f>
        <v>0</v>
      </c>
      <c r="M46" s="34">
        <f>K46*dagenperjaar1</f>
        <v>0</v>
      </c>
      <c r="N46" s="37">
        <f>M46*ROUND(J46,2)</f>
        <v>0</v>
      </c>
    </row>
    <row r="47" spans="1:14" x14ac:dyDescent="0.2">
      <c r="A47" s="20" t="s">
        <v>256</v>
      </c>
      <c r="B47" s="20" t="s">
        <v>25</v>
      </c>
      <c r="C47" s="20" t="s">
        <v>190</v>
      </c>
      <c r="D47" s="20" t="s">
        <v>193</v>
      </c>
      <c r="E47" s="34">
        <v>433.03000000000009</v>
      </c>
      <c r="F47" s="34">
        <f>E47*VLOOKUP(B47,dagsoorttabel1,2,FALSE)</f>
        <v>10.188941176470591</v>
      </c>
      <c r="G47" s="35">
        <f>catpn_2_VBHB_1</f>
        <v>0</v>
      </c>
      <c r="H47" s="36">
        <f>catdw_2_VBHB_1</f>
        <v>0</v>
      </c>
      <c r="I47" s="20" t="s">
        <v>42</v>
      </c>
      <c r="J47" s="37">
        <f>cattf_2_VBHB_1</f>
        <v>0</v>
      </c>
      <c r="K47" s="34">
        <f>IF(OR(ISBLANK(G47),G47=0),0,F47/ROUND(G47,4))</f>
        <v>0</v>
      </c>
      <c r="L47" s="37">
        <f>ROUND(J47,2)*K47</f>
        <v>0</v>
      </c>
      <c r="M47" s="34">
        <f>K47*dagenperjaar1</f>
        <v>0</v>
      </c>
      <c r="N47" s="37">
        <f>M47*ROUND(J47,2)</f>
        <v>0</v>
      </c>
    </row>
    <row r="48" spans="1:14" x14ac:dyDescent="0.2">
      <c r="A48" s="20" t="s">
        <v>256</v>
      </c>
      <c r="B48" s="20" t="s">
        <v>24</v>
      </c>
      <c r="C48" s="20" t="s">
        <v>190</v>
      </c>
      <c r="D48" s="20" t="s">
        <v>193</v>
      </c>
      <c r="E48" s="34">
        <v>1019.07</v>
      </c>
      <c r="F48" s="34">
        <f>E48*VLOOKUP(B48,dagsoorttabel1,2,FALSE)</f>
        <v>31.970823529411767</v>
      </c>
      <c r="G48" s="35">
        <f>catpn_2_VBHB_1</f>
        <v>0</v>
      </c>
      <c r="H48" s="36">
        <f>catdw_2_VBHB_1</f>
        <v>0</v>
      </c>
      <c r="I48" s="20" t="s">
        <v>42</v>
      </c>
      <c r="J48" s="37">
        <f>cattf_2_VBHB_1</f>
        <v>0</v>
      </c>
      <c r="K48" s="34">
        <f>IF(OR(ISBLANK(G48),G48=0),0,F48/ROUND(G48,4))</f>
        <v>0</v>
      </c>
      <c r="L48" s="37">
        <f>ROUND(J48,2)*K48</f>
        <v>0</v>
      </c>
      <c r="M48" s="34">
        <f>K48*dagenperjaar1</f>
        <v>0</v>
      </c>
      <c r="N48" s="37">
        <f>M48*ROUND(J48,2)</f>
        <v>0</v>
      </c>
    </row>
    <row r="49" spans="1:14" x14ac:dyDescent="0.2">
      <c r="A49" s="20" t="s">
        <v>257</v>
      </c>
      <c r="B49" s="20" t="s">
        <v>24</v>
      </c>
      <c r="C49" s="20" t="s">
        <v>190</v>
      </c>
      <c r="D49" s="20" t="s">
        <v>195</v>
      </c>
      <c r="E49" s="34">
        <v>146.79999999999998</v>
      </c>
      <c r="F49" s="34">
        <f>E49*VLOOKUP(B49,dagsoorttabel1,2,FALSE)</f>
        <v>4.6054901960784305</v>
      </c>
      <c r="G49" s="35">
        <f>catpn_2_VBZB_1</f>
        <v>0</v>
      </c>
      <c r="H49" s="36">
        <f>catdw_2_VBZB_1</f>
        <v>0</v>
      </c>
      <c r="I49" s="20" t="s">
        <v>42</v>
      </c>
      <c r="J49" s="37">
        <f>cattf_2_VBZB_1</f>
        <v>0</v>
      </c>
      <c r="K49" s="34">
        <f>IF(OR(ISBLANK(G49),G49=0),0,F49/ROUND(G49,4))</f>
        <v>0</v>
      </c>
      <c r="L49" s="37">
        <f>ROUND(J49,2)*K49</f>
        <v>0</v>
      </c>
      <c r="M49" s="34">
        <f>K49*dagenperjaar1</f>
        <v>0</v>
      </c>
      <c r="N49" s="37">
        <f>M49*ROUND(J49,2)</f>
        <v>0</v>
      </c>
    </row>
    <row r="50" spans="1:14" x14ac:dyDescent="0.2">
      <c r="A50" s="20" t="s">
        <v>258</v>
      </c>
      <c r="B50" s="20" t="s">
        <v>25</v>
      </c>
      <c r="C50" s="20" t="s">
        <v>190</v>
      </c>
      <c r="D50" s="20" t="s">
        <v>259</v>
      </c>
      <c r="E50" s="34">
        <v>2.27</v>
      </c>
      <c r="F50" s="34">
        <f>E50*VLOOKUP(B50,dagsoorttabel1,2,FALSE)</f>
        <v>5.3411764705882353E-2</v>
      </c>
      <c r="G50" s="35">
        <f>catpn_2_VDHB_1</f>
        <v>0</v>
      </c>
      <c r="H50" s="36">
        <f>catdw_2_VDHB_1</f>
        <v>0</v>
      </c>
      <c r="I50" s="20" t="s">
        <v>42</v>
      </c>
      <c r="J50" s="37">
        <f>cattf_2_VDHB_1</f>
        <v>0</v>
      </c>
      <c r="K50" s="34">
        <f>IF(OR(ISBLANK(G50),G50=0),0,F50/ROUND(G50,4))</f>
        <v>0</v>
      </c>
      <c r="L50" s="37">
        <f>ROUND(J50,2)*K50</f>
        <v>0</v>
      </c>
      <c r="M50" s="34">
        <f>K50*dagenperjaar1</f>
        <v>0</v>
      </c>
      <c r="N50" s="37">
        <f>M50*ROUND(J50,2)</f>
        <v>0</v>
      </c>
    </row>
    <row r="51" spans="1:14" x14ac:dyDescent="0.2">
      <c r="A51" s="20" t="s">
        <v>260</v>
      </c>
      <c r="B51" s="20" t="s">
        <v>25</v>
      </c>
      <c r="C51" s="20" t="s">
        <v>190</v>
      </c>
      <c r="D51" s="20" t="s">
        <v>201</v>
      </c>
      <c r="E51" s="34">
        <v>16.55</v>
      </c>
      <c r="F51" s="34">
        <f>E51*VLOOKUP(B51,dagsoorttabel1,2,FALSE)</f>
        <v>0.38941176470588235</v>
      </c>
      <c r="G51" s="35">
        <f>catpn_2_VEHB_1</f>
        <v>0</v>
      </c>
      <c r="H51" s="36">
        <f>catdw_2_VEHB_1</f>
        <v>0</v>
      </c>
      <c r="I51" s="20" t="s">
        <v>42</v>
      </c>
      <c r="J51" s="37">
        <f>cattf_2_VEHB_1</f>
        <v>0</v>
      </c>
      <c r="K51" s="34">
        <f>IF(OR(ISBLANK(G51),G51=0),0,F51/ROUND(G51,4))</f>
        <v>0</v>
      </c>
      <c r="L51" s="37">
        <f>ROUND(J51,2)*K51</f>
        <v>0</v>
      </c>
      <c r="M51" s="34">
        <f>K51*dagenperjaar1</f>
        <v>0</v>
      </c>
      <c r="N51" s="37">
        <f>M51*ROUND(J51,2)</f>
        <v>0</v>
      </c>
    </row>
    <row r="52" spans="1:14" x14ac:dyDescent="0.2">
      <c r="A52" s="20" t="s">
        <v>260</v>
      </c>
      <c r="B52" s="20" t="s">
        <v>24</v>
      </c>
      <c r="C52" s="20" t="s">
        <v>190</v>
      </c>
      <c r="D52" s="20" t="s">
        <v>201</v>
      </c>
      <c r="E52" s="34">
        <v>67.09</v>
      </c>
      <c r="F52" s="34">
        <f>E52*VLOOKUP(B52,dagsoorttabel1,2,FALSE)</f>
        <v>2.1047843137254905</v>
      </c>
      <c r="G52" s="35">
        <f>catpn_2_VEHB_1</f>
        <v>0</v>
      </c>
      <c r="H52" s="36">
        <f>catdw_2_VEHB_1</f>
        <v>0</v>
      </c>
      <c r="I52" s="20" t="s">
        <v>42</v>
      </c>
      <c r="J52" s="37">
        <f>cattf_2_VEHB_1</f>
        <v>0</v>
      </c>
      <c r="K52" s="34">
        <f>IF(OR(ISBLANK(G52),G52=0),0,F52/ROUND(G52,4))</f>
        <v>0</v>
      </c>
      <c r="L52" s="37">
        <f>ROUND(J52,2)*K52</f>
        <v>0</v>
      </c>
      <c r="M52" s="34">
        <f>K52*dagenperjaar1</f>
        <v>0</v>
      </c>
      <c r="N52" s="37">
        <f>M52*ROUND(J52,2)</f>
        <v>0</v>
      </c>
    </row>
    <row r="53" spans="1:14" x14ac:dyDescent="0.2">
      <c r="A53" s="20" t="s">
        <v>261</v>
      </c>
      <c r="B53" s="20" t="s">
        <v>23</v>
      </c>
      <c r="C53" s="20" t="s">
        <v>190</v>
      </c>
      <c r="D53" s="20" t="s">
        <v>203</v>
      </c>
      <c r="E53" s="34">
        <v>23.37</v>
      </c>
      <c r="F53" s="34">
        <f>E53*VLOOKUP(B53,dagsoorttabel1,2,FALSE)</f>
        <v>0.91647058823529415</v>
      </c>
      <c r="G53" s="35">
        <f>catpn_2_VEZB_1</f>
        <v>0</v>
      </c>
      <c r="H53" s="36">
        <f>catdw_2_VEZB_1</f>
        <v>0</v>
      </c>
      <c r="I53" s="20" t="s">
        <v>42</v>
      </c>
      <c r="J53" s="37">
        <f>cattf_2_VEZB_1</f>
        <v>0</v>
      </c>
      <c r="K53" s="34">
        <f>IF(OR(ISBLANK(G53),G53=0),0,F53/ROUND(G53,4))</f>
        <v>0</v>
      </c>
      <c r="L53" s="37">
        <f>ROUND(J53,2)*K53</f>
        <v>0</v>
      </c>
      <c r="M53" s="34">
        <f>K53*dagenperjaar1</f>
        <v>0</v>
      </c>
      <c r="N53" s="37">
        <f>M53*ROUND(J53,2)</f>
        <v>0</v>
      </c>
    </row>
    <row r="54" spans="1:14" x14ac:dyDescent="0.2">
      <c r="A54" s="20" t="s">
        <v>261</v>
      </c>
      <c r="B54" s="20" t="s">
        <v>24</v>
      </c>
      <c r="C54" s="20" t="s">
        <v>190</v>
      </c>
      <c r="D54" s="20" t="s">
        <v>203</v>
      </c>
      <c r="E54" s="34">
        <v>30.459999999999997</v>
      </c>
      <c r="F54" s="34">
        <f>E54*VLOOKUP(B54,dagsoorttabel1,2,FALSE)</f>
        <v>0.95560784313725478</v>
      </c>
      <c r="G54" s="35">
        <f>catpn_2_VEZB_1</f>
        <v>0</v>
      </c>
      <c r="H54" s="36">
        <f>catdw_2_VEZB_1</f>
        <v>0</v>
      </c>
      <c r="I54" s="20" t="s">
        <v>42</v>
      </c>
      <c r="J54" s="37">
        <f>cattf_2_VEZB_1</f>
        <v>0</v>
      </c>
      <c r="K54" s="34">
        <f>IF(OR(ISBLANK(G54),G54=0),0,F54/ROUND(G54,4))</f>
        <v>0</v>
      </c>
      <c r="L54" s="37">
        <f>ROUND(J54,2)*K54</f>
        <v>0</v>
      </c>
      <c r="M54" s="34">
        <f>K54*dagenperjaar1</f>
        <v>0</v>
      </c>
      <c r="N54" s="37">
        <f>M54*ROUND(J54,2)</f>
        <v>0</v>
      </c>
    </row>
    <row r="55" spans="1:14" x14ac:dyDescent="0.2">
      <c r="A55" s="20" t="s">
        <v>262</v>
      </c>
      <c r="B55" s="20" t="s">
        <v>25</v>
      </c>
      <c r="C55" s="20" t="s">
        <v>190</v>
      </c>
      <c r="D55" s="20" t="s">
        <v>205</v>
      </c>
      <c r="E55" s="34">
        <v>806.17000000000007</v>
      </c>
      <c r="F55" s="34">
        <f>E55*VLOOKUP(B55,dagsoorttabel1,2,FALSE)</f>
        <v>18.968705882352943</v>
      </c>
      <c r="G55" s="35">
        <f>catpn_2_VGHB_1</f>
        <v>0</v>
      </c>
      <c r="H55" s="36">
        <f>catdw_2_VGHB_1</f>
        <v>0</v>
      </c>
      <c r="I55" s="20" t="s">
        <v>42</v>
      </c>
      <c r="J55" s="37">
        <f>cattf_2_VGHB_1</f>
        <v>0</v>
      </c>
      <c r="K55" s="34">
        <f>IF(OR(ISBLANK(G55),G55=0),0,F55/ROUND(G55,4))</f>
        <v>0</v>
      </c>
      <c r="L55" s="37">
        <f>ROUND(J55,2)*K55</f>
        <v>0</v>
      </c>
      <c r="M55" s="34">
        <f>K55*dagenperjaar1</f>
        <v>0</v>
      </c>
      <c r="N55" s="37">
        <f>M55*ROUND(J55,2)</f>
        <v>0</v>
      </c>
    </row>
    <row r="56" spans="1:14" x14ac:dyDescent="0.2">
      <c r="A56" s="20" t="s">
        <v>263</v>
      </c>
      <c r="B56" s="20" t="s">
        <v>23</v>
      </c>
      <c r="C56" s="20" t="s">
        <v>190</v>
      </c>
      <c r="D56" s="20" t="s">
        <v>209</v>
      </c>
      <c r="E56" s="34">
        <v>9.18</v>
      </c>
      <c r="F56" s="34">
        <f>E56*VLOOKUP(B56,dagsoorttabel1,2,FALSE)</f>
        <v>0.36</v>
      </c>
      <c r="G56" s="35">
        <f>catpn_2_VIHB_1</f>
        <v>0</v>
      </c>
      <c r="H56" s="36">
        <f>catdw_2_VIHB_1</f>
        <v>0</v>
      </c>
      <c r="I56" s="20" t="s">
        <v>42</v>
      </c>
      <c r="J56" s="37">
        <f>cattf_2_VIHB_1</f>
        <v>0</v>
      </c>
      <c r="K56" s="34">
        <f>IF(OR(ISBLANK(G56),G56=0),0,F56/ROUND(G56,4))</f>
        <v>0</v>
      </c>
      <c r="L56" s="37">
        <f>ROUND(J56,2)*K56</f>
        <v>0</v>
      </c>
      <c r="M56" s="34">
        <f>K56*dagenperjaar1</f>
        <v>0</v>
      </c>
      <c r="N56" s="37">
        <f>M56*ROUND(J56,2)</f>
        <v>0</v>
      </c>
    </row>
    <row r="57" spans="1:14" x14ac:dyDescent="0.2">
      <c r="A57" s="20" t="s">
        <v>263</v>
      </c>
      <c r="B57" s="20" t="s">
        <v>25</v>
      </c>
      <c r="C57" s="20" t="s">
        <v>190</v>
      </c>
      <c r="D57" s="20" t="s">
        <v>209</v>
      </c>
      <c r="E57" s="34">
        <v>4.3899999999999997</v>
      </c>
      <c r="F57" s="34">
        <f>E57*VLOOKUP(B57,dagsoorttabel1,2,FALSE)</f>
        <v>0.10329411764705881</v>
      </c>
      <c r="G57" s="35">
        <f>catpn_2_VIHB_1</f>
        <v>0</v>
      </c>
      <c r="H57" s="36">
        <f>catdw_2_VIHB_1</f>
        <v>0</v>
      </c>
      <c r="I57" s="20" t="s">
        <v>42</v>
      </c>
      <c r="J57" s="37">
        <f>cattf_2_VIHB_1</f>
        <v>0</v>
      </c>
      <c r="K57" s="34">
        <f>IF(OR(ISBLANK(G57),G57=0),0,F57/ROUND(G57,4))</f>
        <v>0</v>
      </c>
      <c r="L57" s="37">
        <f>ROUND(J57,2)*K57</f>
        <v>0</v>
      </c>
      <c r="M57" s="34">
        <f>K57*dagenperjaar1</f>
        <v>0</v>
      </c>
      <c r="N57" s="37">
        <f>M57*ROUND(J57,2)</f>
        <v>0</v>
      </c>
    </row>
    <row r="58" spans="1:14" x14ac:dyDescent="0.2">
      <c r="A58" s="20" t="s">
        <v>263</v>
      </c>
      <c r="B58" s="20" t="s">
        <v>24</v>
      </c>
      <c r="C58" s="20" t="s">
        <v>190</v>
      </c>
      <c r="D58" s="20" t="s">
        <v>209</v>
      </c>
      <c r="E58" s="34">
        <v>5.6099999999999994</v>
      </c>
      <c r="F58" s="34">
        <f>E58*VLOOKUP(B58,dagsoorttabel1,2,FALSE)</f>
        <v>0.17599999999999999</v>
      </c>
      <c r="G58" s="35">
        <f>catpn_2_VIHB_1</f>
        <v>0</v>
      </c>
      <c r="H58" s="36">
        <f>catdw_2_VIHB_1</f>
        <v>0</v>
      </c>
      <c r="I58" s="20" t="s">
        <v>42</v>
      </c>
      <c r="J58" s="37">
        <f>cattf_2_VIHB_1</f>
        <v>0</v>
      </c>
      <c r="K58" s="34">
        <f>IF(OR(ISBLANK(G58),G58=0),0,F58/ROUND(G58,4))</f>
        <v>0</v>
      </c>
      <c r="L58" s="37">
        <f>ROUND(J58,2)*K58</f>
        <v>0</v>
      </c>
      <c r="M58" s="34">
        <f>K58*dagenperjaar1</f>
        <v>0</v>
      </c>
      <c r="N58" s="37">
        <f>M58*ROUND(J58,2)</f>
        <v>0</v>
      </c>
    </row>
    <row r="59" spans="1:14" x14ac:dyDescent="0.2">
      <c r="A59" s="20" t="s">
        <v>264</v>
      </c>
      <c r="B59" s="20" t="s">
        <v>25</v>
      </c>
      <c r="C59" s="20" t="s">
        <v>190</v>
      </c>
      <c r="D59" s="20" t="s">
        <v>265</v>
      </c>
      <c r="E59" s="34">
        <v>229.91</v>
      </c>
      <c r="F59" s="34">
        <f>E59*VLOOKUP(B59,dagsoorttabel1,2,FALSE)</f>
        <v>5.4096470588235297</v>
      </c>
      <c r="G59" s="35">
        <f>catpn_2_VKHB_1</f>
        <v>0</v>
      </c>
      <c r="H59" s="36">
        <f>catdw_2_VKHB_1</f>
        <v>0</v>
      </c>
      <c r="I59" s="20" t="s">
        <v>42</v>
      </c>
      <c r="J59" s="37">
        <f>cattf_2_VKHB_1</f>
        <v>0</v>
      </c>
      <c r="K59" s="34">
        <f>IF(OR(ISBLANK(G59),G59=0),0,F59/ROUND(G59,4))</f>
        <v>0</v>
      </c>
      <c r="L59" s="37">
        <f>ROUND(J59,2)*K59</f>
        <v>0</v>
      </c>
      <c r="M59" s="34">
        <f>K59*dagenperjaar1</f>
        <v>0</v>
      </c>
      <c r="N59" s="37">
        <f>M59*ROUND(J59,2)</f>
        <v>0</v>
      </c>
    </row>
    <row r="60" spans="1:14" x14ac:dyDescent="0.2">
      <c r="A60" s="20" t="s">
        <v>266</v>
      </c>
      <c r="B60" s="20" t="s">
        <v>25</v>
      </c>
      <c r="C60" s="20" t="s">
        <v>190</v>
      </c>
      <c r="D60" s="20" t="s">
        <v>213</v>
      </c>
      <c r="E60" s="34">
        <v>1394.83</v>
      </c>
      <c r="F60" s="34">
        <f>E60*VLOOKUP(B60,dagsoorttabel1,2,FALSE)</f>
        <v>32.819529411764705</v>
      </c>
      <c r="G60" s="35">
        <f>catpn_2_VLHB_1</f>
        <v>0</v>
      </c>
      <c r="H60" s="36">
        <f>catdw_2_VLHB_1</f>
        <v>0</v>
      </c>
      <c r="I60" s="20" t="s">
        <v>42</v>
      </c>
      <c r="J60" s="37">
        <f>cattf_2_VLHB_1</f>
        <v>0</v>
      </c>
      <c r="K60" s="34">
        <f>IF(OR(ISBLANK(G60),G60=0),0,F60/ROUND(G60,4))</f>
        <v>0</v>
      </c>
      <c r="L60" s="37">
        <f>ROUND(J60,2)*K60</f>
        <v>0</v>
      </c>
      <c r="M60" s="34">
        <f>K60*dagenperjaar1</f>
        <v>0</v>
      </c>
      <c r="N60" s="37">
        <f>M60*ROUND(J60,2)</f>
        <v>0</v>
      </c>
    </row>
    <row r="61" spans="1:14" x14ac:dyDescent="0.2">
      <c r="A61" s="20" t="s">
        <v>267</v>
      </c>
      <c r="B61" s="20" t="s">
        <v>23</v>
      </c>
      <c r="C61" s="20" t="s">
        <v>190</v>
      </c>
      <c r="D61" s="20" t="s">
        <v>235</v>
      </c>
      <c r="E61" s="34">
        <v>193.67</v>
      </c>
      <c r="F61" s="34">
        <f>E61*VLOOKUP(B61,dagsoorttabel1,2,FALSE)</f>
        <v>7.5949019607843136</v>
      </c>
      <c r="G61" s="35">
        <f>catpn_2_VSHB_1</f>
        <v>0</v>
      </c>
      <c r="H61" s="36">
        <f>catdw_2_VSHB_1</f>
        <v>0</v>
      </c>
      <c r="I61" s="20" t="s">
        <v>42</v>
      </c>
      <c r="J61" s="37">
        <f>cattf_2_VSHB_1</f>
        <v>0</v>
      </c>
      <c r="K61" s="34">
        <f>IF(OR(ISBLANK(G61),G61=0),0,F61/ROUND(G61,4))</f>
        <v>0</v>
      </c>
      <c r="L61" s="37">
        <f>ROUND(J61,2)*K61</f>
        <v>0</v>
      </c>
      <c r="M61" s="34">
        <f>K61*dagenperjaar1</f>
        <v>0</v>
      </c>
      <c r="N61" s="37">
        <f>M61*ROUND(J61,2)</f>
        <v>0</v>
      </c>
    </row>
    <row r="62" spans="1:14" x14ac:dyDescent="0.2">
      <c r="A62" s="20" t="s">
        <v>267</v>
      </c>
      <c r="B62" s="20" t="s">
        <v>25</v>
      </c>
      <c r="C62" s="20" t="s">
        <v>190</v>
      </c>
      <c r="D62" s="20" t="s">
        <v>235</v>
      </c>
      <c r="E62" s="34">
        <v>101.42999999999999</v>
      </c>
      <c r="F62" s="34">
        <f>E62*VLOOKUP(B62,dagsoorttabel1,2,FALSE)</f>
        <v>2.3865882352941172</v>
      </c>
      <c r="G62" s="35">
        <f>catpn_2_VSHB_1</f>
        <v>0</v>
      </c>
      <c r="H62" s="36">
        <f>catdw_2_VSHB_1</f>
        <v>0</v>
      </c>
      <c r="I62" s="20" t="s">
        <v>42</v>
      </c>
      <c r="J62" s="37">
        <f>cattf_2_VSHB_1</f>
        <v>0</v>
      </c>
      <c r="K62" s="34">
        <f>IF(OR(ISBLANK(G62),G62=0),0,F62/ROUND(G62,4))</f>
        <v>0</v>
      </c>
      <c r="L62" s="37">
        <f>ROUND(J62,2)*K62</f>
        <v>0</v>
      </c>
      <c r="M62" s="34">
        <f>K62*dagenperjaar1</f>
        <v>0</v>
      </c>
      <c r="N62" s="37">
        <f>M62*ROUND(J62,2)</f>
        <v>0</v>
      </c>
    </row>
    <row r="63" spans="1:14" x14ac:dyDescent="0.2">
      <c r="A63" s="20" t="s">
        <v>268</v>
      </c>
      <c r="B63" s="20" t="s">
        <v>23</v>
      </c>
      <c r="C63" s="20" t="s">
        <v>190</v>
      </c>
      <c r="D63" s="20" t="s">
        <v>241</v>
      </c>
      <c r="E63" s="34">
        <v>660.79</v>
      </c>
      <c r="F63" s="34">
        <f>E63*VLOOKUP(B63,dagsoorttabel1,2,FALSE)</f>
        <v>25.91333333333333</v>
      </c>
      <c r="G63" s="35">
        <f>catpn_2_VTHB_1</f>
        <v>0</v>
      </c>
      <c r="H63" s="36">
        <f>catdw_2_VTHB_1</f>
        <v>0</v>
      </c>
      <c r="I63" s="20" t="s">
        <v>42</v>
      </c>
      <c r="J63" s="37">
        <f>cattf_2_VTHB_1</f>
        <v>0</v>
      </c>
      <c r="K63" s="34">
        <f>IF(OR(ISBLANK(G63),G63=0),0,F63/ROUND(G63,4))</f>
        <v>0</v>
      </c>
      <c r="L63" s="37">
        <f>ROUND(J63,2)*K63</f>
        <v>0</v>
      </c>
      <c r="M63" s="34">
        <f>K63*dagenperjaar1</f>
        <v>0</v>
      </c>
      <c r="N63" s="37">
        <f>M63*ROUND(J63,2)</f>
        <v>0</v>
      </c>
    </row>
    <row r="64" spans="1:14" x14ac:dyDescent="0.2">
      <c r="A64" s="20" t="s">
        <v>268</v>
      </c>
      <c r="B64" s="20" t="s">
        <v>25</v>
      </c>
      <c r="C64" s="20" t="s">
        <v>190</v>
      </c>
      <c r="D64" s="20" t="s">
        <v>241</v>
      </c>
      <c r="E64" s="34">
        <v>79.040000000000006</v>
      </c>
      <c r="F64" s="34">
        <f>E64*VLOOKUP(B64,dagsoorttabel1,2,FALSE)</f>
        <v>1.859764705882353</v>
      </c>
      <c r="G64" s="35">
        <f>catpn_2_VTHB_1</f>
        <v>0</v>
      </c>
      <c r="H64" s="36">
        <f>catdw_2_VTHB_1</f>
        <v>0</v>
      </c>
      <c r="I64" s="20" t="s">
        <v>42</v>
      </c>
      <c r="J64" s="37">
        <f>cattf_2_VTHB_1</f>
        <v>0</v>
      </c>
      <c r="K64" s="34">
        <f>IF(OR(ISBLANK(G64),G64=0),0,F64/ROUND(G64,4))</f>
        <v>0</v>
      </c>
      <c r="L64" s="37">
        <f>ROUND(J64,2)*K64</f>
        <v>0</v>
      </c>
      <c r="M64" s="34">
        <f>K64*dagenperjaar1</f>
        <v>0</v>
      </c>
      <c r="N64" s="37">
        <f>M64*ROUND(J64,2)</f>
        <v>0</v>
      </c>
    </row>
    <row r="65" spans="1:14" x14ac:dyDescent="0.2">
      <c r="A65" s="20" t="s">
        <v>268</v>
      </c>
      <c r="B65" s="20" t="s">
        <v>24</v>
      </c>
      <c r="C65" s="20" t="s">
        <v>190</v>
      </c>
      <c r="D65" s="20" t="s">
        <v>241</v>
      </c>
      <c r="E65" s="34">
        <v>214.67000000000002</v>
      </c>
      <c r="F65" s="34">
        <f>E65*VLOOKUP(B65,dagsoorttabel1,2,FALSE)</f>
        <v>6.7347450980392161</v>
      </c>
      <c r="G65" s="35">
        <f>catpn_2_VTHB_1</f>
        <v>0</v>
      </c>
      <c r="H65" s="36">
        <f>catdw_2_VTHB_1</f>
        <v>0</v>
      </c>
      <c r="I65" s="20" t="s">
        <v>42</v>
      </c>
      <c r="J65" s="37">
        <f>cattf_2_VTHB_1</f>
        <v>0</v>
      </c>
      <c r="K65" s="34">
        <f>IF(OR(ISBLANK(G65),G65=0),0,F65/ROUND(G65,4))</f>
        <v>0</v>
      </c>
      <c r="L65" s="37">
        <f>ROUND(J65,2)*K65</f>
        <v>0</v>
      </c>
      <c r="M65" s="34">
        <f>K65*dagenperjaar1</f>
        <v>0</v>
      </c>
      <c r="N65" s="37">
        <f>M65*ROUND(J65,2)</f>
        <v>0</v>
      </c>
    </row>
    <row r="66" spans="1:14" x14ac:dyDescent="0.2">
      <c r="A66" s="20" t="s">
        <v>269</v>
      </c>
      <c r="B66" s="20" t="s">
        <v>24</v>
      </c>
      <c r="C66" s="20" t="s">
        <v>190</v>
      </c>
      <c r="D66" s="20" t="s">
        <v>243</v>
      </c>
      <c r="E66" s="34">
        <v>16.52</v>
      </c>
      <c r="F66" s="34">
        <f>E66*VLOOKUP(B66,dagsoorttabel1,2,FALSE)</f>
        <v>0.51827450980392153</v>
      </c>
      <c r="G66" s="35">
        <f>catpn_2_VTZB_1</f>
        <v>0</v>
      </c>
      <c r="H66" s="36">
        <f>catdw_2_VTZB_1</f>
        <v>0</v>
      </c>
      <c r="I66" s="20" t="s">
        <v>42</v>
      </c>
      <c r="J66" s="37">
        <f>cattf_2_VTZB_1</f>
        <v>0</v>
      </c>
      <c r="K66" s="34">
        <f>IF(OR(ISBLANK(G66),G66=0),0,F66/ROUND(G66,4))</f>
        <v>0</v>
      </c>
      <c r="L66" s="37">
        <f>ROUND(J66,2)*K66</f>
        <v>0</v>
      </c>
      <c r="M66" s="34">
        <f>K66*dagenperjaar1</f>
        <v>0</v>
      </c>
      <c r="N66" s="37">
        <f>M66*ROUND(J66,2)</f>
        <v>0</v>
      </c>
    </row>
    <row r="67" spans="1:14" x14ac:dyDescent="0.2">
      <c r="A67" s="20" t="s">
        <v>270</v>
      </c>
      <c r="B67" s="20" t="s">
        <v>23</v>
      </c>
      <c r="C67" s="20" t="s">
        <v>190</v>
      </c>
      <c r="D67" s="20" t="s">
        <v>245</v>
      </c>
      <c r="E67" s="34">
        <v>1558.74</v>
      </c>
      <c r="F67" s="34">
        <f>E67*VLOOKUP(B67,dagsoorttabel1,2,FALSE)</f>
        <v>61.12705882352941</v>
      </c>
      <c r="G67" s="35">
        <f>catpn_2_VVHB_1</f>
        <v>0</v>
      </c>
      <c r="H67" s="36">
        <f>catdw_2_VVHB_1</f>
        <v>0</v>
      </c>
      <c r="I67" s="20" t="s">
        <v>42</v>
      </c>
      <c r="J67" s="37">
        <f>cattf_2_VVHB_1</f>
        <v>0</v>
      </c>
      <c r="K67" s="34">
        <f>IF(OR(ISBLANK(G67),G67=0),0,F67/ROUND(G67,4))</f>
        <v>0</v>
      </c>
      <c r="L67" s="37">
        <f>ROUND(J67,2)*K67</f>
        <v>0</v>
      </c>
      <c r="M67" s="34">
        <f>K67*dagenperjaar1</f>
        <v>0</v>
      </c>
      <c r="N67" s="37">
        <f>M67*ROUND(J67,2)</f>
        <v>0</v>
      </c>
    </row>
    <row r="68" spans="1:14" x14ac:dyDescent="0.2">
      <c r="A68" s="20" t="s">
        <v>270</v>
      </c>
      <c r="B68" s="20" t="s">
        <v>25</v>
      </c>
      <c r="C68" s="20" t="s">
        <v>190</v>
      </c>
      <c r="D68" s="20" t="s">
        <v>245</v>
      </c>
      <c r="E68" s="34">
        <v>803.36</v>
      </c>
      <c r="F68" s="34">
        <f>E68*VLOOKUP(B68,dagsoorttabel1,2,FALSE)</f>
        <v>18.902588235294118</v>
      </c>
      <c r="G68" s="35">
        <f>catpn_2_VVHB_1</f>
        <v>0</v>
      </c>
      <c r="H68" s="36">
        <f>catdw_2_VVHB_1</f>
        <v>0</v>
      </c>
      <c r="I68" s="20" t="s">
        <v>42</v>
      </c>
      <c r="J68" s="37">
        <f>cattf_2_VVHB_1</f>
        <v>0</v>
      </c>
      <c r="K68" s="34">
        <f>IF(OR(ISBLANK(G68),G68=0),0,F68/ROUND(G68,4))</f>
        <v>0</v>
      </c>
      <c r="L68" s="37">
        <f>ROUND(J68,2)*K68</f>
        <v>0</v>
      </c>
      <c r="M68" s="34">
        <f>K68*dagenperjaar1</f>
        <v>0</v>
      </c>
      <c r="N68" s="37">
        <f>M68*ROUND(J68,2)</f>
        <v>0</v>
      </c>
    </row>
    <row r="69" spans="1:14" x14ac:dyDescent="0.2">
      <c r="A69" s="20" t="s">
        <v>270</v>
      </c>
      <c r="B69" s="20" t="s">
        <v>24</v>
      </c>
      <c r="C69" s="20" t="s">
        <v>190</v>
      </c>
      <c r="D69" s="20" t="s">
        <v>245</v>
      </c>
      <c r="E69" s="34">
        <v>1687.48</v>
      </c>
      <c r="F69" s="34">
        <f>E69*VLOOKUP(B69,dagsoorttabel1,2,FALSE)</f>
        <v>52.940549019607843</v>
      </c>
      <c r="G69" s="35">
        <f>catpn_2_VVHB_1</f>
        <v>0</v>
      </c>
      <c r="H69" s="36">
        <f>catdw_2_VVHB_1</f>
        <v>0</v>
      </c>
      <c r="I69" s="20" t="s">
        <v>42</v>
      </c>
      <c r="J69" s="37">
        <f>cattf_2_VVHB_1</f>
        <v>0</v>
      </c>
      <c r="K69" s="34">
        <f>IF(OR(ISBLANK(G69),G69=0),0,F69/ROUND(G69,4))</f>
        <v>0</v>
      </c>
      <c r="L69" s="37">
        <f>ROUND(J69,2)*K69</f>
        <v>0</v>
      </c>
      <c r="M69" s="34">
        <f>K69*dagenperjaar1</f>
        <v>0</v>
      </c>
      <c r="N69" s="37">
        <f>M69*ROUND(J69,2)</f>
        <v>0</v>
      </c>
    </row>
    <row r="70" spans="1:14" x14ac:dyDescent="0.2">
      <c r="A70" s="20" t="s">
        <v>271</v>
      </c>
      <c r="B70" s="20" t="s">
        <v>23</v>
      </c>
      <c r="C70" s="20" t="s">
        <v>190</v>
      </c>
      <c r="D70" s="20" t="s">
        <v>247</v>
      </c>
      <c r="E70" s="34">
        <v>62.51</v>
      </c>
      <c r="F70" s="34">
        <f>E70*VLOOKUP(B70,dagsoorttabel1,2,FALSE)</f>
        <v>2.4513725490196077</v>
      </c>
      <c r="G70" s="35">
        <f>catpn_2_VVZB_1</f>
        <v>0</v>
      </c>
      <c r="H70" s="36">
        <f>catdw_2_VVZB_1</f>
        <v>0</v>
      </c>
      <c r="I70" s="20" t="s">
        <v>42</v>
      </c>
      <c r="J70" s="37">
        <f>cattf_2_VVZB_1</f>
        <v>0</v>
      </c>
      <c r="K70" s="34">
        <f>IF(OR(ISBLANK(G70),G70=0),0,F70/ROUND(G70,4))</f>
        <v>0</v>
      </c>
      <c r="L70" s="37">
        <f>ROUND(J70,2)*K70</f>
        <v>0</v>
      </c>
      <c r="M70" s="34">
        <f>K70*dagenperjaar1</f>
        <v>0</v>
      </c>
      <c r="N70" s="37">
        <f>M70*ROUND(J70,2)</f>
        <v>0</v>
      </c>
    </row>
    <row r="71" spans="1:14" x14ac:dyDescent="0.2">
      <c r="A71" s="20" t="s">
        <v>271</v>
      </c>
      <c r="B71" s="20" t="s">
        <v>25</v>
      </c>
      <c r="C71" s="20" t="s">
        <v>190</v>
      </c>
      <c r="D71" s="20" t="s">
        <v>247</v>
      </c>
      <c r="E71" s="34">
        <v>10.870000000000001</v>
      </c>
      <c r="F71" s="34">
        <f>E71*VLOOKUP(B71,dagsoorttabel1,2,FALSE)</f>
        <v>0.25576470588235295</v>
      </c>
      <c r="G71" s="35">
        <f>catpn_2_VVZB_1</f>
        <v>0</v>
      </c>
      <c r="H71" s="36">
        <f>catdw_2_VVZB_1</f>
        <v>0</v>
      </c>
      <c r="I71" s="20" t="s">
        <v>42</v>
      </c>
      <c r="J71" s="37">
        <f>cattf_2_VVZB_1</f>
        <v>0</v>
      </c>
      <c r="K71" s="34">
        <f>IF(OR(ISBLANK(G71),G71=0),0,F71/ROUND(G71,4))</f>
        <v>0</v>
      </c>
      <c r="L71" s="37">
        <f>ROUND(J71,2)*K71</f>
        <v>0</v>
      </c>
      <c r="M71" s="34">
        <f>K71*dagenperjaar1</f>
        <v>0</v>
      </c>
      <c r="N71" s="37">
        <f>M71*ROUND(J71,2)</f>
        <v>0</v>
      </c>
    </row>
    <row r="72" spans="1:14" x14ac:dyDescent="0.2">
      <c r="A72" s="25" t="s">
        <v>271</v>
      </c>
      <c r="B72" s="25" t="s">
        <v>24</v>
      </c>
      <c r="C72" s="25" t="s">
        <v>190</v>
      </c>
      <c r="D72" s="25" t="s">
        <v>247</v>
      </c>
      <c r="E72" s="38">
        <v>37.83</v>
      </c>
      <c r="F72" s="38">
        <f>E72*VLOOKUP(B72,dagsoorttabel1,2,FALSE)</f>
        <v>1.1868235294117646</v>
      </c>
      <c r="G72" s="48">
        <f>catpn_2_VVZB_1</f>
        <v>0</v>
      </c>
      <c r="H72" s="49">
        <f>catdw_2_VVZB_1</f>
        <v>0</v>
      </c>
      <c r="I72" s="25" t="s">
        <v>42</v>
      </c>
      <c r="J72" s="40">
        <f>cattf_2_VVZB_1</f>
        <v>0</v>
      </c>
      <c r="K72" s="38">
        <f>IF(OR(ISBLANK(G72),G72=0),0,F72/ROUND(G72,4))</f>
        <v>0</v>
      </c>
      <c r="L72" s="40">
        <f>ROUND(J72,2)*K72</f>
        <v>0</v>
      </c>
      <c r="M72" s="38">
        <f>K72*dagenperjaar1</f>
        <v>0</v>
      </c>
      <c r="N72" s="40">
        <f>M72*ROUND(J72,2)</f>
        <v>0</v>
      </c>
    </row>
    <row r="73" spans="1:14" x14ac:dyDescent="0.2">
      <c r="A73" s="41" t="s">
        <v>272</v>
      </c>
      <c r="B73" s="42"/>
      <c r="C73" s="42"/>
      <c r="D73" s="42"/>
      <c r="E73" s="42"/>
      <c r="F73" s="42"/>
      <c r="G73" s="42"/>
      <c r="H73" s="42"/>
      <c r="I73" s="42"/>
      <c r="J73" s="42"/>
      <c r="K73" s="43">
        <f>SUM(K45:K72)</f>
        <v>0</v>
      </c>
      <c r="L73" s="44">
        <f>SUM(L45:L72)</f>
        <v>0</v>
      </c>
      <c r="M73" s="43">
        <f>SUM(M45:M72)</f>
        <v>0</v>
      </c>
      <c r="N73" s="45">
        <f>SUM(N45:N72)</f>
        <v>0</v>
      </c>
    </row>
    <row r="74" spans="1:14" x14ac:dyDescent="0.2">
      <c r="A74" s="46"/>
      <c r="B74" s="42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42"/>
      <c r="N74" s="47"/>
    </row>
    <row r="75" spans="1:14" x14ac:dyDescent="0.2">
      <c r="A75" s="41" t="s">
        <v>273</v>
      </c>
      <c r="B75" s="42"/>
      <c r="C75" s="42"/>
      <c r="D75" s="42"/>
      <c r="E75" s="42"/>
      <c r="F75" s="42"/>
      <c r="G75" s="42"/>
      <c r="H75" s="42"/>
      <c r="I75" s="42"/>
      <c r="J75" s="44">
        <f>IF(urenjaar2&gt;0,SUMIF(M45:M72,"&gt;0",N45:N72)/urenjaar2,0)</f>
        <v>0</v>
      </c>
      <c r="K75" s="42"/>
      <c r="L75" s="42"/>
      <c r="M75" s="42"/>
      <c r="N75" s="47"/>
    </row>
    <row r="76" spans="1:14" x14ac:dyDescent="0.2">
      <c r="A76" s="46"/>
      <c r="B76" s="42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2"/>
      <c r="N76" s="47"/>
    </row>
    <row r="78" spans="1:14" x14ac:dyDescent="0.2">
      <c r="A78" s="41" t="s">
        <v>274</v>
      </c>
      <c r="B78" s="42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3">
        <f>urenjaar1+urenjaar2</f>
        <v>0</v>
      </c>
      <c r="N78" s="44">
        <f>prijsjaar1+prijsjaar2</f>
        <v>0</v>
      </c>
    </row>
  </sheetData>
  <pageMargins left="0.7" right="0.7" top="0.75" bottom="0.75" header="0.3" footer="0.3"/>
  <pageSetup paperSize="9" scale="70" orientation="landscape" horizontalDpi="4294967295" verticalDpi="4294967295" r:id="rId1"/>
  <headerFooter>
    <oddFooter>&amp;LROC Midden Nederland EA 2022                                &amp;ROpmaakdatum: 19-05-2022
Intexso - De Start 5 - Leusden
+31 (33) 2778485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C0998-C619-4592-A5BE-C41FB3E4304A}">
  <dimension ref="A1:P68"/>
  <sheetViews>
    <sheetView workbookViewId="0"/>
  </sheetViews>
  <sheetFormatPr defaultRowHeight="12.75" x14ac:dyDescent="0.2"/>
  <cols>
    <col min="1" max="1" width="5.625" customWidth="1"/>
    <col min="2" max="2" width="6.125" customWidth="1"/>
    <col min="3" max="3" width="11.625" customWidth="1"/>
    <col min="4" max="16" width="12.625" customWidth="1"/>
  </cols>
  <sheetData>
    <row r="1" spans="1:16" x14ac:dyDescent="0.2">
      <c r="A1" s="1" t="s">
        <v>275</v>
      </c>
    </row>
    <row r="3" spans="1:16" x14ac:dyDescent="0.2">
      <c r="A3" s="50" t="s">
        <v>181</v>
      </c>
      <c r="B3" s="50" t="s">
        <v>7</v>
      </c>
      <c r="C3" s="50" t="s">
        <v>276</v>
      </c>
      <c r="D3" s="50" t="s">
        <v>277</v>
      </c>
      <c r="E3" s="50" t="s">
        <v>278</v>
      </c>
      <c r="F3" s="50" t="s">
        <v>279</v>
      </c>
      <c r="G3" s="50" t="s">
        <v>280</v>
      </c>
      <c r="H3" s="50" t="s">
        <v>35</v>
      </c>
      <c r="I3" s="50" t="s">
        <v>281</v>
      </c>
      <c r="J3" s="50" t="s">
        <v>282</v>
      </c>
      <c r="K3" s="50" t="s">
        <v>283</v>
      </c>
      <c r="L3" s="50" t="s">
        <v>284</v>
      </c>
      <c r="M3" s="50" t="s">
        <v>285</v>
      </c>
      <c r="N3" s="50" t="s">
        <v>286</v>
      </c>
      <c r="O3" s="50" t="s">
        <v>287</v>
      </c>
      <c r="P3" s="50" t="s">
        <v>288</v>
      </c>
    </row>
    <row r="4" spans="1:16" x14ac:dyDescent="0.2">
      <c r="A4" s="51"/>
      <c r="B4" s="51"/>
      <c r="C4" s="51"/>
      <c r="D4" s="51"/>
      <c r="E4" s="51"/>
      <c r="F4" s="51"/>
      <c r="G4" s="51"/>
      <c r="H4" s="51"/>
      <c r="I4" s="51"/>
      <c r="J4" s="52" t="s">
        <v>183</v>
      </c>
      <c r="K4" s="52" t="s">
        <v>183</v>
      </c>
      <c r="L4" s="52" t="s">
        <v>183</v>
      </c>
      <c r="M4" s="52" t="s">
        <v>183</v>
      </c>
      <c r="N4" s="52" t="s">
        <v>183</v>
      </c>
      <c r="O4" s="52" t="s">
        <v>183</v>
      </c>
      <c r="P4" s="52" t="s">
        <v>183</v>
      </c>
    </row>
    <row r="5" spans="1:16" x14ac:dyDescent="0.2">
      <c r="A5" s="15" t="s">
        <v>189</v>
      </c>
      <c r="B5" s="15" t="s">
        <v>11</v>
      </c>
      <c r="C5" s="15" t="s">
        <v>289</v>
      </c>
      <c r="D5" s="15" t="s">
        <v>190</v>
      </c>
      <c r="E5" s="30">
        <f>IF(B5="","",VLOOKUP(B5,dagsoorttabel1,2,FALSE))</f>
        <v>0.78431372549019607</v>
      </c>
      <c r="F5" s="30">
        <v>1</v>
      </c>
      <c r="G5" s="30">
        <f>IF(prodnorm14&gt;0,1/ROUND(prodnorm14,4),0)</f>
        <v>0</v>
      </c>
      <c r="H5" s="32">
        <f>ROUND(dagwerk14,4+2)</f>
        <v>0</v>
      </c>
      <c r="I5" s="33">
        <f>ROUND(uurtarief14,2)</f>
        <v>0</v>
      </c>
      <c r="J5" s="30">
        <v>350.02</v>
      </c>
      <c r="K5" s="30">
        <v>706.37</v>
      </c>
      <c r="L5" s="30">
        <v>620.49</v>
      </c>
      <c r="M5" s="30">
        <v>523.84</v>
      </c>
      <c r="N5" s="30">
        <v>96.990000000000009</v>
      </c>
      <c r="O5" s="30">
        <v>155.89000000000001</v>
      </c>
      <c r="P5" s="30">
        <v>231.47</v>
      </c>
    </row>
    <row r="6" spans="1:16" x14ac:dyDescent="0.2">
      <c r="A6" s="20" t="s">
        <v>192</v>
      </c>
      <c r="B6" s="20" t="s">
        <v>13</v>
      </c>
      <c r="C6" s="20" t="s">
        <v>289</v>
      </c>
      <c r="D6" s="20" t="s">
        <v>190</v>
      </c>
      <c r="E6" s="34">
        <f>IF(B6="","",VLOOKUP(B6,dagsoorttabel1,2,FALSE))</f>
        <v>0.47058823529411764</v>
      </c>
      <c r="F6" s="34">
        <v>1</v>
      </c>
      <c r="G6" s="34">
        <f>IF(prodnorm15&gt;0,1/ROUND(prodnorm15,4),0)</f>
        <v>0</v>
      </c>
      <c r="H6" s="36">
        <f>ROUND(dagwerk15,4+2)</f>
        <v>0</v>
      </c>
      <c r="I6" s="37">
        <f>ROUND(uurtarief15,2)</f>
        <v>0</v>
      </c>
      <c r="J6" s="34">
        <v>433.03000000000009</v>
      </c>
      <c r="K6" s="34">
        <v>557.55999999999995</v>
      </c>
      <c r="L6" s="34">
        <v>1278.54</v>
      </c>
      <c r="M6" s="34">
        <v>1194.96</v>
      </c>
      <c r="N6" s="34">
        <v>597.11</v>
      </c>
      <c r="O6" s="34">
        <v>204.85000000000002</v>
      </c>
      <c r="P6" s="34">
        <v>537.9</v>
      </c>
    </row>
    <row r="7" spans="1:16" x14ac:dyDescent="0.2">
      <c r="A7" s="20" t="s">
        <v>194</v>
      </c>
      <c r="B7" s="20" t="s">
        <v>13</v>
      </c>
      <c r="C7" s="20" t="s">
        <v>289</v>
      </c>
      <c r="D7" s="20" t="s">
        <v>190</v>
      </c>
      <c r="E7" s="34">
        <f>IF(B7="","",VLOOKUP(B7,dagsoorttabel1,2,FALSE))</f>
        <v>0.47058823529411764</v>
      </c>
      <c r="F7" s="34">
        <v>1</v>
      </c>
      <c r="G7" s="34">
        <f>IF(prodnorm16&gt;0,1/ROUND(prodnorm16,4),0)</f>
        <v>0</v>
      </c>
      <c r="H7" s="36">
        <f>ROUND(dagwerk16,4+2)</f>
        <v>0</v>
      </c>
      <c r="I7" s="37">
        <f>ROUND(uurtarief16,2)</f>
        <v>0</v>
      </c>
      <c r="J7" s="34">
        <v>0</v>
      </c>
      <c r="K7" s="34">
        <v>201.99</v>
      </c>
      <c r="L7" s="34">
        <v>204.95</v>
      </c>
      <c r="M7" s="34">
        <v>0</v>
      </c>
      <c r="N7" s="34">
        <v>225.01</v>
      </c>
      <c r="O7" s="34">
        <v>0</v>
      </c>
      <c r="P7" s="34">
        <v>177.06</v>
      </c>
    </row>
    <row r="8" spans="1:16" x14ac:dyDescent="0.2">
      <c r="A8" s="20" t="s">
        <v>196</v>
      </c>
      <c r="B8" s="20" t="s">
        <v>13</v>
      </c>
      <c r="C8" s="20" t="s">
        <v>289</v>
      </c>
      <c r="D8" s="20" t="s">
        <v>190</v>
      </c>
      <c r="E8" s="34">
        <f>IF(B8="","",VLOOKUP(B8,dagsoorttabel1,2,FALSE))</f>
        <v>0.47058823529411764</v>
      </c>
      <c r="F8" s="34">
        <v>1</v>
      </c>
      <c r="G8" s="34">
        <f>IF(prodnorm17&gt;0,1/ROUND(prodnorm17,4),0)</f>
        <v>0</v>
      </c>
      <c r="H8" s="36">
        <f>ROUND(dagwerk17,4+2)</f>
        <v>0</v>
      </c>
      <c r="I8" s="37">
        <f>ROUND(uurtarief17,2)</f>
        <v>0</v>
      </c>
      <c r="J8" s="34">
        <v>0</v>
      </c>
      <c r="K8" s="34">
        <v>500.01</v>
      </c>
      <c r="L8" s="34">
        <v>0</v>
      </c>
      <c r="M8" s="34">
        <v>637.02</v>
      </c>
      <c r="N8" s="34">
        <v>0</v>
      </c>
      <c r="O8" s="34">
        <v>0</v>
      </c>
      <c r="P8" s="34">
        <v>0</v>
      </c>
    </row>
    <row r="9" spans="1:16" x14ac:dyDescent="0.2">
      <c r="A9" s="20" t="s">
        <v>198</v>
      </c>
      <c r="B9" s="20" t="s">
        <v>11</v>
      </c>
      <c r="C9" s="20" t="s">
        <v>289</v>
      </c>
      <c r="D9" s="20" t="s">
        <v>190</v>
      </c>
      <c r="E9" s="34">
        <f>IF(B9="","",VLOOKUP(B9,dagsoorttabel1,2,FALSE))</f>
        <v>0.78431372549019607</v>
      </c>
      <c r="F9" s="34">
        <v>1</v>
      </c>
      <c r="G9" s="34">
        <f>IF(prodnorm18&gt;0,1/ROUND(prodnorm18,4),0)</f>
        <v>0</v>
      </c>
      <c r="H9" s="36">
        <f>ROUND(dagwerk18,4+2)</f>
        <v>0</v>
      </c>
      <c r="I9" s="37">
        <f>ROUND(uurtarief18,2)</f>
        <v>0</v>
      </c>
      <c r="J9" s="34">
        <v>2.27</v>
      </c>
      <c r="K9" s="34">
        <v>68.88</v>
      </c>
      <c r="L9" s="34">
        <v>35.340000000000003</v>
      </c>
      <c r="M9" s="34">
        <v>0</v>
      </c>
      <c r="N9" s="34">
        <v>5.64</v>
      </c>
      <c r="O9" s="34">
        <v>0</v>
      </c>
      <c r="P9" s="34">
        <v>0</v>
      </c>
    </row>
    <row r="10" spans="1:16" x14ac:dyDescent="0.2">
      <c r="A10" s="20" t="s">
        <v>200</v>
      </c>
      <c r="B10" s="20" t="s">
        <v>11</v>
      </c>
      <c r="C10" s="20" t="s">
        <v>289</v>
      </c>
      <c r="D10" s="20" t="s">
        <v>190</v>
      </c>
      <c r="E10" s="34">
        <f>IF(B10="","",VLOOKUP(B10,dagsoorttabel1,2,FALSE))</f>
        <v>0.78431372549019607</v>
      </c>
      <c r="F10" s="34">
        <v>1</v>
      </c>
      <c r="G10" s="34">
        <f>IF(prodnorm19&gt;0,1/ROUND(prodnorm19,4),0)</f>
        <v>0</v>
      </c>
      <c r="H10" s="36">
        <f>ROUND(dagwerk19,4+2)</f>
        <v>0</v>
      </c>
      <c r="I10" s="37">
        <f>ROUND(uurtarief19,2)</f>
        <v>0</v>
      </c>
      <c r="J10" s="34">
        <v>16.55</v>
      </c>
      <c r="K10" s="34">
        <v>443.96999999999997</v>
      </c>
      <c r="L10" s="34">
        <v>67.09</v>
      </c>
      <c r="M10" s="34">
        <v>0</v>
      </c>
      <c r="N10" s="34">
        <v>137.78</v>
      </c>
      <c r="O10" s="34">
        <v>0</v>
      </c>
      <c r="P10" s="34">
        <v>0</v>
      </c>
    </row>
    <row r="11" spans="1:16" x14ac:dyDescent="0.2">
      <c r="A11" s="20" t="s">
        <v>202</v>
      </c>
      <c r="B11" s="20" t="s">
        <v>11</v>
      </c>
      <c r="C11" s="20" t="s">
        <v>289</v>
      </c>
      <c r="D11" s="20" t="s">
        <v>190</v>
      </c>
      <c r="E11" s="34">
        <f>IF(B11="","",VLOOKUP(B11,dagsoorttabel1,2,FALSE))</f>
        <v>0.78431372549019607</v>
      </c>
      <c r="F11" s="34">
        <v>1</v>
      </c>
      <c r="G11" s="34">
        <f>IF(prodnorm20&gt;0,1/ROUND(prodnorm20,4),0)</f>
        <v>0</v>
      </c>
      <c r="H11" s="36">
        <f>ROUND(dagwerk20,4+2)</f>
        <v>0</v>
      </c>
      <c r="I11" s="37">
        <f>ROUND(uurtarief20,2)</f>
        <v>0</v>
      </c>
      <c r="J11" s="34">
        <v>0</v>
      </c>
      <c r="K11" s="34">
        <v>43.589999999999996</v>
      </c>
      <c r="L11" s="34">
        <v>30.459999999999997</v>
      </c>
      <c r="M11" s="34">
        <v>23.37</v>
      </c>
      <c r="N11" s="34">
        <v>0</v>
      </c>
      <c r="O11" s="34">
        <v>0</v>
      </c>
      <c r="P11" s="34">
        <v>28.45</v>
      </c>
    </row>
    <row r="12" spans="1:16" x14ac:dyDescent="0.2">
      <c r="A12" s="20" t="s">
        <v>204</v>
      </c>
      <c r="B12" s="20" t="s">
        <v>11</v>
      </c>
      <c r="C12" s="20" t="s">
        <v>289</v>
      </c>
      <c r="D12" s="20" t="s">
        <v>190</v>
      </c>
      <c r="E12" s="34">
        <f>IF(B12="","",VLOOKUP(B12,dagsoorttabel1,2,FALSE))</f>
        <v>0.78431372549019607</v>
      </c>
      <c r="F12" s="34">
        <v>1</v>
      </c>
      <c r="G12" s="34">
        <f>IF(prodnorm21&gt;0,1/ROUND(prodnorm21,4),0)</f>
        <v>0</v>
      </c>
      <c r="H12" s="36">
        <f>ROUND(dagwerk21,4+2)</f>
        <v>0</v>
      </c>
      <c r="I12" s="37">
        <f>ROUND(uurtarief21,2)</f>
        <v>0</v>
      </c>
      <c r="J12" s="34">
        <v>806.17000000000007</v>
      </c>
      <c r="K12" s="34">
        <v>391.1</v>
      </c>
      <c r="L12" s="34">
        <v>246.04</v>
      </c>
      <c r="M12" s="34">
        <v>0</v>
      </c>
      <c r="N12" s="34">
        <v>0</v>
      </c>
      <c r="O12" s="34">
        <v>0</v>
      </c>
      <c r="P12" s="34">
        <v>0</v>
      </c>
    </row>
    <row r="13" spans="1:16" x14ac:dyDescent="0.2">
      <c r="A13" s="20" t="s">
        <v>206</v>
      </c>
      <c r="B13" s="20" t="s">
        <v>11</v>
      </c>
      <c r="C13" s="20" t="s">
        <v>289</v>
      </c>
      <c r="D13" s="20" t="s">
        <v>190</v>
      </c>
      <c r="E13" s="34">
        <f>IF(B13="","",VLOOKUP(B13,dagsoorttabel1,2,FALSE))</f>
        <v>0.78431372549019607</v>
      </c>
      <c r="F13" s="34">
        <v>1</v>
      </c>
      <c r="G13" s="34">
        <f>IF(prodnorm22&gt;0,1/ROUND(prodnorm22,4),0)</f>
        <v>0</v>
      </c>
      <c r="H13" s="36">
        <f>ROUND(dagwerk22,4+2)</f>
        <v>0</v>
      </c>
      <c r="I13" s="37">
        <f>ROUND(uurtarief22,2)</f>
        <v>0</v>
      </c>
      <c r="J13" s="34">
        <v>0</v>
      </c>
      <c r="K13" s="34">
        <v>129.80000000000001</v>
      </c>
      <c r="L13" s="34">
        <v>0</v>
      </c>
      <c r="M13" s="34">
        <v>0</v>
      </c>
      <c r="N13" s="34">
        <v>0</v>
      </c>
      <c r="O13" s="34">
        <v>0</v>
      </c>
      <c r="P13" s="34">
        <v>0</v>
      </c>
    </row>
    <row r="14" spans="1:16" x14ac:dyDescent="0.2">
      <c r="A14" s="20" t="s">
        <v>208</v>
      </c>
      <c r="B14" s="20" t="s">
        <v>18</v>
      </c>
      <c r="C14" s="20" t="s">
        <v>289</v>
      </c>
      <c r="D14" s="20" t="s">
        <v>190</v>
      </c>
      <c r="E14" s="34">
        <f>IF(B14="","",VLOOKUP(B14,dagsoorttabel1,2,FALSE))</f>
        <v>0.15686274509803921</v>
      </c>
      <c r="F14" s="34">
        <v>1</v>
      </c>
      <c r="G14" s="34">
        <f>IF(prodnorm23&gt;0,1/ROUND(prodnorm23,4),0)</f>
        <v>0</v>
      </c>
      <c r="H14" s="36">
        <f>ROUND(dagwerk23,4+2)</f>
        <v>0</v>
      </c>
      <c r="I14" s="37">
        <f>ROUND(uurtarief23,2)</f>
        <v>0</v>
      </c>
      <c r="J14" s="34">
        <v>4.3899999999999997</v>
      </c>
      <c r="K14" s="34">
        <v>3.4299999999999997</v>
      </c>
      <c r="L14" s="34">
        <v>5.6099999999999994</v>
      </c>
      <c r="M14" s="34">
        <v>9.18</v>
      </c>
      <c r="N14" s="34">
        <v>4.04</v>
      </c>
      <c r="O14" s="34">
        <v>3.04</v>
      </c>
      <c r="P14" s="34">
        <v>0</v>
      </c>
    </row>
    <row r="15" spans="1:16" x14ac:dyDescent="0.2">
      <c r="A15" s="20" t="s">
        <v>210</v>
      </c>
      <c r="B15" s="20" t="s">
        <v>11</v>
      </c>
      <c r="C15" s="20" t="s">
        <v>289</v>
      </c>
      <c r="D15" s="20" t="s">
        <v>190</v>
      </c>
      <c r="E15" s="34">
        <f>IF(B15="","",VLOOKUP(B15,dagsoorttabel1,2,FALSE))</f>
        <v>0.78431372549019607</v>
      </c>
      <c r="F15" s="34">
        <v>1</v>
      </c>
      <c r="G15" s="34">
        <f>IF(prodnorm24&gt;0,1/ROUND(prodnorm24,4),0)</f>
        <v>0</v>
      </c>
      <c r="H15" s="36">
        <f>ROUND(dagwerk24,4+2)</f>
        <v>0</v>
      </c>
      <c r="I15" s="37">
        <f>ROUND(uurtarief24,2)</f>
        <v>0</v>
      </c>
      <c r="J15" s="34">
        <v>229.91</v>
      </c>
      <c r="K15" s="34">
        <v>59.43</v>
      </c>
      <c r="L15" s="34">
        <v>131.34</v>
      </c>
      <c r="M15" s="34">
        <v>0</v>
      </c>
      <c r="N15" s="34">
        <v>35.35</v>
      </c>
      <c r="O15" s="34">
        <v>0</v>
      </c>
      <c r="P15" s="34">
        <v>0</v>
      </c>
    </row>
    <row r="16" spans="1:16" x14ac:dyDescent="0.2">
      <c r="A16" s="20" t="s">
        <v>212</v>
      </c>
      <c r="B16" s="20" t="s">
        <v>13</v>
      </c>
      <c r="C16" s="20" t="s">
        <v>289</v>
      </c>
      <c r="D16" s="20" t="s">
        <v>190</v>
      </c>
      <c r="E16" s="34">
        <f>IF(B16="","",VLOOKUP(B16,dagsoorttabel1,2,FALSE))</f>
        <v>0.47058823529411764</v>
      </c>
      <c r="F16" s="34">
        <v>1</v>
      </c>
      <c r="G16" s="34">
        <f>IF(prodnorm25&gt;0,1/ROUND(prodnorm25,4),0)</f>
        <v>0</v>
      </c>
      <c r="H16" s="36">
        <f>ROUND(dagwerk25,4+2)</f>
        <v>0</v>
      </c>
      <c r="I16" s="37">
        <f>ROUND(uurtarief25,2)</f>
        <v>0</v>
      </c>
      <c r="J16" s="34">
        <v>1394.83</v>
      </c>
      <c r="K16" s="34">
        <v>2286.3899999999994</v>
      </c>
      <c r="L16" s="34">
        <v>2400.8599999999997</v>
      </c>
      <c r="M16" s="34">
        <v>2526.16</v>
      </c>
      <c r="N16" s="34">
        <v>1570.3799999999999</v>
      </c>
      <c r="O16" s="34">
        <v>445.16</v>
      </c>
      <c r="P16" s="34">
        <v>564.41000000000008</v>
      </c>
    </row>
    <row r="17" spans="1:16" x14ac:dyDescent="0.2">
      <c r="A17" s="20" t="s">
        <v>214</v>
      </c>
      <c r="B17" s="20" t="s">
        <v>13</v>
      </c>
      <c r="C17" s="20" t="s">
        <v>289</v>
      </c>
      <c r="D17" s="20" t="s">
        <v>190</v>
      </c>
      <c r="E17" s="34">
        <f>IF(B17="","",VLOOKUP(B17,dagsoorttabel1,2,FALSE))</f>
        <v>0.47058823529411764</v>
      </c>
      <c r="F17" s="34">
        <v>1</v>
      </c>
      <c r="G17" s="34">
        <f>IF(prodnorm26&gt;0,1/ROUND(prodnorm26,4),0)</f>
        <v>0</v>
      </c>
      <c r="H17" s="36">
        <f>ROUND(dagwerk26,4+2)</f>
        <v>0</v>
      </c>
      <c r="I17" s="37">
        <f>ROUND(uurtarief26,2)</f>
        <v>0</v>
      </c>
      <c r="J17" s="34">
        <v>0</v>
      </c>
      <c r="K17" s="34">
        <v>202.04</v>
      </c>
      <c r="L17" s="34">
        <v>60.290000000000006</v>
      </c>
      <c r="M17" s="34">
        <v>0</v>
      </c>
      <c r="N17" s="34">
        <v>164.9</v>
      </c>
      <c r="O17" s="34">
        <v>0</v>
      </c>
      <c r="P17" s="34">
        <v>383.43999999999994</v>
      </c>
    </row>
    <row r="18" spans="1:16" x14ac:dyDescent="0.2">
      <c r="A18" s="20" t="s">
        <v>216</v>
      </c>
      <c r="B18" s="20" t="s">
        <v>11</v>
      </c>
      <c r="C18" s="20" t="s">
        <v>289</v>
      </c>
      <c r="D18" s="20" t="s">
        <v>190</v>
      </c>
      <c r="E18" s="34">
        <f>IF(B18="","",VLOOKUP(B18,dagsoorttabel1,2,FALSE))</f>
        <v>0.78431372549019607</v>
      </c>
      <c r="F18" s="34">
        <v>1</v>
      </c>
      <c r="G18" s="34">
        <f>IF(prodnorm27&gt;0,1/ROUND(prodnorm27,4),0)</f>
        <v>0</v>
      </c>
      <c r="H18" s="36">
        <f>ROUND(dagwerk27,4+2)</f>
        <v>0</v>
      </c>
      <c r="I18" s="37">
        <f>ROUND(uurtarief27,2)</f>
        <v>0</v>
      </c>
      <c r="J18" s="34">
        <v>0</v>
      </c>
      <c r="K18" s="34">
        <v>27.64</v>
      </c>
      <c r="L18" s="34">
        <v>0</v>
      </c>
      <c r="M18" s="34">
        <v>158.78</v>
      </c>
      <c r="N18" s="34">
        <v>129.03</v>
      </c>
      <c r="O18" s="34">
        <v>34.409999999999997</v>
      </c>
      <c r="P18" s="34">
        <v>0</v>
      </c>
    </row>
    <row r="19" spans="1:16" x14ac:dyDescent="0.2">
      <c r="A19" s="20" t="s">
        <v>218</v>
      </c>
      <c r="B19" s="20" t="s">
        <v>11</v>
      </c>
      <c r="C19" s="20" t="s">
        <v>289</v>
      </c>
      <c r="D19" s="20" t="s">
        <v>190</v>
      </c>
      <c r="E19" s="34">
        <f>IF(B19="","",VLOOKUP(B19,dagsoorttabel1,2,FALSE))</f>
        <v>0.78431372549019607</v>
      </c>
      <c r="F19" s="34">
        <v>1</v>
      </c>
      <c r="G19" s="34">
        <f>IF(prodnorm28&gt;0,1/ROUND(prodnorm28,4),0)</f>
        <v>0</v>
      </c>
      <c r="H19" s="36">
        <f>ROUND(dagwerk28,4+2)</f>
        <v>0</v>
      </c>
      <c r="I19" s="37">
        <f>ROUND(uurtarief28,2)</f>
        <v>0</v>
      </c>
      <c r="J19" s="34">
        <v>0</v>
      </c>
      <c r="K19" s="34">
        <v>112.88</v>
      </c>
      <c r="L19" s="34">
        <v>149.08000000000001</v>
      </c>
      <c r="M19" s="34">
        <v>0</v>
      </c>
      <c r="N19" s="34">
        <v>0</v>
      </c>
      <c r="O19" s="34">
        <v>0</v>
      </c>
      <c r="P19" s="34">
        <v>22.130000000000003</v>
      </c>
    </row>
    <row r="20" spans="1:16" x14ac:dyDescent="0.2">
      <c r="A20" s="20" t="s">
        <v>220</v>
      </c>
      <c r="B20" s="20" t="s">
        <v>18</v>
      </c>
      <c r="C20" s="20" t="s">
        <v>289</v>
      </c>
      <c r="D20" s="20" t="s">
        <v>190</v>
      </c>
      <c r="E20" s="34">
        <f>IF(B20="","",VLOOKUP(B20,dagsoorttabel1,2,FALSE))</f>
        <v>0.15686274509803921</v>
      </c>
      <c r="F20" s="34">
        <v>1</v>
      </c>
      <c r="G20" s="34">
        <f>IF(prodnorm29&gt;0,1/ROUND(prodnorm29,4),0)</f>
        <v>0</v>
      </c>
      <c r="H20" s="36">
        <f>ROUND(dagwerk29,4+2)</f>
        <v>0</v>
      </c>
      <c r="I20" s="37">
        <f>ROUND(uurtarief29,2)</f>
        <v>0</v>
      </c>
      <c r="J20" s="34">
        <v>76.78</v>
      </c>
      <c r="K20" s="34">
        <v>243.35999999999999</v>
      </c>
      <c r="L20" s="34">
        <v>3532.27</v>
      </c>
      <c r="M20" s="34">
        <v>0</v>
      </c>
      <c r="N20" s="34">
        <v>0</v>
      </c>
      <c r="O20" s="34">
        <v>0</v>
      </c>
      <c r="P20" s="34">
        <v>0</v>
      </c>
    </row>
    <row r="21" spans="1:16" x14ac:dyDescent="0.2">
      <c r="A21" s="20" t="s">
        <v>222</v>
      </c>
      <c r="B21" s="20" t="s">
        <v>11</v>
      </c>
      <c r="C21" s="20" t="s">
        <v>289</v>
      </c>
      <c r="D21" s="20" t="s">
        <v>190</v>
      </c>
      <c r="E21" s="34">
        <f>IF(B21="","",VLOOKUP(B21,dagsoorttabel1,2,FALSE))</f>
        <v>0.78431372549019607</v>
      </c>
      <c r="F21" s="34">
        <v>1</v>
      </c>
      <c r="G21" s="34">
        <f>IF(prodnorm30&gt;0,1/ROUND(prodnorm30,4),0)</f>
        <v>0</v>
      </c>
      <c r="H21" s="36">
        <f>ROUND(dagwerk30,4+2)</f>
        <v>0</v>
      </c>
      <c r="I21" s="37">
        <f>ROUND(uurtarief30,2)</f>
        <v>0</v>
      </c>
      <c r="J21" s="34">
        <v>18.8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</row>
    <row r="22" spans="1:16" x14ac:dyDescent="0.2">
      <c r="A22" s="20" t="s">
        <v>224</v>
      </c>
      <c r="B22" s="20" t="s">
        <v>18</v>
      </c>
      <c r="C22" s="20" t="s">
        <v>289</v>
      </c>
      <c r="D22" s="20" t="s">
        <v>190</v>
      </c>
      <c r="E22" s="34">
        <f>IF(B22="","",VLOOKUP(B22,dagsoorttabel1,2,FALSE))</f>
        <v>0.15686274509803921</v>
      </c>
      <c r="F22" s="34">
        <v>1</v>
      </c>
      <c r="G22" s="34">
        <f>IF(prodnorm31&gt;0,1/ROUND(prodnorm31,4),0)</f>
        <v>0</v>
      </c>
      <c r="H22" s="36">
        <f>ROUND(dagwerk31,4+2)</f>
        <v>0</v>
      </c>
      <c r="I22" s="37">
        <f>ROUND(uurtarief31,2)</f>
        <v>0</v>
      </c>
      <c r="J22" s="34">
        <v>0</v>
      </c>
      <c r="K22" s="34">
        <v>101.57</v>
      </c>
      <c r="L22" s="34">
        <v>0</v>
      </c>
      <c r="M22" s="34">
        <v>0</v>
      </c>
      <c r="N22" s="34">
        <v>790.45</v>
      </c>
      <c r="O22" s="34">
        <v>0</v>
      </c>
      <c r="P22" s="34">
        <v>0</v>
      </c>
    </row>
    <row r="23" spans="1:16" x14ac:dyDescent="0.2">
      <c r="A23" s="20" t="s">
        <v>226</v>
      </c>
      <c r="B23" s="20" t="s">
        <v>11</v>
      </c>
      <c r="C23" s="20" t="s">
        <v>289</v>
      </c>
      <c r="D23" s="20" t="s">
        <v>190</v>
      </c>
      <c r="E23" s="34">
        <f>IF(B23="","",VLOOKUP(B23,dagsoorttabel1,2,FALSE))</f>
        <v>0.78431372549019607</v>
      </c>
      <c r="F23" s="34">
        <v>1</v>
      </c>
      <c r="G23" s="34">
        <f>IF(prodnorm32&gt;0,1/ROUND(prodnorm32,4),0)</f>
        <v>0</v>
      </c>
      <c r="H23" s="36">
        <f>ROUND(dagwerk32,4+2)</f>
        <v>0</v>
      </c>
      <c r="I23" s="37">
        <f>ROUND(uurtarief32,2)</f>
        <v>0</v>
      </c>
      <c r="J23" s="34">
        <v>0</v>
      </c>
      <c r="K23" s="34">
        <v>0</v>
      </c>
      <c r="L23" s="34">
        <v>0</v>
      </c>
      <c r="M23" s="34">
        <v>0</v>
      </c>
      <c r="N23" s="34">
        <v>46.78</v>
      </c>
      <c r="O23" s="34">
        <v>0</v>
      </c>
      <c r="P23" s="34">
        <v>0</v>
      </c>
    </row>
    <row r="24" spans="1:16" x14ac:dyDescent="0.2">
      <c r="A24" s="20" t="s">
        <v>228</v>
      </c>
      <c r="B24" s="20" t="s">
        <v>11</v>
      </c>
      <c r="C24" s="20" t="s">
        <v>289</v>
      </c>
      <c r="D24" s="20" t="s">
        <v>190</v>
      </c>
      <c r="E24" s="34">
        <f>IF(B24="","",VLOOKUP(B24,dagsoorttabel1,2,FALSE))</f>
        <v>0.78431372549019607</v>
      </c>
      <c r="F24" s="34">
        <v>1</v>
      </c>
      <c r="G24" s="34">
        <f>IF(prodnorm33&gt;0,1/ROUND(prodnorm33,4),0)</f>
        <v>0</v>
      </c>
      <c r="H24" s="36">
        <f>ROUND(dagwerk33,4+2)</f>
        <v>0</v>
      </c>
      <c r="I24" s="37">
        <f>ROUND(uurtarief33,2)</f>
        <v>0</v>
      </c>
      <c r="J24" s="34">
        <v>0</v>
      </c>
      <c r="K24" s="34">
        <v>0</v>
      </c>
      <c r="L24" s="34">
        <v>1248.5900000000001</v>
      </c>
      <c r="M24" s="34">
        <v>0</v>
      </c>
      <c r="N24" s="34">
        <v>0</v>
      </c>
      <c r="O24" s="34">
        <v>0</v>
      </c>
      <c r="P24" s="34">
        <v>0</v>
      </c>
    </row>
    <row r="25" spans="1:16" x14ac:dyDescent="0.2">
      <c r="A25" s="20" t="s">
        <v>228</v>
      </c>
      <c r="B25" s="20" t="s">
        <v>18</v>
      </c>
      <c r="C25" s="20" t="s">
        <v>289</v>
      </c>
      <c r="D25" s="20" t="s">
        <v>190</v>
      </c>
      <c r="E25" s="34">
        <f>IF(B25="","",VLOOKUP(B25,dagsoorttabel1,2,FALSE))</f>
        <v>0.15686274509803921</v>
      </c>
      <c r="F25" s="34">
        <v>1</v>
      </c>
      <c r="G25" s="34">
        <f>IF(prodnorm34&gt;0,1/ROUND(prodnorm34,4),0)</f>
        <v>0</v>
      </c>
      <c r="H25" s="36">
        <f>ROUND(dagwerk34,4+2)</f>
        <v>0</v>
      </c>
      <c r="I25" s="37">
        <f>ROUND(uurtarief34,2)</f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1034.99</v>
      </c>
    </row>
    <row r="26" spans="1:16" x14ac:dyDescent="0.2">
      <c r="A26" s="20" t="s">
        <v>230</v>
      </c>
      <c r="B26" s="20" t="s">
        <v>11</v>
      </c>
      <c r="C26" s="20" t="s">
        <v>289</v>
      </c>
      <c r="D26" s="20" t="s">
        <v>190</v>
      </c>
      <c r="E26" s="34">
        <f>IF(B26="","",VLOOKUP(B26,dagsoorttabel1,2,FALSE))</f>
        <v>0.78431372549019607</v>
      </c>
      <c r="F26" s="34">
        <v>1</v>
      </c>
      <c r="G26" s="34">
        <f>IF(prodnorm35&gt;0,1/ROUND(prodnorm35,4),0)</f>
        <v>0</v>
      </c>
      <c r="H26" s="36">
        <f>ROUND(dagwerk35,4+2)</f>
        <v>0</v>
      </c>
      <c r="I26" s="37">
        <f>ROUND(uurtarief35,2)</f>
        <v>0</v>
      </c>
      <c r="J26" s="34">
        <v>0</v>
      </c>
      <c r="K26" s="34">
        <v>0</v>
      </c>
      <c r="L26" s="34">
        <v>518.5</v>
      </c>
      <c r="M26" s="34">
        <v>0</v>
      </c>
      <c r="N26" s="34">
        <v>0</v>
      </c>
      <c r="O26" s="34">
        <v>0</v>
      </c>
      <c r="P26" s="34">
        <v>0</v>
      </c>
    </row>
    <row r="27" spans="1:16" x14ac:dyDescent="0.2">
      <c r="A27" s="20" t="s">
        <v>230</v>
      </c>
      <c r="B27" s="20" t="s">
        <v>18</v>
      </c>
      <c r="C27" s="20" t="s">
        <v>289</v>
      </c>
      <c r="D27" s="20" t="s">
        <v>190</v>
      </c>
      <c r="E27" s="34">
        <f>IF(B27="","",VLOOKUP(B27,dagsoorttabel1,2,FALSE))</f>
        <v>0.15686274509803921</v>
      </c>
      <c r="F27" s="34">
        <v>1</v>
      </c>
      <c r="G27" s="34">
        <f>IF(prodnorm36&gt;0,1/ROUND(prodnorm36,4),0)</f>
        <v>0</v>
      </c>
      <c r="H27" s="36">
        <f>ROUND(dagwerk36,4+2)</f>
        <v>0</v>
      </c>
      <c r="I27" s="37">
        <f>ROUND(uurtarief36,2)</f>
        <v>0</v>
      </c>
      <c r="J27" s="34">
        <v>0</v>
      </c>
      <c r="K27" s="34">
        <v>78.06</v>
      </c>
      <c r="L27" s="34">
        <v>0</v>
      </c>
      <c r="M27" s="34">
        <v>0</v>
      </c>
      <c r="N27" s="34">
        <v>0</v>
      </c>
      <c r="O27" s="34">
        <v>0</v>
      </c>
      <c r="P27" s="34">
        <v>246.34</v>
      </c>
    </row>
    <row r="28" spans="1:16" x14ac:dyDescent="0.2">
      <c r="A28" s="20" t="s">
        <v>232</v>
      </c>
      <c r="B28" s="20" t="s">
        <v>11</v>
      </c>
      <c r="C28" s="20" t="s">
        <v>289</v>
      </c>
      <c r="D28" s="20" t="s">
        <v>190</v>
      </c>
      <c r="E28" s="34">
        <f>IF(B28="","",VLOOKUP(B28,dagsoorttabel1,2,FALSE))</f>
        <v>0.78431372549019607</v>
      </c>
      <c r="F28" s="34">
        <v>1</v>
      </c>
      <c r="G28" s="34">
        <f>IF(prodnorm37&gt;0,1/ROUND(prodnorm37,4),0)</f>
        <v>0</v>
      </c>
      <c r="H28" s="36">
        <f>ROUND(dagwerk37,4+2)</f>
        <v>0</v>
      </c>
      <c r="I28" s="37">
        <f>ROUND(uurtarief37,2)</f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5.18</v>
      </c>
    </row>
    <row r="29" spans="1:16" x14ac:dyDescent="0.2">
      <c r="A29" s="20" t="s">
        <v>234</v>
      </c>
      <c r="B29" s="20" t="s">
        <v>11</v>
      </c>
      <c r="C29" s="20" t="s">
        <v>289</v>
      </c>
      <c r="D29" s="20" t="s">
        <v>190</v>
      </c>
      <c r="E29" s="34">
        <f>IF(B29="","",VLOOKUP(B29,dagsoorttabel1,2,FALSE))</f>
        <v>0.78431372549019607</v>
      </c>
      <c r="F29" s="34">
        <v>1</v>
      </c>
      <c r="G29" s="34">
        <f>IF(prodnorm38&gt;0,1/ROUND(prodnorm38,4),0)</f>
        <v>0</v>
      </c>
      <c r="H29" s="36">
        <f>ROUND(dagwerk38,4+2)</f>
        <v>0</v>
      </c>
      <c r="I29" s="37">
        <f>ROUND(uurtarief38,2)</f>
        <v>0</v>
      </c>
      <c r="J29" s="34">
        <v>101.42999999999999</v>
      </c>
      <c r="K29" s="34">
        <v>177.19000000000003</v>
      </c>
      <c r="L29" s="34">
        <v>142.24</v>
      </c>
      <c r="M29" s="34">
        <v>193.67</v>
      </c>
      <c r="N29" s="34">
        <v>170.66000000000003</v>
      </c>
      <c r="O29" s="34">
        <v>17.36</v>
      </c>
      <c r="P29" s="34">
        <v>105.12</v>
      </c>
    </row>
    <row r="30" spans="1:16" x14ac:dyDescent="0.2">
      <c r="A30" s="20" t="s">
        <v>236</v>
      </c>
      <c r="B30" s="20" t="s">
        <v>11</v>
      </c>
      <c r="C30" s="20" t="s">
        <v>289</v>
      </c>
      <c r="D30" s="20" t="s">
        <v>190</v>
      </c>
      <c r="E30" s="34">
        <f>IF(B30="","",VLOOKUP(B30,dagsoorttabel1,2,FALSE))</f>
        <v>0.78431372549019607</v>
      </c>
      <c r="F30" s="34">
        <v>1</v>
      </c>
      <c r="G30" s="34">
        <f>IF(prodnorm39&gt;0,1/ROUND(prodnorm39,4),0)</f>
        <v>0</v>
      </c>
      <c r="H30" s="36">
        <f>ROUND(dagwerk39,4+2)</f>
        <v>0</v>
      </c>
      <c r="I30" s="37">
        <f>ROUND(uurtarief39,2)</f>
        <v>0</v>
      </c>
      <c r="J30" s="34">
        <v>101.42999999999999</v>
      </c>
      <c r="K30" s="34">
        <v>177.19000000000003</v>
      </c>
      <c r="L30" s="34">
        <v>142.24</v>
      </c>
      <c r="M30" s="34">
        <v>0</v>
      </c>
      <c r="N30" s="34">
        <v>170.66000000000003</v>
      </c>
      <c r="O30" s="34">
        <v>17.36</v>
      </c>
      <c r="P30" s="34">
        <v>105.12</v>
      </c>
    </row>
    <row r="31" spans="1:16" x14ac:dyDescent="0.2">
      <c r="A31" s="20" t="s">
        <v>238</v>
      </c>
      <c r="B31" s="20" t="s">
        <v>11</v>
      </c>
      <c r="C31" s="20" t="s">
        <v>289</v>
      </c>
      <c r="D31" s="20" t="s">
        <v>190</v>
      </c>
      <c r="E31" s="34">
        <f>IF(B31="","",VLOOKUP(B31,dagsoorttabel1,2,FALSE))</f>
        <v>0.78431372549019607</v>
      </c>
      <c r="F31" s="34">
        <v>1</v>
      </c>
      <c r="G31" s="34">
        <f>IF(prodnorm40&gt;0,1/ROUND(prodnorm40,4),0)</f>
        <v>0</v>
      </c>
      <c r="H31" s="36">
        <f>ROUND(dagwerk40,4+2)</f>
        <v>0</v>
      </c>
      <c r="I31" s="37">
        <f>ROUND(uurtarief40,2)</f>
        <v>0</v>
      </c>
      <c r="J31" s="34">
        <v>0</v>
      </c>
      <c r="K31" s="34">
        <v>38.120000000000005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</row>
    <row r="32" spans="1:16" x14ac:dyDescent="0.2">
      <c r="A32" s="20" t="s">
        <v>240</v>
      </c>
      <c r="B32" s="20" t="s">
        <v>11</v>
      </c>
      <c r="C32" s="20" t="s">
        <v>289</v>
      </c>
      <c r="D32" s="20" t="s">
        <v>190</v>
      </c>
      <c r="E32" s="34">
        <f>IF(B32="","",VLOOKUP(B32,dagsoorttabel1,2,FALSE))</f>
        <v>0.78431372549019607</v>
      </c>
      <c r="F32" s="34">
        <v>1</v>
      </c>
      <c r="G32" s="34">
        <f>IF(prodnorm41&gt;0,1/ROUND(prodnorm41,4),0)</f>
        <v>0</v>
      </c>
      <c r="H32" s="36">
        <f>ROUND(dagwerk41,4+2)</f>
        <v>0</v>
      </c>
      <c r="I32" s="37">
        <f>ROUND(uurtarief41,2)</f>
        <v>0</v>
      </c>
      <c r="J32" s="34">
        <v>89.170000000000016</v>
      </c>
      <c r="K32" s="34">
        <v>268.34999999999997</v>
      </c>
      <c r="L32" s="34">
        <v>214.67000000000002</v>
      </c>
      <c r="M32" s="34">
        <v>660.79</v>
      </c>
      <c r="N32" s="34">
        <v>175.55</v>
      </c>
      <c r="O32" s="34">
        <v>8.7399999999999984</v>
      </c>
      <c r="P32" s="34">
        <v>68.38</v>
      </c>
    </row>
    <row r="33" spans="1:16" x14ac:dyDescent="0.2">
      <c r="A33" s="20" t="s">
        <v>242</v>
      </c>
      <c r="B33" s="20" t="s">
        <v>11</v>
      </c>
      <c r="C33" s="20" t="s">
        <v>289</v>
      </c>
      <c r="D33" s="20" t="s">
        <v>190</v>
      </c>
      <c r="E33" s="34">
        <f>IF(B33="","",VLOOKUP(B33,dagsoorttabel1,2,FALSE))</f>
        <v>0.78431372549019607</v>
      </c>
      <c r="F33" s="34">
        <v>1</v>
      </c>
      <c r="G33" s="34">
        <f>IF(prodnorm42&gt;0,1/ROUND(prodnorm42,4),0)</f>
        <v>0</v>
      </c>
      <c r="H33" s="36">
        <f>ROUND(dagwerk42,4+2)</f>
        <v>0</v>
      </c>
      <c r="I33" s="37">
        <f>ROUND(uurtarief42,2)</f>
        <v>0</v>
      </c>
      <c r="J33" s="34">
        <v>0</v>
      </c>
      <c r="K33" s="34">
        <v>0</v>
      </c>
      <c r="L33" s="34">
        <v>16.52</v>
      </c>
      <c r="M33" s="34">
        <v>0</v>
      </c>
      <c r="N33" s="34">
        <v>0</v>
      </c>
      <c r="O33" s="34">
        <v>0</v>
      </c>
      <c r="P33" s="34">
        <v>28.959999999999997</v>
      </c>
    </row>
    <row r="34" spans="1:16" x14ac:dyDescent="0.2">
      <c r="A34" s="20" t="s">
        <v>244</v>
      </c>
      <c r="B34" s="20" t="s">
        <v>11</v>
      </c>
      <c r="C34" s="20" t="s">
        <v>289</v>
      </c>
      <c r="D34" s="20" t="s">
        <v>190</v>
      </c>
      <c r="E34" s="34">
        <f>IF(B34="","",VLOOKUP(B34,dagsoorttabel1,2,FALSE))</f>
        <v>0.78431372549019607</v>
      </c>
      <c r="F34" s="34">
        <v>1</v>
      </c>
      <c r="G34" s="34">
        <f>IF(prodnorm43&gt;0,1/ROUND(prodnorm43,4),0)</f>
        <v>0</v>
      </c>
      <c r="H34" s="36">
        <f>ROUND(dagwerk43,4+2)</f>
        <v>0</v>
      </c>
      <c r="I34" s="37">
        <f>ROUND(uurtarief43,2)</f>
        <v>0</v>
      </c>
      <c r="J34" s="34">
        <v>843.23</v>
      </c>
      <c r="K34" s="34">
        <v>1554.8200000000002</v>
      </c>
      <c r="L34" s="34">
        <v>1691.81</v>
      </c>
      <c r="M34" s="34">
        <v>1569.28</v>
      </c>
      <c r="N34" s="34">
        <v>1917.99</v>
      </c>
      <c r="O34" s="34">
        <v>172.85</v>
      </c>
      <c r="P34" s="34">
        <v>631.34</v>
      </c>
    </row>
    <row r="35" spans="1:16" x14ac:dyDescent="0.2">
      <c r="A35" s="20" t="s">
        <v>246</v>
      </c>
      <c r="B35" s="20" t="s">
        <v>11</v>
      </c>
      <c r="C35" s="20" t="s">
        <v>289</v>
      </c>
      <c r="D35" s="20" t="s">
        <v>190</v>
      </c>
      <c r="E35" s="34">
        <f>IF(B35="","",VLOOKUP(B35,dagsoorttabel1,2,FALSE))</f>
        <v>0.78431372549019607</v>
      </c>
      <c r="F35" s="34">
        <v>1</v>
      </c>
      <c r="G35" s="34">
        <f>IF(prodnorm44&gt;0,1/ROUND(prodnorm44,4),0)</f>
        <v>0</v>
      </c>
      <c r="H35" s="36">
        <f>ROUND(dagwerk44,4+2)</f>
        <v>0</v>
      </c>
      <c r="I35" s="37">
        <f>ROUND(uurtarief44,2)</f>
        <v>0</v>
      </c>
      <c r="J35" s="34">
        <v>10.870000000000001</v>
      </c>
      <c r="K35" s="34">
        <v>24.24</v>
      </c>
      <c r="L35" s="34">
        <v>37.83</v>
      </c>
      <c r="M35" s="34">
        <v>62.51</v>
      </c>
      <c r="N35" s="34">
        <v>0</v>
      </c>
      <c r="O35" s="34">
        <v>0</v>
      </c>
      <c r="P35" s="34">
        <v>39.28</v>
      </c>
    </row>
    <row r="36" spans="1:16" x14ac:dyDescent="0.2">
      <c r="A36" s="20" t="s">
        <v>248</v>
      </c>
      <c r="B36" s="20" t="s">
        <v>11</v>
      </c>
      <c r="C36" s="20" t="s">
        <v>289</v>
      </c>
      <c r="D36" s="20" t="s">
        <v>190</v>
      </c>
      <c r="E36" s="34">
        <f>IF(B36="","",VLOOKUP(B36,dagsoorttabel1,2,FALSE))</f>
        <v>0.78431372549019607</v>
      </c>
      <c r="F36" s="34">
        <v>1</v>
      </c>
      <c r="G36" s="34">
        <f>IF(prodnorm45&gt;0,1/ROUND(prodnorm45,4),0)</f>
        <v>0</v>
      </c>
      <c r="H36" s="36">
        <f>ROUND(dagwerk45,4+2)</f>
        <v>0</v>
      </c>
      <c r="I36" s="37">
        <f>ROUND(uurtarief45,2)</f>
        <v>0</v>
      </c>
      <c r="J36" s="34">
        <v>0</v>
      </c>
      <c r="K36" s="34">
        <v>0</v>
      </c>
      <c r="L36" s="34">
        <v>26</v>
      </c>
      <c r="M36" s="34">
        <v>0</v>
      </c>
      <c r="N36" s="34">
        <v>0</v>
      </c>
      <c r="O36" s="34">
        <v>0</v>
      </c>
      <c r="P36" s="34">
        <v>0</v>
      </c>
    </row>
    <row r="37" spans="1:16" x14ac:dyDescent="0.2">
      <c r="A37" s="25" t="s">
        <v>250</v>
      </c>
      <c r="B37" s="25" t="s">
        <v>29</v>
      </c>
      <c r="C37" s="25" t="s">
        <v>289</v>
      </c>
      <c r="D37" s="25" t="s">
        <v>251</v>
      </c>
      <c r="E37" s="38">
        <f>IF(B37="","",VLOOKUP(B37,dagsoorttabel1,2,FALSE))</f>
        <v>3.9215686274509803E-3</v>
      </c>
      <c r="F37" s="38">
        <v>1</v>
      </c>
      <c r="G37" s="38">
        <f>IF(prodnorm13&gt;0,1/ROUND(prodnorm13,4),0)</f>
        <v>0</v>
      </c>
      <c r="H37" s="49">
        <f>ROUND(dagwerk13,4+2)</f>
        <v>0</v>
      </c>
      <c r="I37" s="40">
        <f>ROUND(uurtarief13,2)</f>
        <v>0</v>
      </c>
      <c r="J37" s="38">
        <v>61.65</v>
      </c>
      <c r="K37" s="38">
        <v>139.85999999999999</v>
      </c>
      <c r="L37" s="38">
        <v>149.08000000000001</v>
      </c>
      <c r="M37" s="38">
        <v>44.14</v>
      </c>
      <c r="N37" s="38">
        <v>580.41</v>
      </c>
      <c r="O37" s="38">
        <v>24.72</v>
      </c>
      <c r="P37" s="38">
        <v>22.130000000000003</v>
      </c>
    </row>
    <row r="38" spans="1:16" x14ac:dyDescent="0.2">
      <c r="A38" s="41" t="s">
        <v>253</v>
      </c>
      <c r="B38" s="42"/>
      <c r="C38" s="42"/>
      <c r="D38" s="42"/>
      <c r="E38" s="42"/>
      <c r="F38" s="42"/>
      <c r="G38" s="42"/>
      <c r="H38" s="42"/>
      <c r="I38" s="42"/>
      <c r="J38" s="53"/>
      <c r="K38" s="53"/>
      <c r="L38" s="53"/>
      <c r="M38" s="53"/>
      <c r="N38" s="53"/>
      <c r="O38" s="53"/>
      <c r="P38" s="53"/>
    </row>
    <row r="40" spans="1:16" x14ac:dyDescent="0.2">
      <c r="A40" s="15" t="s">
        <v>255</v>
      </c>
      <c r="B40" s="15" t="s">
        <v>25</v>
      </c>
      <c r="C40" s="15" t="s">
        <v>290</v>
      </c>
      <c r="D40" s="15" t="s">
        <v>190</v>
      </c>
      <c r="E40" s="30">
        <f>IF(B40="","",VLOOKUP(B40,dagsoorttabel1,2,FALSE))</f>
        <v>2.3529411764705882E-2</v>
      </c>
      <c r="F40" s="30">
        <v>1</v>
      </c>
      <c r="G40" s="30">
        <f>IF(prodnorm50&gt;0,1/ROUND(prodnorm50,4),0)</f>
        <v>0</v>
      </c>
      <c r="H40" s="32">
        <f>ROUND(dagwerk50,4+2)</f>
        <v>0</v>
      </c>
      <c r="I40" s="33">
        <f>ROUND(uurtarief50,2)</f>
        <v>0</v>
      </c>
      <c r="J40" s="30">
        <v>350.02</v>
      </c>
      <c r="K40" s="30">
        <v>0</v>
      </c>
      <c r="L40" s="30">
        <v>0</v>
      </c>
      <c r="M40" s="30">
        <v>0</v>
      </c>
      <c r="N40" s="30">
        <v>0</v>
      </c>
      <c r="O40" s="30">
        <v>0</v>
      </c>
      <c r="P40" s="30">
        <v>0</v>
      </c>
    </row>
    <row r="41" spans="1:16" x14ac:dyDescent="0.2">
      <c r="A41" s="20" t="s">
        <v>256</v>
      </c>
      <c r="B41" s="20" t="s">
        <v>26</v>
      </c>
      <c r="C41" s="20" t="s">
        <v>290</v>
      </c>
      <c r="D41" s="20" t="s">
        <v>190</v>
      </c>
      <c r="E41" s="34">
        <f>IF(B41="","",VLOOKUP(B41,dagsoorttabel1,2,FALSE))</f>
        <v>1.5686274509803921E-2</v>
      </c>
      <c r="F41" s="34">
        <v>1</v>
      </c>
      <c r="G41" s="34">
        <f>IF(prodnorm51&gt;0,1/ROUND(prodnorm51,4),0)</f>
        <v>0</v>
      </c>
      <c r="H41" s="36">
        <f>ROUND(dagwerk51,4+2)</f>
        <v>0</v>
      </c>
      <c r="I41" s="37">
        <f>ROUND(uurtarief51,2)</f>
        <v>0</v>
      </c>
      <c r="J41" s="34">
        <v>0</v>
      </c>
      <c r="K41" s="34">
        <v>0</v>
      </c>
      <c r="L41" s="34">
        <v>0</v>
      </c>
      <c r="M41" s="34">
        <v>1110.97</v>
      </c>
      <c r="N41" s="34">
        <v>0</v>
      </c>
      <c r="O41" s="34">
        <v>0</v>
      </c>
      <c r="P41" s="34">
        <v>0</v>
      </c>
    </row>
    <row r="42" spans="1:16" x14ac:dyDescent="0.2">
      <c r="A42" s="20" t="s">
        <v>256</v>
      </c>
      <c r="B42" s="20" t="s">
        <v>25</v>
      </c>
      <c r="C42" s="20" t="s">
        <v>290</v>
      </c>
      <c r="D42" s="20" t="s">
        <v>190</v>
      </c>
      <c r="E42" s="34">
        <f>IF(B42="","",VLOOKUP(B42,dagsoorttabel1,2,FALSE))</f>
        <v>2.3529411764705882E-2</v>
      </c>
      <c r="F42" s="34">
        <v>1</v>
      </c>
      <c r="G42" s="34">
        <f>IF(prodnorm52&gt;0,1/ROUND(prodnorm52,4),0)</f>
        <v>0</v>
      </c>
      <c r="H42" s="36">
        <f>ROUND(dagwerk52,4+2)</f>
        <v>0</v>
      </c>
      <c r="I42" s="37">
        <f>ROUND(uurtarief52,2)</f>
        <v>0</v>
      </c>
      <c r="J42" s="34">
        <v>433.03000000000009</v>
      </c>
      <c r="K42" s="34">
        <v>0</v>
      </c>
      <c r="L42" s="34">
        <v>0</v>
      </c>
      <c r="M42" s="34">
        <v>0</v>
      </c>
      <c r="N42" s="34">
        <v>0</v>
      </c>
      <c r="O42" s="34">
        <v>0</v>
      </c>
      <c r="P42" s="34">
        <v>0</v>
      </c>
    </row>
    <row r="43" spans="1:16" x14ac:dyDescent="0.2">
      <c r="A43" s="20" t="s">
        <v>256</v>
      </c>
      <c r="B43" s="20" t="s">
        <v>24</v>
      </c>
      <c r="C43" s="20" t="s">
        <v>290</v>
      </c>
      <c r="D43" s="20" t="s">
        <v>190</v>
      </c>
      <c r="E43" s="34">
        <f>IF(B43="","",VLOOKUP(B43,dagsoorttabel1,2,FALSE))</f>
        <v>3.1372549019607843E-2</v>
      </c>
      <c r="F43" s="34">
        <v>1</v>
      </c>
      <c r="G43" s="34">
        <f>IF(prodnorm53&gt;0,1/ROUND(prodnorm53,4),0)</f>
        <v>0</v>
      </c>
      <c r="H43" s="36">
        <f>ROUND(dagwerk53,4+2)</f>
        <v>0</v>
      </c>
      <c r="I43" s="37">
        <f>ROUND(uurtarief53,2)</f>
        <v>0</v>
      </c>
      <c r="J43" s="34">
        <v>0</v>
      </c>
      <c r="K43" s="34">
        <v>0</v>
      </c>
      <c r="L43" s="34">
        <v>1019.07</v>
      </c>
      <c r="M43" s="34">
        <v>0</v>
      </c>
      <c r="N43" s="34">
        <v>0</v>
      </c>
      <c r="O43" s="34">
        <v>0</v>
      </c>
      <c r="P43" s="34">
        <v>0</v>
      </c>
    </row>
    <row r="44" spans="1:16" x14ac:dyDescent="0.2">
      <c r="A44" s="20" t="s">
        <v>257</v>
      </c>
      <c r="B44" s="20" t="s">
        <v>24</v>
      </c>
      <c r="C44" s="20" t="s">
        <v>290</v>
      </c>
      <c r="D44" s="20" t="s">
        <v>190</v>
      </c>
      <c r="E44" s="34">
        <f>IF(B44="","",VLOOKUP(B44,dagsoorttabel1,2,FALSE))</f>
        <v>3.1372549019607843E-2</v>
      </c>
      <c r="F44" s="34">
        <v>1</v>
      </c>
      <c r="G44" s="34">
        <f>IF(prodnorm54&gt;0,1/ROUND(prodnorm54,4),0)</f>
        <v>0</v>
      </c>
      <c r="H44" s="36">
        <f>ROUND(dagwerk54,4+2)</f>
        <v>0</v>
      </c>
      <c r="I44" s="37">
        <f>ROUND(uurtarief54,2)</f>
        <v>0</v>
      </c>
      <c r="J44" s="34">
        <v>0</v>
      </c>
      <c r="K44" s="34">
        <v>0</v>
      </c>
      <c r="L44" s="34">
        <v>146.79999999999998</v>
      </c>
      <c r="M44" s="34">
        <v>0</v>
      </c>
      <c r="N44" s="34">
        <v>0</v>
      </c>
      <c r="O44" s="34">
        <v>0</v>
      </c>
      <c r="P44" s="34">
        <v>0</v>
      </c>
    </row>
    <row r="45" spans="1:16" x14ac:dyDescent="0.2">
      <c r="A45" s="20" t="s">
        <v>258</v>
      </c>
      <c r="B45" s="20" t="s">
        <v>25</v>
      </c>
      <c r="C45" s="20" t="s">
        <v>290</v>
      </c>
      <c r="D45" s="20" t="s">
        <v>190</v>
      </c>
      <c r="E45" s="34">
        <f>IF(B45="","",VLOOKUP(B45,dagsoorttabel1,2,FALSE))</f>
        <v>2.3529411764705882E-2</v>
      </c>
      <c r="F45" s="34">
        <v>1</v>
      </c>
      <c r="G45" s="34">
        <f>IF(prodnorm55&gt;0,1/ROUND(prodnorm55,4),0)</f>
        <v>0</v>
      </c>
      <c r="H45" s="36">
        <f>ROUND(dagwerk55,4+2)</f>
        <v>0</v>
      </c>
      <c r="I45" s="37">
        <f>ROUND(uurtarief55,2)</f>
        <v>0</v>
      </c>
      <c r="J45" s="34">
        <v>2.27</v>
      </c>
      <c r="K45" s="34">
        <v>0</v>
      </c>
      <c r="L45" s="34">
        <v>0</v>
      </c>
      <c r="M45" s="34">
        <v>0</v>
      </c>
      <c r="N45" s="34">
        <v>0</v>
      </c>
      <c r="O45" s="34">
        <v>0</v>
      </c>
      <c r="P45" s="34">
        <v>0</v>
      </c>
    </row>
    <row r="46" spans="1:16" x14ac:dyDescent="0.2">
      <c r="A46" s="20" t="s">
        <v>260</v>
      </c>
      <c r="B46" s="20" t="s">
        <v>25</v>
      </c>
      <c r="C46" s="20" t="s">
        <v>290</v>
      </c>
      <c r="D46" s="20" t="s">
        <v>190</v>
      </c>
      <c r="E46" s="34">
        <f>IF(B46="","",VLOOKUP(B46,dagsoorttabel1,2,FALSE))</f>
        <v>2.3529411764705882E-2</v>
      </c>
      <c r="F46" s="34">
        <v>1</v>
      </c>
      <c r="G46" s="34">
        <f>IF(prodnorm56&gt;0,1/ROUND(prodnorm56,4),0)</f>
        <v>0</v>
      </c>
      <c r="H46" s="36">
        <f>ROUND(dagwerk56,4+2)</f>
        <v>0</v>
      </c>
      <c r="I46" s="37">
        <f>ROUND(uurtarief56,2)</f>
        <v>0</v>
      </c>
      <c r="J46" s="34">
        <v>16.55</v>
      </c>
      <c r="K46" s="34">
        <v>0</v>
      </c>
      <c r="L46" s="34">
        <v>0</v>
      </c>
      <c r="M46" s="34">
        <v>0</v>
      </c>
      <c r="N46" s="34">
        <v>0</v>
      </c>
      <c r="O46" s="34">
        <v>0</v>
      </c>
      <c r="P46" s="34">
        <v>0</v>
      </c>
    </row>
    <row r="47" spans="1:16" x14ac:dyDescent="0.2">
      <c r="A47" s="20" t="s">
        <v>260</v>
      </c>
      <c r="B47" s="20" t="s">
        <v>24</v>
      </c>
      <c r="C47" s="20" t="s">
        <v>290</v>
      </c>
      <c r="D47" s="20" t="s">
        <v>190</v>
      </c>
      <c r="E47" s="34">
        <f>IF(B47="","",VLOOKUP(B47,dagsoorttabel1,2,FALSE))</f>
        <v>3.1372549019607843E-2</v>
      </c>
      <c r="F47" s="34">
        <v>1</v>
      </c>
      <c r="G47" s="34">
        <f>IF(prodnorm57&gt;0,1/ROUND(prodnorm57,4),0)</f>
        <v>0</v>
      </c>
      <c r="H47" s="36">
        <f>ROUND(dagwerk57,4+2)</f>
        <v>0</v>
      </c>
      <c r="I47" s="37">
        <f>ROUND(uurtarief57,2)</f>
        <v>0</v>
      </c>
      <c r="J47" s="34">
        <v>0</v>
      </c>
      <c r="K47" s="34">
        <v>0</v>
      </c>
      <c r="L47" s="34">
        <v>67.09</v>
      </c>
      <c r="M47" s="34">
        <v>0</v>
      </c>
      <c r="N47" s="34">
        <v>0</v>
      </c>
      <c r="O47" s="34">
        <v>0</v>
      </c>
      <c r="P47" s="34">
        <v>0</v>
      </c>
    </row>
    <row r="48" spans="1:16" x14ac:dyDescent="0.2">
      <c r="A48" s="20" t="s">
        <v>261</v>
      </c>
      <c r="B48" s="20" t="s">
        <v>23</v>
      </c>
      <c r="C48" s="20" t="s">
        <v>290</v>
      </c>
      <c r="D48" s="20" t="s">
        <v>190</v>
      </c>
      <c r="E48" s="34">
        <f>IF(B48="","",VLOOKUP(B48,dagsoorttabel1,2,FALSE))</f>
        <v>3.9215686274509803E-2</v>
      </c>
      <c r="F48" s="34">
        <v>1</v>
      </c>
      <c r="G48" s="34">
        <f>IF(prodnorm58&gt;0,1/ROUND(prodnorm58,4),0)</f>
        <v>0</v>
      </c>
      <c r="H48" s="36">
        <f>ROUND(dagwerk58,4+2)</f>
        <v>0</v>
      </c>
      <c r="I48" s="37">
        <f>ROUND(uurtarief58,2)</f>
        <v>0</v>
      </c>
      <c r="J48" s="34">
        <v>0</v>
      </c>
      <c r="K48" s="34">
        <v>0</v>
      </c>
      <c r="L48" s="34">
        <v>0</v>
      </c>
      <c r="M48" s="34">
        <v>23.37</v>
      </c>
      <c r="N48" s="34">
        <v>0</v>
      </c>
      <c r="O48" s="34">
        <v>0</v>
      </c>
      <c r="P48" s="34">
        <v>0</v>
      </c>
    </row>
    <row r="49" spans="1:16" x14ac:dyDescent="0.2">
      <c r="A49" s="20" t="s">
        <v>261</v>
      </c>
      <c r="B49" s="20" t="s">
        <v>24</v>
      </c>
      <c r="C49" s="20" t="s">
        <v>290</v>
      </c>
      <c r="D49" s="20" t="s">
        <v>190</v>
      </c>
      <c r="E49" s="34">
        <f>IF(B49="","",VLOOKUP(B49,dagsoorttabel1,2,FALSE))</f>
        <v>3.1372549019607843E-2</v>
      </c>
      <c r="F49" s="34">
        <v>1</v>
      </c>
      <c r="G49" s="34">
        <f>IF(prodnorm59&gt;0,1/ROUND(prodnorm59,4),0)</f>
        <v>0</v>
      </c>
      <c r="H49" s="36">
        <f>ROUND(dagwerk59,4+2)</f>
        <v>0</v>
      </c>
      <c r="I49" s="37">
        <f>ROUND(uurtarief59,2)</f>
        <v>0</v>
      </c>
      <c r="J49" s="34">
        <v>0</v>
      </c>
      <c r="K49" s="34">
        <v>0</v>
      </c>
      <c r="L49" s="34">
        <v>30.459999999999997</v>
      </c>
      <c r="M49" s="34">
        <v>0</v>
      </c>
      <c r="N49" s="34">
        <v>0</v>
      </c>
      <c r="O49" s="34">
        <v>0</v>
      </c>
      <c r="P49" s="34">
        <v>0</v>
      </c>
    </row>
    <row r="50" spans="1:16" x14ac:dyDescent="0.2">
      <c r="A50" s="20" t="s">
        <v>262</v>
      </c>
      <c r="B50" s="20" t="s">
        <v>25</v>
      </c>
      <c r="C50" s="20" t="s">
        <v>290</v>
      </c>
      <c r="D50" s="20" t="s">
        <v>190</v>
      </c>
      <c r="E50" s="34">
        <f>IF(B50="","",VLOOKUP(B50,dagsoorttabel1,2,FALSE))</f>
        <v>2.3529411764705882E-2</v>
      </c>
      <c r="F50" s="34">
        <v>1</v>
      </c>
      <c r="G50" s="34">
        <f>IF(prodnorm60&gt;0,1/ROUND(prodnorm60,4),0)</f>
        <v>0</v>
      </c>
      <c r="H50" s="36">
        <f>ROUND(dagwerk60,4+2)</f>
        <v>0</v>
      </c>
      <c r="I50" s="37">
        <f>ROUND(uurtarief60,2)</f>
        <v>0</v>
      </c>
      <c r="J50" s="34">
        <v>806.17000000000007</v>
      </c>
      <c r="K50" s="34">
        <v>0</v>
      </c>
      <c r="L50" s="34">
        <v>0</v>
      </c>
      <c r="M50" s="34">
        <v>0</v>
      </c>
      <c r="N50" s="34">
        <v>0</v>
      </c>
      <c r="O50" s="34">
        <v>0</v>
      </c>
      <c r="P50" s="34">
        <v>0</v>
      </c>
    </row>
    <row r="51" spans="1:16" x14ac:dyDescent="0.2">
      <c r="A51" s="20" t="s">
        <v>263</v>
      </c>
      <c r="B51" s="20" t="s">
        <v>23</v>
      </c>
      <c r="C51" s="20" t="s">
        <v>290</v>
      </c>
      <c r="D51" s="20" t="s">
        <v>190</v>
      </c>
      <c r="E51" s="34">
        <f>IF(B51="","",VLOOKUP(B51,dagsoorttabel1,2,FALSE))</f>
        <v>3.9215686274509803E-2</v>
      </c>
      <c r="F51" s="34">
        <v>1</v>
      </c>
      <c r="G51" s="34">
        <f>IF(prodnorm61&gt;0,1/ROUND(prodnorm61,4),0)</f>
        <v>0</v>
      </c>
      <c r="H51" s="36">
        <f>ROUND(dagwerk61,4+2)</f>
        <v>0</v>
      </c>
      <c r="I51" s="37">
        <f>ROUND(uurtarief61,2)</f>
        <v>0</v>
      </c>
      <c r="J51" s="34">
        <v>0</v>
      </c>
      <c r="K51" s="34">
        <v>0</v>
      </c>
      <c r="L51" s="34">
        <v>0</v>
      </c>
      <c r="M51" s="34">
        <v>9.18</v>
      </c>
      <c r="N51" s="34">
        <v>0</v>
      </c>
      <c r="O51" s="34">
        <v>0</v>
      </c>
      <c r="P51" s="34">
        <v>0</v>
      </c>
    </row>
    <row r="52" spans="1:16" x14ac:dyDescent="0.2">
      <c r="A52" s="20" t="s">
        <v>263</v>
      </c>
      <c r="B52" s="20" t="s">
        <v>25</v>
      </c>
      <c r="C52" s="20" t="s">
        <v>290</v>
      </c>
      <c r="D52" s="20" t="s">
        <v>190</v>
      </c>
      <c r="E52" s="34">
        <f>IF(B52="","",VLOOKUP(B52,dagsoorttabel1,2,FALSE))</f>
        <v>2.3529411764705882E-2</v>
      </c>
      <c r="F52" s="34">
        <v>1</v>
      </c>
      <c r="G52" s="34">
        <f>IF(prodnorm62&gt;0,1/ROUND(prodnorm62,4),0)</f>
        <v>0</v>
      </c>
      <c r="H52" s="36">
        <f>ROUND(dagwerk62,4+2)</f>
        <v>0</v>
      </c>
      <c r="I52" s="37">
        <f>ROUND(uurtarief62,2)</f>
        <v>0</v>
      </c>
      <c r="J52" s="34">
        <v>4.3899999999999997</v>
      </c>
      <c r="K52" s="34">
        <v>0</v>
      </c>
      <c r="L52" s="34">
        <v>0</v>
      </c>
      <c r="M52" s="34">
        <v>0</v>
      </c>
      <c r="N52" s="34">
        <v>0</v>
      </c>
      <c r="O52" s="34">
        <v>0</v>
      </c>
      <c r="P52" s="34">
        <v>0</v>
      </c>
    </row>
    <row r="53" spans="1:16" x14ac:dyDescent="0.2">
      <c r="A53" s="20" t="s">
        <v>263</v>
      </c>
      <c r="B53" s="20" t="s">
        <v>24</v>
      </c>
      <c r="C53" s="20" t="s">
        <v>290</v>
      </c>
      <c r="D53" s="20" t="s">
        <v>190</v>
      </c>
      <c r="E53" s="34">
        <f>IF(B53="","",VLOOKUP(B53,dagsoorttabel1,2,FALSE))</f>
        <v>3.1372549019607843E-2</v>
      </c>
      <c r="F53" s="34">
        <v>1</v>
      </c>
      <c r="G53" s="34">
        <f>IF(prodnorm63&gt;0,1/ROUND(prodnorm63,4),0)</f>
        <v>0</v>
      </c>
      <c r="H53" s="36">
        <f>ROUND(dagwerk63,4+2)</f>
        <v>0</v>
      </c>
      <c r="I53" s="37">
        <f>ROUND(uurtarief63,2)</f>
        <v>0</v>
      </c>
      <c r="J53" s="34">
        <v>0</v>
      </c>
      <c r="K53" s="34">
        <v>0</v>
      </c>
      <c r="L53" s="34">
        <v>5.6099999999999994</v>
      </c>
      <c r="M53" s="34">
        <v>0</v>
      </c>
      <c r="N53" s="34">
        <v>0</v>
      </c>
      <c r="O53" s="34">
        <v>0</v>
      </c>
      <c r="P53" s="34">
        <v>0</v>
      </c>
    </row>
    <row r="54" spans="1:16" x14ac:dyDescent="0.2">
      <c r="A54" s="20" t="s">
        <v>264</v>
      </c>
      <c r="B54" s="20" t="s">
        <v>25</v>
      </c>
      <c r="C54" s="20" t="s">
        <v>290</v>
      </c>
      <c r="D54" s="20" t="s">
        <v>190</v>
      </c>
      <c r="E54" s="34">
        <f>IF(B54="","",VLOOKUP(B54,dagsoorttabel1,2,FALSE))</f>
        <v>2.3529411764705882E-2</v>
      </c>
      <c r="F54" s="34">
        <v>1</v>
      </c>
      <c r="G54" s="34">
        <f>IF(prodnorm64&gt;0,1/ROUND(prodnorm64,4),0)</f>
        <v>0</v>
      </c>
      <c r="H54" s="36">
        <f>ROUND(dagwerk64,4+2)</f>
        <v>0</v>
      </c>
      <c r="I54" s="37">
        <f>ROUND(uurtarief64,2)</f>
        <v>0</v>
      </c>
      <c r="J54" s="34">
        <v>229.91</v>
      </c>
      <c r="K54" s="34">
        <v>0</v>
      </c>
      <c r="L54" s="34">
        <v>0</v>
      </c>
      <c r="M54" s="34">
        <v>0</v>
      </c>
      <c r="N54" s="34">
        <v>0</v>
      </c>
      <c r="O54" s="34">
        <v>0</v>
      </c>
      <c r="P54" s="34">
        <v>0</v>
      </c>
    </row>
    <row r="55" spans="1:16" x14ac:dyDescent="0.2">
      <c r="A55" s="20" t="s">
        <v>266</v>
      </c>
      <c r="B55" s="20" t="s">
        <v>25</v>
      </c>
      <c r="C55" s="20" t="s">
        <v>290</v>
      </c>
      <c r="D55" s="20" t="s">
        <v>190</v>
      </c>
      <c r="E55" s="34">
        <f>IF(B55="","",VLOOKUP(B55,dagsoorttabel1,2,FALSE))</f>
        <v>2.3529411764705882E-2</v>
      </c>
      <c r="F55" s="34">
        <v>1</v>
      </c>
      <c r="G55" s="34">
        <f>IF(prodnorm65&gt;0,1/ROUND(prodnorm65,4),0)</f>
        <v>0</v>
      </c>
      <c r="H55" s="36">
        <f>ROUND(dagwerk65,4+2)</f>
        <v>0</v>
      </c>
      <c r="I55" s="37">
        <f>ROUND(uurtarief65,2)</f>
        <v>0</v>
      </c>
      <c r="J55" s="34">
        <v>1394.83</v>
      </c>
      <c r="K55" s="34">
        <v>0</v>
      </c>
      <c r="L55" s="34">
        <v>0</v>
      </c>
      <c r="M55" s="34">
        <v>0</v>
      </c>
      <c r="N55" s="34">
        <v>0</v>
      </c>
      <c r="O55" s="34">
        <v>0</v>
      </c>
      <c r="P55" s="34">
        <v>0</v>
      </c>
    </row>
    <row r="56" spans="1:16" x14ac:dyDescent="0.2">
      <c r="A56" s="20" t="s">
        <v>267</v>
      </c>
      <c r="B56" s="20" t="s">
        <v>23</v>
      </c>
      <c r="C56" s="20" t="s">
        <v>290</v>
      </c>
      <c r="D56" s="20" t="s">
        <v>190</v>
      </c>
      <c r="E56" s="34">
        <f>IF(B56="","",VLOOKUP(B56,dagsoorttabel1,2,FALSE))</f>
        <v>3.9215686274509803E-2</v>
      </c>
      <c r="F56" s="34">
        <v>1</v>
      </c>
      <c r="G56" s="34">
        <f>IF(prodnorm66&gt;0,1/ROUND(prodnorm66,4),0)</f>
        <v>0</v>
      </c>
      <c r="H56" s="36">
        <f>ROUND(dagwerk66,4+2)</f>
        <v>0</v>
      </c>
      <c r="I56" s="37">
        <f>ROUND(uurtarief66,2)</f>
        <v>0</v>
      </c>
      <c r="J56" s="34">
        <v>0</v>
      </c>
      <c r="K56" s="34">
        <v>0</v>
      </c>
      <c r="L56" s="34">
        <v>0</v>
      </c>
      <c r="M56" s="34">
        <v>193.67</v>
      </c>
      <c r="N56" s="34">
        <v>0</v>
      </c>
      <c r="O56" s="34">
        <v>0</v>
      </c>
      <c r="P56" s="34">
        <v>0</v>
      </c>
    </row>
    <row r="57" spans="1:16" x14ac:dyDescent="0.2">
      <c r="A57" s="20" t="s">
        <v>267</v>
      </c>
      <c r="B57" s="20" t="s">
        <v>25</v>
      </c>
      <c r="C57" s="20" t="s">
        <v>290</v>
      </c>
      <c r="D57" s="20" t="s">
        <v>190</v>
      </c>
      <c r="E57" s="34">
        <f>IF(B57="","",VLOOKUP(B57,dagsoorttabel1,2,FALSE))</f>
        <v>2.3529411764705882E-2</v>
      </c>
      <c r="F57" s="34">
        <v>1</v>
      </c>
      <c r="G57" s="34">
        <f>IF(prodnorm67&gt;0,1/ROUND(prodnorm67,4),0)</f>
        <v>0</v>
      </c>
      <c r="H57" s="36">
        <f>ROUND(dagwerk67,4+2)</f>
        <v>0</v>
      </c>
      <c r="I57" s="37">
        <f>ROUND(uurtarief67,2)</f>
        <v>0</v>
      </c>
      <c r="J57" s="34">
        <v>101.42999999999999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</row>
    <row r="58" spans="1:16" x14ac:dyDescent="0.2">
      <c r="A58" s="20" t="s">
        <v>268</v>
      </c>
      <c r="B58" s="20" t="s">
        <v>23</v>
      </c>
      <c r="C58" s="20" t="s">
        <v>290</v>
      </c>
      <c r="D58" s="20" t="s">
        <v>190</v>
      </c>
      <c r="E58" s="34">
        <f>IF(B58="","",VLOOKUP(B58,dagsoorttabel1,2,FALSE))</f>
        <v>3.9215686274509803E-2</v>
      </c>
      <c r="F58" s="34">
        <v>1</v>
      </c>
      <c r="G58" s="34">
        <f>IF(prodnorm68&gt;0,1/ROUND(prodnorm68,4),0)</f>
        <v>0</v>
      </c>
      <c r="H58" s="36">
        <f>ROUND(dagwerk68,4+2)</f>
        <v>0</v>
      </c>
      <c r="I58" s="37">
        <f>ROUND(uurtarief68,2)</f>
        <v>0</v>
      </c>
      <c r="J58" s="34">
        <v>0</v>
      </c>
      <c r="K58" s="34">
        <v>0</v>
      </c>
      <c r="L58" s="34">
        <v>0</v>
      </c>
      <c r="M58" s="34">
        <v>660.79</v>
      </c>
      <c r="N58" s="34">
        <v>0</v>
      </c>
      <c r="O58" s="34">
        <v>0</v>
      </c>
      <c r="P58" s="34">
        <v>0</v>
      </c>
    </row>
    <row r="59" spans="1:16" x14ac:dyDescent="0.2">
      <c r="A59" s="20" t="s">
        <v>268</v>
      </c>
      <c r="B59" s="20" t="s">
        <v>25</v>
      </c>
      <c r="C59" s="20" t="s">
        <v>290</v>
      </c>
      <c r="D59" s="20" t="s">
        <v>190</v>
      </c>
      <c r="E59" s="34">
        <f>IF(B59="","",VLOOKUP(B59,dagsoorttabel1,2,FALSE))</f>
        <v>2.3529411764705882E-2</v>
      </c>
      <c r="F59" s="34">
        <v>1</v>
      </c>
      <c r="G59" s="34">
        <f>IF(prodnorm69&gt;0,1/ROUND(prodnorm69,4),0)</f>
        <v>0</v>
      </c>
      <c r="H59" s="36">
        <f>ROUND(dagwerk69,4+2)</f>
        <v>0</v>
      </c>
      <c r="I59" s="37">
        <f>ROUND(uurtarief69,2)</f>
        <v>0</v>
      </c>
      <c r="J59" s="34">
        <v>79.040000000000006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</row>
    <row r="60" spans="1:16" x14ac:dyDescent="0.2">
      <c r="A60" s="20" t="s">
        <v>268</v>
      </c>
      <c r="B60" s="20" t="s">
        <v>24</v>
      </c>
      <c r="C60" s="20" t="s">
        <v>290</v>
      </c>
      <c r="D60" s="20" t="s">
        <v>190</v>
      </c>
      <c r="E60" s="34">
        <f>IF(B60="","",VLOOKUP(B60,dagsoorttabel1,2,FALSE))</f>
        <v>3.1372549019607843E-2</v>
      </c>
      <c r="F60" s="34">
        <v>1</v>
      </c>
      <c r="G60" s="34">
        <f>IF(prodnorm70&gt;0,1/ROUND(prodnorm70,4),0)</f>
        <v>0</v>
      </c>
      <c r="H60" s="36">
        <f>ROUND(dagwerk70,4+2)</f>
        <v>0</v>
      </c>
      <c r="I60" s="37">
        <f>ROUND(uurtarief70,2)</f>
        <v>0</v>
      </c>
      <c r="J60" s="34">
        <v>0</v>
      </c>
      <c r="K60" s="34">
        <v>0</v>
      </c>
      <c r="L60" s="34">
        <v>214.67000000000002</v>
      </c>
      <c r="M60" s="34">
        <v>0</v>
      </c>
      <c r="N60" s="34">
        <v>0</v>
      </c>
      <c r="O60" s="34">
        <v>0</v>
      </c>
      <c r="P60" s="34">
        <v>0</v>
      </c>
    </row>
    <row r="61" spans="1:16" x14ac:dyDescent="0.2">
      <c r="A61" s="20" t="s">
        <v>269</v>
      </c>
      <c r="B61" s="20" t="s">
        <v>24</v>
      </c>
      <c r="C61" s="20" t="s">
        <v>290</v>
      </c>
      <c r="D61" s="20" t="s">
        <v>190</v>
      </c>
      <c r="E61" s="34">
        <f>IF(B61="","",VLOOKUP(B61,dagsoorttabel1,2,FALSE))</f>
        <v>3.1372549019607843E-2</v>
      </c>
      <c r="F61" s="34">
        <v>1</v>
      </c>
      <c r="G61" s="34">
        <f>IF(prodnorm71&gt;0,1/ROUND(prodnorm71,4),0)</f>
        <v>0</v>
      </c>
      <c r="H61" s="36">
        <f>ROUND(dagwerk71,4+2)</f>
        <v>0</v>
      </c>
      <c r="I61" s="37">
        <f>ROUND(uurtarief71,2)</f>
        <v>0</v>
      </c>
      <c r="J61" s="34">
        <v>0</v>
      </c>
      <c r="K61" s="34">
        <v>0</v>
      </c>
      <c r="L61" s="34">
        <v>16.52</v>
      </c>
      <c r="M61" s="34">
        <v>0</v>
      </c>
      <c r="N61" s="34">
        <v>0</v>
      </c>
      <c r="O61" s="34">
        <v>0</v>
      </c>
      <c r="P61" s="34">
        <v>0</v>
      </c>
    </row>
    <row r="62" spans="1:16" x14ac:dyDescent="0.2">
      <c r="A62" s="20" t="s">
        <v>270</v>
      </c>
      <c r="B62" s="20" t="s">
        <v>23</v>
      </c>
      <c r="C62" s="20" t="s">
        <v>290</v>
      </c>
      <c r="D62" s="20" t="s">
        <v>190</v>
      </c>
      <c r="E62" s="34">
        <f>IF(B62="","",VLOOKUP(B62,dagsoorttabel1,2,FALSE))</f>
        <v>3.9215686274509803E-2</v>
      </c>
      <c r="F62" s="34">
        <v>1</v>
      </c>
      <c r="G62" s="34">
        <f>IF(prodnorm72&gt;0,1/ROUND(prodnorm72,4),0)</f>
        <v>0</v>
      </c>
      <c r="H62" s="36">
        <f>ROUND(dagwerk72,4+2)</f>
        <v>0</v>
      </c>
      <c r="I62" s="37">
        <f>ROUND(uurtarief72,2)</f>
        <v>0</v>
      </c>
      <c r="J62" s="34">
        <v>0</v>
      </c>
      <c r="K62" s="34">
        <v>0</v>
      </c>
      <c r="L62" s="34">
        <v>0</v>
      </c>
      <c r="M62" s="34">
        <v>1558.74</v>
      </c>
      <c r="N62" s="34">
        <v>0</v>
      </c>
      <c r="O62" s="34">
        <v>0</v>
      </c>
      <c r="P62" s="34">
        <v>0</v>
      </c>
    </row>
    <row r="63" spans="1:16" x14ac:dyDescent="0.2">
      <c r="A63" s="20" t="s">
        <v>270</v>
      </c>
      <c r="B63" s="20" t="s">
        <v>25</v>
      </c>
      <c r="C63" s="20" t="s">
        <v>290</v>
      </c>
      <c r="D63" s="20" t="s">
        <v>190</v>
      </c>
      <c r="E63" s="34">
        <f>IF(B63="","",VLOOKUP(B63,dagsoorttabel1,2,FALSE))</f>
        <v>2.3529411764705882E-2</v>
      </c>
      <c r="F63" s="34">
        <v>1</v>
      </c>
      <c r="G63" s="34">
        <f>IF(prodnorm73&gt;0,1/ROUND(prodnorm73,4),0)</f>
        <v>0</v>
      </c>
      <c r="H63" s="36">
        <f>ROUND(dagwerk73,4+2)</f>
        <v>0</v>
      </c>
      <c r="I63" s="37">
        <f>ROUND(uurtarief73,2)</f>
        <v>0</v>
      </c>
      <c r="J63" s="34">
        <v>803.36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</row>
    <row r="64" spans="1:16" x14ac:dyDescent="0.2">
      <c r="A64" s="20" t="s">
        <v>270</v>
      </c>
      <c r="B64" s="20" t="s">
        <v>24</v>
      </c>
      <c r="C64" s="20" t="s">
        <v>290</v>
      </c>
      <c r="D64" s="20" t="s">
        <v>190</v>
      </c>
      <c r="E64" s="34">
        <f>IF(B64="","",VLOOKUP(B64,dagsoorttabel1,2,FALSE))</f>
        <v>3.1372549019607843E-2</v>
      </c>
      <c r="F64" s="34">
        <v>1</v>
      </c>
      <c r="G64" s="34">
        <f>IF(prodnorm74&gt;0,1/ROUND(prodnorm74,4),0)</f>
        <v>0</v>
      </c>
      <c r="H64" s="36">
        <f>ROUND(dagwerk74,4+2)</f>
        <v>0</v>
      </c>
      <c r="I64" s="37">
        <f>ROUND(uurtarief74,2)</f>
        <v>0</v>
      </c>
      <c r="J64" s="34">
        <v>0</v>
      </c>
      <c r="K64" s="34">
        <v>0</v>
      </c>
      <c r="L64" s="34">
        <v>1687.48</v>
      </c>
      <c r="M64" s="34">
        <v>0</v>
      </c>
      <c r="N64" s="34">
        <v>0</v>
      </c>
      <c r="O64" s="34">
        <v>0</v>
      </c>
      <c r="P64" s="34">
        <v>0</v>
      </c>
    </row>
    <row r="65" spans="1:16" x14ac:dyDescent="0.2">
      <c r="A65" s="20" t="s">
        <v>271</v>
      </c>
      <c r="B65" s="20" t="s">
        <v>23</v>
      </c>
      <c r="C65" s="20" t="s">
        <v>290</v>
      </c>
      <c r="D65" s="20" t="s">
        <v>190</v>
      </c>
      <c r="E65" s="34">
        <f>IF(B65="","",VLOOKUP(B65,dagsoorttabel1,2,FALSE))</f>
        <v>3.9215686274509803E-2</v>
      </c>
      <c r="F65" s="34">
        <v>1</v>
      </c>
      <c r="G65" s="34">
        <f>IF(prodnorm75&gt;0,1/ROUND(prodnorm75,4),0)</f>
        <v>0</v>
      </c>
      <c r="H65" s="36">
        <f>ROUND(dagwerk75,4+2)</f>
        <v>0</v>
      </c>
      <c r="I65" s="37">
        <f>ROUND(uurtarief75,2)</f>
        <v>0</v>
      </c>
      <c r="J65" s="34">
        <v>0</v>
      </c>
      <c r="K65" s="34">
        <v>0</v>
      </c>
      <c r="L65" s="34">
        <v>0</v>
      </c>
      <c r="M65" s="34">
        <v>62.51</v>
      </c>
      <c r="N65" s="34">
        <v>0</v>
      </c>
      <c r="O65" s="34">
        <v>0</v>
      </c>
      <c r="P65" s="34">
        <v>0</v>
      </c>
    </row>
    <row r="66" spans="1:16" x14ac:dyDescent="0.2">
      <c r="A66" s="20" t="s">
        <v>271</v>
      </c>
      <c r="B66" s="20" t="s">
        <v>25</v>
      </c>
      <c r="C66" s="20" t="s">
        <v>290</v>
      </c>
      <c r="D66" s="20" t="s">
        <v>190</v>
      </c>
      <c r="E66" s="34">
        <f>IF(B66="","",VLOOKUP(B66,dagsoorttabel1,2,FALSE))</f>
        <v>2.3529411764705882E-2</v>
      </c>
      <c r="F66" s="34">
        <v>1</v>
      </c>
      <c r="G66" s="34">
        <f>IF(prodnorm76&gt;0,1/ROUND(prodnorm76,4),0)</f>
        <v>0</v>
      </c>
      <c r="H66" s="36">
        <f>ROUND(dagwerk76,4+2)</f>
        <v>0</v>
      </c>
      <c r="I66" s="37">
        <f>ROUND(uurtarief76,2)</f>
        <v>0</v>
      </c>
      <c r="J66" s="34">
        <v>10.870000000000001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</row>
    <row r="67" spans="1:16" x14ac:dyDescent="0.2">
      <c r="A67" s="25" t="s">
        <v>271</v>
      </c>
      <c r="B67" s="25" t="s">
        <v>24</v>
      </c>
      <c r="C67" s="25" t="s">
        <v>290</v>
      </c>
      <c r="D67" s="25" t="s">
        <v>190</v>
      </c>
      <c r="E67" s="38">
        <f>IF(B67="","",VLOOKUP(B67,dagsoorttabel1,2,FALSE))</f>
        <v>3.1372549019607843E-2</v>
      </c>
      <c r="F67" s="38">
        <v>1</v>
      </c>
      <c r="G67" s="38">
        <f>IF(prodnorm77&gt;0,1/ROUND(prodnorm77,4),0)</f>
        <v>0</v>
      </c>
      <c r="H67" s="49">
        <f>ROUND(dagwerk77,4+2)</f>
        <v>0</v>
      </c>
      <c r="I67" s="40">
        <f>ROUND(uurtarief77,2)</f>
        <v>0</v>
      </c>
      <c r="J67" s="38">
        <v>0</v>
      </c>
      <c r="K67" s="38">
        <v>0</v>
      </c>
      <c r="L67" s="38">
        <v>37.83</v>
      </c>
      <c r="M67" s="38">
        <v>0</v>
      </c>
      <c r="N67" s="38">
        <v>0</v>
      </c>
      <c r="O67" s="38">
        <v>0</v>
      </c>
      <c r="P67" s="38">
        <v>0</v>
      </c>
    </row>
    <row r="68" spans="1:16" x14ac:dyDescent="0.2">
      <c r="A68" s="41" t="s">
        <v>272</v>
      </c>
      <c r="B68" s="42"/>
      <c r="C68" s="42"/>
      <c r="D68" s="42"/>
      <c r="E68" s="42"/>
      <c r="F68" s="42"/>
      <c r="G68" s="42"/>
      <c r="H68" s="42"/>
      <c r="I68" s="42"/>
      <c r="J68" s="53"/>
      <c r="K68" s="53"/>
      <c r="L68" s="53"/>
      <c r="M68" s="53"/>
      <c r="N68" s="53"/>
      <c r="O68" s="53"/>
      <c r="P68" s="53"/>
    </row>
  </sheetData>
  <pageMargins left="0.7" right="0.7" top="0.75" bottom="0.75" header="0.3" footer="0.3"/>
  <pageSetup paperSize="9" scale="70" orientation="landscape" horizontalDpi="4294967295" verticalDpi="4294967295" r:id="rId1"/>
  <headerFooter>
    <oddFooter>&amp;LROC Midden Nederland EA 2022                                &amp;ROpmaakdatum: 19-05-2022
Intexso - De Start 5 - Leusden
+31 (33) 2778485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7A90D0-B439-41E6-A633-21D09C784E3F}">
  <dimension ref="A1:R25"/>
  <sheetViews>
    <sheetView workbookViewId="0"/>
  </sheetViews>
  <sheetFormatPr defaultRowHeight="12.75" x14ac:dyDescent="0.2"/>
  <cols>
    <col min="1" max="1" width="8.625" customWidth="1"/>
    <col min="2" max="2" width="28.625" customWidth="1"/>
    <col min="3" max="4" width="15.625" customWidth="1"/>
    <col min="5" max="5" width="6.125" customWidth="1"/>
    <col min="6" max="6" width="10.625" customWidth="1"/>
    <col min="7" max="14" width="12.125" customWidth="1"/>
    <col min="15" max="16" width="12.625" customWidth="1"/>
    <col min="17" max="18" width="13.625" customWidth="1"/>
  </cols>
  <sheetData>
    <row r="1" spans="1:18" x14ac:dyDescent="0.2">
      <c r="A1" s="1" t="str">
        <f>CONCATENATE("Bijlage I3.3: ",tabeltype," objecten")</f>
        <v>Bijlage I3.3: Invultabel objecten</v>
      </c>
    </row>
    <row r="3" spans="1:18" ht="51" x14ac:dyDescent="0.2">
      <c r="A3" s="8" t="s">
        <v>291</v>
      </c>
      <c r="B3" s="8" t="s">
        <v>292</v>
      </c>
      <c r="C3" s="8" t="s">
        <v>293</v>
      </c>
      <c r="D3" s="8" t="s">
        <v>294</v>
      </c>
      <c r="E3" s="8" t="s">
        <v>7</v>
      </c>
      <c r="F3" s="8" t="s">
        <v>295</v>
      </c>
      <c r="G3" s="8" t="s">
        <v>296</v>
      </c>
      <c r="H3" s="8" t="s">
        <v>297</v>
      </c>
      <c r="I3" s="8" t="s">
        <v>298</v>
      </c>
      <c r="J3" s="8" t="s">
        <v>299</v>
      </c>
      <c r="K3" s="8" t="s">
        <v>300</v>
      </c>
      <c r="L3" s="8" t="s">
        <v>301</v>
      </c>
      <c r="M3" s="8" t="s">
        <v>302</v>
      </c>
      <c r="N3" s="8" t="s">
        <v>303</v>
      </c>
      <c r="O3" s="8" t="s">
        <v>304</v>
      </c>
      <c r="P3" s="8" t="s">
        <v>187</v>
      </c>
      <c r="Q3" s="8" t="s">
        <v>305</v>
      </c>
      <c r="R3" s="8" t="s">
        <v>306</v>
      </c>
    </row>
    <row r="4" spans="1:18" x14ac:dyDescent="0.2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1"/>
    </row>
    <row r="5" spans="1:18" x14ac:dyDescent="0.2">
      <c r="A5" s="12" t="s">
        <v>38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4"/>
    </row>
    <row r="6" spans="1:18" x14ac:dyDescent="0.2">
      <c r="A6" s="15" t="s">
        <v>307</v>
      </c>
      <c r="B6" s="15" t="s">
        <v>308</v>
      </c>
      <c r="C6" s="15" t="s">
        <v>309</v>
      </c>
      <c r="D6" s="15" t="s">
        <v>310</v>
      </c>
      <c r="E6" s="54" t="s">
        <v>11</v>
      </c>
      <c r="F6" s="55">
        <f>gemuurtarief1</f>
        <v>0</v>
      </c>
      <c r="G6" s="30">
        <f>SUMPRODUCT(taakfreqtabel1,uurfactortabel1,kengetaltabel1,object1_opptabel1)*(1/VLOOKUP(E6,dagsoorttabel1,2,FALSE))</f>
        <v>0</v>
      </c>
      <c r="H6" s="30">
        <f>SUMPRODUCT(dagwerktabel1,taakfreqtabel1,uurfactortabel1,kengetaltabel1,object1_opptabel1)*(1/VLOOKUP(E6,dagsoorttabel1,2,FALSE))</f>
        <v>0</v>
      </c>
      <c r="I6" s="56"/>
      <c r="J6" s="30">
        <f>H6+I6</f>
        <v>0</v>
      </c>
      <c r="K6" s="30">
        <f>G6+I6</f>
        <v>0</v>
      </c>
      <c r="L6" s="33">
        <f>SUMPRODUCT(taakfreqtabel1,kengetaltabel1,tarieftabel1,object1_opptabel1)*(1/VLOOKUP(E6,dagsoorttabel1,2,FALSE))</f>
        <v>0</v>
      </c>
      <c r="M6" s="33">
        <f>F6*I6</f>
        <v>0</v>
      </c>
      <c r="N6" s="33">
        <f>SUM(L6:M6)</f>
        <v>0</v>
      </c>
      <c r="O6" s="30">
        <f>J6*dagenperjaar1*VLOOKUP(E6,dagsoorttabel1,2,FALSE)</f>
        <v>0</v>
      </c>
      <c r="P6" s="30">
        <f>K6*dagenperjaar1*VLOOKUP(E6,dagsoorttabel1,2,FALSE)</f>
        <v>0</v>
      </c>
      <c r="Q6" s="33">
        <f>N6*dagenperjaar1*VLOOKUP(E6,dagsoorttabel1,2,FALSE)</f>
        <v>0</v>
      </c>
      <c r="R6" s="33">
        <f>Q6/12</f>
        <v>0</v>
      </c>
    </row>
    <row r="7" spans="1:18" x14ac:dyDescent="0.2">
      <c r="A7" s="20" t="s">
        <v>311</v>
      </c>
      <c r="B7" s="20" t="s">
        <v>312</v>
      </c>
      <c r="C7" s="20" t="s">
        <v>313</v>
      </c>
      <c r="D7" s="20" t="s">
        <v>310</v>
      </c>
      <c r="E7" s="57" t="s">
        <v>11</v>
      </c>
      <c r="F7" s="58">
        <f>gemuurtarief1</f>
        <v>0</v>
      </c>
      <c r="G7" s="34">
        <f>SUMPRODUCT(taakfreqtabel1,uurfactortabel1,kengetaltabel1,object2_opptabel1)*(1/VLOOKUP(E7,dagsoorttabel1,2,FALSE))</f>
        <v>0</v>
      </c>
      <c r="H7" s="34">
        <f>SUMPRODUCT(dagwerktabel1,taakfreqtabel1,uurfactortabel1,kengetaltabel1,object2_opptabel1)*(1/VLOOKUP(E7,dagsoorttabel1,2,FALSE))</f>
        <v>0</v>
      </c>
      <c r="I7" s="59"/>
      <c r="J7" s="34">
        <f>H7+I7</f>
        <v>0</v>
      </c>
      <c r="K7" s="34">
        <f>G7+I7</f>
        <v>0</v>
      </c>
      <c r="L7" s="37">
        <f>SUMPRODUCT(taakfreqtabel1,kengetaltabel1,tarieftabel1,object2_opptabel1)*(1/VLOOKUP(E7,dagsoorttabel1,2,FALSE))</f>
        <v>0</v>
      </c>
      <c r="M7" s="37">
        <f>F7*I7</f>
        <v>0</v>
      </c>
      <c r="N7" s="37">
        <f>SUM(L7:M7)</f>
        <v>0</v>
      </c>
      <c r="O7" s="34">
        <f>J7*dagenperjaar1*VLOOKUP(E7,dagsoorttabel1,2,FALSE)</f>
        <v>0</v>
      </c>
      <c r="P7" s="34">
        <f>K7*dagenperjaar1*VLOOKUP(E7,dagsoorttabel1,2,FALSE)</f>
        <v>0</v>
      </c>
      <c r="Q7" s="37">
        <f>N7*dagenperjaar1*VLOOKUP(E7,dagsoorttabel1,2,FALSE)</f>
        <v>0</v>
      </c>
      <c r="R7" s="37">
        <f>Q7/12</f>
        <v>0</v>
      </c>
    </row>
    <row r="8" spans="1:18" x14ac:dyDescent="0.2">
      <c r="A8" s="20" t="s">
        <v>314</v>
      </c>
      <c r="B8" s="20" t="s">
        <v>315</v>
      </c>
      <c r="C8" s="20" t="s">
        <v>316</v>
      </c>
      <c r="D8" s="20" t="s">
        <v>310</v>
      </c>
      <c r="E8" s="57" t="s">
        <v>11</v>
      </c>
      <c r="F8" s="58">
        <f>gemuurtarief1</f>
        <v>0</v>
      </c>
      <c r="G8" s="34">
        <f>SUMPRODUCT(taakfreqtabel1,uurfactortabel1,kengetaltabel1,object3_opptabel1)*(1/VLOOKUP(E8,dagsoorttabel1,2,FALSE))</f>
        <v>0</v>
      </c>
      <c r="H8" s="34">
        <f>SUMPRODUCT(dagwerktabel1,taakfreqtabel1,uurfactortabel1,kengetaltabel1,object3_opptabel1)*(1/VLOOKUP(E8,dagsoorttabel1,2,FALSE))</f>
        <v>0</v>
      </c>
      <c r="I8" s="59"/>
      <c r="J8" s="34">
        <f>H8+I8</f>
        <v>0</v>
      </c>
      <c r="K8" s="34">
        <f>G8+I8</f>
        <v>0</v>
      </c>
      <c r="L8" s="37">
        <f>SUMPRODUCT(taakfreqtabel1,kengetaltabel1,tarieftabel1,object3_opptabel1)*(1/VLOOKUP(E8,dagsoorttabel1,2,FALSE))</f>
        <v>0</v>
      </c>
      <c r="M8" s="37">
        <f>F8*I8</f>
        <v>0</v>
      </c>
      <c r="N8" s="37">
        <f>SUM(L8:M8)</f>
        <v>0</v>
      </c>
      <c r="O8" s="34">
        <f>J8*dagenperjaar1*VLOOKUP(E8,dagsoorttabel1,2,FALSE)</f>
        <v>0</v>
      </c>
      <c r="P8" s="34">
        <f>K8*dagenperjaar1*VLOOKUP(E8,dagsoorttabel1,2,FALSE)</f>
        <v>0</v>
      </c>
      <c r="Q8" s="37">
        <f>N8*dagenperjaar1*VLOOKUP(E8,dagsoorttabel1,2,FALSE)</f>
        <v>0</v>
      </c>
      <c r="R8" s="37">
        <f>Q8/12</f>
        <v>0</v>
      </c>
    </row>
    <row r="9" spans="1:18" x14ac:dyDescent="0.2">
      <c r="A9" s="20" t="s">
        <v>317</v>
      </c>
      <c r="B9" s="20" t="s">
        <v>318</v>
      </c>
      <c r="C9" s="20" t="s">
        <v>319</v>
      </c>
      <c r="D9" s="20" t="s">
        <v>320</v>
      </c>
      <c r="E9" s="57" t="s">
        <v>11</v>
      </c>
      <c r="F9" s="58">
        <f>gemuurtarief1</f>
        <v>0</v>
      </c>
      <c r="G9" s="34">
        <f>SUMPRODUCT(taakfreqtabel1,uurfactortabel1,kengetaltabel1,object4_opptabel1)*(1/VLOOKUP(E9,dagsoorttabel1,2,FALSE))</f>
        <v>0</v>
      </c>
      <c r="H9" s="34">
        <f>SUMPRODUCT(dagwerktabel1,taakfreqtabel1,uurfactortabel1,kengetaltabel1,object4_opptabel1)*(1/VLOOKUP(E9,dagsoorttabel1,2,FALSE))</f>
        <v>0</v>
      </c>
      <c r="I9" s="59"/>
      <c r="J9" s="34">
        <f>H9+I9</f>
        <v>0</v>
      </c>
      <c r="K9" s="34">
        <f>G9+I9</f>
        <v>0</v>
      </c>
      <c r="L9" s="37">
        <f>SUMPRODUCT(taakfreqtabel1,kengetaltabel1,tarieftabel1,object4_opptabel1)*(1/VLOOKUP(E9,dagsoorttabel1,2,FALSE))</f>
        <v>0</v>
      </c>
      <c r="M9" s="37">
        <f>F9*I9</f>
        <v>0</v>
      </c>
      <c r="N9" s="37">
        <f>SUM(L9:M9)</f>
        <v>0</v>
      </c>
      <c r="O9" s="34">
        <f>J9*dagenperjaar1*VLOOKUP(E9,dagsoorttabel1,2,FALSE)</f>
        <v>0</v>
      </c>
      <c r="P9" s="34">
        <f>K9*dagenperjaar1*VLOOKUP(E9,dagsoorttabel1,2,FALSE)</f>
        <v>0</v>
      </c>
      <c r="Q9" s="37">
        <f>N9*dagenperjaar1*VLOOKUP(E9,dagsoorttabel1,2,FALSE)</f>
        <v>0</v>
      </c>
      <c r="R9" s="37">
        <f>Q9/12</f>
        <v>0</v>
      </c>
    </row>
    <row r="10" spans="1:18" x14ac:dyDescent="0.2">
      <c r="A10" s="20" t="s">
        <v>321</v>
      </c>
      <c r="B10" s="20" t="s">
        <v>322</v>
      </c>
      <c r="C10" s="20" t="s">
        <v>323</v>
      </c>
      <c r="D10" s="20" t="s">
        <v>310</v>
      </c>
      <c r="E10" s="57" t="s">
        <v>11</v>
      </c>
      <c r="F10" s="58">
        <f>gemuurtarief1</f>
        <v>0</v>
      </c>
      <c r="G10" s="34">
        <f>SUMPRODUCT(taakfreqtabel1,uurfactortabel1,kengetaltabel1,object5_opptabel1)*(1/VLOOKUP(E10,dagsoorttabel1,2,FALSE))</f>
        <v>0</v>
      </c>
      <c r="H10" s="34">
        <f>SUMPRODUCT(dagwerktabel1,taakfreqtabel1,uurfactortabel1,kengetaltabel1,object5_opptabel1)*(1/VLOOKUP(E10,dagsoorttabel1,2,FALSE))</f>
        <v>0</v>
      </c>
      <c r="I10" s="59"/>
      <c r="J10" s="34">
        <f>H10+I10</f>
        <v>0</v>
      </c>
      <c r="K10" s="34">
        <f>G10+I10</f>
        <v>0</v>
      </c>
      <c r="L10" s="37">
        <f>SUMPRODUCT(taakfreqtabel1,kengetaltabel1,tarieftabel1,object5_opptabel1)*(1/VLOOKUP(E10,dagsoorttabel1,2,FALSE))</f>
        <v>0</v>
      </c>
      <c r="M10" s="37">
        <f>F10*I10</f>
        <v>0</v>
      </c>
      <c r="N10" s="37">
        <f>SUM(L10:M10)</f>
        <v>0</v>
      </c>
      <c r="O10" s="34">
        <f>J10*dagenperjaar1*VLOOKUP(E10,dagsoorttabel1,2,FALSE)</f>
        <v>0</v>
      </c>
      <c r="P10" s="34">
        <f>K10*dagenperjaar1*VLOOKUP(E10,dagsoorttabel1,2,FALSE)</f>
        <v>0</v>
      </c>
      <c r="Q10" s="37">
        <f>N10*dagenperjaar1*VLOOKUP(E10,dagsoorttabel1,2,FALSE)</f>
        <v>0</v>
      </c>
      <c r="R10" s="37">
        <f>Q10/12</f>
        <v>0</v>
      </c>
    </row>
    <row r="11" spans="1:18" x14ac:dyDescent="0.2">
      <c r="A11" s="20" t="s">
        <v>324</v>
      </c>
      <c r="B11" s="20" t="s">
        <v>325</v>
      </c>
      <c r="C11" s="20" t="s">
        <v>326</v>
      </c>
      <c r="D11" s="20" t="s">
        <v>310</v>
      </c>
      <c r="E11" s="57" t="s">
        <v>11</v>
      </c>
      <c r="F11" s="58">
        <f>gemuurtarief1</f>
        <v>0</v>
      </c>
      <c r="G11" s="34">
        <f>SUMPRODUCT(taakfreqtabel1,uurfactortabel1,kengetaltabel1,object6_opptabel1)*(1/VLOOKUP(E11,dagsoorttabel1,2,FALSE))</f>
        <v>0</v>
      </c>
      <c r="H11" s="34">
        <f>SUMPRODUCT(dagwerktabel1,taakfreqtabel1,uurfactortabel1,kengetaltabel1,object6_opptabel1)*(1/VLOOKUP(E11,dagsoorttabel1,2,FALSE))</f>
        <v>0</v>
      </c>
      <c r="I11" s="59"/>
      <c r="J11" s="34">
        <f>H11+I11</f>
        <v>0</v>
      </c>
      <c r="K11" s="34">
        <f>G11+I11</f>
        <v>0</v>
      </c>
      <c r="L11" s="37">
        <f>SUMPRODUCT(taakfreqtabel1,kengetaltabel1,tarieftabel1,object6_opptabel1)*(1/VLOOKUP(E11,dagsoorttabel1,2,FALSE))</f>
        <v>0</v>
      </c>
      <c r="M11" s="37">
        <f>F11*I11</f>
        <v>0</v>
      </c>
      <c r="N11" s="37">
        <f>SUM(L11:M11)</f>
        <v>0</v>
      </c>
      <c r="O11" s="34">
        <f>J11*dagenperjaar1*VLOOKUP(E11,dagsoorttabel1,2,FALSE)</f>
        <v>0</v>
      </c>
      <c r="P11" s="34">
        <f>K11*dagenperjaar1*VLOOKUP(E11,dagsoorttabel1,2,FALSE)</f>
        <v>0</v>
      </c>
      <c r="Q11" s="37">
        <f>N11*dagenperjaar1*VLOOKUP(E11,dagsoorttabel1,2,FALSE)</f>
        <v>0</v>
      </c>
      <c r="R11" s="37">
        <f>Q11/12</f>
        <v>0</v>
      </c>
    </row>
    <row r="12" spans="1:18" x14ac:dyDescent="0.2">
      <c r="A12" s="25" t="s">
        <v>327</v>
      </c>
      <c r="B12" s="25" t="s">
        <v>328</v>
      </c>
      <c r="C12" s="25" t="s">
        <v>329</v>
      </c>
      <c r="D12" s="25" t="s">
        <v>310</v>
      </c>
      <c r="E12" s="60" t="s">
        <v>11</v>
      </c>
      <c r="F12" s="61">
        <f>gemuurtarief1</f>
        <v>0</v>
      </c>
      <c r="G12" s="38">
        <f>SUMPRODUCT(taakfreqtabel1,uurfactortabel1,kengetaltabel1,object7_opptabel1)*(1/VLOOKUP(E12,dagsoorttabel1,2,FALSE))</f>
        <v>0</v>
      </c>
      <c r="H12" s="38">
        <f>SUMPRODUCT(dagwerktabel1,taakfreqtabel1,uurfactortabel1,kengetaltabel1,object7_opptabel1)*(1/VLOOKUP(E12,dagsoorttabel1,2,FALSE))</f>
        <v>0</v>
      </c>
      <c r="I12" s="62"/>
      <c r="J12" s="38">
        <f>H12+I12</f>
        <v>0</v>
      </c>
      <c r="K12" s="38">
        <f>G12+I12</f>
        <v>0</v>
      </c>
      <c r="L12" s="40">
        <f>SUMPRODUCT(taakfreqtabel1,kengetaltabel1,tarieftabel1,object7_opptabel1)*(1/VLOOKUP(E12,dagsoorttabel1,2,FALSE))</f>
        <v>0</v>
      </c>
      <c r="M12" s="40">
        <f>F12*I12</f>
        <v>0</v>
      </c>
      <c r="N12" s="40">
        <f>SUM(L12:M12)</f>
        <v>0</v>
      </c>
      <c r="O12" s="38">
        <f>J12*dagenperjaar1*VLOOKUP(E12,dagsoorttabel1,2,FALSE)</f>
        <v>0</v>
      </c>
      <c r="P12" s="38">
        <f>K12*dagenperjaar1*VLOOKUP(E12,dagsoorttabel1,2,FALSE)</f>
        <v>0</v>
      </c>
      <c r="Q12" s="40">
        <f>N12*dagenperjaar1*VLOOKUP(E12,dagsoorttabel1,2,FALSE)</f>
        <v>0</v>
      </c>
      <c r="R12" s="40">
        <f>Q12/12</f>
        <v>0</v>
      </c>
    </row>
    <row r="13" spans="1:18" x14ac:dyDescent="0.2">
      <c r="A13" s="41" t="s">
        <v>253</v>
      </c>
      <c r="B13" s="42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3">
        <f>SUM(O6:O12)</f>
        <v>0</v>
      </c>
      <c r="P13" s="43">
        <f>SUM(P6:P12)</f>
        <v>0</v>
      </c>
      <c r="Q13" s="44">
        <f>SUM(Q6:Q12)</f>
        <v>0</v>
      </c>
      <c r="R13" s="45">
        <f>SUM(R6:R12)</f>
        <v>0</v>
      </c>
    </row>
    <row r="14" spans="1:18" x14ac:dyDescent="0.2">
      <c r="A14" s="46"/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7"/>
    </row>
    <row r="15" spans="1:18" x14ac:dyDescent="0.2">
      <c r="A15" s="9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1"/>
    </row>
    <row r="16" spans="1:18" x14ac:dyDescent="0.2">
      <c r="A16" s="12" t="s">
        <v>163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4"/>
    </row>
    <row r="17" spans="1:18" x14ac:dyDescent="0.2">
      <c r="A17" s="15" t="s">
        <v>307</v>
      </c>
      <c r="B17" s="15" t="s">
        <v>308</v>
      </c>
      <c r="C17" s="15" t="s">
        <v>309</v>
      </c>
      <c r="D17" s="15" t="s">
        <v>310</v>
      </c>
      <c r="E17" s="54" t="s">
        <v>25</v>
      </c>
      <c r="F17" s="55">
        <f>gemuurtarief2</f>
        <v>0</v>
      </c>
      <c r="G17" s="30">
        <f>SUMPRODUCT(taakfreqtabel2,uurfactortabel2,kengetaltabel2,object1_opptabel2)*(1/VLOOKUP(E17,dagsoorttabel1,2,FALSE))</f>
        <v>0</v>
      </c>
      <c r="H17" s="30">
        <f>SUMPRODUCT(dagwerktabel2,taakfreqtabel2,uurfactortabel2,kengetaltabel2,object1_opptabel2)*(1/VLOOKUP(E17,dagsoorttabel1,2,FALSE))</f>
        <v>0</v>
      </c>
      <c r="I17" s="56"/>
      <c r="J17" s="30">
        <f>H17+I17</f>
        <v>0</v>
      </c>
      <c r="K17" s="30">
        <f>G17+I17</f>
        <v>0</v>
      </c>
      <c r="L17" s="33">
        <f>SUMPRODUCT(taakfreqtabel2,kengetaltabel2,tarieftabel2,object1_opptabel2)*(1/VLOOKUP(E17,dagsoorttabel1,2,FALSE))</f>
        <v>0</v>
      </c>
      <c r="M17" s="33">
        <f>F17*I17</f>
        <v>0</v>
      </c>
      <c r="N17" s="33">
        <f>SUM(L17:M17)</f>
        <v>0</v>
      </c>
      <c r="O17" s="30">
        <f>J17*dagenperjaar1*VLOOKUP(E17,dagsoorttabel1,2,FALSE)</f>
        <v>0</v>
      </c>
      <c r="P17" s="30">
        <f>K17*dagenperjaar1*VLOOKUP(E17,dagsoorttabel1,2,FALSE)</f>
        <v>0</v>
      </c>
      <c r="Q17" s="33">
        <f>N17*dagenperjaar1*VLOOKUP(E17,dagsoorttabel1,2,FALSE)</f>
        <v>0</v>
      </c>
      <c r="R17" s="33">
        <f>Q17/12</f>
        <v>0</v>
      </c>
    </row>
    <row r="18" spans="1:18" x14ac:dyDescent="0.2">
      <c r="A18" s="20" t="s">
        <v>314</v>
      </c>
      <c r="B18" s="20" t="s">
        <v>315</v>
      </c>
      <c r="C18" s="20" t="s">
        <v>316</v>
      </c>
      <c r="D18" s="20" t="s">
        <v>310</v>
      </c>
      <c r="E18" s="57" t="s">
        <v>24</v>
      </c>
      <c r="F18" s="58">
        <f>gemuurtarief2</f>
        <v>0</v>
      </c>
      <c r="G18" s="34">
        <f>SUMPRODUCT(taakfreqtabel2,uurfactortabel2,kengetaltabel2,object3_opptabel2)*(1/VLOOKUP(E18,dagsoorttabel1,2,FALSE))</f>
        <v>0</v>
      </c>
      <c r="H18" s="34">
        <f>SUMPRODUCT(dagwerktabel2,taakfreqtabel2,uurfactortabel2,kengetaltabel2,object3_opptabel2)*(1/VLOOKUP(E18,dagsoorttabel1,2,FALSE))</f>
        <v>0</v>
      </c>
      <c r="I18" s="59"/>
      <c r="J18" s="34">
        <f>H18+I18</f>
        <v>0</v>
      </c>
      <c r="K18" s="34">
        <f>G18+I18</f>
        <v>0</v>
      </c>
      <c r="L18" s="37">
        <f>SUMPRODUCT(taakfreqtabel2,kengetaltabel2,tarieftabel2,object3_opptabel2)*(1/VLOOKUP(E18,dagsoorttabel1,2,FALSE))</f>
        <v>0</v>
      </c>
      <c r="M18" s="37">
        <f>F18*I18</f>
        <v>0</v>
      </c>
      <c r="N18" s="37">
        <f>SUM(L18:M18)</f>
        <v>0</v>
      </c>
      <c r="O18" s="34">
        <f>J18*dagenperjaar1*VLOOKUP(E18,dagsoorttabel1,2,FALSE)</f>
        <v>0</v>
      </c>
      <c r="P18" s="34">
        <f>K18*dagenperjaar1*VLOOKUP(E18,dagsoorttabel1,2,FALSE)</f>
        <v>0</v>
      </c>
      <c r="Q18" s="37">
        <f>N18*dagenperjaar1*VLOOKUP(E18,dagsoorttabel1,2,FALSE)</f>
        <v>0</v>
      </c>
      <c r="R18" s="37">
        <f>Q18/12</f>
        <v>0</v>
      </c>
    </row>
    <row r="19" spans="1:18" x14ac:dyDescent="0.2">
      <c r="A19" s="25" t="s">
        <v>317</v>
      </c>
      <c r="B19" s="25" t="s">
        <v>318</v>
      </c>
      <c r="C19" s="25" t="s">
        <v>319</v>
      </c>
      <c r="D19" s="25" t="s">
        <v>320</v>
      </c>
      <c r="E19" s="60" t="s">
        <v>23</v>
      </c>
      <c r="F19" s="61">
        <f>gemuurtarief2</f>
        <v>0</v>
      </c>
      <c r="G19" s="38">
        <f>SUMPRODUCT(taakfreqtabel2,uurfactortabel2,kengetaltabel2,object4_opptabel2)*(1/VLOOKUP(E19,dagsoorttabel1,2,FALSE))</f>
        <v>0</v>
      </c>
      <c r="H19" s="38">
        <f>SUMPRODUCT(dagwerktabel2,taakfreqtabel2,uurfactortabel2,kengetaltabel2,object4_opptabel2)*(1/VLOOKUP(E19,dagsoorttabel1,2,FALSE))</f>
        <v>0</v>
      </c>
      <c r="I19" s="62"/>
      <c r="J19" s="38">
        <f>H19+I19</f>
        <v>0</v>
      </c>
      <c r="K19" s="38">
        <f>G19+I19</f>
        <v>0</v>
      </c>
      <c r="L19" s="40">
        <f>SUMPRODUCT(taakfreqtabel2,kengetaltabel2,tarieftabel2,object4_opptabel2)*(1/VLOOKUP(E19,dagsoorttabel1,2,FALSE))</f>
        <v>0</v>
      </c>
      <c r="M19" s="40">
        <f>F19*I19</f>
        <v>0</v>
      </c>
      <c r="N19" s="40">
        <f>SUM(L19:M19)</f>
        <v>0</v>
      </c>
      <c r="O19" s="38">
        <f>J19*dagenperjaar1*VLOOKUP(E19,dagsoorttabel1,2,FALSE)</f>
        <v>0</v>
      </c>
      <c r="P19" s="38">
        <f>K19*dagenperjaar1*VLOOKUP(E19,dagsoorttabel1,2,FALSE)</f>
        <v>0</v>
      </c>
      <c r="Q19" s="40">
        <f>N19*dagenperjaar1*VLOOKUP(E19,dagsoorttabel1,2,FALSE)</f>
        <v>0</v>
      </c>
      <c r="R19" s="40">
        <f>Q19/12</f>
        <v>0</v>
      </c>
    </row>
    <row r="20" spans="1:18" x14ac:dyDescent="0.2">
      <c r="A20" s="41" t="s">
        <v>272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3">
        <f>SUM(O17:O19)</f>
        <v>0</v>
      </c>
      <c r="P20" s="43">
        <f>SUM(P17:P19)</f>
        <v>0</v>
      </c>
      <c r="Q20" s="44">
        <f>SUM(Q17:Q19)</f>
        <v>0</v>
      </c>
      <c r="R20" s="45">
        <f>SUM(R17:R19)</f>
        <v>0</v>
      </c>
    </row>
    <row r="21" spans="1:18" x14ac:dyDescent="0.2">
      <c r="A21" s="46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7"/>
    </row>
    <row r="23" spans="1:18" x14ac:dyDescent="0.2">
      <c r="A23" s="41" t="s">
        <v>330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3">
        <f>urenjaartotaalhf1+urenjaartotaalhf2</f>
        <v>0</v>
      </c>
      <c r="P23" s="43">
        <f>urenjaartotaal1+urenjaartotaal2</f>
        <v>0</v>
      </c>
      <c r="Q23" s="44">
        <f>prijsjaartotaal1+prijsjaartotaal2</f>
        <v>0</v>
      </c>
      <c r="R23" s="44">
        <f>prijsmaandtotaal1+prijsmaandtotaal2</f>
        <v>0</v>
      </c>
    </row>
    <row r="25" spans="1:18" x14ac:dyDescent="0.2">
      <c r="A25" s="41" t="s">
        <v>331</v>
      </c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4">
        <f>Q23*1.21</f>
        <v>0</v>
      </c>
      <c r="R25" s="44">
        <f>R23*1.21</f>
        <v>0</v>
      </c>
    </row>
  </sheetData>
  <pageMargins left="0.7" right="0.7" top="0.75" bottom="0.75" header="0.3" footer="0.3"/>
  <pageSetup paperSize="9" scale="65" orientation="landscape" horizontalDpi="4294967295" verticalDpi="4294967295" r:id="rId1"/>
  <headerFooter>
    <oddFooter>&amp;LROC Midden Nederland EA 2022                                &amp;ROpmaakdatum: 19-05-2022
Intexso - De Start 5 - Leusden
+31 (33) 2778485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251103-82DE-4E24-BFB5-3B7C9BC3E6BD}">
  <dimension ref="A1:K105"/>
  <sheetViews>
    <sheetView workbookViewId="0"/>
  </sheetViews>
  <sheetFormatPr defaultRowHeight="12.75" x14ac:dyDescent="0.2"/>
  <cols>
    <col min="1" max="1" width="7.625" customWidth="1"/>
    <col min="2" max="2" width="6.625" customWidth="1"/>
    <col min="3" max="3" width="7.625" customWidth="1"/>
    <col min="4" max="4" width="40.625" customWidth="1"/>
    <col min="5" max="5" width="11.625" customWidth="1"/>
    <col min="6" max="7" width="14.625" customWidth="1"/>
    <col min="8" max="8" width="12.625" customWidth="1"/>
    <col min="9" max="10" width="14.625" customWidth="1"/>
    <col min="11" max="11" width="13.625" customWidth="1"/>
  </cols>
  <sheetData>
    <row r="1" spans="1:11" x14ac:dyDescent="0.2">
      <c r="A1" s="1" t="str">
        <f>CONCATENATE("Bijlage I3.4: ",tabeltype," niet-meewerkende objectleiding")</f>
        <v>Bijlage I3.4: Invultabel niet-meewerkende objectleiding</v>
      </c>
    </row>
    <row r="3" spans="1:11" ht="38.25" x14ac:dyDescent="0.2">
      <c r="A3" s="8" t="s">
        <v>332</v>
      </c>
      <c r="B3" s="8" t="s">
        <v>7</v>
      </c>
      <c r="C3" s="8" t="s">
        <v>333</v>
      </c>
      <c r="D3" s="8" t="s">
        <v>334</v>
      </c>
      <c r="E3" s="8" t="s">
        <v>335</v>
      </c>
      <c r="F3" s="8" t="s">
        <v>336</v>
      </c>
      <c r="G3" s="8" t="s">
        <v>337</v>
      </c>
      <c r="H3" s="8" t="s">
        <v>187</v>
      </c>
      <c r="I3" s="8" t="s">
        <v>338</v>
      </c>
      <c r="J3" s="8" t="s">
        <v>339</v>
      </c>
      <c r="K3" s="8" t="s">
        <v>340</v>
      </c>
    </row>
    <row r="4" spans="1:11" x14ac:dyDescent="0.2">
      <c r="A4" s="63"/>
      <c r="B4" s="64"/>
      <c r="C4" s="64"/>
      <c r="D4" s="64"/>
      <c r="E4" s="64"/>
      <c r="F4" s="64"/>
      <c r="G4" s="64"/>
      <c r="H4" s="64"/>
      <c r="I4" s="64"/>
      <c r="J4" s="64"/>
      <c r="K4" s="65"/>
    </row>
    <row r="5" spans="1:11" x14ac:dyDescent="0.2">
      <c r="A5" s="12" t="s">
        <v>38</v>
      </c>
      <c r="B5" s="13"/>
      <c r="C5" s="13"/>
      <c r="D5" s="13"/>
      <c r="E5" s="13"/>
      <c r="F5" s="13"/>
      <c r="G5" s="13"/>
      <c r="H5" s="13"/>
      <c r="I5" s="13"/>
      <c r="J5" s="13"/>
      <c r="K5" s="14"/>
    </row>
    <row r="6" spans="1:11" x14ac:dyDescent="0.2">
      <c r="A6" s="9"/>
      <c r="B6" s="10"/>
      <c r="C6" s="10"/>
      <c r="D6" s="10"/>
      <c r="E6" s="10"/>
      <c r="F6" s="10"/>
      <c r="G6" s="10"/>
      <c r="H6" s="10"/>
      <c r="I6" s="10"/>
      <c r="J6" s="10"/>
      <c r="K6" s="11"/>
    </row>
    <row r="7" spans="1:11" x14ac:dyDescent="0.2">
      <c r="A7" s="66" t="s">
        <v>341</v>
      </c>
      <c r="B7" s="13"/>
      <c r="C7" s="13"/>
      <c r="D7" s="13"/>
      <c r="E7" s="13"/>
      <c r="F7" s="13"/>
      <c r="G7" s="13"/>
      <c r="H7" s="13"/>
      <c r="I7" s="13"/>
      <c r="J7" s="13"/>
      <c r="K7" s="14"/>
    </row>
    <row r="8" spans="1:11" x14ac:dyDescent="0.2">
      <c r="A8" s="15" t="s">
        <v>342</v>
      </c>
      <c r="B8" s="15" t="s">
        <v>11</v>
      </c>
      <c r="C8" s="16">
        <f>IF(ISBLANK(B8),0,IF(ISERROR(VALUE(B8)),VLOOKUP(B8,dagsoorttabel1,2,FALSE)*dagenperjaar1,VALUE(B8)))</f>
        <v>200</v>
      </c>
      <c r="D8" s="15" t="s">
        <v>343</v>
      </c>
      <c r="E8" s="19"/>
      <c r="F8" s="18"/>
      <c r="G8" s="67"/>
      <c r="H8" s="30">
        <f>IF(ISBLANK(G8),0,G8*C8)+IF(ISBLANK(F8),0,F8*objecturen1_1)</f>
        <v>0</v>
      </c>
      <c r="I8" s="30">
        <f>IF(C8=0,0,H8/C8)</f>
        <v>0</v>
      </c>
      <c r="J8" s="33">
        <f>IF(ISBLANK(E8),0,ROUND(E8,2)*H8)</f>
        <v>0</v>
      </c>
      <c r="K8" s="33">
        <f>J8/12</f>
        <v>0</v>
      </c>
    </row>
    <row r="9" spans="1:11" x14ac:dyDescent="0.2">
      <c r="A9" s="20"/>
      <c r="B9" s="20"/>
      <c r="C9" s="68">
        <f>dagenperjaar1</f>
        <v>255</v>
      </c>
      <c r="D9" s="69" t="s">
        <v>344</v>
      </c>
      <c r="E9" s="24"/>
      <c r="F9" s="23"/>
      <c r="G9" s="70"/>
      <c r="H9" s="34">
        <f>IF(ISBLANK(G9),0,G9*C9)+IF(ISBLANK(F9),0,F9*objecturen1_1)</f>
        <v>0</v>
      </c>
      <c r="I9" s="34">
        <f>IF(C9=0,0,H9/C9)</f>
        <v>0</v>
      </c>
      <c r="J9" s="37">
        <f>IF(ISBLANK(E9),0,ROUND(E9,2)*H9)</f>
        <v>0</v>
      </c>
      <c r="K9" s="37">
        <f>J9/12</f>
        <v>0</v>
      </c>
    </row>
    <row r="10" spans="1:11" x14ac:dyDescent="0.2">
      <c r="A10" s="20"/>
      <c r="B10" s="20"/>
      <c r="C10" s="68">
        <f>dagenperjaar1</f>
        <v>255</v>
      </c>
      <c r="D10" s="69" t="s">
        <v>344</v>
      </c>
      <c r="E10" s="24"/>
      <c r="F10" s="23"/>
      <c r="G10" s="70"/>
      <c r="H10" s="34">
        <f>IF(ISBLANK(G10),0,G10*C10)+IF(ISBLANK(F10),0,F10*objecturen1_1)</f>
        <v>0</v>
      </c>
      <c r="I10" s="34">
        <f>IF(C10=0,0,H10/C10)</f>
        <v>0</v>
      </c>
      <c r="J10" s="37">
        <f>IF(ISBLANK(E10),0,ROUND(E10,2)*H10)</f>
        <v>0</v>
      </c>
      <c r="K10" s="37">
        <f>J10/12</f>
        <v>0</v>
      </c>
    </row>
    <row r="11" spans="1:11" x14ac:dyDescent="0.2">
      <c r="A11" s="20"/>
      <c r="B11" s="20"/>
      <c r="C11" s="68">
        <f>dagenperjaar1</f>
        <v>255</v>
      </c>
      <c r="D11" s="69" t="s">
        <v>345</v>
      </c>
      <c r="E11" s="24"/>
      <c r="F11" s="71"/>
      <c r="G11" s="22"/>
      <c r="H11" s="34">
        <f>IF(ISBLANK(G11),0,G11*C11)+IF(ISBLANK(F11),0,F11*objecturen1_1)</f>
        <v>0</v>
      </c>
      <c r="I11" s="34">
        <f>IF(C11=0,0,H11/C11)</f>
        <v>0</v>
      </c>
      <c r="J11" s="37">
        <f>IF(ISBLANK(E11),0,ROUND(E11,2)*H11)</f>
        <v>0</v>
      </c>
      <c r="K11" s="37">
        <f>J11/12</f>
        <v>0</v>
      </c>
    </row>
    <row r="12" spans="1:11" x14ac:dyDescent="0.2">
      <c r="A12" s="25"/>
      <c r="B12" s="25"/>
      <c r="C12" s="72">
        <f>dagenperjaar1</f>
        <v>255</v>
      </c>
      <c r="D12" s="73" t="s">
        <v>345</v>
      </c>
      <c r="E12" s="29"/>
      <c r="F12" s="74"/>
      <c r="G12" s="27"/>
      <c r="H12" s="38">
        <f>IF(ISBLANK(G12),0,G12*C12)+IF(ISBLANK(F12),0,F12*objecturen1_1)</f>
        <v>0</v>
      </c>
      <c r="I12" s="38">
        <f>IF(C12=0,0,H12/C12)</f>
        <v>0</v>
      </c>
      <c r="J12" s="40">
        <f>IF(ISBLANK(E12),0,ROUND(E12,2)*H12)</f>
        <v>0</v>
      </c>
      <c r="K12" s="40">
        <f>J12/12</f>
        <v>0</v>
      </c>
    </row>
    <row r="13" spans="1:11" x14ac:dyDescent="0.2">
      <c r="A13" s="75" t="s">
        <v>346</v>
      </c>
      <c r="B13" s="42"/>
      <c r="C13" s="42"/>
      <c r="D13" s="42"/>
      <c r="E13" s="42"/>
      <c r="F13" s="42"/>
      <c r="G13" s="42"/>
      <c r="H13" s="43">
        <f>SUM(H8:H12)</f>
        <v>0</v>
      </c>
      <c r="I13" s="42"/>
      <c r="J13" s="44">
        <f>SUM(J8:J12)</f>
        <v>0</v>
      </c>
      <c r="K13" s="45">
        <f>SUM(K8:K12)</f>
        <v>0</v>
      </c>
    </row>
    <row r="14" spans="1:11" x14ac:dyDescent="0.2">
      <c r="A14" s="46"/>
      <c r="B14" s="42"/>
      <c r="C14" s="42"/>
      <c r="D14" s="42"/>
      <c r="E14" s="42"/>
      <c r="F14" s="42"/>
      <c r="G14" s="42"/>
      <c r="H14" s="42"/>
      <c r="I14" s="42"/>
      <c r="J14" s="42"/>
      <c r="K14" s="47"/>
    </row>
    <row r="15" spans="1:11" x14ac:dyDescent="0.2">
      <c r="A15" s="9"/>
      <c r="B15" s="10"/>
      <c r="C15" s="10"/>
      <c r="D15" s="10"/>
      <c r="E15" s="10"/>
      <c r="F15" s="10"/>
      <c r="G15" s="10"/>
      <c r="H15" s="10"/>
      <c r="I15" s="10"/>
      <c r="J15" s="10"/>
      <c r="K15" s="11"/>
    </row>
    <row r="16" spans="1:11" x14ac:dyDescent="0.2">
      <c r="A16" s="66" t="s">
        <v>347</v>
      </c>
      <c r="B16" s="13"/>
      <c r="C16" s="13"/>
      <c r="D16" s="13"/>
      <c r="E16" s="13"/>
      <c r="F16" s="13"/>
      <c r="G16" s="13"/>
      <c r="H16" s="13"/>
      <c r="I16" s="13"/>
      <c r="J16" s="13"/>
      <c r="K16" s="14"/>
    </row>
    <row r="17" spans="1:11" x14ac:dyDescent="0.2">
      <c r="A17" s="15" t="s">
        <v>342</v>
      </c>
      <c r="B17" s="15" t="s">
        <v>11</v>
      </c>
      <c r="C17" s="16">
        <f>IF(ISBLANK(B17),0,IF(ISERROR(VALUE(B17)),VLOOKUP(B17,dagsoorttabel1,2,FALSE)*dagenperjaar1,VALUE(B17)))</f>
        <v>200</v>
      </c>
      <c r="D17" s="15" t="s">
        <v>343</v>
      </c>
      <c r="E17" s="19"/>
      <c r="F17" s="18"/>
      <c r="G17" s="67"/>
      <c r="H17" s="30">
        <f>IF(ISBLANK(G17),0,G17*C17)+IF(ISBLANK(F17),0,F17*objecturen2_1)</f>
        <v>0</v>
      </c>
      <c r="I17" s="30">
        <f>IF(C17=0,0,H17/C17)</f>
        <v>0</v>
      </c>
      <c r="J17" s="33">
        <f>IF(ISBLANK(E17),0,ROUND(E17,2)*H17)</f>
        <v>0</v>
      </c>
      <c r="K17" s="33">
        <f>J17/12</f>
        <v>0</v>
      </c>
    </row>
    <row r="18" spans="1:11" x14ac:dyDescent="0.2">
      <c r="A18" s="20"/>
      <c r="B18" s="20"/>
      <c r="C18" s="68">
        <f>dagenperjaar1</f>
        <v>255</v>
      </c>
      <c r="D18" s="69" t="s">
        <v>344</v>
      </c>
      <c r="E18" s="24"/>
      <c r="F18" s="23"/>
      <c r="G18" s="70"/>
      <c r="H18" s="34">
        <f>IF(ISBLANK(G18),0,G18*C18)+IF(ISBLANK(F18),0,F18*objecturen2_1)</f>
        <v>0</v>
      </c>
      <c r="I18" s="34">
        <f>IF(C18=0,0,H18/C18)</f>
        <v>0</v>
      </c>
      <c r="J18" s="37">
        <f>IF(ISBLANK(E18),0,ROUND(E18,2)*H18)</f>
        <v>0</v>
      </c>
      <c r="K18" s="37">
        <f>J18/12</f>
        <v>0</v>
      </c>
    </row>
    <row r="19" spans="1:11" x14ac:dyDescent="0.2">
      <c r="A19" s="20"/>
      <c r="B19" s="20"/>
      <c r="C19" s="68">
        <f>dagenperjaar1</f>
        <v>255</v>
      </c>
      <c r="D19" s="69" t="s">
        <v>344</v>
      </c>
      <c r="E19" s="24"/>
      <c r="F19" s="23"/>
      <c r="G19" s="70"/>
      <c r="H19" s="34">
        <f>IF(ISBLANK(G19),0,G19*C19)+IF(ISBLANK(F19),0,F19*objecturen2_1)</f>
        <v>0</v>
      </c>
      <c r="I19" s="34">
        <f>IF(C19=0,0,H19/C19)</f>
        <v>0</v>
      </c>
      <c r="J19" s="37">
        <f>IF(ISBLANK(E19),0,ROUND(E19,2)*H19)</f>
        <v>0</v>
      </c>
      <c r="K19" s="37">
        <f>J19/12</f>
        <v>0</v>
      </c>
    </row>
    <row r="20" spans="1:11" x14ac:dyDescent="0.2">
      <c r="A20" s="20"/>
      <c r="B20" s="20"/>
      <c r="C20" s="68">
        <f>dagenperjaar1</f>
        <v>255</v>
      </c>
      <c r="D20" s="69" t="s">
        <v>345</v>
      </c>
      <c r="E20" s="24"/>
      <c r="F20" s="71"/>
      <c r="G20" s="22"/>
      <c r="H20" s="34">
        <f>IF(ISBLANK(G20),0,G20*C20)+IF(ISBLANK(F20),0,F20*objecturen2_1)</f>
        <v>0</v>
      </c>
      <c r="I20" s="34">
        <f>IF(C20=0,0,H20/C20)</f>
        <v>0</v>
      </c>
      <c r="J20" s="37">
        <f>IF(ISBLANK(E20),0,ROUND(E20,2)*H20)</f>
        <v>0</v>
      </c>
      <c r="K20" s="37">
        <f>J20/12</f>
        <v>0</v>
      </c>
    </row>
    <row r="21" spans="1:11" x14ac:dyDescent="0.2">
      <c r="A21" s="25"/>
      <c r="B21" s="25"/>
      <c r="C21" s="72">
        <f>dagenperjaar1</f>
        <v>255</v>
      </c>
      <c r="D21" s="73" t="s">
        <v>345</v>
      </c>
      <c r="E21" s="29"/>
      <c r="F21" s="74"/>
      <c r="G21" s="27"/>
      <c r="H21" s="38">
        <f>IF(ISBLANK(G21),0,G21*C21)+IF(ISBLANK(F21),0,F21*objecturen2_1)</f>
        <v>0</v>
      </c>
      <c r="I21" s="38">
        <f>IF(C21=0,0,H21/C21)</f>
        <v>0</v>
      </c>
      <c r="J21" s="40">
        <f>IF(ISBLANK(E21),0,ROUND(E21,2)*H21)</f>
        <v>0</v>
      </c>
      <c r="K21" s="40">
        <f>J21/12</f>
        <v>0</v>
      </c>
    </row>
    <row r="22" spans="1:11" x14ac:dyDescent="0.2">
      <c r="A22" s="75" t="s">
        <v>348</v>
      </c>
      <c r="B22" s="42"/>
      <c r="C22" s="42"/>
      <c r="D22" s="42"/>
      <c r="E22" s="42"/>
      <c r="F22" s="42"/>
      <c r="G22" s="42"/>
      <c r="H22" s="43">
        <f>SUM(H17:H21)</f>
        <v>0</v>
      </c>
      <c r="I22" s="42"/>
      <c r="J22" s="44">
        <f>SUM(J17:J21)</f>
        <v>0</v>
      </c>
      <c r="K22" s="45">
        <f>SUM(K17:K21)</f>
        <v>0</v>
      </c>
    </row>
    <row r="23" spans="1:11" x14ac:dyDescent="0.2">
      <c r="A23" s="46"/>
      <c r="B23" s="42"/>
      <c r="C23" s="42"/>
      <c r="D23" s="42"/>
      <c r="E23" s="42"/>
      <c r="F23" s="42"/>
      <c r="G23" s="42"/>
      <c r="H23" s="42"/>
      <c r="I23" s="42"/>
      <c r="J23" s="42"/>
      <c r="K23" s="47"/>
    </row>
    <row r="24" spans="1:11" x14ac:dyDescent="0.2">
      <c r="A24" s="9"/>
      <c r="B24" s="10"/>
      <c r="C24" s="10"/>
      <c r="D24" s="10"/>
      <c r="E24" s="10"/>
      <c r="F24" s="10"/>
      <c r="G24" s="10"/>
      <c r="H24" s="10"/>
      <c r="I24" s="10"/>
      <c r="J24" s="10"/>
      <c r="K24" s="11"/>
    </row>
    <row r="25" spans="1:11" x14ac:dyDescent="0.2">
      <c r="A25" s="66" t="s">
        <v>349</v>
      </c>
      <c r="B25" s="13"/>
      <c r="C25" s="13"/>
      <c r="D25" s="13"/>
      <c r="E25" s="13"/>
      <c r="F25" s="13"/>
      <c r="G25" s="13"/>
      <c r="H25" s="13"/>
      <c r="I25" s="13"/>
      <c r="J25" s="13"/>
      <c r="K25" s="14"/>
    </row>
    <row r="26" spans="1:11" x14ac:dyDescent="0.2">
      <c r="A26" s="15" t="s">
        <v>342</v>
      </c>
      <c r="B26" s="15" t="s">
        <v>11</v>
      </c>
      <c r="C26" s="16">
        <f>IF(ISBLANK(B26),0,IF(ISERROR(VALUE(B26)),VLOOKUP(B26,dagsoorttabel1,2,FALSE)*dagenperjaar1,VALUE(B26)))</f>
        <v>200</v>
      </c>
      <c r="D26" s="15" t="s">
        <v>343</v>
      </c>
      <c r="E26" s="19"/>
      <c r="F26" s="18"/>
      <c r="G26" s="67"/>
      <c r="H26" s="30">
        <f>IF(ISBLANK(G26),0,G26*C26)+IF(ISBLANK(F26),0,F26*objecturen3_1)</f>
        <v>0</v>
      </c>
      <c r="I26" s="30">
        <f>IF(C26=0,0,H26/C26)</f>
        <v>0</v>
      </c>
      <c r="J26" s="33">
        <f>IF(ISBLANK(E26),0,ROUND(E26,2)*H26)</f>
        <v>0</v>
      </c>
      <c r="K26" s="33">
        <f>J26/12</f>
        <v>0</v>
      </c>
    </row>
    <row r="27" spans="1:11" x14ac:dyDescent="0.2">
      <c r="A27" s="20"/>
      <c r="B27" s="20"/>
      <c r="C27" s="68">
        <f>dagenperjaar1</f>
        <v>255</v>
      </c>
      <c r="D27" s="69" t="s">
        <v>344</v>
      </c>
      <c r="E27" s="24"/>
      <c r="F27" s="23"/>
      <c r="G27" s="70"/>
      <c r="H27" s="34">
        <f>IF(ISBLANK(G27),0,G27*C27)+IF(ISBLANK(F27),0,F27*objecturen3_1)</f>
        <v>0</v>
      </c>
      <c r="I27" s="34">
        <f>IF(C27=0,0,H27/C27)</f>
        <v>0</v>
      </c>
      <c r="J27" s="37">
        <f>IF(ISBLANK(E27),0,ROUND(E27,2)*H27)</f>
        <v>0</v>
      </c>
      <c r="K27" s="37">
        <f>J27/12</f>
        <v>0</v>
      </c>
    </row>
    <row r="28" spans="1:11" x14ac:dyDescent="0.2">
      <c r="A28" s="20"/>
      <c r="B28" s="20"/>
      <c r="C28" s="68">
        <f>dagenperjaar1</f>
        <v>255</v>
      </c>
      <c r="D28" s="69" t="s">
        <v>344</v>
      </c>
      <c r="E28" s="24"/>
      <c r="F28" s="23"/>
      <c r="G28" s="70"/>
      <c r="H28" s="34">
        <f>IF(ISBLANK(G28),0,G28*C28)+IF(ISBLANK(F28),0,F28*objecturen3_1)</f>
        <v>0</v>
      </c>
      <c r="I28" s="34">
        <f>IF(C28=0,0,H28/C28)</f>
        <v>0</v>
      </c>
      <c r="J28" s="37">
        <f>IF(ISBLANK(E28),0,ROUND(E28,2)*H28)</f>
        <v>0</v>
      </c>
      <c r="K28" s="37">
        <f>J28/12</f>
        <v>0</v>
      </c>
    </row>
    <row r="29" spans="1:11" x14ac:dyDescent="0.2">
      <c r="A29" s="20"/>
      <c r="B29" s="20"/>
      <c r="C29" s="68">
        <f>dagenperjaar1</f>
        <v>255</v>
      </c>
      <c r="D29" s="69" t="s">
        <v>345</v>
      </c>
      <c r="E29" s="24"/>
      <c r="F29" s="71"/>
      <c r="G29" s="22"/>
      <c r="H29" s="34">
        <f>IF(ISBLANK(G29),0,G29*C29)+IF(ISBLANK(F29),0,F29*objecturen3_1)</f>
        <v>0</v>
      </c>
      <c r="I29" s="34">
        <f>IF(C29=0,0,H29/C29)</f>
        <v>0</v>
      </c>
      <c r="J29" s="37">
        <f>IF(ISBLANK(E29),0,ROUND(E29,2)*H29)</f>
        <v>0</v>
      </c>
      <c r="K29" s="37">
        <f>J29/12</f>
        <v>0</v>
      </c>
    </row>
    <row r="30" spans="1:11" x14ac:dyDescent="0.2">
      <c r="A30" s="25"/>
      <c r="B30" s="25"/>
      <c r="C30" s="72">
        <f>dagenperjaar1</f>
        <v>255</v>
      </c>
      <c r="D30" s="73" t="s">
        <v>345</v>
      </c>
      <c r="E30" s="29"/>
      <c r="F30" s="74"/>
      <c r="G30" s="27"/>
      <c r="H30" s="38">
        <f>IF(ISBLANK(G30),0,G30*C30)+IF(ISBLANK(F30),0,F30*objecturen3_1)</f>
        <v>0</v>
      </c>
      <c r="I30" s="38">
        <f>IF(C30=0,0,H30/C30)</f>
        <v>0</v>
      </c>
      <c r="J30" s="40">
        <f>IF(ISBLANK(E30),0,ROUND(E30,2)*H30)</f>
        <v>0</v>
      </c>
      <c r="K30" s="40">
        <f>J30/12</f>
        <v>0</v>
      </c>
    </row>
    <row r="31" spans="1:11" x14ac:dyDescent="0.2">
      <c r="A31" s="75" t="s">
        <v>350</v>
      </c>
      <c r="B31" s="42"/>
      <c r="C31" s="42"/>
      <c r="D31" s="42"/>
      <c r="E31" s="42"/>
      <c r="F31" s="42"/>
      <c r="G31" s="42"/>
      <c r="H31" s="43">
        <f>SUM(H26:H30)</f>
        <v>0</v>
      </c>
      <c r="I31" s="42"/>
      <c r="J31" s="44">
        <f>SUM(J26:J30)</f>
        <v>0</v>
      </c>
      <c r="K31" s="45">
        <f>SUM(K26:K30)</f>
        <v>0</v>
      </c>
    </row>
    <row r="32" spans="1:11" x14ac:dyDescent="0.2">
      <c r="A32" s="46"/>
      <c r="B32" s="42"/>
      <c r="C32" s="42"/>
      <c r="D32" s="42"/>
      <c r="E32" s="42"/>
      <c r="F32" s="42"/>
      <c r="G32" s="42"/>
      <c r="H32" s="42"/>
      <c r="I32" s="42"/>
      <c r="J32" s="42"/>
      <c r="K32" s="47"/>
    </row>
    <row r="33" spans="1:11" x14ac:dyDescent="0.2">
      <c r="A33" s="9"/>
      <c r="B33" s="10"/>
      <c r="C33" s="10"/>
      <c r="D33" s="10"/>
      <c r="E33" s="10"/>
      <c r="F33" s="10"/>
      <c r="G33" s="10"/>
      <c r="H33" s="10"/>
      <c r="I33" s="10"/>
      <c r="J33" s="10"/>
      <c r="K33" s="11"/>
    </row>
    <row r="34" spans="1:11" x14ac:dyDescent="0.2">
      <c r="A34" s="66" t="s">
        <v>351</v>
      </c>
      <c r="B34" s="13"/>
      <c r="C34" s="13"/>
      <c r="D34" s="13"/>
      <c r="E34" s="13"/>
      <c r="F34" s="13"/>
      <c r="G34" s="13"/>
      <c r="H34" s="13"/>
      <c r="I34" s="13"/>
      <c r="J34" s="13"/>
      <c r="K34" s="14"/>
    </row>
    <row r="35" spans="1:11" x14ac:dyDescent="0.2">
      <c r="A35" s="15" t="s">
        <v>342</v>
      </c>
      <c r="B35" s="15" t="s">
        <v>11</v>
      </c>
      <c r="C35" s="16">
        <f>IF(ISBLANK(B35),0,IF(ISERROR(VALUE(B35)),VLOOKUP(B35,dagsoorttabel1,2,FALSE)*dagenperjaar1,VALUE(B35)))</f>
        <v>200</v>
      </c>
      <c r="D35" s="15" t="s">
        <v>343</v>
      </c>
      <c r="E35" s="19"/>
      <c r="F35" s="18"/>
      <c r="G35" s="67"/>
      <c r="H35" s="30">
        <f>IF(ISBLANK(G35),0,G35*C35)+IF(ISBLANK(F35),0,F35*objecturen4_1)</f>
        <v>0</v>
      </c>
      <c r="I35" s="30">
        <f>IF(C35=0,0,H35/C35)</f>
        <v>0</v>
      </c>
      <c r="J35" s="33">
        <f>IF(ISBLANK(E35),0,ROUND(E35,2)*H35)</f>
        <v>0</v>
      </c>
      <c r="K35" s="33">
        <f>J35/12</f>
        <v>0</v>
      </c>
    </row>
    <row r="36" spans="1:11" x14ac:dyDescent="0.2">
      <c r="A36" s="20"/>
      <c r="B36" s="20"/>
      <c r="C36" s="68">
        <f>dagenperjaar1</f>
        <v>255</v>
      </c>
      <c r="D36" s="69" t="s">
        <v>344</v>
      </c>
      <c r="E36" s="24"/>
      <c r="F36" s="23"/>
      <c r="G36" s="70"/>
      <c r="H36" s="34">
        <f>IF(ISBLANK(G36),0,G36*C36)+IF(ISBLANK(F36),0,F36*objecturen4_1)</f>
        <v>0</v>
      </c>
      <c r="I36" s="34">
        <f>IF(C36=0,0,H36/C36)</f>
        <v>0</v>
      </c>
      <c r="J36" s="37">
        <f>IF(ISBLANK(E36),0,ROUND(E36,2)*H36)</f>
        <v>0</v>
      </c>
      <c r="K36" s="37">
        <f>J36/12</f>
        <v>0</v>
      </c>
    </row>
    <row r="37" spans="1:11" x14ac:dyDescent="0.2">
      <c r="A37" s="20"/>
      <c r="B37" s="20"/>
      <c r="C37" s="68">
        <f>dagenperjaar1</f>
        <v>255</v>
      </c>
      <c r="D37" s="69" t="s">
        <v>344</v>
      </c>
      <c r="E37" s="24"/>
      <c r="F37" s="23"/>
      <c r="G37" s="70"/>
      <c r="H37" s="34">
        <f>IF(ISBLANK(G37),0,G37*C37)+IF(ISBLANK(F37),0,F37*objecturen4_1)</f>
        <v>0</v>
      </c>
      <c r="I37" s="34">
        <f>IF(C37=0,0,H37/C37)</f>
        <v>0</v>
      </c>
      <c r="J37" s="37">
        <f>IF(ISBLANK(E37),0,ROUND(E37,2)*H37)</f>
        <v>0</v>
      </c>
      <c r="K37" s="37">
        <f>J37/12</f>
        <v>0</v>
      </c>
    </row>
    <row r="38" spans="1:11" x14ac:dyDescent="0.2">
      <c r="A38" s="20"/>
      <c r="B38" s="20"/>
      <c r="C38" s="68">
        <f>dagenperjaar1</f>
        <v>255</v>
      </c>
      <c r="D38" s="69" t="s">
        <v>345</v>
      </c>
      <c r="E38" s="24"/>
      <c r="F38" s="71"/>
      <c r="G38" s="22"/>
      <c r="H38" s="34">
        <f>IF(ISBLANK(G38),0,G38*C38)+IF(ISBLANK(F38),0,F38*objecturen4_1)</f>
        <v>0</v>
      </c>
      <c r="I38" s="34">
        <f>IF(C38=0,0,H38/C38)</f>
        <v>0</v>
      </c>
      <c r="J38" s="37">
        <f>IF(ISBLANK(E38),0,ROUND(E38,2)*H38)</f>
        <v>0</v>
      </c>
      <c r="K38" s="37">
        <f>J38/12</f>
        <v>0</v>
      </c>
    </row>
    <row r="39" spans="1:11" x14ac:dyDescent="0.2">
      <c r="A39" s="25"/>
      <c r="B39" s="25"/>
      <c r="C39" s="72">
        <f>dagenperjaar1</f>
        <v>255</v>
      </c>
      <c r="D39" s="73" t="s">
        <v>345</v>
      </c>
      <c r="E39" s="29"/>
      <c r="F39" s="74"/>
      <c r="G39" s="27"/>
      <c r="H39" s="38">
        <f>IF(ISBLANK(G39),0,G39*C39)+IF(ISBLANK(F39),0,F39*objecturen4_1)</f>
        <v>0</v>
      </c>
      <c r="I39" s="38">
        <f>IF(C39=0,0,H39/C39)</f>
        <v>0</v>
      </c>
      <c r="J39" s="40">
        <f>IF(ISBLANK(E39),0,ROUND(E39,2)*H39)</f>
        <v>0</v>
      </c>
      <c r="K39" s="40">
        <f>J39/12</f>
        <v>0</v>
      </c>
    </row>
    <row r="40" spans="1:11" x14ac:dyDescent="0.2">
      <c r="A40" s="75" t="s">
        <v>352</v>
      </c>
      <c r="B40" s="42"/>
      <c r="C40" s="42"/>
      <c r="D40" s="42"/>
      <c r="E40" s="42"/>
      <c r="F40" s="42"/>
      <c r="G40" s="42"/>
      <c r="H40" s="43">
        <f>SUM(H35:H39)</f>
        <v>0</v>
      </c>
      <c r="I40" s="42"/>
      <c r="J40" s="44">
        <f>SUM(J35:J39)</f>
        <v>0</v>
      </c>
      <c r="K40" s="45">
        <f>SUM(K35:K39)</f>
        <v>0</v>
      </c>
    </row>
    <row r="41" spans="1:11" x14ac:dyDescent="0.2">
      <c r="A41" s="46"/>
      <c r="B41" s="42"/>
      <c r="C41" s="42"/>
      <c r="D41" s="42"/>
      <c r="E41" s="42"/>
      <c r="F41" s="42"/>
      <c r="G41" s="42"/>
      <c r="H41" s="42"/>
      <c r="I41" s="42"/>
      <c r="J41" s="42"/>
      <c r="K41" s="47"/>
    </row>
    <row r="42" spans="1:11" x14ac:dyDescent="0.2">
      <c r="A42" s="9"/>
      <c r="B42" s="10"/>
      <c r="C42" s="10"/>
      <c r="D42" s="10"/>
      <c r="E42" s="10"/>
      <c r="F42" s="10"/>
      <c r="G42" s="10"/>
      <c r="H42" s="10"/>
      <c r="I42" s="10"/>
      <c r="J42" s="10"/>
      <c r="K42" s="11"/>
    </row>
    <row r="43" spans="1:11" x14ac:dyDescent="0.2">
      <c r="A43" s="66" t="s">
        <v>353</v>
      </c>
      <c r="B43" s="13"/>
      <c r="C43" s="13"/>
      <c r="D43" s="13"/>
      <c r="E43" s="13"/>
      <c r="F43" s="13"/>
      <c r="G43" s="13"/>
      <c r="H43" s="13"/>
      <c r="I43" s="13"/>
      <c r="J43" s="13"/>
      <c r="K43" s="14"/>
    </row>
    <row r="44" spans="1:11" x14ac:dyDescent="0.2">
      <c r="A44" s="15" t="s">
        <v>342</v>
      </c>
      <c r="B44" s="15" t="s">
        <v>11</v>
      </c>
      <c r="C44" s="16">
        <f>IF(ISBLANK(B44),0,IF(ISERROR(VALUE(B44)),VLOOKUP(B44,dagsoorttabel1,2,FALSE)*dagenperjaar1,VALUE(B44)))</f>
        <v>200</v>
      </c>
      <c r="D44" s="15" t="s">
        <v>343</v>
      </c>
      <c r="E44" s="19"/>
      <c r="F44" s="18"/>
      <c r="G44" s="67"/>
      <c r="H44" s="30">
        <f>IF(ISBLANK(G44),0,G44*C44)+IF(ISBLANK(F44),0,F44*objecturen5_1)</f>
        <v>0</v>
      </c>
      <c r="I44" s="30">
        <f>IF(C44=0,0,H44/C44)</f>
        <v>0</v>
      </c>
      <c r="J44" s="33">
        <f>IF(ISBLANK(E44),0,ROUND(E44,2)*H44)</f>
        <v>0</v>
      </c>
      <c r="K44" s="33">
        <f>J44/12</f>
        <v>0</v>
      </c>
    </row>
    <row r="45" spans="1:11" x14ac:dyDescent="0.2">
      <c r="A45" s="20"/>
      <c r="B45" s="20"/>
      <c r="C45" s="68">
        <f>dagenperjaar1</f>
        <v>255</v>
      </c>
      <c r="D45" s="69" t="s">
        <v>344</v>
      </c>
      <c r="E45" s="24"/>
      <c r="F45" s="23"/>
      <c r="G45" s="70"/>
      <c r="H45" s="34">
        <f>IF(ISBLANK(G45),0,G45*C45)+IF(ISBLANK(F45),0,F45*objecturen5_1)</f>
        <v>0</v>
      </c>
      <c r="I45" s="34">
        <f>IF(C45=0,0,H45/C45)</f>
        <v>0</v>
      </c>
      <c r="J45" s="37">
        <f>IF(ISBLANK(E45),0,ROUND(E45,2)*H45)</f>
        <v>0</v>
      </c>
      <c r="K45" s="37">
        <f>J45/12</f>
        <v>0</v>
      </c>
    </row>
    <row r="46" spans="1:11" x14ac:dyDescent="0.2">
      <c r="A46" s="20"/>
      <c r="B46" s="20"/>
      <c r="C46" s="68">
        <f>dagenperjaar1</f>
        <v>255</v>
      </c>
      <c r="D46" s="69" t="s">
        <v>344</v>
      </c>
      <c r="E46" s="24"/>
      <c r="F46" s="23"/>
      <c r="G46" s="70"/>
      <c r="H46" s="34">
        <f>IF(ISBLANK(G46),0,G46*C46)+IF(ISBLANK(F46),0,F46*objecturen5_1)</f>
        <v>0</v>
      </c>
      <c r="I46" s="34">
        <f>IF(C46=0,0,H46/C46)</f>
        <v>0</v>
      </c>
      <c r="J46" s="37">
        <f>IF(ISBLANK(E46),0,ROUND(E46,2)*H46)</f>
        <v>0</v>
      </c>
      <c r="K46" s="37">
        <f>J46/12</f>
        <v>0</v>
      </c>
    </row>
    <row r="47" spans="1:11" x14ac:dyDescent="0.2">
      <c r="A47" s="20"/>
      <c r="B47" s="20"/>
      <c r="C47" s="68">
        <f>dagenperjaar1</f>
        <v>255</v>
      </c>
      <c r="D47" s="69" t="s">
        <v>345</v>
      </c>
      <c r="E47" s="24"/>
      <c r="F47" s="71"/>
      <c r="G47" s="22"/>
      <c r="H47" s="34">
        <f>IF(ISBLANK(G47),0,G47*C47)+IF(ISBLANK(F47),0,F47*objecturen5_1)</f>
        <v>0</v>
      </c>
      <c r="I47" s="34">
        <f>IF(C47=0,0,H47/C47)</f>
        <v>0</v>
      </c>
      <c r="J47" s="37">
        <f>IF(ISBLANK(E47),0,ROUND(E47,2)*H47)</f>
        <v>0</v>
      </c>
      <c r="K47" s="37">
        <f>J47/12</f>
        <v>0</v>
      </c>
    </row>
    <row r="48" spans="1:11" x14ac:dyDescent="0.2">
      <c r="A48" s="25"/>
      <c r="B48" s="25"/>
      <c r="C48" s="72">
        <f>dagenperjaar1</f>
        <v>255</v>
      </c>
      <c r="D48" s="73" t="s">
        <v>345</v>
      </c>
      <c r="E48" s="29"/>
      <c r="F48" s="74"/>
      <c r="G48" s="27"/>
      <c r="H48" s="38">
        <f>IF(ISBLANK(G48),0,G48*C48)+IF(ISBLANK(F48),0,F48*objecturen5_1)</f>
        <v>0</v>
      </c>
      <c r="I48" s="38">
        <f>IF(C48=0,0,H48/C48)</f>
        <v>0</v>
      </c>
      <c r="J48" s="40">
        <f>IF(ISBLANK(E48),0,ROUND(E48,2)*H48)</f>
        <v>0</v>
      </c>
      <c r="K48" s="40">
        <f>J48/12</f>
        <v>0</v>
      </c>
    </row>
    <row r="49" spans="1:11" x14ac:dyDescent="0.2">
      <c r="A49" s="75" t="s">
        <v>354</v>
      </c>
      <c r="B49" s="42"/>
      <c r="C49" s="42"/>
      <c r="D49" s="42"/>
      <c r="E49" s="42"/>
      <c r="F49" s="42"/>
      <c r="G49" s="42"/>
      <c r="H49" s="43">
        <f>SUM(H44:H48)</f>
        <v>0</v>
      </c>
      <c r="I49" s="42"/>
      <c r="J49" s="44">
        <f>SUM(J44:J48)</f>
        <v>0</v>
      </c>
      <c r="K49" s="45">
        <f>SUM(K44:K48)</f>
        <v>0</v>
      </c>
    </row>
    <row r="50" spans="1:11" x14ac:dyDescent="0.2">
      <c r="A50" s="46"/>
      <c r="B50" s="42"/>
      <c r="C50" s="42"/>
      <c r="D50" s="42"/>
      <c r="E50" s="42"/>
      <c r="F50" s="42"/>
      <c r="G50" s="42"/>
      <c r="H50" s="42"/>
      <c r="I50" s="42"/>
      <c r="J50" s="42"/>
      <c r="K50" s="47"/>
    </row>
    <row r="51" spans="1:11" x14ac:dyDescent="0.2">
      <c r="A51" s="9"/>
      <c r="B51" s="10"/>
      <c r="C51" s="10"/>
      <c r="D51" s="10"/>
      <c r="E51" s="10"/>
      <c r="F51" s="10"/>
      <c r="G51" s="10"/>
      <c r="H51" s="10"/>
      <c r="I51" s="10"/>
      <c r="J51" s="10"/>
      <c r="K51" s="11"/>
    </row>
    <row r="52" spans="1:11" x14ac:dyDescent="0.2">
      <c r="A52" s="66" t="s">
        <v>355</v>
      </c>
      <c r="B52" s="13"/>
      <c r="C52" s="13"/>
      <c r="D52" s="13"/>
      <c r="E52" s="13"/>
      <c r="F52" s="13"/>
      <c r="G52" s="13"/>
      <c r="H52" s="13"/>
      <c r="I52" s="13"/>
      <c r="J52" s="13"/>
      <c r="K52" s="14"/>
    </row>
    <row r="53" spans="1:11" x14ac:dyDescent="0.2">
      <c r="A53" s="15" t="s">
        <v>342</v>
      </c>
      <c r="B53" s="15" t="s">
        <v>11</v>
      </c>
      <c r="C53" s="16">
        <f>IF(ISBLANK(B53),0,IF(ISERROR(VALUE(B53)),VLOOKUP(B53,dagsoorttabel1,2,FALSE)*dagenperjaar1,VALUE(B53)))</f>
        <v>200</v>
      </c>
      <c r="D53" s="15" t="s">
        <v>343</v>
      </c>
      <c r="E53" s="19"/>
      <c r="F53" s="18"/>
      <c r="G53" s="67"/>
      <c r="H53" s="30">
        <f>IF(ISBLANK(G53),0,G53*C53)+IF(ISBLANK(F53),0,F53*objecturen6_1)</f>
        <v>0</v>
      </c>
      <c r="I53" s="30">
        <f>IF(C53=0,0,H53/C53)</f>
        <v>0</v>
      </c>
      <c r="J53" s="33">
        <f>IF(ISBLANK(E53),0,ROUND(E53,2)*H53)</f>
        <v>0</v>
      </c>
      <c r="K53" s="33">
        <f>J53/12</f>
        <v>0</v>
      </c>
    </row>
    <row r="54" spans="1:11" x14ac:dyDescent="0.2">
      <c r="A54" s="20"/>
      <c r="B54" s="20"/>
      <c r="C54" s="68">
        <f>dagenperjaar1</f>
        <v>255</v>
      </c>
      <c r="D54" s="69" t="s">
        <v>344</v>
      </c>
      <c r="E54" s="24"/>
      <c r="F54" s="23"/>
      <c r="G54" s="70"/>
      <c r="H54" s="34">
        <f>IF(ISBLANK(G54),0,G54*C54)+IF(ISBLANK(F54),0,F54*objecturen6_1)</f>
        <v>0</v>
      </c>
      <c r="I54" s="34">
        <f>IF(C54=0,0,H54/C54)</f>
        <v>0</v>
      </c>
      <c r="J54" s="37">
        <f>IF(ISBLANK(E54),0,ROUND(E54,2)*H54)</f>
        <v>0</v>
      </c>
      <c r="K54" s="37">
        <f>J54/12</f>
        <v>0</v>
      </c>
    </row>
    <row r="55" spans="1:11" x14ac:dyDescent="0.2">
      <c r="A55" s="20"/>
      <c r="B55" s="20"/>
      <c r="C55" s="68">
        <f>dagenperjaar1</f>
        <v>255</v>
      </c>
      <c r="D55" s="69" t="s">
        <v>344</v>
      </c>
      <c r="E55" s="24"/>
      <c r="F55" s="23"/>
      <c r="G55" s="70"/>
      <c r="H55" s="34">
        <f>IF(ISBLANK(G55),0,G55*C55)+IF(ISBLANK(F55),0,F55*objecturen6_1)</f>
        <v>0</v>
      </c>
      <c r="I55" s="34">
        <f>IF(C55=0,0,H55/C55)</f>
        <v>0</v>
      </c>
      <c r="J55" s="37">
        <f>IF(ISBLANK(E55),0,ROUND(E55,2)*H55)</f>
        <v>0</v>
      </c>
      <c r="K55" s="37">
        <f>J55/12</f>
        <v>0</v>
      </c>
    </row>
    <row r="56" spans="1:11" x14ac:dyDescent="0.2">
      <c r="A56" s="20"/>
      <c r="B56" s="20"/>
      <c r="C56" s="68">
        <f>dagenperjaar1</f>
        <v>255</v>
      </c>
      <c r="D56" s="69" t="s">
        <v>345</v>
      </c>
      <c r="E56" s="24"/>
      <c r="F56" s="71"/>
      <c r="G56" s="22"/>
      <c r="H56" s="34">
        <f>IF(ISBLANK(G56),0,G56*C56)+IF(ISBLANK(F56),0,F56*objecturen6_1)</f>
        <v>0</v>
      </c>
      <c r="I56" s="34">
        <f>IF(C56=0,0,H56/C56)</f>
        <v>0</v>
      </c>
      <c r="J56" s="37">
        <f>IF(ISBLANK(E56),0,ROUND(E56,2)*H56)</f>
        <v>0</v>
      </c>
      <c r="K56" s="37">
        <f>J56/12</f>
        <v>0</v>
      </c>
    </row>
    <row r="57" spans="1:11" x14ac:dyDescent="0.2">
      <c r="A57" s="25"/>
      <c r="B57" s="25"/>
      <c r="C57" s="72">
        <f>dagenperjaar1</f>
        <v>255</v>
      </c>
      <c r="D57" s="73" t="s">
        <v>345</v>
      </c>
      <c r="E57" s="29"/>
      <c r="F57" s="74"/>
      <c r="G57" s="27"/>
      <c r="H57" s="38">
        <f>IF(ISBLANK(G57),0,G57*C57)+IF(ISBLANK(F57),0,F57*objecturen6_1)</f>
        <v>0</v>
      </c>
      <c r="I57" s="38">
        <f>IF(C57=0,0,H57/C57)</f>
        <v>0</v>
      </c>
      <c r="J57" s="40">
        <f>IF(ISBLANK(E57),0,ROUND(E57,2)*H57)</f>
        <v>0</v>
      </c>
      <c r="K57" s="40">
        <f>J57/12</f>
        <v>0</v>
      </c>
    </row>
    <row r="58" spans="1:11" x14ac:dyDescent="0.2">
      <c r="A58" s="75" t="s">
        <v>356</v>
      </c>
      <c r="B58" s="42"/>
      <c r="C58" s="42"/>
      <c r="D58" s="42"/>
      <c r="E58" s="42"/>
      <c r="F58" s="42"/>
      <c r="G58" s="42"/>
      <c r="H58" s="43">
        <f>SUM(H53:H57)</f>
        <v>0</v>
      </c>
      <c r="I58" s="42"/>
      <c r="J58" s="44">
        <f>SUM(J53:J57)</f>
        <v>0</v>
      </c>
      <c r="K58" s="45">
        <f>SUM(K53:K57)</f>
        <v>0</v>
      </c>
    </row>
    <row r="59" spans="1:11" x14ac:dyDescent="0.2">
      <c r="A59" s="46"/>
      <c r="B59" s="42"/>
      <c r="C59" s="42"/>
      <c r="D59" s="42"/>
      <c r="E59" s="42"/>
      <c r="F59" s="42"/>
      <c r="G59" s="42"/>
      <c r="H59" s="42"/>
      <c r="I59" s="42"/>
      <c r="J59" s="42"/>
      <c r="K59" s="47"/>
    </row>
    <row r="60" spans="1:11" x14ac:dyDescent="0.2">
      <c r="A60" s="9"/>
      <c r="B60" s="10"/>
      <c r="C60" s="10"/>
      <c r="D60" s="10"/>
      <c r="E60" s="10"/>
      <c r="F60" s="10"/>
      <c r="G60" s="10"/>
      <c r="H60" s="10"/>
      <c r="I60" s="10"/>
      <c r="J60" s="10"/>
      <c r="K60" s="11"/>
    </row>
    <row r="61" spans="1:11" x14ac:dyDescent="0.2">
      <c r="A61" s="66" t="s">
        <v>357</v>
      </c>
      <c r="B61" s="13"/>
      <c r="C61" s="13"/>
      <c r="D61" s="13"/>
      <c r="E61" s="13"/>
      <c r="F61" s="13"/>
      <c r="G61" s="13"/>
      <c r="H61" s="13"/>
      <c r="I61" s="13"/>
      <c r="J61" s="13"/>
      <c r="K61" s="14"/>
    </row>
    <row r="62" spans="1:11" x14ac:dyDescent="0.2">
      <c r="A62" s="15" t="s">
        <v>342</v>
      </c>
      <c r="B62" s="15" t="s">
        <v>11</v>
      </c>
      <c r="C62" s="16">
        <f>IF(ISBLANK(B62),0,IF(ISERROR(VALUE(B62)),VLOOKUP(B62,dagsoorttabel1,2,FALSE)*dagenperjaar1,VALUE(B62)))</f>
        <v>200</v>
      </c>
      <c r="D62" s="15" t="s">
        <v>343</v>
      </c>
      <c r="E62" s="19"/>
      <c r="F62" s="18"/>
      <c r="G62" s="67"/>
      <c r="H62" s="30">
        <f>IF(ISBLANK(G62),0,G62*C62)+IF(ISBLANK(F62),0,F62*objecturen7_1)</f>
        <v>0</v>
      </c>
      <c r="I62" s="30">
        <f>IF(C62=0,0,H62/C62)</f>
        <v>0</v>
      </c>
      <c r="J62" s="33">
        <f>IF(ISBLANK(E62),0,ROUND(E62,2)*H62)</f>
        <v>0</v>
      </c>
      <c r="K62" s="33">
        <f>J62/12</f>
        <v>0</v>
      </c>
    </row>
    <row r="63" spans="1:11" x14ac:dyDescent="0.2">
      <c r="A63" s="20"/>
      <c r="B63" s="20"/>
      <c r="C63" s="68">
        <f>dagenperjaar1</f>
        <v>255</v>
      </c>
      <c r="D63" s="69" t="s">
        <v>344</v>
      </c>
      <c r="E63" s="24"/>
      <c r="F63" s="23"/>
      <c r="G63" s="70"/>
      <c r="H63" s="34">
        <f>IF(ISBLANK(G63),0,G63*C63)+IF(ISBLANK(F63),0,F63*objecturen7_1)</f>
        <v>0</v>
      </c>
      <c r="I63" s="34">
        <f>IF(C63=0,0,H63/C63)</f>
        <v>0</v>
      </c>
      <c r="J63" s="37">
        <f>IF(ISBLANK(E63),0,ROUND(E63,2)*H63)</f>
        <v>0</v>
      </c>
      <c r="K63" s="37">
        <f>J63/12</f>
        <v>0</v>
      </c>
    </row>
    <row r="64" spans="1:11" x14ac:dyDescent="0.2">
      <c r="A64" s="20"/>
      <c r="B64" s="20"/>
      <c r="C64" s="68">
        <f>dagenperjaar1</f>
        <v>255</v>
      </c>
      <c r="D64" s="69" t="s">
        <v>344</v>
      </c>
      <c r="E64" s="24"/>
      <c r="F64" s="23"/>
      <c r="G64" s="70"/>
      <c r="H64" s="34">
        <f>IF(ISBLANK(G64),0,G64*C64)+IF(ISBLANK(F64),0,F64*objecturen7_1)</f>
        <v>0</v>
      </c>
      <c r="I64" s="34">
        <f>IF(C64=0,0,H64/C64)</f>
        <v>0</v>
      </c>
      <c r="J64" s="37">
        <f>IF(ISBLANK(E64),0,ROUND(E64,2)*H64)</f>
        <v>0</v>
      </c>
      <c r="K64" s="37">
        <f>J64/12</f>
        <v>0</v>
      </c>
    </row>
    <row r="65" spans="1:11" x14ac:dyDescent="0.2">
      <c r="A65" s="20"/>
      <c r="B65" s="20"/>
      <c r="C65" s="68">
        <f>dagenperjaar1</f>
        <v>255</v>
      </c>
      <c r="D65" s="69" t="s">
        <v>345</v>
      </c>
      <c r="E65" s="24"/>
      <c r="F65" s="71"/>
      <c r="G65" s="22"/>
      <c r="H65" s="34">
        <f>IF(ISBLANK(G65),0,G65*C65)+IF(ISBLANK(F65),0,F65*objecturen7_1)</f>
        <v>0</v>
      </c>
      <c r="I65" s="34">
        <f>IF(C65=0,0,H65/C65)</f>
        <v>0</v>
      </c>
      <c r="J65" s="37">
        <f>IF(ISBLANK(E65),0,ROUND(E65,2)*H65)</f>
        <v>0</v>
      </c>
      <c r="K65" s="37">
        <f>J65/12</f>
        <v>0</v>
      </c>
    </row>
    <row r="66" spans="1:11" x14ac:dyDescent="0.2">
      <c r="A66" s="25"/>
      <c r="B66" s="25"/>
      <c r="C66" s="72">
        <f>dagenperjaar1</f>
        <v>255</v>
      </c>
      <c r="D66" s="73" t="s">
        <v>345</v>
      </c>
      <c r="E66" s="29"/>
      <c r="F66" s="74"/>
      <c r="G66" s="27"/>
      <c r="H66" s="38">
        <f>IF(ISBLANK(G66),0,G66*C66)+IF(ISBLANK(F66),0,F66*objecturen7_1)</f>
        <v>0</v>
      </c>
      <c r="I66" s="38">
        <f>IF(C66=0,0,H66/C66)</f>
        <v>0</v>
      </c>
      <c r="J66" s="40">
        <f>IF(ISBLANK(E66),0,ROUND(E66,2)*H66)</f>
        <v>0</v>
      </c>
      <c r="K66" s="40">
        <f>J66/12</f>
        <v>0</v>
      </c>
    </row>
    <row r="67" spans="1:11" x14ac:dyDescent="0.2">
      <c r="A67" s="75" t="s">
        <v>358</v>
      </c>
      <c r="B67" s="42"/>
      <c r="C67" s="42"/>
      <c r="D67" s="42"/>
      <c r="E67" s="42"/>
      <c r="F67" s="42"/>
      <c r="G67" s="42"/>
      <c r="H67" s="43">
        <f>SUM(H62:H66)</f>
        <v>0</v>
      </c>
      <c r="I67" s="42"/>
      <c r="J67" s="44">
        <f>SUM(J62:J66)</f>
        <v>0</v>
      </c>
      <c r="K67" s="45">
        <f>SUM(K62:K66)</f>
        <v>0</v>
      </c>
    </row>
    <row r="68" spans="1:11" x14ac:dyDescent="0.2">
      <c r="A68" s="46"/>
      <c r="B68" s="42"/>
      <c r="C68" s="42"/>
      <c r="D68" s="42"/>
      <c r="E68" s="42"/>
      <c r="F68" s="42"/>
      <c r="G68" s="42"/>
      <c r="H68" s="42"/>
      <c r="I68" s="42"/>
      <c r="J68" s="42"/>
      <c r="K68" s="47"/>
    </row>
    <row r="69" spans="1:11" x14ac:dyDescent="0.2">
      <c r="A69" s="41" t="s">
        <v>253</v>
      </c>
      <c r="B69" s="42"/>
      <c r="C69" s="42"/>
      <c r="D69" s="42"/>
      <c r="E69" s="42"/>
      <c r="F69" s="42"/>
      <c r="G69" s="42"/>
      <c r="H69" s="43">
        <f>tzujt1_1+tzujt2_1+tzujt3_1+tzujt4_1+tzujt5_1+tzujt6_1+tzujt7_1</f>
        <v>0</v>
      </c>
      <c r="I69" s="42"/>
      <c r="J69" s="44">
        <f>tzpjt1_1+tzpjt2_1+tzpjt3_1+tzpjt4_1+tzpjt5_1+tzpjt6_1+tzpjt7_1</f>
        <v>0</v>
      </c>
      <c r="K69" s="45">
        <f>tzpmt1_1+tzpmt2_1+tzpmt3_1+tzpmt4_1+tzpmt5_1+tzpmt6_1+tzpmt7_1</f>
        <v>0</v>
      </c>
    </row>
    <row r="70" spans="1:11" x14ac:dyDescent="0.2">
      <c r="A70" s="46"/>
      <c r="B70" s="42"/>
      <c r="C70" s="42"/>
      <c r="D70" s="42"/>
      <c r="E70" s="42"/>
      <c r="F70" s="42"/>
      <c r="G70" s="42"/>
      <c r="H70" s="42"/>
      <c r="I70" s="42"/>
      <c r="J70" s="42"/>
      <c r="K70" s="47"/>
    </row>
    <row r="71" spans="1:11" x14ac:dyDescent="0.2">
      <c r="A71" s="63"/>
      <c r="B71" s="64"/>
      <c r="C71" s="64"/>
      <c r="D71" s="64"/>
      <c r="E71" s="64"/>
      <c r="F71" s="64"/>
      <c r="G71" s="64"/>
      <c r="H71" s="64"/>
      <c r="I71" s="64"/>
      <c r="J71" s="64"/>
      <c r="K71" s="65"/>
    </row>
    <row r="72" spans="1:11" x14ac:dyDescent="0.2">
      <c r="A72" s="12" t="s">
        <v>163</v>
      </c>
      <c r="B72" s="13"/>
      <c r="C72" s="13"/>
      <c r="D72" s="13"/>
      <c r="E72" s="13"/>
      <c r="F72" s="13"/>
      <c r="G72" s="13"/>
      <c r="H72" s="13"/>
      <c r="I72" s="13"/>
      <c r="J72" s="13"/>
      <c r="K72" s="14"/>
    </row>
    <row r="73" spans="1:11" x14ac:dyDescent="0.2">
      <c r="A73" s="9"/>
      <c r="B73" s="10"/>
      <c r="C73" s="10"/>
      <c r="D73" s="10"/>
      <c r="E73" s="10"/>
      <c r="F73" s="10"/>
      <c r="G73" s="10"/>
      <c r="H73" s="10"/>
      <c r="I73" s="10"/>
      <c r="J73" s="10"/>
      <c r="K73" s="11"/>
    </row>
    <row r="74" spans="1:11" x14ac:dyDescent="0.2">
      <c r="A74" s="66" t="s">
        <v>341</v>
      </c>
      <c r="B74" s="13"/>
      <c r="C74" s="13"/>
      <c r="D74" s="13"/>
      <c r="E74" s="13"/>
      <c r="F74" s="13"/>
      <c r="G74" s="13"/>
      <c r="H74" s="13"/>
      <c r="I74" s="13"/>
      <c r="J74" s="13"/>
      <c r="K74" s="14"/>
    </row>
    <row r="75" spans="1:11" x14ac:dyDescent="0.2">
      <c r="A75" s="15" t="s">
        <v>359</v>
      </c>
      <c r="B75" s="15" t="s">
        <v>25</v>
      </c>
      <c r="C75" s="16">
        <f>IF(ISBLANK(B75),0,IF(ISERROR(VALUE(B75)),VLOOKUP(B75,dagsoorttabel1,2,FALSE)*dagenperjaar1,VALUE(B75)))</f>
        <v>6</v>
      </c>
      <c r="D75" s="15" t="s">
        <v>343</v>
      </c>
      <c r="E75" s="19"/>
      <c r="F75" s="18"/>
      <c r="G75" s="67"/>
      <c r="H75" s="30">
        <f>IF(ISBLANK(G75),0,G75*C75)+IF(ISBLANK(F75),0,F75*objecturen1_2)</f>
        <v>0</v>
      </c>
      <c r="I75" s="30">
        <f>IF(C75=0,0,H75/C75)</f>
        <v>0</v>
      </c>
      <c r="J75" s="33">
        <f>IF(ISBLANK(E75),0,ROUND(E75,2)*H75)</f>
        <v>0</v>
      </c>
      <c r="K75" s="33">
        <f>J75/12</f>
        <v>0</v>
      </c>
    </row>
    <row r="76" spans="1:11" x14ac:dyDescent="0.2">
      <c r="A76" s="20"/>
      <c r="B76" s="20"/>
      <c r="C76" s="68">
        <f>dagenperjaar1</f>
        <v>255</v>
      </c>
      <c r="D76" s="69" t="s">
        <v>344</v>
      </c>
      <c r="E76" s="24"/>
      <c r="F76" s="23"/>
      <c r="G76" s="70"/>
      <c r="H76" s="34">
        <f>IF(ISBLANK(G76),0,G76*C76)+IF(ISBLANK(F76),0,F76*objecturen1_2)</f>
        <v>0</v>
      </c>
      <c r="I76" s="34">
        <f>IF(C76=0,0,H76/C76)</f>
        <v>0</v>
      </c>
      <c r="J76" s="37">
        <f>IF(ISBLANK(E76),0,ROUND(E76,2)*H76)</f>
        <v>0</v>
      </c>
      <c r="K76" s="37">
        <f>J76/12</f>
        <v>0</v>
      </c>
    </row>
    <row r="77" spans="1:11" x14ac:dyDescent="0.2">
      <c r="A77" s="20"/>
      <c r="B77" s="20"/>
      <c r="C77" s="68">
        <f>dagenperjaar1</f>
        <v>255</v>
      </c>
      <c r="D77" s="69" t="s">
        <v>344</v>
      </c>
      <c r="E77" s="24"/>
      <c r="F77" s="23"/>
      <c r="G77" s="70"/>
      <c r="H77" s="34">
        <f>IF(ISBLANK(G77),0,G77*C77)+IF(ISBLANK(F77),0,F77*objecturen1_2)</f>
        <v>0</v>
      </c>
      <c r="I77" s="34">
        <f>IF(C77=0,0,H77/C77)</f>
        <v>0</v>
      </c>
      <c r="J77" s="37">
        <f>IF(ISBLANK(E77),0,ROUND(E77,2)*H77)</f>
        <v>0</v>
      </c>
      <c r="K77" s="37">
        <f>J77/12</f>
        <v>0</v>
      </c>
    </row>
    <row r="78" spans="1:11" x14ac:dyDescent="0.2">
      <c r="A78" s="20"/>
      <c r="B78" s="20"/>
      <c r="C78" s="68">
        <f>dagenperjaar1</f>
        <v>255</v>
      </c>
      <c r="D78" s="69" t="s">
        <v>345</v>
      </c>
      <c r="E78" s="24"/>
      <c r="F78" s="71"/>
      <c r="G78" s="22"/>
      <c r="H78" s="34">
        <f>IF(ISBLANK(G78),0,G78*C78)+IF(ISBLANK(F78),0,F78*objecturen1_2)</f>
        <v>0</v>
      </c>
      <c r="I78" s="34">
        <f>IF(C78=0,0,H78/C78)</f>
        <v>0</v>
      </c>
      <c r="J78" s="37">
        <f>IF(ISBLANK(E78),0,ROUND(E78,2)*H78)</f>
        <v>0</v>
      </c>
      <c r="K78" s="37">
        <f>J78/12</f>
        <v>0</v>
      </c>
    </row>
    <row r="79" spans="1:11" x14ac:dyDescent="0.2">
      <c r="A79" s="25"/>
      <c r="B79" s="25"/>
      <c r="C79" s="72">
        <f>dagenperjaar1</f>
        <v>255</v>
      </c>
      <c r="D79" s="73" t="s">
        <v>345</v>
      </c>
      <c r="E79" s="29"/>
      <c r="F79" s="74"/>
      <c r="G79" s="27"/>
      <c r="H79" s="38">
        <f>IF(ISBLANK(G79),0,G79*C79)+IF(ISBLANK(F79),0,F79*objecturen1_2)</f>
        <v>0</v>
      </c>
      <c r="I79" s="38">
        <f>IF(C79=0,0,H79/C79)</f>
        <v>0</v>
      </c>
      <c r="J79" s="40">
        <f>IF(ISBLANK(E79),0,ROUND(E79,2)*H79)</f>
        <v>0</v>
      </c>
      <c r="K79" s="40">
        <f>J79/12</f>
        <v>0</v>
      </c>
    </row>
    <row r="80" spans="1:11" x14ac:dyDescent="0.2">
      <c r="A80" s="75" t="s">
        <v>346</v>
      </c>
      <c r="B80" s="42"/>
      <c r="C80" s="42"/>
      <c r="D80" s="42"/>
      <c r="E80" s="42"/>
      <c r="F80" s="42"/>
      <c r="G80" s="42"/>
      <c r="H80" s="43">
        <f>SUM(H75:H79)</f>
        <v>0</v>
      </c>
      <c r="I80" s="42"/>
      <c r="J80" s="44">
        <f>SUM(J75:J79)</f>
        <v>0</v>
      </c>
      <c r="K80" s="45">
        <f>SUM(K75:K79)</f>
        <v>0</v>
      </c>
    </row>
    <row r="81" spans="1:11" x14ac:dyDescent="0.2">
      <c r="A81" s="46"/>
      <c r="B81" s="42"/>
      <c r="C81" s="42"/>
      <c r="D81" s="42"/>
      <c r="E81" s="42"/>
      <c r="F81" s="42"/>
      <c r="G81" s="42"/>
      <c r="H81" s="42"/>
      <c r="I81" s="42"/>
      <c r="J81" s="42"/>
      <c r="K81" s="47"/>
    </row>
    <row r="82" spans="1:11" x14ac:dyDescent="0.2">
      <c r="A82" s="9"/>
      <c r="B82" s="10"/>
      <c r="C82" s="10"/>
      <c r="D82" s="10"/>
      <c r="E82" s="10"/>
      <c r="F82" s="10"/>
      <c r="G82" s="10"/>
      <c r="H82" s="10"/>
      <c r="I82" s="10"/>
      <c r="J82" s="10"/>
      <c r="K82" s="11"/>
    </row>
    <row r="83" spans="1:11" x14ac:dyDescent="0.2">
      <c r="A83" s="66" t="s">
        <v>349</v>
      </c>
      <c r="B83" s="13"/>
      <c r="C83" s="13"/>
      <c r="D83" s="13"/>
      <c r="E83" s="13"/>
      <c r="F83" s="13"/>
      <c r="G83" s="13"/>
      <c r="H83" s="13"/>
      <c r="I83" s="13"/>
      <c r="J83" s="13"/>
      <c r="K83" s="14"/>
    </row>
    <row r="84" spans="1:11" x14ac:dyDescent="0.2">
      <c r="A84" s="15" t="s">
        <v>359</v>
      </c>
      <c r="B84" s="15" t="s">
        <v>24</v>
      </c>
      <c r="C84" s="16">
        <f>IF(ISBLANK(B84),0,IF(ISERROR(VALUE(B84)),VLOOKUP(B84,dagsoorttabel1,2,FALSE)*dagenperjaar1,VALUE(B84)))</f>
        <v>8</v>
      </c>
      <c r="D84" s="15" t="s">
        <v>343</v>
      </c>
      <c r="E84" s="19"/>
      <c r="F84" s="18"/>
      <c r="G84" s="67"/>
      <c r="H84" s="30">
        <f>IF(ISBLANK(G84),0,G84*C84)+IF(ISBLANK(F84),0,F84*objecturen3_2)</f>
        <v>0</v>
      </c>
      <c r="I84" s="30">
        <f>IF(C84=0,0,H84/C84)</f>
        <v>0</v>
      </c>
      <c r="J84" s="33">
        <f>IF(ISBLANK(E84),0,ROUND(E84,2)*H84)</f>
        <v>0</v>
      </c>
      <c r="K84" s="33">
        <f>J84/12</f>
        <v>0</v>
      </c>
    </row>
    <row r="85" spans="1:11" x14ac:dyDescent="0.2">
      <c r="A85" s="20"/>
      <c r="B85" s="20"/>
      <c r="C85" s="68">
        <f>dagenperjaar1</f>
        <v>255</v>
      </c>
      <c r="D85" s="69" t="s">
        <v>344</v>
      </c>
      <c r="E85" s="24"/>
      <c r="F85" s="23"/>
      <c r="G85" s="70"/>
      <c r="H85" s="34">
        <f>IF(ISBLANK(G85),0,G85*C85)+IF(ISBLANK(F85),0,F85*objecturen3_2)</f>
        <v>0</v>
      </c>
      <c r="I85" s="34">
        <f>IF(C85=0,0,H85/C85)</f>
        <v>0</v>
      </c>
      <c r="J85" s="37">
        <f>IF(ISBLANK(E85),0,ROUND(E85,2)*H85)</f>
        <v>0</v>
      </c>
      <c r="K85" s="37">
        <f>J85/12</f>
        <v>0</v>
      </c>
    </row>
    <row r="86" spans="1:11" x14ac:dyDescent="0.2">
      <c r="A86" s="20"/>
      <c r="B86" s="20"/>
      <c r="C86" s="68">
        <f>dagenperjaar1</f>
        <v>255</v>
      </c>
      <c r="D86" s="69" t="s">
        <v>344</v>
      </c>
      <c r="E86" s="24"/>
      <c r="F86" s="23"/>
      <c r="G86" s="70"/>
      <c r="H86" s="34">
        <f>IF(ISBLANK(G86),0,G86*C86)+IF(ISBLANK(F86),0,F86*objecturen3_2)</f>
        <v>0</v>
      </c>
      <c r="I86" s="34">
        <f>IF(C86=0,0,H86/C86)</f>
        <v>0</v>
      </c>
      <c r="J86" s="37">
        <f>IF(ISBLANK(E86),0,ROUND(E86,2)*H86)</f>
        <v>0</v>
      </c>
      <c r="K86" s="37">
        <f>J86/12</f>
        <v>0</v>
      </c>
    </row>
    <row r="87" spans="1:11" x14ac:dyDescent="0.2">
      <c r="A87" s="20"/>
      <c r="B87" s="20"/>
      <c r="C87" s="68">
        <f>dagenperjaar1</f>
        <v>255</v>
      </c>
      <c r="D87" s="69" t="s">
        <v>345</v>
      </c>
      <c r="E87" s="24"/>
      <c r="F87" s="71"/>
      <c r="G87" s="22"/>
      <c r="H87" s="34">
        <f>IF(ISBLANK(G87),0,G87*C87)+IF(ISBLANK(F87),0,F87*objecturen3_2)</f>
        <v>0</v>
      </c>
      <c r="I87" s="34">
        <f>IF(C87=0,0,H87/C87)</f>
        <v>0</v>
      </c>
      <c r="J87" s="37">
        <f>IF(ISBLANK(E87),0,ROUND(E87,2)*H87)</f>
        <v>0</v>
      </c>
      <c r="K87" s="37">
        <f>J87/12</f>
        <v>0</v>
      </c>
    </row>
    <row r="88" spans="1:11" x14ac:dyDescent="0.2">
      <c r="A88" s="25"/>
      <c r="B88" s="25"/>
      <c r="C88" s="72">
        <f>dagenperjaar1</f>
        <v>255</v>
      </c>
      <c r="D88" s="73" t="s">
        <v>345</v>
      </c>
      <c r="E88" s="29"/>
      <c r="F88" s="74"/>
      <c r="G88" s="27"/>
      <c r="H88" s="38">
        <f>IF(ISBLANK(G88),0,G88*C88)+IF(ISBLANK(F88),0,F88*objecturen3_2)</f>
        <v>0</v>
      </c>
      <c r="I88" s="38">
        <f>IF(C88=0,0,H88/C88)</f>
        <v>0</v>
      </c>
      <c r="J88" s="40">
        <f>IF(ISBLANK(E88),0,ROUND(E88,2)*H88)</f>
        <v>0</v>
      </c>
      <c r="K88" s="40">
        <f>J88/12</f>
        <v>0</v>
      </c>
    </row>
    <row r="89" spans="1:11" x14ac:dyDescent="0.2">
      <c r="A89" s="75" t="s">
        <v>350</v>
      </c>
      <c r="B89" s="42"/>
      <c r="C89" s="42"/>
      <c r="D89" s="42"/>
      <c r="E89" s="42"/>
      <c r="F89" s="42"/>
      <c r="G89" s="42"/>
      <c r="H89" s="43">
        <f>SUM(H84:H88)</f>
        <v>0</v>
      </c>
      <c r="I89" s="42"/>
      <c r="J89" s="44">
        <f>SUM(J84:J88)</f>
        <v>0</v>
      </c>
      <c r="K89" s="45">
        <f>SUM(K84:K88)</f>
        <v>0</v>
      </c>
    </row>
    <row r="90" spans="1:11" x14ac:dyDescent="0.2">
      <c r="A90" s="46"/>
      <c r="B90" s="42"/>
      <c r="C90" s="42"/>
      <c r="D90" s="42"/>
      <c r="E90" s="42"/>
      <c r="F90" s="42"/>
      <c r="G90" s="42"/>
      <c r="H90" s="42"/>
      <c r="I90" s="42"/>
      <c r="J90" s="42"/>
      <c r="K90" s="47"/>
    </row>
    <row r="91" spans="1:11" x14ac:dyDescent="0.2">
      <c r="A91" s="9"/>
      <c r="B91" s="10"/>
      <c r="C91" s="10"/>
      <c r="D91" s="10"/>
      <c r="E91" s="10"/>
      <c r="F91" s="10"/>
      <c r="G91" s="10"/>
      <c r="H91" s="10"/>
      <c r="I91" s="10"/>
      <c r="J91" s="10"/>
      <c r="K91" s="11"/>
    </row>
    <row r="92" spans="1:11" x14ac:dyDescent="0.2">
      <c r="A92" s="66" t="s">
        <v>351</v>
      </c>
      <c r="B92" s="13"/>
      <c r="C92" s="13"/>
      <c r="D92" s="13"/>
      <c r="E92" s="13"/>
      <c r="F92" s="13"/>
      <c r="G92" s="13"/>
      <c r="H92" s="13"/>
      <c r="I92" s="13"/>
      <c r="J92" s="13"/>
      <c r="K92" s="14"/>
    </row>
    <row r="93" spans="1:11" x14ac:dyDescent="0.2">
      <c r="A93" s="15" t="s">
        <v>359</v>
      </c>
      <c r="B93" s="15" t="s">
        <v>23</v>
      </c>
      <c r="C93" s="16">
        <f>IF(ISBLANK(B93),0,IF(ISERROR(VALUE(B93)),VLOOKUP(B93,dagsoorttabel1,2,FALSE)*dagenperjaar1,VALUE(B93)))</f>
        <v>10</v>
      </c>
      <c r="D93" s="15" t="s">
        <v>343</v>
      </c>
      <c r="E93" s="19"/>
      <c r="F93" s="18"/>
      <c r="G93" s="67"/>
      <c r="H93" s="30">
        <f>IF(ISBLANK(G93),0,G93*C93)+IF(ISBLANK(F93),0,F93*objecturen4_2)</f>
        <v>0</v>
      </c>
      <c r="I93" s="30">
        <f>IF(C93=0,0,H93/C93)</f>
        <v>0</v>
      </c>
      <c r="J93" s="33">
        <f>IF(ISBLANK(E93),0,ROUND(E93,2)*H93)</f>
        <v>0</v>
      </c>
      <c r="K93" s="33">
        <f>J93/12</f>
        <v>0</v>
      </c>
    </row>
    <row r="94" spans="1:11" x14ac:dyDescent="0.2">
      <c r="A94" s="20"/>
      <c r="B94" s="20"/>
      <c r="C94" s="68">
        <f>dagenperjaar1</f>
        <v>255</v>
      </c>
      <c r="D94" s="69" t="s">
        <v>344</v>
      </c>
      <c r="E94" s="24"/>
      <c r="F94" s="23"/>
      <c r="G94" s="70"/>
      <c r="H94" s="34">
        <f>IF(ISBLANK(G94),0,G94*C94)+IF(ISBLANK(F94),0,F94*objecturen4_2)</f>
        <v>0</v>
      </c>
      <c r="I94" s="34">
        <f>IF(C94=0,0,H94/C94)</f>
        <v>0</v>
      </c>
      <c r="J94" s="37">
        <f>IF(ISBLANK(E94),0,ROUND(E94,2)*H94)</f>
        <v>0</v>
      </c>
      <c r="K94" s="37">
        <f>J94/12</f>
        <v>0</v>
      </c>
    </row>
    <row r="95" spans="1:11" x14ac:dyDescent="0.2">
      <c r="A95" s="20"/>
      <c r="B95" s="20"/>
      <c r="C95" s="68">
        <f>dagenperjaar1</f>
        <v>255</v>
      </c>
      <c r="D95" s="69" t="s">
        <v>344</v>
      </c>
      <c r="E95" s="24"/>
      <c r="F95" s="23"/>
      <c r="G95" s="70"/>
      <c r="H95" s="34">
        <f>IF(ISBLANK(G95),0,G95*C95)+IF(ISBLANK(F95),0,F95*objecturen4_2)</f>
        <v>0</v>
      </c>
      <c r="I95" s="34">
        <f>IF(C95=0,0,H95/C95)</f>
        <v>0</v>
      </c>
      <c r="J95" s="37">
        <f>IF(ISBLANK(E95),0,ROUND(E95,2)*H95)</f>
        <v>0</v>
      </c>
      <c r="K95" s="37">
        <f>J95/12</f>
        <v>0</v>
      </c>
    </row>
    <row r="96" spans="1:11" x14ac:dyDescent="0.2">
      <c r="A96" s="20"/>
      <c r="B96" s="20"/>
      <c r="C96" s="68">
        <f>dagenperjaar1</f>
        <v>255</v>
      </c>
      <c r="D96" s="69" t="s">
        <v>345</v>
      </c>
      <c r="E96" s="24"/>
      <c r="F96" s="71"/>
      <c r="G96" s="22"/>
      <c r="H96" s="34">
        <f>IF(ISBLANK(G96),0,G96*C96)+IF(ISBLANK(F96),0,F96*objecturen4_2)</f>
        <v>0</v>
      </c>
      <c r="I96" s="34">
        <f>IF(C96=0,0,H96/C96)</f>
        <v>0</v>
      </c>
      <c r="J96" s="37">
        <f>IF(ISBLANK(E96),0,ROUND(E96,2)*H96)</f>
        <v>0</v>
      </c>
      <c r="K96" s="37">
        <f>J96/12</f>
        <v>0</v>
      </c>
    </row>
    <row r="97" spans="1:11" x14ac:dyDescent="0.2">
      <c r="A97" s="25"/>
      <c r="B97" s="25"/>
      <c r="C97" s="72">
        <f>dagenperjaar1</f>
        <v>255</v>
      </c>
      <c r="D97" s="73" t="s">
        <v>345</v>
      </c>
      <c r="E97" s="29"/>
      <c r="F97" s="74"/>
      <c r="G97" s="27"/>
      <c r="H97" s="38">
        <f>IF(ISBLANK(G97),0,G97*C97)+IF(ISBLANK(F97),0,F97*objecturen4_2)</f>
        <v>0</v>
      </c>
      <c r="I97" s="38">
        <f>IF(C97=0,0,H97/C97)</f>
        <v>0</v>
      </c>
      <c r="J97" s="40">
        <f>IF(ISBLANK(E97),0,ROUND(E97,2)*H97)</f>
        <v>0</v>
      </c>
      <c r="K97" s="40">
        <f>J97/12</f>
        <v>0</v>
      </c>
    </row>
    <row r="98" spans="1:11" x14ac:dyDescent="0.2">
      <c r="A98" s="75" t="s">
        <v>352</v>
      </c>
      <c r="B98" s="42"/>
      <c r="C98" s="42"/>
      <c r="D98" s="42"/>
      <c r="E98" s="42"/>
      <c r="F98" s="42"/>
      <c r="G98" s="42"/>
      <c r="H98" s="43">
        <f>SUM(H93:H97)</f>
        <v>0</v>
      </c>
      <c r="I98" s="42"/>
      <c r="J98" s="44">
        <f>SUM(J93:J97)</f>
        <v>0</v>
      </c>
      <c r="K98" s="45">
        <f>SUM(K93:K97)</f>
        <v>0</v>
      </c>
    </row>
    <row r="99" spans="1:11" x14ac:dyDescent="0.2">
      <c r="A99" s="46"/>
      <c r="B99" s="42"/>
      <c r="C99" s="42"/>
      <c r="D99" s="42"/>
      <c r="E99" s="42"/>
      <c r="F99" s="42"/>
      <c r="G99" s="42"/>
      <c r="H99" s="42"/>
      <c r="I99" s="42"/>
      <c r="J99" s="42"/>
      <c r="K99" s="47"/>
    </row>
    <row r="100" spans="1:11" x14ac:dyDescent="0.2">
      <c r="A100" s="41" t="s">
        <v>272</v>
      </c>
      <c r="B100" s="42"/>
      <c r="C100" s="42"/>
      <c r="D100" s="42"/>
      <c r="E100" s="42"/>
      <c r="F100" s="42"/>
      <c r="G100" s="42"/>
      <c r="H100" s="43">
        <f>tzujt1_2+tzujt3_2+tzujt4_2</f>
        <v>0</v>
      </c>
      <c r="I100" s="42"/>
      <c r="J100" s="44">
        <f>tzpjt1_2+tzpjt3_2+tzpjt4_2</f>
        <v>0</v>
      </c>
      <c r="K100" s="45">
        <f>tzpmt1_2+tzpmt3_2+tzpmt4_2</f>
        <v>0</v>
      </c>
    </row>
    <row r="101" spans="1:11" x14ac:dyDescent="0.2">
      <c r="A101" s="46"/>
      <c r="B101" s="42"/>
      <c r="C101" s="42"/>
      <c r="D101" s="42"/>
      <c r="E101" s="42"/>
      <c r="F101" s="42"/>
      <c r="G101" s="42"/>
      <c r="H101" s="42"/>
      <c r="I101" s="42"/>
      <c r="J101" s="42"/>
      <c r="K101" s="47"/>
    </row>
    <row r="103" spans="1:11" x14ac:dyDescent="0.2">
      <c r="A103" s="41" t="s">
        <v>360</v>
      </c>
      <c r="B103" s="42"/>
      <c r="C103" s="42"/>
      <c r="D103" s="42"/>
      <c r="E103" s="42"/>
      <c r="F103" s="42"/>
      <c r="G103" s="42"/>
      <c r="H103" s="43">
        <f>tzujt1+tzujt2</f>
        <v>0</v>
      </c>
      <c r="I103" s="42"/>
      <c r="J103" s="44">
        <f>tzpjt1+tzpjt2</f>
        <v>0</v>
      </c>
      <c r="K103" s="44">
        <f>tzpmt1+tzpmt2</f>
        <v>0</v>
      </c>
    </row>
    <row r="105" spans="1:11" x14ac:dyDescent="0.2">
      <c r="A105" s="41" t="s">
        <v>361</v>
      </c>
      <c r="B105" s="42"/>
      <c r="C105" s="42"/>
      <c r="D105" s="42"/>
      <c r="E105" s="42"/>
      <c r="F105" s="42"/>
      <c r="G105" s="42"/>
      <c r="H105" s="42"/>
      <c r="I105" s="42"/>
      <c r="J105" s="44">
        <f>J103*1.21</f>
        <v>0</v>
      </c>
      <c r="K105" s="44">
        <f>K103*1.21</f>
        <v>0</v>
      </c>
    </row>
  </sheetData>
  <pageMargins left="0.7" right="0.7" top="0.75" bottom="0.75" header="0.3" footer="0.3"/>
  <pageSetup paperSize="9" scale="65" orientation="landscape" horizontalDpi="4294967295" verticalDpi="4294967295" r:id="rId1"/>
  <headerFooter>
    <oddFooter>&amp;LROC Midden Nederland EA 2022                                &amp;ROpmaakdatum: 19-05-2022
Intexso - De Start 5 - Leusden
+31 (33) 2778485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9B9FEF-699D-48B1-A4B3-138BC4141283}">
  <dimension ref="A1:L12"/>
  <sheetViews>
    <sheetView workbookViewId="0"/>
  </sheetViews>
  <sheetFormatPr defaultRowHeight="12.75" x14ac:dyDescent="0.2"/>
  <cols>
    <col min="1" max="1" width="8.625" customWidth="1"/>
    <col min="2" max="2" width="32.625" customWidth="1"/>
    <col min="3" max="3" width="20.625" customWidth="1"/>
    <col min="4" max="4" width="18.625" customWidth="1"/>
    <col min="5" max="6" width="12.625" customWidth="1"/>
    <col min="7" max="12" width="13.625" customWidth="1"/>
  </cols>
  <sheetData>
    <row r="1" spans="1:12" x14ac:dyDescent="0.2">
      <c r="A1" s="1" t="str">
        <f>CONCATENATE("Bijlage I3.5: ",tabeltype," totaalblad objecten")</f>
        <v>Bijlage I3.5: Invultabel totaalblad objecten</v>
      </c>
    </row>
    <row r="3" spans="1:12" ht="38.25" x14ac:dyDescent="0.2">
      <c r="A3" s="8" t="s">
        <v>291</v>
      </c>
      <c r="B3" s="8" t="s">
        <v>292</v>
      </c>
      <c r="C3" s="8" t="s">
        <v>293</v>
      </c>
      <c r="D3" s="8" t="s">
        <v>294</v>
      </c>
      <c r="E3" s="8" t="s">
        <v>304</v>
      </c>
      <c r="F3" s="8" t="s">
        <v>187</v>
      </c>
      <c r="G3" s="8" t="s">
        <v>362</v>
      </c>
      <c r="H3" s="8" t="s">
        <v>363</v>
      </c>
      <c r="I3" s="8" t="s">
        <v>364</v>
      </c>
      <c r="J3" s="8" t="s">
        <v>365</v>
      </c>
      <c r="K3" s="8" t="s">
        <v>366</v>
      </c>
      <c r="L3" s="8" t="s">
        <v>367</v>
      </c>
    </row>
    <row r="4" spans="1:12" x14ac:dyDescent="0.2">
      <c r="A4" s="15" t="s">
        <v>307</v>
      </c>
      <c r="B4" s="15" t="s">
        <v>308</v>
      </c>
      <c r="C4" s="15" t="s">
        <v>309</v>
      </c>
      <c r="D4" s="15" t="s">
        <v>310</v>
      </c>
      <c r="E4" s="30">
        <f>objecturenhf1_1+objecturenhf1_2</f>
        <v>0</v>
      </c>
      <c r="F4" s="30">
        <f>objecturen1_1+objecturen1_2</f>
        <v>0</v>
      </c>
      <c r="G4" s="33">
        <f>objectprijs1_1+objectprijs1_2</f>
        <v>0</v>
      </c>
      <c r="H4" s="30">
        <f>tzujt1_1+tzujt1_2</f>
        <v>0</v>
      </c>
      <c r="I4" s="33">
        <f>tzpjt1_1+tzpjt1_2</f>
        <v>0</v>
      </c>
      <c r="J4" s="33">
        <f>G4+I4</f>
        <v>0</v>
      </c>
      <c r="K4" s="33">
        <f>J4/12</f>
        <v>0</v>
      </c>
      <c r="L4" s="33">
        <f>K4*1.21</f>
        <v>0</v>
      </c>
    </row>
    <row r="5" spans="1:12" x14ac:dyDescent="0.2">
      <c r="A5" s="20" t="s">
        <v>311</v>
      </c>
      <c r="B5" s="20" t="s">
        <v>312</v>
      </c>
      <c r="C5" s="20" t="s">
        <v>313</v>
      </c>
      <c r="D5" s="20" t="s">
        <v>310</v>
      </c>
      <c r="E5" s="34">
        <f>objecturenhf2_1</f>
        <v>0</v>
      </c>
      <c r="F5" s="34">
        <f>objecturen2_1</f>
        <v>0</v>
      </c>
      <c r="G5" s="37">
        <f>objectprijs2_1</f>
        <v>0</v>
      </c>
      <c r="H5" s="34">
        <f>tzujt2_1</f>
        <v>0</v>
      </c>
      <c r="I5" s="37">
        <f>tzpjt2_1</f>
        <v>0</v>
      </c>
      <c r="J5" s="37">
        <f>G5+I5</f>
        <v>0</v>
      </c>
      <c r="K5" s="37">
        <f>J5/12</f>
        <v>0</v>
      </c>
      <c r="L5" s="37">
        <f>K5*1.21</f>
        <v>0</v>
      </c>
    </row>
    <row r="6" spans="1:12" x14ac:dyDescent="0.2">
      <c r="A6" s="20" t="s">
        <v>314</v>
      </c>
      <c r="B6" s="20" t="s">
        <v>315</v>
      </c>
      <c r="C6" s="20" t="s">
        <v>316</v>
      </c>
      <c r="D6" s="20" t="s">
        <v>310</v>
      </c>
      <c r="E6" s="34">
        <f>objecturenhf3_1+objecturenhf3_2</f>
        <v>0</v>
      </c>
      <c r="F6" s="34">
        <f>objecturen3_1+objecturen3_2</f>
        <v>0</v>
      </c>
      <c r="G6" s="37">
        <f>objectprijs3_1+objectprijs3_2</f>
        <v>0</v>
      </c>
      <c r="H6" s="34">
        <f>tzujt3_1+tzujt3_2</f>
        <v>0</v>
      </c>
      <c r="I6" s="37">
        <f>tzpjt3_1+tzpjt3_2</f>
        <v>0</v>
      </c>
      <c r="J6" s="37">
        <f>G6+I6</f>
        <v>0</v>
      </c>
      <c r="K6" s="37">
        <f>J6/12</f>
        <v>0</v>
      </c>
      <c r="L6" s="37">
        <f>K6*1.21</f>
        <v>0</v>
      </c>
    </row>
    <row r="7" spans="1:12" x14ac:dyDescent="0.2">
      <c r="A7" s="20" t="s">
        <v>317</v>
      </c>
      <c r="B7" s="20" t="s">
        <v>318</v>
      </c>
      <c r="C7" s="20" t="s">
        <v>319</v>
      </c>
      <c r="D7" s="20" t="s">
        <v>320</v>
      </c>
      <c r="E7" s="34">
        <f>objecturenhf4_1+objecturenhf4_2</f>
        <v>0</v>
      </c>
      <c r="F7" s="34">
        <f>objecturen4_1+objecturen4_2</f>
        <v>0</v>
      </c>
      <c r="G7" s="37">
        <f>objectprijs4_1+objectprijs4_2</f>
        <v>0</v>
      </c>
      <c r="H7" s="34">
        <f>tzujt4_1+tzujt4_2</f>
        <v>0</v>
      </c>
      <c r="I7" s="37">
        <f>tzpjt4_1+tzpjt4_2</f>
        <v>0</v>
      </c>
      <c r="J7" s="37">
        <f>G7+I7</f>
        <v>0</v>
      </c>
      <c r="K7" s="37">
        <f>J7/12</f>
        <v>0</v>
      </c>
      <c r="L7" s="37">
        <f>K7*1.21</f>
        <v>0</v>
      </c>
    </row>
    <row r="8" spans="1:12" x14ac:dyDescent="0.2">
      <c r="A8" s="20" t="s">
        <v>321</v>
      </c>
      <c r="B8" s="20" t="s">
        <v>322</v>
      </c>
      <c r="C8" s="20" t="s">
        <v>323</v>
      </c>
      <c r="D8" s="20" t="s">
        <v>310</v>
      </c>
      <c r="E8" s="34">
        <f>objecturenhf5_1</f>
        <v>0</v>
      </c>
      <c r="F8" s="34">
        <f>objecturen5_1</f>
        <v>0</v>
      </c>
      <c r="G8" s="37">
        <f>objectprijs5_1</f>
        <v>0</v>
      </c>
      <c r="H8" s="34">
        <f>tzujt5_1</f>
        <v>0</v>
      </c>
      <c r="I8" s="37">
        <f>tzpjt5_1</f>
        <v>0</v>
      </c>
      <c r="J8" s="37">
        <f>G8+I8</f>
        <v>0</v>
      </c>
      <c r="K8" s="37">
        <f>J8/12</f>
        <v>0</v>
      </c>
      <c r="L8" s="37">
        <f>K8*1.21</f>
        <v>0</v>
      </c>
    </row>
    <row r="9" spans="1:12" x14ac:dyDescent="0.2">
      <c r="A9" s="20" t="s">
        <v>324</v>
      </c>
      <c r="B9" s="20" t="s">
        <v>325</v>
      </c>
      <c r="C9" s="20" t="s">
        <v>326</v>
      </c>
      <c r="D9" s="20" t="s">
        <v>310</v>
      </c>
      <c r="E9" s="34">
        <f>objecturenhf6_1</f>
        <v>0</v>
      </c>
      <c r="F9" s="34">
        <f>objecturen6_1</f>
        <v>0</v>
      </c>
      <c r="G9" s="37">
        <f>objectprijs6_1</f>
        <v>0</v>
      </c>
      <c r="H9" s="34">
        <f>tzujt6_1</f>
        <v>0</v>
      </c>
      <c r="I9" s="37">
        <f>tzpjt6_1</f>
        <v>0</v>
      </c>
      <c r="J9" s="37">
        <f>G9+I9</f>
        <v>0</v>
      </c>
      <c r="K9" s="37">
        <f>J9/12</f>
        <v>0</v>
      </c>
      <c r="L9" s="37">
        <f>K9*1.21</f>
        <v>0</v>
      </c>
    </row>
    <row r="10" spans="1:12" x14ac:dyDescent="0.2">
      <c r="A10" s="25" t="s">
        <v>327</v>
      </c>
      <c r="B10" s="25" t="s">
        <v>328</v>
      </c>
      <c r="C10" s="25" t="s">
        <v>329</v>
      </c>
      <c r="D10" s="25" t="s">
        <v>310</v>
      </c>
      <c r="E10" s="38">
        <f>objecturenhf7_1</f>
        <v>0</v>
      </c>
      <c r="F10" s="38">
        <f>objecturen7_1</f>
        <v>0</v>
      </c>
      <c r="G10" s="40">
        <f>objectprijs7_1</f>
        <v>0</v>
      </c>
      <c r="H10" s="38">
        <f>tzujt7_1</f>
        <v>0</v>
      </c>
      <c r="I10" s="40">
        <f>tzpjt7_1</f>
        <v>0</v>
      </c>
      <c r="J10" s="40">
        <f>G10+I10</f>
        <v>0</v>
      </c>
      <c r="K10" s="40">
        <f>J10/12</f>
        <v>0</v>
      </c>
      <c r="L10" s="40">
        <f>K10*1.21</f>
        <v>0</v>
      </c>
    </row>
    <row r="12" spans="1:12" x14ac:dyDescent="0.2">
      <c r="A12" s="41" t="s">
        <v>368</v>
      </c>
      <c r="B12" s="42"/>
      <c r="C12" s="42"/>
      <c r="D12" s="42"/>
      <c r="E12" s="43">
        <f>SUM(E4:E10)</f>
        <v>0</v>
      </c>
      <c r="F12" s="43">
        <f>SUM(F4:F10)</f>
        <v>0</v>
      </c>
      <c r="G12" s="44">
        <f>SUM(G4:G10)</f>
        <v>0</v>
      </c>
      <c r="H12" s="43">
        <f>SUM(H4:H10)</f>
        <v>0</v>
      </c>
      <c r="I12" s="44">
        <f>SUM(I4:I10)</f>
        <v>0</v>
      </c>
      <c r="J12" s="44">
        <f>SUM(J4:J10)</f>
        <v>0</v>
      </c>
      <c r="K12" s="44">
        <f>SUM(K4:K10)</f>
        <v>0</v>
      </c>
      <c r="L12" s="44">
        <f>SUM(L4:L10)</f>
        <v>0</v>
      </c>
    </row>
  </sheetData>
  <pageMargins left="0.7" right="0.7" top="0.75" bottom="0.75" header="0.3" footer="0.3"/>
  <pageSetup paperSize="9" scale="65" orientation="landscape" horizontalDpi="4294967295" verticalDpi="4294967295" r:id="rId1"/>
  <headerFooter>
    <oddFooter>&amp;LROC Midden Nederland EA 2022                                &amp;ROpmaakdatum: 19-05-2022
Intexso - De Start 5 - Leusden
+31 (33) 2778485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6CC1D-C3E4-4A63-BD4C-A363FBF2A525}">
  <dimension ref="A1:L14"/>
  <sheetViews>
    <sheetView workbookViewId="0"/>
  </sheetViews>
  <sheetFormatPr defaultRowHeight="12.75" x14ac:dyDescent="0.2"/>
  <cols>
    <col min="1" max="1" width="7.625" customWidth="1"/>
    <col min="2" max="2" width="6.625" customWidth="1"/>
    <col min="3" max="3" width="7.625" customWidth="1"/>
    <col min="4" max="4" width="50.625" customWidth="1"/>
    <col min="5" max="6" width="14.625" customWidth="1"/>
    <col min="7" max="9" width="11.625" customWidth="1"/>
    <col min="10" max="10" width="12.625" customWidth="1"/>
    <col min="11" max="11" width="14.625" customWidth="1"/>
    <col min="12" max="12" width="13.625" customWidth="1"/>
  </cols>
  <sheetData>
    <row r="1" spans="1:12" x14ac:dyDescent="0.2">
      <c r="A1" s="1" t="str">
        <f>CONCATENATE("Bijlage I3.6: ",tabeltype," afroep")</f>
        <v>Bijlage I3.6: Invultabel afroep</v>
      </c>
    </row>
    <row r="3" spans="1:12" ht="38.25" x14ac:dyDescent="0.2">
      <c r="A3" s="8" t="s">
        <v>369</v>
      </c>
      <c r="B3" s="8" t="s">
        <v>7</v>
      </c>
      <c r="C3" s="8" t="s">
        <v>370</v>
      </c>
      <c r="D3" s="8" t="s">
        <v>33</v>
      </c>
      <c r="E3" s="8" t="s">
        <v>36</v>
      </c>
      <c r="F3" s="8" t="s">
        <v>371</v>
      </c>
      <c r="G3" s="8" t="s">
        <v>372</v>
      </c>
      <c r="H3" s="8" t="s">
        <v>373</v>
      </c>
      <c r="I3" s="8" t="s">
        <v>374</v>
      </c>
      <c r="J3" s="8" t="s">
        <v>375</v>
      </c>
      <c r="K3" s="8" t="s">
        <v>188</v>
      </c>
      <c r="L3" s="8" t="s">
        <v>306</v>
      </c>
    </row>
    <row r="4" spans="1:12" x14ac:dyDescent="0.2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1"/>
    </row>
    <row r="5" spans="1:12" x14ac:dyDescent="0.2">
      <c r="A5" s="12" t="s">
        <v>38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4"/>
    </row>
    <row r="6" spans="1:12" x14ac:dyDescent="0.2">
      <c r="A6" s="15" t="s">
        <v>376</v>
      </c>
      <c r="B6" s="15" t="s">
        <v>23</v>
      </c>
      <c r="C6" s="16">
        <f>IF(ISBLANK(B6),0,IF(ISERROR(VALUE(B6)),VLOOKUP(B6,dagsoorttabel1,2,FALSE)*dagenperjaar1,VALUE(B6)))</f>
        <v>10</v>
      </c>
      <c r="D6" s="15" t="s">
        <v>377</v>
      </c>
      <c r="E6" s="15" t="s">
        <v>378</v>
      </c>
      <c r="F6" s="76">
        <v>10</v>
      </c>
      <c r="G6" s="19"/>
      <c r="H6" s="77"/>
      <c r="I6" s="19"/>
      <c r="J6" s="33">
        <f>IF(ISBLANK(F6),0,F6)*I6</f>
        <v>0</v>
      </c>
      <c r="K6" s="33">
        <f>C6*J6</f>
        <v>0</v>
      </c>
      <c r="L6" s="33">
        <f>K6/12</f>
        <v>0</v>
      </c>
    </row>
    <row r="7" spans="1:12" x14ac:dyDescent="0.2">
      <c r="A7" s="20" t="s">
        <v>379</v>
      </c>
      <c r="B7" s="20" t="s">
        <v>23</v>
      </c>
      <c r="C7" s="21">
        <f>IF(ISBLANK(B7),0,IF(ISERROR(VALUE(B7)),VLOOKUP(B7,dagsoorttabel1,2,FALSE)*dagenperjaar1,VALUE(B7)))</f>
        <v>10</v>
      </c>
      <c r="D7" s="20" t="s">
        <v>380</v>
      </c>
      <c r="E7" s="20" t="s">
        <v>378</v>
      </c>
      <c r="F7" s="78">
        <v>4</v>
      </c>
      <c r="G7" s="24"/>
      <c r="H7" s="79"/>
      <c r="I7" s="24"/>
      <c r="J7" s="37">
        <f>IF(ISBLANK(F7),0,F7)*I7</f>
        <v>0</v>
      </c>
      <c r="K7" s="37">
        <f>C7*J7</f>
        <v>0</v>
      </c>
      <c r="L7" s="37">
        <f>K7/12</f>
        <v>0</v>
      </c>
    </row>
    <row r="8" spans="1:12" x14ac:dyDescent="0.2">
      <c r="A8" s="20" t="s">
        <v>381</v>
      </c>
      <c r="B8" s="20" t="s">
        <v>23</v>
      </c>
      <c r="C8" s="21">
        <f>IF(ISBLANK(B8),0,IF(ISERROR(VALUE(B8)),VLOOKUP(B8,dagsoorttabel1,2,FALSE)*dagenperjaar1,VALUE(B8)))</f>
        <v>10</v>
      </c>
      <c r="D8" s="20" t="s">
        <v>382</v>
      </c>
      <c r="E8" s="20" t="s">
        <v>378</v>
      </c>
      <c r="F8" s="78">
        <v>4</v>
      </c>
      <c r="G8" s="24"/>
      <c r="H8" s="79"/>
      <c r="I8" s="24"/>
      <c r="J8" s="37">
        <f>IF(ISBLANK(F8),0,F8)*I8</f>
        <v>0</v>
      </c>
      <c r="K8" s="37">
        <f>C8*J8</f>
        <v>0</v>
      </c>
      <c r="L8" s="37">
        <f>K8/12</f>
        <v>0</v>
      </c>
    </row>
    <row r="9" spans="1:12" x14ac:dyDescent="0.2">
      <c r="A9" s="20" t="s">
        <v>383</v>
      </c>
      <c r="B9" s="20" t="s">
        <v>23</v>
      </c>
      <c r="C9" s="21">
        <f>IF(ISBLANK(B9),0,IF(ISERROR(VALUE(B9)),VLOOKUP(B9,dagsoorttabel1,2,FALSE)*dagenperjaar1,VALUE(B9)))</f>
        <v>10</v>
      </c>
      <c r="D9" s="20" t="s">
        <v>384</v>
      </c>
      <c r="E9" s="20" t="s">
        <v>378</v>
      </c>
      <c r="F9" s="78">
        <v>15</v>
      </c>
      <c r="G9" s="24"/>
      <c r="H9" s="79"/>
      <c r="I9" s="24"/>
      <c r="J9" s="37">
        <f>IF(ISBLANK(F9),0,F9)*I9</f>
        <v>0</v>
      </c>
      <c r="K9" s="37">
        <f>C9*J9</f>
        <v>0</v>
      </c>
      <c r="L9" s="37">
        <f>K9/12</f>
        <v>0</v>
      </c>
    </row>
    <row r="10" spans="1:12" x14ac:dyDescent="0.2">
      <c r="A10" s="20" t="s">
        <v>385</v>
      </c>
      <c r="B10" s="20" t="s">
        <v>23</v>
      </c>
      <c r="C10" s="21">
        <f>IF(ISBLANK(B10),0,IF(ISERROR(VALUE(B10)),VLOOKUP(B10,dagsoorttabel1,2,FALSE)*dagenperjaar1,VALUE(B10)))</f>
        <v>10</v>
      </c>
      <c r="D10" s="20" t="s">
        <v>386</v>
      </c>
      <c r="E10" s="20" t="s">
        <v>378</v>
      </c>
      <c r="F10" s="78">
        <v>8</v>
      </c>
      <c r="G10" s="24"/>
      <c r="H10" s="79"/>
      <c r="I10" s="24"/>
      <c r="J10" s="37">
        <f>IF(ISBLANK(F10),0,F10)*I10</f>
        <v>0</v>
      </c>
      <c r="K10" s="37">
        <f>C10*J10</f>
        <v>0</v>
      </c>
      <c r="L10" s="37">
        <f>K10/12</f>
        <v>0</v>
      </c>
    </row>
    <row r="11" spans="1:12" x14ac:dyDescent="0.2">
      <c r="A11" s="25" t="s">
        <v>387</v>
      </c>
      <c r="B11" s="25" t="s">
        <v>29</v>
      </c>
      <c r="C11" s="26">
        <f>IF(ISBLANK(B11),0,IF(ISERROR(VALUE(B11)),VLOOKUP(B11,dagsoorttabel1,2,FALSE)*dagenperjaar1,VALUE(B11)))</f>
        <v>1</v>
      </c>
      <c r="D11" s="25" t="s">
        <v>388</v>
      </c>
      <c r="E11" s="25" t="s">
        <v>389</v>
      </c>
      <c r="F11" s="80">
        <v>27420.080000000002</v>
      </c>
      <c r="G11" s="29"/>
      <c r="H11" s="27"/>
      <c r="I11" s="81"/>
      <c r="J11" s="40">
        <f>IF(ISBLANK(H11),0,F11 / H11 * G11)</f>
        <v>0</v>
      </c>
      <c r="K11" s="40">
        <f>C11*J11</f>
        <v>0</v>
      </c>
      <c r="L11" s="40">
        <f>K11/12</f>
        <v>0</v>
      </c>
    </row>
    <row r="12" spans="1:12" x14ac:dyDescent="0.2">
      <c r="A12" s="41" t="s">
        <v>253</v>
      </c>
      <c r="B12" s="42"/>
      <c r="C12" s="42"/>
      <c r="D12" s="42"/>
      <c r="E12" s="42"/>
      <c r="F12" s="42"/>
      <c r="G12" s="42"/>
      <c r="H12" s="42"/>
      <c r="I12" s="42"/>
      <c r="J12" s="42"/>
      <c r="K12" s="44">
        <f>SUM(K6:K11)</f>
        <v>0</v>
      </c>
      <c r="L12" s="82">
        <f>K12/12</f>
        <v>0</v>
      </c>
    </row>
    <row r="14" spans="1:12" x14ac:dyDescent="0.2">
      <c r="A14" s="41" t="s">
        <v>390</v>
      </c>
      <c r="B14" s="42"/>
      <c r="C14" s="42"/>
      <c r="D14" s="42"/>
      <c r="E14" s="42"/>
      <c r="F14" s="42"/>
      <c r="G14" s="42"/>
      <c r="H14" s="42"/>
      <c r="I14" s="42"/>
      <c r="J14" s="42"/>
      <c r="K14" s="44">
        <f>prijsjaarafroep1</f>
        <v>0</v>
      </c>
      <c r="L14" s="82">
        <f>K14/12</f>
        <v>0</v>
      </c>
    </row>
  </sheetData>
  <pageMargins left="0.7" right="0.7" top="0.75" bottom="0.75" header="0.3" footer="0.3"/>
  <pageSetup paperSize="9" scale="65" orientation="landscape" horizontalDpi="4294967295" verticalDpi="4294967295" r:id="rId1"/>
  <headerFooter>
    <oddFooter>&amp;LROC Midden Nederland EA 2022                                &amp;ROpmaakdatum: 19-05-2022
Intexso - De Start 5 - Leusden
+31 (33) 2778485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3F266-FD14-4B88-8E1D-56F8D820F20B}">
  <dimension ref="A1:E100"/>
  <sheetViews>
    <sheetView workbookViewId="0"/>
  </sheetViews>
  <sheetFormatPr defaultRowHeight="12.75" x14ac:dyDescent="0.2"/>
  <cols>
    <col min="1" max="1" width="7.625" customWidth="1"/>
    <col min="2" max="2" width="40.625" customWidth="1"/>
    <col min="3" max="3" width="18.625" customWidth="1"/>
    <col min="4" max="4" width="20.625" customWidth="1"/>
    <col min="5" max="5" width="15.625" customWidth="1"/>
  </cols>
  <sheetData>
    <row r="1" spans="1:5" x14ac:dyDescent="0.2">
      <c r="A1" s="1" t="str">
        <f>CONCATENATE("Bijlage I3.7: ",tabeltype," afroep incidenteel")</f>
        <v>Bijlage I3.7: Invultabel afroep incidenteel</v>
      </c>
    </row>
    <row r="3" spans="1:5" ht="38.25" x14ac:dyDescent="0.2">
      <c r="A3" s="8" t="s">
        <v>369</v>
      </c>
      <c r="B3" s="8" t="s">
        <v>33</v>
      </c>
      <c r="C3" s="8" t="s">
        <v>36</v>
      </c>
      <c r="D3" s="8" t="s">
        <v>391</v>
      </c>
      <c r="E3" s="8" t="s">
        <v>374</v>
      </c>
    </row>
    <row r="4" spans="1:5" x14ac:dyDescent="0.2">
      <c r="A4" s="9"/>
      <c r="B4" s="10"/>
      <c r="C4" s="10"/>
      <c r="D4" s="10"/>
      <c r="E4" s="11"/>
    </row>
    <row r="5" spans="1:5" x14ac:dyDescent="0.2">
      <c r="A5" s="12" t="s">
        <v>38</v>
      </c>
      <c r="B5" s="13"/>
      <c r="C5" s="13"/>
      <c r="D5" s="13"/>
      <c r="E5" s="14"/>
    </row>
    <row r="6" spans="1:5" x14ac:dyDescent="0.2">
      <c r="A6" s="15" t="s">
        <v>392</v>
      </c>
      <c r="B6" s="15" t="s">
        <v>393</v>
      </c>
      <c r="C6" s="15" t="s">
        <v>394</v>
      </c>
      <c r="D6" s="15" t="s">
        <v>395</v>
      </c>
      <c r="E6" s="19"/>
    </row>
    <row r="7" spans="1:5" x14ac:dyDescent="0.2">
      <c r="A7" s="20" t="s">
        <v>396</v>
      </c>
      <c r="B7" s="20" t="s">
        <v>393</v>
      </c>
      <c r="C7" s="20" t="s">
        <v>394</v>
      </c>
      <c r="D7" s="20" t="s">
        <v>397</v>
      </c>
      <c r="E7" s="24"/>
    </row>
    <row r="8" spans="1:5" x14ac:dyDescent="0.2">
      <c r="A8" s="20" t="s">
        <v>398</v>
      </c>
      <c r="B8" s="20" t="s">
        <v>393</v>
      </c>
      <c r="C8" s="20" t="s">
        <v>394</v>
      </c>
      <c r="D8" s="20" t="s">
        <v>399</v>
      </c>
      <c r="E8" s="24"/>
    </row>
    <row r="9" spans="1:5" x14ac:dyDescent="0.2">
      <c r="A9" s="20" t="s">
        <v>400</v>
      </c>
      <c r="B9" s="20" t="s">
        <v>393</v>
      </c>
      <c r="C9" s="20" t="s">
        <v>394</v>
      </c>
      <c r="D9" s="20" t="s">
        <v>401</v>
      </c>
      <c r="E9" s="24"/>
    </row>
    <row r="10" spans="1:5" x14ac:dyDescent="0.2">
      <c r="A10" s="20" t="s">
        <v>402</v>
      </c>
      <c r="B10" s="20" t="s">
        <v>403</v>
      </c>
      <c r="C10" s="20" t="s">
        <v>394</v>
      </c>
      <c r="D10" s="20" t="s">
        <v>395</v>
      </c>
      <c r="E10" s="24"/>
    </row>
    <row r="11" spans="1:5" x14ac:dyDescent="0.2">
      <c r="A11" s="20" t="s">
        <v>404</v>
      </c>
      <c r="B11" s="20" t="s">
        <v>403</v>
      </c>
      <c r="C11" s="20" t="s">
        <v>394</v>
      </c>
      <c r="D11" s="20" t="s">
        <v>397</v>
      </c>
      <c r="E11" s="24"/>
    </row>
    <row r="12" spans="1:5" x14ac:dyDescent="0.2">
      <c r="A12" s="20" t="s">
        <v>405</v>
      </c>
      <c r="B12" s="20" t="s">
        <v>403</v>
      </c>
      <c r="C12" s="20" t="s">
        <v>394</v>
      </c>
      <c r="D12" s="20" t="s">
        <v>399</v>
      </c>
      <c r="E12" s="24"/>
    </row>
    <row r="13" spans="1:5" x14ac:dyDescent="0.2">
      <c r="A13" s="20" t="s">
        <v>406</v>
      </c>
      <c r="B13" s="20" t="s">
        <v>403</v>
      </c>
      <c r="C13" s="20" t="s">
        <v>394</v>
      </c>
      <c r="D13" s="20" t="s">
        <v>401</v>
      </c>
      <c r="E13" s="24"/>
    </row>
    <row r="14" spans="1:5" x14ac:dyDescent="0.2">
      <c r="A14" s="20" t="s">
        <v>407</v>
      </c>
      <c r="B14" s="20" t="s">
        <v>408</v>
      </c>
      <c r="C14" s="20" t="s">
        <v>394</v>
      </c>
      <c r="D14" s="20" t="s">
        <v>395</v>
      </c>
      <c r="E14" s="24"/>
    </row>
    <row r="15" spans="1:5" x14ac:dyDescent="0.2">
      <c r="A15" s="20" t="s">
        <v>409</v>
      </c>
      <c r="B15" s="20" t="s">
        <v>408</v>
      </c>
      <c r="C15" s="20" t="s">
        <v>394</v>
      </c>
      <c r="D15" s="20" t="s">
        <v>397</v>
      </c>
      <c r="E15" s="24"/>
    </row>
    <row r="16" spans="1:5" x14ac:dyDescent="0.2">
      <c r="A16" s="20" t="s">
        <v>410</v>
      </c>
      <c r="B16" s="20" t="s">
        <v>408</v>
      </c>
      <c r="C16" s="20" t="s">
        <v>394</v>
      </c>
      <c r="D16" s="20" t="s">
        <v>399</v>
      </c>
      <c r="E16" s="24"/>
    </row>
    <row r="17" spans="1:5" x14ac:dyDescent="0.2">
      <c r="A17" s="20" t="s">
        <v>411</v>
      </c>
      <c r="B17" s="20" t="s">
        <v>408</v>
      </c>
      <c r="C17" s="20" t="s">
        <v>394</v>
      </c>
      <c r="D17" s="20" t="s">
        <v>401</v>
      </c>
      <c r="E17" s="24"/>
    </row>
    <row r="18" spans="1:5" x14ac:dyDescent="0.2">
      <c r="A18" s="20" t="s">
        <v>412</v>
      </c>
      <c r="B18" s="20" t="s">
        <v>413</v>
      </c>
      <c r="C18" s="20" t="s">
        <v>394</v>
      </c>
      <c r="D18" s="20" t="s">
        <v>395</v>
      </c>
      <c r="E18" s="24"/>
    </row>
    <row r="19" spans="1:5" x14ac:dyDescent="0.2">
      <c r="A19" s="20" t="s">
        <v>414</v>
      </c>
      <c r="B19" s="20" t="s">
        <v>413</v>
      </c>
      <c r="C19" s="20" t="s">
        <v>394</v>
      </c>
      <c r="D19" s="20" t="s">
        <v>397</v>
      </c>
      <c r="E19" s="24"/>
    </row>
    <row r="20" spans="1:5" x14ac:dyDescent="0.2">
      <c r="A20" s="20" t="s">
        <v>415</v>
      </c>
      <c r="B20" s="20" t="s">
        <v>413</v>
      </c>
      <c r="C20" s="20" t="s">
        <v>394</v>
      </c>
      <c r="D20" s="20" t="s">
        <v>399</v>
      </c>
      <c r="E20" s="24"/>
    </row>
    <row r="21" spans="1:5" x14ac:dyDescent="0.2">
      <c r="A21" s="20" t="s">
        <v>416</v>
      </c>
      <c r="B21" s="20" t="s">
        <v>413</v>
      </c>
      <c r="C21" s="20" t="s">
        <v>394</v>
      </c>
      <c r="D21" s="20" t="s">
        <v>401</v>
      </c>
      <c r="E21" s="24"/>
    </row>
    <row r="22" spans="1:5" x14ac:dyDescent="0.2">
      <c r="A22" s="20" t="s">
        <v>417</v>
      </c>
      <c r="B22" s="20" t="s">
        <v>418</v>
      </c>
      <c r="C22" s="20" t="s">
        <v>419</v>
      </c>
      <c r="D22" s="20" t="s">
        <v>420</v>
      </c>
      <c r="E22" s="24"/>
    </row>
    <row r="23" spans="1:5" x14ac:dyDescent="0.2">
      <c r="A23" s="20" t="s">
        <v>421</v>
      </c>
      <c r="B23" s="20" t="s">
        <v>418</v>
      </c>
      <c r="C23" s="20" t="s">
        <v>419</v>
      </c>
      <c r="D23" s="20" t="s">
        <v>422</v>
      </c>
      <c r="E23" s="24"/>
    </row>
    <row r="24" spans="1:5" x14ac:dyDescent="0.2">
      <c r="A24" s="20" t="s">
        <v>423</v>
      </c>
      <c r="B24" s="20" t="s">
        <v>418</v>
      </c>
      <c r="C24" s="20" t="s">
        <v>419</v>
      </c>
      <c r="D24" s="20" t="s">
        <v>424</v>
      </c>
      <c r="E24" s="24"/>
    </row>
    <row r="25" spans="1:5" x14ac:dyDescent="0.2">
      <c r="A25" s="20" t="s">
        <v>425</v>
      </c>
      <c r="B25" s="20" t="s">
        <v>418</v>
      </c>
      <c r="C25" s="20" t="s">
        <v>419</v>
      </c>
      <c r="D25" s="20" t="s">
        <v>426</v>
      </c>
      <c r="E25" s="24"/>
    </row>
    <row r="26" spans="1:5" x14ac:dyDescent="0.2">
      <c r="A26" s="20" t="s">
        <v>427</v>
      </c>
      <c r="B26" s="20" t="s">
        <v>428</v>
      </c>
      <c r="C26" s="20" t="s">
        <v>419</v>
      </c>
      <c r="D26" s="20" t="s">
        <v>420</v>
      </c>
      <c r="E26" s="24"/>
    </row>
    <row r="27" spans="1:5" x14ac:dyDescent="0.2">
      <c r="A27" s="20" t="s">
        <v>429</v>
      </c>
      <c r="B27" s="20" t="s">
        <v>428</v>
      </c>
      <c r="C27" s="20" t="s">
        <v>419</v>
      </c>
      <c r="D27" s="20" t="s">
        <v>422</v>
      </c>
      <c r="E27" s="24"/>
    </row>
    <row r="28" spans="1:5" x14ac:dyDescent="0.2">
      <c r="A28" s="20" t="s">
        <v>430</v>
      </c>
      <c r="B28" s="20" t="s">
        <v>428</v>
      </c>
      <c r="C28" s="20" t="s">
        <v>419</v>
      </c>
      <c r="D28" s="20" t="s">
        <v>424</v>
      </c>
      <c r="E28" s="24"/>
    </row>
    <row r="29" spans="1:5" x14ac:dyDescent="0.2">
      <c r="A29" s="20" t="s">
        <v>431</v>
      </c>
      <c r="B29" s="20" t="s">
        <v>428</v>
      </c>
      <c r="C29" s="20" t="s">
        <v>419</v>
      </c>
      <c r="D29" s="20" t="s">
        <v>426</v>
      </c>
      <c r="E29" s="24"/>
    </row>
    <row r="30" spans="1:5" x14ac:dyDescent="0.2">
      <c r="A30" s="20" t="s">
        <v>432</v>
      </c>
      <c r="B30" s="20" t="s">
        <v>433</v>
      </c>
      <c r="C30" s="20" t="s">
        <v>419</v>
      </c>
      <c r="D30" s="20" t="s">
        <v>420</v>
      </c>
      <c r="E30" s="24"/>
    </row>
    <row r="31" spans="1:5" x14ac:dyDescent="0.2">
      <c r="A31" s="20" t="s">
        <v>434</v>
      </c>
      <c r="B31" s="20" t="s">
        <v>433</v>
      </c>
      <c r="C31" s="20" t="s">
        <v>419</v>
      </c>
      <c r="D31" s="20" t="s">
        <v>422</v>
      </c>
      <c r="E31" s="24"/>
    </row>
    <row r="32" spans="1:5" x14ac:dyDescent="0.2">
      <c r="A32" s="20" t="s">
        <v>435</v>
      </c>
      <c r="B32" s="20" t="s">
        <v>433</v>
      </c>
      <c r="C32" s="20" t="s">
        <v>419</v>
      </c>
      <c r="D32" s="20" t="s">
        <v>424</v>
      </c>
      <c r="E32" s="24"/>
    </row>
    <row r="33" spans="1:5" x14ac:dyDescent="0.2">
      <c r="A33" s="20" t="s">
        <v>436</v>
      </c>
      <c r="B33" s="20" t="s">
        <v>433</v>
      </c>
      <c r="C33" s="20" t="s">
        <v>419</v>
      </c>
      <c r="D33" s="20" t="s">
        <v>426</v>
      </c>
      <c r="E33" s="24"/>
    </row>
    <row r="34" spans="1:5" x14ac:dyDescent="0.2">
      <c r="A34" s="20" t="s">
        <v>437</v>
      </c>
      <c r="B34" s="20" t="s">
        <v>438</v>
      </c>
      <c r="C34" s="20" t="s">
        <v>419</v>
      </c>
      <c r="D34" s="20" t="s">
        <v>420</v>
      </c>
      <c r="E34" s="24"/>
    </row>
    <row r="35" spans="1:5" x14ac:dyDescent="0.2">
      <c r="A35" s="20" t="s">
        <v>439</v>
      </c>
      <c r="B35" s="20" t="s">
        <v>438</v>
      </c>
      <c r="C35" s="20" t="s">
        <v>419</v>
      </c>
      <c r="D35" s="20" t="s">
        <v>422</v>
      </c>
      <c r="E35" s="24"/>
    </row>
    <row r="36" spans="1:5" x14ac:dyDescent="0.2">
      <c r="A36" s="20" t="s">
        <v>440</v>
      </c>
      <c r="B36" s="20" t="s">
        <v>438</v>
      </c>
      <c r="C36" s="20" t="s">
        <v>419</v>
      </c>
      <c r="D36" s="20" t="s">
        <v>424</v>
      </c>
      <c r="E36" s="24"/>
    </row>
    <row r="37" spans="1:5" x14ac:dyDescent="0.2">
      <c r="A37" s="20" t="s">
        <v>441</v>
      </c>
      <c r="B37" s="20" t="s">
        <v>438</v>
      </c>
      <c r="C37" s="20" t="s">
        <v>419</v>
      </c>
      <c r="D37" s="20" t="s">
        <v>426</v>
      </c>
      <c r="E37" s="24"/>
    </row>
    <row r="38" spans="1:5" x14ac:dyDescent="0.2">
      <c r="A38" s="20" t="s">
        <v>442</v>
      </c>
      <c r="B38" s="20" t="s">
        <v>443</v>
      </c>
      <c r="C38" s="20" t="s">
        <v>419</v>
      </c>
      <c r="D38" s="20" t="s">
        <v>420</v>
      </c>
      <c r="E38" s="24"/>
    </row>
    <row r="39" spans="1:5" x14ac:dyDescent="0.2">
      <c r="A39" s="20" t="s">
        <v>444</v>
      </c>
      <c r="B39" s="20" t="s">
        <v>443</v>
      </c>
      <c r="C39" s="20" t="s">
        <v>419</v>
      </c>
      <c r="D39" s="20" t="s">
        <v>422</v>
      </c>
      <c r="E39" s="24"/>
    </row>
    <row r="40" spans="1:5" x14ac:dyDescent="0.2">
      <c r="A40" s="20" t="s">
        <v>445</v>
      </c>
      <c r="B40" s="20" t="s">
        <v>443</v>
      </c>
      <c r="C40" s="20" t="s">
        <v>419</v>
      </c>
      <c r="D40" s="20" t="s">
        <v>424</v>
      </c>
      <c r="E40" s="24"/>
    </row>
    <row r="41" spans="1:5" x14ac:dyDescent="0.2">
      <c r="A41" s="20" t="s">
        <v>446</v>
      </c>
      <c r="B41" s="20" t="s">
        <v>443</v>
      </c>
      <c r="C41" s="20" t="s">
        <v>419</v>
      </c>
      <c r="D41" s="20" t="s">
        <v>426</v>
      </c>
      <c r="E41" s="24"/>
    </row>
    <row r="42" spans="1:5" x14ac:dyDescent="0.2">
      <c r="A42" s="20" t="s">
        <v>447</v>
      </c>
      <c r="B42" s="20" t="s">
        <v>448</v>
      </c>
      <c r="C42" s="20" t="s">
        <v>419</v>
      </c>
      <c r="D42" s="20" t="s">
        <v>420</v>
      </c>
      <c r="E42" s="24"/>
    </row>
    <row r="43" spans="1:5" x14ac:dyDescent="0.2">
      <c r="A43" s="20" t="s">
        <v>449</v>
      </c>
      <c r="B43" s="20" t="s">
        <v>448</v>
      </c>
      <c r="C43" s="20" t="s">
        <v>419</v>
      </c>
      <c r="D43" s="20" t="s">
        <v>422</v>
      </c>
      <c r="E43" s="24"/>
    </row>
    <row r="44" spans="1:5" x14ac:dyDescent="0.2">
      <c r="A44" s="20" t="s">
        <v>450</v>
      </c>
      <c r="B44" s="20" t="s">
        <v>448</v>
      </c>
      <c r="C44" s="20" t="s">
        <v>419</v>
      </c>
      <c r="D44" s="20" t="s">
        <v>424</v>
      </c>
      <c r="E44" s="24"/>
    </row>
    <row r="45" spans="1:5" x14ac:dyDescent="0.2">
      <c r="A45" s="20" t="s">
        <v>451</v>
      </c>
      <c r="B45" s="20" t="s">
        <v>448</v>
      </c>
      <c r="C45" s="20" t="s">
        <v>419</v>
      </c>
      <c r="D45" s="20" t="s">
        <v>426</v>
      </c>
      <c r="E45" s="24"/>
    </row>
    <row r="46" spans="1:5" x14ac:dyDescent="0.2">
      <c r="A46" s="20" t="s">
        <v>452</v>
      </c>
      <c r="B46" s="20" t="s">
        <v>453</v>
      </c>
      <c r="C46" s="20" t="s">
        <v>419</v>
      </c>
      <c r="D46" s="20" t="s">
        <v>420</v>
      </c>
      <c r="E46" s="24"/>
    </row>
    <row r="47" spans="1:5" x14ac:dyDescent="0.2">
      <c r="A47" s="20" t="s">
        <v>454</v>
      </c>
      <c r="B47" s="20" t="s">
        <v>453</v>
      </c>
      <c r="C47" s="20" t="s">
        <v>419</v>
      </c>
      <c r="D47" s="20" t="s">
        <v>422</v>
      </c>
      <c r="E47" s="24"/>
    </row>
    <row r="48" spans="1:5" x14ac:dyDescent="0.2">
      <c r="A48" s="20" t="s">
        <v>455</v>
      </c>
      <c r="B48" s="20" t="s">
        <v>453</v>
      </c>
      <c r="C48" s="20" t="s">
        <v>419</v>
      </c>
      <c r="D48" s="20" t="s">
        <v>424</v>
      </c>
      <c r="E48" s="24"/>
    </row>
    <row r="49" spans="1:5" x14ac:dyDescent="0.2">
      <c r="A49" s="20" t="s">
        <v>456</v>
      </c>
      <c r="B49" s="20" t="s">
        <v>453</v>
      </c>
      <c r="C49" s="20" t="s">
        <v>419</v>
      </c>
      <c r="D49" s="20" t="s">
        <v>426</v>
      </c>
      <c r="E49" s="24"/>
    </row>
    <row r="50" spans="1:5" x14ac:dyDescent="0.2">
      <c r="A50" s="20" t="s">
        <v>457</v>
      </c>
      <c r="B50" s="20" t="s">
        <v>458</v>
      </c>
      <c r="C50" s="20" t="s">
        <v>394</v>
      </c>
      <c r="D50" s="20" t="s">
        <v>395</v>
      </c>
      <c r="E50" s="24"/>
    </row>
    <row r="51" spans="1:5" x14ac:dyDescent="0.2">
      <c r="A51" s="20" t="s">
        <v>459</v>
      </c>
      <c r="B51" s="20" t="s">
        <v>458</v>
      </c>
      <c r="C51" s="20" t="s">
        <v>394</v>
      </c>
      <c r="D51" s="20" t="s">
        <v>397</v>
      </c>
      <c r="E51" s="24"/>
    </row>
    <row r="52" spans="1:5" x14ac:dyDescent="0.2">
      <c r="A52" s="20" t="s">
        <v>460</v>
      </c>
      <c r="B52" s="20" t="s">
        <v>458</v>
      </c>
      <c r="C52" s="20" t="s">
        <v>394</v>
      </c>
      <c r="D52" s="20" t="s">
        <v>399</v>
      </c>
      <c r="E52" s="24"/>
    </row>
    <row r="53" spans="1:5" x14ac:dyDescent="0.2">
      <c r="A53" s="20" t="s">
        <v>461</v>
      </c>
      <c r="B53" s="20" t="s">
        <v>458</v>
      </c>
      <c r="C53" s="20" t="s">
        <v>394</v>
      </c>
      <c r="D53" s="20" t="s">
        <v>401</v>
      </c>
      <c r="E53" s="24"/>
    </row>
    <row r="54" spans="1:5" x14ac:dyDescent="0.2">
      <c r="A54" s="20" t="s">
        <v>462</v>
      </c>
      <c r="B54" s="20" t="s">
        <v>463</v>
      </c>
      <c r="C54" s="20" t="s">
        <v>394</v>
      </c>
      <c r="D54" s="20" t="s">
        <v>395</v>
      </c>
      <c r="E54" s="24"/>
    </row>
    <row r="55" spans="1:5" x14ac:dyDescent="0.2">
      <c r="A55" s="20" t="s">
        <v>464</v>
      </c>
      <c r="B55" s="20" t="s">
        <v>463</v>
      </c>
      <c r="C55" s="20" t="s">
        <v>394</v>
      </c>
      <c r="D55" s="20" t="s">
        <v>397</v>
      </c>
      <c r="E55" s="24"/>
    </row>
    <row r="56" spans="1:5" x14ac:dyDescent="0.2">
      <c r="A56" s="20" t="s">
        <v>465</v>
      </c>
      <c r="B56" s="20" t="s">
        <v>463</v>
      </c>
      <c r="C56" s="20" t="s">
        <v>394</v>
      </c>
      <c r="D56" s="20" t="s">
        <v>399</v>
      </c>
      <c r="E56" s="24"/>
    </row>
    <row r="57" spans="1:5" x14ac:dyDescent="0.2">
      <c r="A57" s="20" t="s">
        <v>466</v>
      </c>
      <c r="B57" s="20" t="s">
        <v>463</v>
      </c>
      <c r="C57" s="20" t="s">
        <v>394</v>
      </c>
      <c r="D57" s="20" t="s">
        <v>401</v>
      </c>
      <c r="E57" s="24"/>
    </row>
    <row r="58" spans="1:5" x14ac:dyDescent="0.2">
      <c r="A58" s="20" t="s">
        <v>467</v>
      </c>
      <c r="B58" s="20" t="s">
        <v>468</v>
      </c>
      <c r="C58" s="20" t="s">
        <v>419</v>
      </c>
      <c r="D58" s="20" t="s">
        <v>469</v>
      </c>
      <c r="E58" s="24"/>
    </row>
    <row r="59" spans="1:5" x14ac:dyDescent="0.2">
      <c r="A59" s="20" t="s">
        <v>470</v>
      </c>
      <c r="B59" s="20" t="s">
        <v>468</v>
      </c>
      <c r="C59" s="20" t="s">
        <v>419</v>
      </c>
      <c r="D59" s="20" t="s">
        <v>471</v>
      </c>
      <c r="E59" s="24"/>
    </row>
    <row r="60" spans="1:5" x14ac:dyDescent="0.2">
      <c r="A60" s="20" t="s">
        <v>472</v>
      </c>
      <c r="B60" s="20" t="s">
        <v>468</v>
      </c>
      <c r="C60" s="20" t="s">
        <v>419</v>
      </c>
      <c r="D60" s="20" t="s">
        <v>473</v>
      </c>
      <c r="E60" s="24"/>
    </row>
    <row r="61" spans="1:5" x14ac:dyDescent="0.2">
      <c r="A61" s="20" t="s">
        <v>474</v>
      </c>
      <c r="B61" s="20" t="s">
        <v>468</v>
      </c>
      <c r="C61" s="20" t="s">
        <v>419</v>
      </c>
      <c r="D61" s="20" t="s">
        <v>475</v>
      </c>
      <c r="E61" s="24"/>
    </row>
    <row r="62" spans="1:5" x14ac:dyDescent="0.2">
      <c r="A62" s="20" t="s">
        <v>476</v>
      </c>
      <c r="B62" s="20" t="s">
        <v>477</v>
      </c>
      <c r="C62" s="20" t="s">
        <v>419</v>
      </c>
      <c r="D62" s="20" t="s">
        <v>469</v>
      </c>
      <c r="E62" s="24"/>
    </row>
    <row r="63" spans="1:5" x14ac:dyDescent="0.2">
      <c r="A63" s="20" t="s">
        <v>478</v>
      </c>
      <c r="B63" s="20" t="s">
        <v>477</v>
      </c>
      <c r="C63" s="20" t="s">
        <v>419</v>
      </c>
      <c r="D63" s="20" t="s">
        <v>471</v>
      </c>
      <c r="E63" s="24"/>
    </row>
    <row r="64" spans="1:5" x14ac:dyDescent="0.2">
      <c r="A64" s="20" t="s">
        <v>479</v>
      </c>
      <c r="B64" s="20" t="s">
        <v>477</v>
      </c>
      <c r="C64" s="20" t="s">
        <v>419</v>
      </c>
      <c r="D64" s="20" t="s">
        <v>473</v>
      </c>
      <c r="E64" s="24"/>
    </row>
    <row r="65" spans="1:5" x14ac:dyDescent="0.2">
      <c r="A65" s="20" t="s">
        <v>480</v>
      </c>
      <c r="B65" s="20" t="s">
        <v>477</v>
      </c>
      <c r="C65" s="20" t="s">
        <v>419</v>
      </c>
      <c r="D65" s="20" t="s">
        <v>475</v>
      </c>
      <c r="E65" s="24"/>
    </row>
    <row r="66" spans="1:5" x14ac:dyDescent="0.2">
      <c r="A66" s="20" t="s">
        <v>481</v>
      </c>
      <c r="B66" s="20" t="s">
        <v>482</v>
      </c>
      <c r="C66" s="20" t="s">
        <v>419</v>
      </c>
      <c r="D66" s="20" t="s">
        <v>469</v>
      </c>
      <c r="E66" s="24"/>
    </row>
    <row r="67" spans="1:5" x14ac:dyDescent="0.2">
      <c r="A67" s="20" t="s">
        <v>483</v>
      </c>
      <c r="B67" s="20" t="s">
        <v>482</v>
      </c>
      <c r="C67" s="20" t="s">
        <v>419</v>
      </c>
      <c r="D67" s="20" t="s">
        <v>471</v>
      </c>
      <c r="E67" s="24"/>
    </row>
    <row r="68" spans="1:5" x14ac:dyDescent="0.2">
      <c r="A68" s="20" t="s">
        <v>484</v>
      </c>
      <c r="B68" s="20" t="s">
        <v>482</v>
      </c>
      <c r="C68" s="20" t="s">
        <v>419</v>
      </c>
      <c r="D68" s="20" t="s">
        <v>473</v>
      </c>
      <c r="E68" s="24"/>
    </row>
    <row r="69" spans="1:5" x14ac:dyDescent="0.2">
      <c r="A69" s="20" t="s">
        <v>485</v>
      </c>
      <c r="B69" s="20" t="s">
        <v>482</v>
      </c>
      <c r="C69" s="20" t="s">
        <v>419</v>
      </c>
      <c r="D69" s="20" t="s">
        <v>475</v>
      </c>
      <c r="E69" s="24"/>
    </row>
    <row r="70" spans="1:5" x14ac:dyDescent="0.2">
      <c r="A70" s="20" t="s">
        <v>486</v>
      </c>
      <c r="B70" s="20" t="s">
        <v>487</v>
      </c>
      <c r="C70" s="20" t="s">
        <v>419</v>
      </c>
      <c r="D70" s="20" t="s">
        <v>469</v>
      </c>
      <c r="E70" s="24"/>
    </row>
    <row r="71" spans="1:5" x14ac:dyDescent="0.2">
      <c r="A71" s="20" t="s">
        <v>488</v>
      </c>
      <c r="B71" s="20" t="s">
        <v>487</v>
      </c>
      <c r="C71" s="20" t="s">
        <v>419</v>
      </c>
      <c r="D71" s="20" t="s">
        <v>471</v>
      </c>
      <c r="E71" s="24"/>
    </row>
    <row r="72" spans="1:5" x14ac:dyDescent="0.2">
      <c r="A72" s="20" t="s">
        <v>489</v>
      </c>
      <c r="B72" s="20" t="s">
        <v>487</v>
      </c>
      <c r="C72" s="20" t="s">
        <v>419</v>
      </c>
      <c r="D72" s="20" t="s">
        <v>473</v>
      </c>
      <c r="E72" s="24"/>
    </row>
    <row r="73" spans="1:5" x14ac:dyDescent="0.2">
      <c r="A73" s="20" t="s">
        <v>490</v>
      </c>
      <c r="B73" s="20" t="s">
        <v>487</v>
      </c>
      <c r="C73" s="20" t="s">
        <v>419</v>
      </c>
      <c r="D73" s="20" t="s">
        <v>475</v>
      </c>
      <c r="E73" s="24"/>
    </row>
    <row r="74" spans="1:5" x14ac:dyDescent="0.2">
      <c r="A74" s="20" t="s">
        <v>491</v>
      </c>
      <c r="B74" s="20" t="s">
        <v>492</v>
      </c>
      <c r="C74" s="20" t="s">
        <v>419</v>
      </c>
      <c r="D74" s="20" t="s">
        <v>469</v>
      </c>
      <c r="E74" s="24"/>
    </row>
    <row r="75" spans="1:5" x14ac:dyDescent="0.2">
      <c r="A75" s="20" t="s">
        <v>493</v>
      </c>
      <c r="B75" s="20" t="s">
        <v>492</v>
      </c>
      <c r="C75" s="20" t="s">
        <v>419</v>
      </c>
      <c r="D75" s="20" t="s">
        <v>471</v>
      </c>
      <c r="E75" s="24"/>
    </row>
    <row r="76" spans="1:5" x14ac:dyDescent="0.2">
      <c r="A76" s="20" t="s">
        <v>494</v>
      </c>
      <c r="B76" s="20" t="s">
        <v>492</v>
      </c>
      <c r="C76" s="20" t="s">
        <v>419</v>
      </c>
      <c r="D76" s="20" t="s">
        <v>473</v>
      </c>
      <c r="E76" s="24"/>
    </row>
    <row r="77" spans="1:5" x14ac:dyDescent="0.2">
      <c r="A77" s="20" t="s">
        <v>495</v>
      </c>
      <c r="B77" s="20" t="s">
        <v>492</v>
      </c>
      <c r="C77" s="20" t="s">
        <v>419</v>
      </c>
      <c r="D77" s="20" t="s">
        <v>475</v>
      </c>
      <c r="E77" s="24"/>
    </row>
    <row r="78" spans="1:5" x14ac:dyDescent="0.2">
      <c r="A78" s="20" t="s">
        <v>496</v>
      </c>
      <c r="B78" s="20" t="s">
        <v>497</v>
      </c>
      <c r="C78" s="20" t="s">
        <v>419</v>
      </c>
      <c r="D78" s="20" t="s">
        <v>469</v>
      </c>
      <c r="E78" s="24"/>
    </row>
    <row r="79" spans="1:5" x14ac:dyDescent="0.2">
      <c r="A79" s="20" t="s">
        <v>498</v>
      </c>
      <c r="B79" s="20" t="s">
        <v>497</v>
      </c>
      <c r="C79" s="20" t="s">
        <v>419</v>
      </c>
      <c r="D79" s="20" t="s">
        <v>471</v>
      </c>
      <c r="E79" s="24"/>
    </row>
    <row r="80" spans="1:5" x14ac:dyDescent="0.2">
      <c r="A80" s="20" t="s">
        <v>499</v>
      </c>
      <c r="B80" s="20" t="s">
        <v>497</v>
      </c>
      <c r="C80" s="20" t="s">
        <v>419</v>
      </c>
      <c r="D80" s="20" t="s">
        <v>473</v>
      </c>
      <c r="E80" s="24"/>
    </row>
    <row r="81" spans="1:5" x14ac:dyDescent="0.2">
      <c r="A81" s="20" t="s">
        <v>500</v>
      </c>
      <c r="B81" s="20" t="s">
        <v>497</v>
      </c>
      <c r="C81" s="20" t="s">
        <v>419</v>
      </c>
      <c r="D81" s="20" t="s">
        <v>475</v>
      </c>
      <c r="E81" s="24"/>
    </row>
    <row r="82" spans="1:5" x14ac:dyDescent="0.2">
      <c r="A82" s="20" t="s">
        <v>501</v>
      </c>
      <c r="B82" s="20" t="s">
        <v>502</v>
      </c>
      <c r="C82" s="20" t="s">
        <v>419</v>
      </c>
      <c r="D82" s="20" t="s">
        <v>469</v>
      </c>
      <c r="E82" s="24"/>
    </row>
    <row r="83" spans="1:5" x14ac:dyDescent="0.2">
      <c r="A83" s="20" t="s">
        <v>503</v>
      </c>
      <c r="B83" s="20" t="s">
        <v>502</v>
      </c>
      <c r="C83" s="20" t="s">
        <v>419</v>
      </c>
      <c r="D83" s="20" t="s">
        <v>471</v>
      </c>
      <c r="E83" s="24"/>
    </row>
    <row r="84" spans="1:5" x14ac:dyDescent="0.2">
      <c r="A84" s="20" t="s">
        <v>504</v>
      </c>
      <c r="B84" s="20" t="s">
        <v>502</v>
      </c>
      <c r="C84" s="20" t="s">
        <v>419</v>
      </c>
      <c r="D84" s="20" t="s">
        <v>473</v>
      </c>
      <c r="E84" s="24"/>
    </row>
    <row r="85" spans="1:5" x14ac:dyDescent="0.2">
      <c r="A85" s="20" t="s">
        <v>505</v>
      </c>
      <c r="B85" s="20" t="s">
        <v>502</v>
      </c>
      <c r="C85" s="20" t="s">
        <v>419</v>
      </c>
      <c r="D85" s="20" t="s">
        <v>475</v>
      </c>
      <c r="E85" s="24"/>
    </row>
    <row r="86" spans="1:5" x14ac:dyDescent="0.2">
      <c r="A86" s="20" t="s">
        <v>506</v>
      </c>
      <c r="B86" s="20" t="s">
        <v>507</v>
      </c>
      <c r="C86" s="20" t="s">
        <v>419</v>
      </c>
      <c r="D86" s="20" t="s">
        <v>469</v>
      </c>
      <c r="E86" s="24"/>
    </row>
    <row r="87" spans="1:5" x14ac:dyDescent="0.2">
      <c r="A87" s="20" t="s">
        <v>508</v>
      </c>
      <c r="B87" s="20" t="s">
        <v>507</v>
      </c>
      <c r="C87" s="20" t="s">
        <v>419</v>
      </c>
      <c r="D87" s="20" t="s">
        <v>471</v>
      </c>
      <c r="E87" s="24"/>
    </row>
    <row r="88" spans="1:5" x14ac:dyDescent="0.2">
      <c r="A88" s="20" t="s">
        <v>509</v>
      </c>
      <c r="B88" s="20" t="s">
        <v>507</v>
      </c>
      <c r="C88" s="20" t="s">
        <v>419</v>
      </c>
      <c r="D88" s="20" t="s">
        <v>473</v>
      </c>
      <c r="E88" s="24"/>
    </row>
    <row r="89" spans="1:5" x14ac:dyDescent="0.2">
      <c r="A89" s="20" t="s">
        <v>510</v>
      </c>
      <c r="B89" s="20" t="s">
        <v>507</v>
      </c>
      <c r="C89" s="20" t="s">
        <v>419</v>
      </c>
      <c r="D89" s="20" t="s">
        <v>475</v>
      </c>
      <c r="E89" s="24"/>
    </row>
    <row r="90" spans="1:5" x14ac:dyDescent="0.2">
      <c r="A90" s="20" t="s">
        <v>511</v>
      </c>
      <c r="B90" s="20" t="s">
        <v>512</v>
      </c>
      <c r="C90" s="20" t="s">
        <v>419</v>
      </c>
      <c r="D90" s="20" t="s">
        <v>469</v>
      </c>
      <c r="E90" s="24"/>
    </row>
    <row r="91" spans="1:5" x14ac:dyDescent="0.2">
      <c r="A91" s="20" t="s">
        <v>513</v>
      </c>
      <c r="B91" s="20" t="s">
        <v>512</v>
      </c>
      <c r="C91" s="20" t="s">
        <v>419</v>
      </c>
      <c r="D91" s="20" t="s">
        <v>471</v>
      </c>
      <c r="E91" s="24"/>
    </row>
    <row r="92" spans="1:5" x14ac:dyDescent="0.2">
      <c r="A92" s="20" t="s">
        <v>514</v>
      </c>
      <c r="B92" s="20" t="s">
        <v>512</v>
      </c>
      <c r="C92" s="20" t="s">
        <v>419</v>
      </c>
      <c r="D92" s="20" t="s">
        <v>473</v>
      </c>
      <c r="E92" s="24"/>
    </row>
    <row r="93" spans="1:5" x14ac:dyDescent="0.2">
      <c r="A93" s="20" t="s">
        <v>515</v>
      </c>
      <c r="B93" s="20" t="s">
        <v>512</v>
      </c>
      <c r="C93" s="20" t="s">
        <v>419</v>
      </c>
      <c r="D93" s="20" t="s">
        <v>475</v>
      </c>
      <c r="E93" s="24"/>
    </row>
    <row r="94" spans="1:5" x14ac:dyDescent="0.2">
      <c r="A94" s="20" t="s">
        <v>516</v>
      </c>
      <c r="B94" s="20" t="s">
        <v>517</v>
      </c>
      <c r="C94" s="20" t="s">
        <v>419</v>
      </c>
      <c r="D94" s="20" t="s">
        <v>469</v>
      </c>
      <c r="E94" s="24"/>
    </row>
    <row r="95" spans="1:5" x14ac:dyDescent="0.2">
      <c r="A95" s="20" t="s">
        <v>518</v>
      </c>
      <c r="B95" s="20" t="s">
        <v>517</v>
      </c>
      <c r="C95" s="20" t="s">
        <v>419</v>
      </c>
      <c r="D95" s="20" t="s">
        <v>471</v>
      </c>
      <c r="E95" s="24"/>
    </row>
    <row r="96" spans="1:5" x14ac:dyDescent="0.2">
      <c r="A96" s="20" t="s">
        <v>519</v>
      </c>
      <c r="B96" s="20" t="s">
        <v>517</v>
      </c>
      <c r="C96" s="20" t="s">
        <v>419</v>
      </c>
      <c r="D96" s="20" t="s">
        <v>473</v>
      </c>
      <c r="E96" s="24"/>
    </row>
    <row r="97" spans="1:5" x14ac:dyDescent="0.2">
      <c r="A97" s="25" t="s">
        <v>520</v>
      </c>
      <c r="B97" s="25" t="s">
        <v>517</v>
      </c>
      <c r="C97" s="25" t="s">
        <v>419</v>
      </c>
      <c r="D97" s="25" t="s">
        <v>475</v>
      </c>
      <c r="E97" s="29"/>
    </row>
    <row r="98" spans="1:5" x14ac:dyDescent="0.2">
      <c r="A98" s="41" t="s">
        <v>253</v>
      </c>
      <c r="B98" s="42"/>
      <c r="C98" s="42"/>
      <c r="D98" s="42"/>
      <c r="E98" s="83"/>
    </row>
    <row r="100" spans="1:5" x14ac:dyDescent="0.2">
      <c r="A100" s="41" t="s">
        <v>521</v>
      </c>
      <c r="B100" s="42"/>
      <c r="C100" s="42"/>
      <c r="D100" s="42"/>
      <c r="E100" s="83"/>
    </row>
  </sheetData>
  <pageMargins left="0.7" right="0.7" top="0.75" bottom="0.75" header="0.3" footer="0.3"/>
  <pageSetup paperSize="9" scale="65" orientation="landscape" horizontalDpi="4294967295" verticalDpi="4294967295" r:id="rId1"/>
  <headerFooter>
    <oddFooter>&amp;LROC Midden Nederland EA 2022                                &amp;ROpmaakdatum: 19-05-2022
Intexso - De Start 5 - Leusden
+31 (33) 2778485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CCB0BB2FFA6004B89B65265A779022A" ma:contentTypeVersion="10" ma:contentTypeDescription="Een nieuw document maken." ma:contentTypeScope="" ma:versionID="2f374196a2d9d76c626f41d4bfaa7a7e">
  <xsd:schema xmlns:xsd="http://www.w3.org/2001/XMLSchema" xmlns:xs="http://www.w3.org/2001/XMLSchema" xmlns:p="http://schemas.microsoft.com/office/2006/metadata/properties" xmlns:ns2="bdb98c74-5a62-4ff5-8ea3-82025905facb" xmlns:ns3="e60f3260-6b96-4966-9fbf-601f251263e1" targetNamespace="http://schemas.microsoft.com/office/2006/metadata/properties" ma:root="true" ma:fieldsID="7482bdf46a4a9190c5323891784e2518" ns2:_="" ns3:_="">
    <xsd:import namespace="bdb98c74-5a62-4ff5-8ea3-82025905facb"/>
    <xsd:import namespace="e60f3260-6b96-4966-9fbf-601f251263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b98c74-5a62-4ff5-8ea3-82025905fa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0f3260-6b96-4966-9fbf-601f251263e1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0200F78-5DCC-4BEE-922E-23CE7C03A15F}"/>
</file>

<file path=customXml/itemProps2.xml><?xml version="1.0" encoding="utf-8"?>
<ds:datastoreItem xmlns:ds="http://schemas.openxmlformats.org/officeDocument/2006/customXml" ds:itemID="{3F1F513A-2745-4478-9D33-DCC74CE74C55}"/>
</file>

<file path=customXml/itemProps3.xml><?xml version="1.0" encoding="utf-8"?>
<ds:datastoreItem xmlns:ds="http://schemas.openxmlformats.org/officeDocument/2006/customXml" ds:itemID="{3E0F3DE2-91AF-4DE7-BF09-F1F39FB9B18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12</vt:i4>
      </vt:variant>
      <vt:variant>
        <vt:lpstr>Benoemde bereiken</vt:lpstr>
      </vt:variant>
      <vt:variant>
        <vt:i4>612</vt:i4>
      </vt:variant>
    </vt:vector>
  </HeadingPairs>
  <TitlesOfParts>
    <vt:vector size="624" baseType="lpstr">
      <vt:lpstr>Omreken</vt:lpstr>
      <vt:lpstr>Categorienormen</vt:lpstr>
      <vt:lpstr>Regulier werk</vt:lpstr>
      <vt:lpstr>Objectinformatie</vt:lpstr>
      <vt:lpstr>Objecten</vt:lpstr>
      <vt:lpstr>Niet-meewerkende objectleiding</vt:lpstr>
      <vt:lpstr>Totaalblad Objecten</vt:lpstr>
      <vt:lpstr>Afroep</vt:lpstr>
      <vt:lpstr>Afroep incidenteel</vt:lpstr>
      <vt:lpstr>Glas</vt:lpstr>
      <vt:lpstr>Glas per locatie</vt:lpstr>
      <vt:lpstr>Totaal</vt:lpstr>
      <vt:lpstr>Afroep!Afdruktitels</vt:lpstr>
      <vt:lpstr>'Afroep incidenteel'!Afdruktitels</vt:lpstr>
      <vt:lpstr>Categorienormen!Afdruktitels</vt:lpstr>
      <vt:lpstr>Glas!Afdruktitels</vt:lpstr>
      <vt:lpstr>'Glas per locatie'!Afdruktitels</vt:lpstr>
      <vt:lpstr>'Niet-meewerkende objectleiding'!Afdruktitels</vt:lpstr>
      <vt:lpstr>Objecten!Afdruktitels</vt:lpstr>
      <vt:lpstr>Objectinformatie!Afdruktitels</vt:lpstr>
      <vt:lpstr>'Regulier werk'!Afdruktitels</vt:lpstr>
      <vt:lpstr>Totaal!Afdruktitels</vt:lpstr>
      <vt:lpstr>'Totaalblad Objecten'!Afdruktitels</vt:lpstr>
      <vt:lpstr>catdw_1_AHB_1</vt:lpstr>
      <vt:lpstr>catdw_1_AHV_40</vt:lpstr>
      <vt:lpstr>catdw_1_BHB_1</vt:lpstr>
      <vt:lpstr>catdw_1_BHV_40</vt:lpstr>
      <vt:lpstr>catdw_1_BZB_1</vt:lpstr>
      <vt:lpstr>catdw_1_BZV_40</vt:lpstr>
      <vt:lpstr>catdw_1_CHB_1</vt:lpstr>
      <vt:lpstr>catdw_1_CHV_40</vt:lpstr>
      <vt:lpstr>catdw_1_DHB_1</vt:lpstr>
      <vt:lpstr>catdw_1_DHV_40</vt:lpstr>
      <vt:lpstr>catdw_1_EHB_1</vt:lpstr>
      <vt:lpstr>catdw_1_EHV_40</vt:lpstr>
      <vt:lpstr>catdw_1_EZB_1</vt:lpstr>
      <vt:lpstr>catdw_1_EZV_40</vt:lpstr>
      <vt:lpstr>catdw_1_GHB_1</vt:lpstr>
      <vt:lpstr>catdw_1_GHV_40</vt:lpstr>
      <vt:lpstr>catdw_1_GZB_1</vt:lpstr>
      <vt:lpstr>catdw_1_GZV_40</vt:lpstr>
      <vt:lpstr>catdw_1_IHB_1</vt:lpstr>
      <vt:lpstr>catdw_1_IHV_40</vt:lpstr>
      <vt:lpstr>catdw_1_KHB_1</vt:lpstr>
      <vt:lpstr>catdw_1_KHV_40</vt:lpstr>
      <vt:lpstr>catdw_1_LHB_1</vt:lpstr>
      <vt:lpstr>catdw_1_LHV_40</vt:lpstr>
      <vt:lpstr>catdw_1_LZB_1</vt:lpstr>
      <vt:lpstr>catdw_1_LZV_40</vt:lpstr>
      <vt:lpstr>catdw_1_OLHB_1</vt:lpstr>
      <vt:lpstr>catdw_1_OLHV_40</vt:lpstr>
      <vt:lpstr>catdw_1_PHB_1</vt:lpstr>
      <vt:lpstr>catdw_1_PHV_40</vt:lpstr>
      <vt:lpstr>catdw_1_PMHB_1</vt:lpstr>
      <vt:lpstr>catdw_1_PMHV_40</vt:lpstr>
      <vt:lpstr>catdw_1_PMZB_1</vt:lpstr>
      <vt:lpstr>catdw_1_PMZV_40</vt:lpstr>
      <vt:lpstr>catdw_1_PSHB_1</vt:lpstr>
      <vt:lpstr>catdw_1_PSHV_40</vt:lpstr>
      <vt:lpstr>catdw_1_PSZB_1</vt:lpstr>
      <vt:lpstr>catdw_1_PSZV_40</vt:lpstr>
      <vt:lpstr>catdw_1_PTHB_1</vt:lpstr>
      <vt:lpstr>catdw_1_PTHV_40</vt:lpstr>
      <vt:lpstr>catdw_1_PUHB_1</vt:lpstr>
      <vt:lpstr>catdw_1_PUHV_40</vt:lpstr>
      <vt:lpstr>catdw_1_PZB_1</vt:lpstr>
      <vt:lpstr>catdw_1_PZV_40</vt:lpstr>
      <vt:lpstr>catdw_1_SHB_1</vt:lpstr>
      <vt:lpstr>catdw_1_SHV_40</vt:lpstr>
      <vt:lpstr>catdw_1_STZB_1</vt:lpstr>
      <vt:lpstr>catdw_1_STZV_40</vt:lpstr>
      <vt:lpstr>catdw_1_THB_1</vt:lpstr>
      <vt:lpstr>catdw_1_THV_40</vt:lpstr>
      <vt:lpstr>catdw_1_TZB_1</vt:lpstr>
      <vt:lpstr>catdw_1_TZV_40</vt:lpstr>
      <vt:lpstr>catdw_1_VHB_1</vt:lpstr>
      <vt:lpstr>catdw_1_VHV_40</vt:lpstr>
      <vt:lpstr>catdw_1_VZB_1</vt:lpstr>
      <vt:lpstr>catdw_1_VZV_40</vt:lpstr>
      <vt:lpstr>catdw_1_WPHB_1</vt:lpstr>
      <vt:lpstr>catdw_1_WPHV_40</vt:lpstr>
      <vt:lpstr>catdw_2_VAHB_1</vt:lpstr>
      <vt:lpstr>catdw_2_VBHB_1</vt:lpstr>
      <vt:lpstr>catdw_2_VBZB_1</vt:lpstr>
      <vt:lpstr>catdw_2_VDHB_1</vt:lpstr>
      <vt:lpstr>catdw_2_VEHB_1</vt:lpstr>
      <vt:lpstr>catdw_2_VEZB_1</vt:lpstr>
      <vt:lpstr>catdw_2_VGHB_1</vt:lpstr>
      <vt:lpstr>catdw_2_VIHB_1</vt:lpstr>
      <vt:lpstr>catdw_2_VKHB_1</vt:lpstr>
      <vt:lpstr>catdw_2_VLHB_1</vt:lpstr>
      <vt:lpstr>catdw_2_VSHB_1</vt:lpstr>
      <vt:lpstr>catdw_2_VTHB_1</vt:lpstr>
      <vt:lpstr>catdw_2_VTZB_1</vt:lpstr>
      <vt:lpstr>catdw_2_VVHB_1</vt:lpstr>
      <vt:lpstr>catdw_2_VVZB_1</vt:lpstr>
      <vt:lpstr>catfd_1_AHB_1</vt:lpstr>
      <vt:lpstr>catfd_1_AHV_40</vt:lpstr>
      <vt:lpstr>catfd_1_BHB_1</vt:lpstr>
      <vt:lpstr>catfd_1_BHV_40</vt:lpstr>
      <vt:lpstr>catfd_1_BZB_1</vt:lpstr>
      <vt:lpstr>catfd_1_BZV_40</vt:lpstr>
      <vt:lpstr>catfd_1_CHB_1</vt:lpstr>
      <vt:lpstr>catfd_1_CHV_40</vt:lpstr>
      <vt:lpstr>catfd_1_DHB_1</vt:lpstr>
      <vt:lpstr>catfd_1_DHV_40</vt:lpstr>
      <vt:lpstr>catfd_1_EHB_1</vt:lpstr>
      <vt:lpstr>catfd_1_EHV_40</vt:lpstr>
      <vt:lpstr>catfd_1_EZB_1</vt:lpstr>
      <vt:lpstr>catfd_1_EZV_40</vt:lpstr>
      <vt:lpstr>catfd_1_GHB_1</vt:lpstr>
      <vt:lpstr>catfd_1_GHV_40</vt:lpstr>
      <vt:lpstr>catfd_1_GZB_1</vt:lpstr>
      <vt:lpstr>catfd_1_GZV_40</vt:lpstr>
      <vt:lpstr>catfd_1_IHB_1</vt:lpstr>
      <vt:lpstr>catfd_1_IHV_40</vt:lpstr>
      <vt:lpstr>catfd_1_KHB_1</vt:lpstr>
      <vt:lpstr>catfd_1_KHV_40</vt:lpstr>
      <vt:lpstr>catfd_1_LHB_1</vt:lpstr>
      <vt:lpstr>catfd_1_LHV_40</vt:lpstr>
      <vt:lpstr>catfd_1_LZB_1</vt:lpstr>
      <vt:lpstr>catfd_1_LZV_40</vt:lpstr>
      <vt:lpstr>catfd_1_OLHB_1</vt:lpstr>
      <vt:lpstr>catfd_1_OLHV_40</vt:lpstr>
      <vt:lpstr>catfd_1_PHB_1</vt:lpstr>
      <vt:lpstr>catfd_1_PHV_40</vt:lpstr>
      <vt:lpstr>catfd_1_PMHB_1</vt:lpstr>
      <vt:lpstr>catfd_1_PMHV_40</vt:lpstr>
      <vt:lpstr>catfd_1_PMZB_1</vt:lpstr>
      <vt:lpstr>catfd_1_PMZV_40</vt:lpstr>
      <vt:lpstr>catfd_1_PSHB_1</vt:lpstr>
      <vt:lpstr>catfd_1_PSHV_40</vt:lpstr>
      <vt:lpstr>catfd_1_PSZB_1</vt:lpstr>
      <vt:lpstr>catfd_1_PSZV_40</vt:lpstr>
      <vt:lpstr>catfd_1_PTHB_1</vt:lpstr>
      <vt:lpstr>catfd_1_PTHV_40</vt:lpstr>
      <vt:lpstr>catfd_1_PUHB_1</vt:lpstr>
      <vt:lpstr>catfd_1_PUHV_40</vt:lpstr>
      <vt:lpstr>catfd_1_PZB_1</vt:lpstr>
      <vt:lpstr>catfd_1_PZV_40</vt:lpstr>
      <vt:lpstr>catfd_1_SHB_1</vt:lpstr>
      <vt:lpstr>catfd_1_SHV_40</vt:lpstr>
      <vt:lpstr>catfd_1_STZB_1</vt:lpstr>
      <vt:lpstr>catfd_1_STZV_40</vt:lpstr>
      <vt:lpstr>catfd_1_THB_1</vt:lpstr>
      <vt:lpstr>catfd_1_THV_40</vt:lpstr>
      <vt:lpstr>catfd_1_TZB_1</vt:lpstr>
      <vt:lpstr>catfd_1_TZV_40</vt:lpstr>
      <vt:lpstr>catfd_1_VHB_1</vt:lpstr>
      <vt:lpstr>catfd_1_VHV_40</vt:lpstr>
      <vt:lpstr>catfd_1_VZB_1</vt:lpstr>
      <vt:lpstr>catfd_1_VZV_40</vt:lpstr>
      <vt:lpstr>catfd_1_WPHB_1</vt:lpstr>
      <vt:lpstr>catfd_1_WPHV_40</vt:lpstr>
      <vt:lpstr>catfd_2_VAHB_1</vt:lpstr>
      <vt:lpstr>catfd_2_VBHB_1</vt:lpstr>
      <vt:lpstr>catfd_2_VBZB_1</vt:lpstr>
      <vt:lpstr>catfd_2_VDHB_1</vt:lpstr>
      <vt:lpstr>catfd_2_VEHB_1</vt:lpstr>
      <vt:lpstr>catfd_2_VEZB_1</vt:lpstr>
      <vt:lpstr>catfd_2_VGHB_1</vt:lpstr>
      <vt:lpstr>catfd_2_VIHB_1</vt:lpstr>
      <vt:lpstr>catfd_2_VKHB_1</vt:lpstr>
      <vt:lpstr>catfd_2_VLHB_1</vt:lpstr>
      <vt:lpstr>catfd_2_VSHB_1</vt:lpstr>
      <vt:lpstr>catfd_2_VTHB_1</vt:lpstr>
      <vt:lpstr>catfd_2_VTZB_1</vt:lpstr>
      <vt:lpstr>catfd_2_VVHB_1</vt:lpstr>
      <vt:lpstr>catfd_2_VVZB_1</vt:lpstr>
      <vt:lpstr>catpn_1_AHB_1</vt:lpstr>
      <vt:lpstr>catpn_1_AHV_40</vt:lpstr>
      <vt:lpstr>catpn_1_BHB_1</vt:lpstr>
      <vt:lpstr>catpn_1_BHV_40</vt:lpstr>
      <vt:lpstr>catpn_1_BZB_1</vt:lpstr>
      <vt:lpstr>catpn_1_BZV_40</vt:lpstr>
      <vt:lpstr>catpn_1_CHB_1</vt:lpstr>
      <vt:lpstr>catpn_1_CHV_40</vt:lpstr>
      <vt:lpstr>catpn_1_DHB_1</vt:lpstr>
      <vt:lpstr>catpn_1_DHV_40</vt:lpstr>
      <vt:lpstr>catpn_1_EHB_1</vt:lpstr>
      <vt:lpstr>catpn_1_EHV_40</vt:lpstr>
      <vt:lpstr>catpn_1_EZB_1</vt:lpstr>
      <vt:lpstr>catpn_1_EZV_40</vt:lpstr>
      <vt:lpstr>catpn_1_GHB_1</vt:lpstr>
      <vt:lpstr>catpn_1_GHV_40</vt:lpstr>
      <vt:lpstr>catpn_1_GZB_1</vt:lpstr>
      <vt:lpstr>catpn_1_GZV_40</vt:lpstr>
      <vt:lpstr>catpn_1_IHB_1</vt:lpstr>
      <vt:lpstr>catpn_1_IHV_40</vt:lpstr>
      <vt:lpstr>catpn_1_KHB_1</vt:lpstr>
      <vt:lpstr>catpn_1_KHV_40</vt:lpstr>
      <vt:lpstr>catpn_1_LHB_1</vt:lpstr>
      <vt:lpstr>catpn_1_LHV_40</vt:lpstr>
      <vt:lpstr>catpn_1_LZB_1</vt:lpstr>
      <vt:lpstr>catpn_1_LZV_40</vt:lpstr>
      <vt:lpstr>catpn_1_OLHB_1</vt:lpstr>
      <vt:lpstr>catpn_1_OLHV_40</vt:lpstr>
      <vt:lpstr>catpn_1_PHB_1</vt:lpstr>
      <vt:lpstr>catpn_1_PHV_40</vt:lpstr>
      <vt:lpstr>catpn_1_PMHB_1</vt:lpstr>
      <vt:lpstr>catpn_1_PMHV_40</vt:lpstr>
      <vt:lpstr>catpn_1_PMZB_1</vt:lpstr>
      <vt:lpstr>catpn_1_PMZV_40</vt:lpstr>
      <vt:lpstr>catpn_1_PSHB_1</vt:lpstr>
      <vt:lpstr>catpn_1_PSHV_40</vt:lpstr>
      <vt:lpstr>catpn_1_PSZB_1</vt:lpstr>
      <vt:lpstr>catpn_1_PSZV_40</vt:lpstr>
      <vt:lpstr>catpn_1_PTHB_1</vt:lpstr>
      <vt:lpstr>catpn_1_PTHV_40</vt:lpstr>
      <vt:lpstr>catpn_1_PUHB_1</vt:lpstr>
      <vt:lpstr>catpn_1_PUHV_40</vt:lpstr>
      <vt:lpstr>catpn_1_PZB_1</vt:lpstr>
      <vt:lpstr>catpn_1_PZV_40</vt:lpstr>
      <vt:lpstr>catpn_1_SHB_1</vt:lpstr>
      <vt:lpstr>catpn_1_SHV_40</vt:lpstr>
      <vt:lpstr>catpn_1_STZB_1</vt:lpstr>
      <vt:lpstr>catpn_1_STZV_40</vt:lpstr>
      <vt:lpstr>catpn_1_THB_1</vt:lpstr>
      <vt:lpstr>catpn_1_THV_40</vt:lpstr>
      <vt:lpstr>catpn_1_TZB_1</vt:lpstr>
      <vt:lpstr>catpn_1_TZV_40</vt:lpstr>
      <vt:lpstr>catpn_1_VHB_1</vt:lpstr>
      <vt:lpstr>catpn_1_VHV_40</vt:lpstr>
      <vt:lpstr>catpn_1_VZB_1</vt:lpstr>
      <vt:lpstr>catpn_1_VZV_40</vt:lpstr>
      <vt:lpstr>catpn_1_WPHB_1</vt:lpstr>
      <vt:lpstr>catpn_1_WPHV_40</vt:lpstr>
      <vt:lpstr>catpn_2_VAHB_1</vt:lpstr>
      <vt:lpstr>catpn_2_VBHB_1</vt:lpstr>
      <vt:lpstr>catpn_2_VBZB_1</vt:lpstr>
      <vt:lpstr>catpn_2_VDHB_1</vt:lpstr>
      <vt:lpstr>catpn_2_VEHB_1</vt:lpstr>
      <vt:lpstr>catpn_2_VEZB_1</vt:lpstr>
      <vt:lpstr>catpn_2_VGHB_1</vt:lpstr>
      <vt:lpstr>catpn_2_VIHB_1</vt:lpstr>
      <vt:lpstr>catpn_2_VKHB_1</vt:lpstr>
      <vt:lpstr>catpn_2_VLHB_1</vt:lpstr>
      <vt:lpstr>catpn_2_VSHB_1</vt:lpstr>
      <vt:lpstr>catpn_2_VTHB_1</vt:lpstr>
      <vt:lpstr>catpn_2_VTZB_1</vt:lpstr>
      <vt:lpstr>catpn_2_VVHB_1</vt:lpstr>
      <vt:lpstr>catpn_2_VVZB_1</vt:lpstr>
      <vt:lpstr>cattf_1_AHB_1</vt:lpstr>
      <vt:lpstr>cattf_1_AHV_40</vt:lpstr>
      <vt:lpstr>cattf_1_BHB_1</vt:lpstr>
      <vt:lpstr>cattf_1_BHV_40</vt:lpstr>
      <vt:lpstr>cattf_1_BZB_1</vt:lpstr>
      <vt:lpstr>cattf_1_BZV_40</vt:lpstr>
      <vt:lpstr>cattf_1_CHB_1</vt:lpstr>
      <vt:lpstr>cattf_1_CHV_40</vt:lpstr>
      <vt:lpstr>cattf_1_DHB_1</vt:lpstr>
      <vt:lpstr>cattf_1_DHV_40</vt:lpstr>
      <vt:lpstr>cattf_1_EHB_1</vt:lpstr>
      <vt:lpstr>cattf_1_EHV_40</vt:lpstr>
      <vt:lpstr>cattf_1_EZB_1</vt:lpstr>
      <vt:lpstr>cattf_1_EZV_40</vt:lpstr>
      <vt:lpstr>cattf_1_GHB_1</vt:lpstr>
      <vt:lpstr>cattf_1_GHV_40</vt:lpstr>
      <vt:lpstr>cattf_1_GZB_1</vt:lpstr>
      <vt:lpstr>cattf_1_GZV_40</vt:lpstr>
      <vt:lpstr>cattf_1_IHB_1</vt:lpstr>
      <vt:lpstr>cattf_1_IHV_40</vt:lpstr>
      <vt:lpstr>cattf_1_KHB_1</vt:lpstr>
      <vt:lpstr>cattf_1_KHV_40</vt:lpstr>
      <vt:lpstr>cattf_1_LHB_1</vt:lpstr>
      <vt:lpstr>cattf_1_LHV_40</vt:lpstr>
      <vt:lpstr>cattf_1_LZB_1</vt:lpstr>
      <vt:lpstr>cattf_1_LZV_40</vt:lpstr>
      <vt:lpstr>cattf_1_OLHB_1</vt:lpstr>
      <vt:lpstr>cattf_1_OLHV_40</vt:lpstr>
      <vt:lpstr>cattf_1_PHB_1</vt:lpstr>
      <vt:lpstr>cattf_1_PHV_40</vt:lpstr>
      <vt:lpstr>cattf_1_PMHB_1</vt:lpstr>
      <vt:lpstr>cattf_1_PMHV_40</vt:lpstr>
      <vt:lpstr>cattf_1_PMZB_1</vt:lpstr>
      <vt:lpstr>cattf_1_PMZV_40</vt:lpstr>
      <vt:lpstr>cattf_1_PSHB_1</vt:lpstr>
      <vt:lpstr>cattf_1_PSHV_40</vt:lpstr>
      <vt:lpstr>cattf_1_PSZB_1</vt:lpstr>
      <vt:lpstr>cattf_1_PSZV_40</vt:lpstr>
      <vt:lpstr>cattf_1_PTHB_1</vt:lpstr>
      <vt:lpstr>cattf_1_PTHV_40</vt:lpstr>
      <vt:lpstr>cattf_1_PUHB_1</vt:lpstr>
      <vt:lpstr>cattf_1_PUHV_40</vt:lpstr>
      <vt:lpstr>cattf_1_PZB_1</vt:lpstr>
      <vt:lpstr>cattf_1_PZV_40</vt:lpstr>
      <vt:lpstr>cattf_1_SHB_1</vt:lpstr>
      <vt:lpstr>cattf_1_SHV_40</vt:lpstr>
      <vt:lpstr>cattf_1_STZB_1</vt:lpstr>
      <vt:lpstr>cattf_1_STZV_40</vt:lpstr>
      <vt:lpstr>cattf_1_THB_1</vt:lpstr>
      <vt:lpstr>cattf_1_THV_40</vt:lpstr>
      <vt:lpstr>cattf_1_TZB_1</vt:lpstr>
      <vt:lpstr>cattf_1_TZV_40</vt:lpstr>
      <vt:lpstr>cattf_1_VHB_1</vt:lpstr>
      <vt:lpstr>cattf_1_VHV_40</vt:lpstr>
      <vt:lpstr>cattf_1_VZB_1</vt:lpstr>
      <vt:lpstr>cattf_1_VZV_40</vt:lpstr>
      <vt:lpstr>cattf_1_WPHB_1</vt:lpstr>
      <vt:lpstr>cattf_1_WPHV_40</vt:lpstr>
      <vt:lpstr>cattf_2_VAHB_1</vt:lpstr>
      <vt:lpstr>cattf_2_VBHB_1</vt:lpstr>
      <vt:lpstr>cattf_2_VBZB_1</vt:lpstr>
      <vt:lpstr>cattf_2_VDHB_1</vt:lpstr>
      <vt:lpstr>cattf_2_VEHB_1</vt:lpstr>
      <vt:lpstr>cattf_2_VEZB_1</vt:lpstr>
      <vt:lpstr>cattf_2_VGHB_1</vt:lpstr>
      <vt:lpstr>cattf_2_VIHB_1</vt:lpstr>
      <vt:lpstr>cattf_2_VKHB_1</vt:lpstr>
      <vt:lpstr>cattf_2_VLHB_1</vt:lpstr>
      <vt:lpstr>cattf_2_VSHB_1</vt:lpstr>
      <vt:lpstr>cattf_2_VTHB_1</vt:lpstr>
      <vt:lpstr>cattf_2_VTZB_1</vt:lpstr>
      <vt:lpstr>cattf_2_VVHB_1</vt:lpstr>
      <vt:lpstr>cattf_2_VVZB_1</vt:lpstr>
      <vt:lpstr>dagenperjaar1</vt:lpstr>
      <vt:lpstr>dagenperweek1</vt:lpstr>
      <vt:lpstr>dagsoorttabel1</vt:lpstr>
      <vt:lpstr>dagwerk13</vt:lpstr>
      <vt:lpstr>dagwerk14</vt:lpstr>
      <vt:lpstr>dagwerk15</vt:lpstr>
      <vt:lpstr>dagwerk16</vt:lpstr>
      <vt:lpstr>dagwerk17</vt:lpstr>
      <vt:lpstr>dagwerk18</vt:lpstr>
      <vt:lpstr>dagwerk19</vt:lpstr>
      <vt:lpstr>dagwerk20</vt:lpstr>
      <vt:lpstr>dagwerk21</vt:lpstr>
      <vt:lpstr>dagwerk22</vt:lpstr>
      <vt:lpstr>dagwerk23</vt:lpstr>
      <vt:lpstr>dagwerk24</vt:lpstr>
      <vt:lpstr>dagwerk25</vt:lpstr>
      <vt:lpstr>dagwerk26</vt:lpstr>
      <vt:lpstr>dagwerk27</vt:lpstr>
      <vt:lpstr>dagwerk28</vt:lpstr>
      <vt:lpstr>dagwerk29</vt:lpstr>
      <vt:lpstr>dagwerk30</vt:lpstr>
      <vt:lpstr>dagwerk31</vt:lpstr>
      <vt:lpstr>dagwerk32</vt:lpstr>
      <vt:lpstr>dagwerk33</vt:lpstr>
      <vt:lpstr>dagwerk34</vt:lpstr>
      <vt:lpstr>dagwerk35</vt:lpstr>
      <vt:lpstr>dagwerk36</vt:lpstr>
      <vt:lpstr>dagwerk37</vt:lpstr>
      <vt:lpstr>dagwerk38</vt:lpstr>
      <vt:lpstr>dagwerk39</vt:lpstr>
      <vt:lpstr>dagwerk40</vt:lpstr>
      <vt:lpstr>dagwerk41</vt:lpstr>
      <vt:lpstr>dagwerk42</vt:lpstr>
      <vt:lpstr>dagwerk43</vt:lpstr>
      <vt:lpstr>dagwerk44</vt:lpstr>
      <vt:lpstr>dagwerk45</vt:lpstr>
      <vt:lpstr>dagwerk50</vt:lpstr>
      <vt:lpstr>dagwerk51</vt:lpstr>
      <vt:lpstr>dagwerk52</vt:lpstr>
      <vt:lpstr>dagwerk53</vt:lpstr>
      <vt:lpstr>dagwerk54</vt:lpstr>
      <vt:lpstr>dagwerk55</vt:lpstr>
      <vt:lpstr>dagwerk56</vt:lpstr>
      <vt:lpstr>dagwerk57</vt:lpstr>
      <vt:lpstr>dagwerk58</vt:lpstr>
      <vt:lpstr>dagwerk59</vt:lpstr>
      <vt:lpstr>dagwerk60</vt:lpstr>
      <vt:lpstr>dagwerk61</vt:lpstr>
      <vt:lpstr>dagwerk62</vt:lpstr>
      <vt:lpstr>dagwerk63</vt:lpstr>
      <vt:lpstr>dagwerk64</vt:lpstr>
      <vt:lpstr>dagwerk65</vt:lpstr>
      <vt:lpstr>dagwerk66</vt:lpstr>
      <vt:lpstr>dagwerk67</vt:lpstr>
      <vt:lpstr>dagwerk68</vt:lpstr>
      <vt:lpstr>dagwerk69</vt:lpstr>
      <vt:lpstr>dagwerk70</vt:lpstr>
      <vt:lpstr>dagwerk71</vt:lpstr>
      <vt:lpstr>dagwerk72</vt:lpstr>
      <vt:lpstr>dagwerk73</vt:lpstr>
      <vt:lpstr>dagwerk74</vt:lpstr>
      <vt:lpstr>dagwerk75</vt:lpstr>
      <vt:lpstr>dagwerk76</vt:lpstr>
      <vt:lpstr>dagwerk77</vt:lpstr>
      <vt:lpstr>dagwerktabel1</vt:lpstr>
      <vt:lpstr>dagwerktabel2</vt:lpstr>
      <vt:lpstr>gemuurtarief1</vt:lpstr>
      <vt:lpstr>gemuurtarief2</vt:lpstr>
      <vt:lpstr>kengetaltabel1</vt:lpstr>
      <vt:lpstr>kengetaltabel2</vt:lpstr>
      <vt:lpstr>object1_opptabel1</vt:lpstr>
      <vt:lpstr>object1_opptabel2</vt:lpstr>
      <vt:lpstr>object2_opptabel1</vt:lpstr>
      <vt:lpstr>object2_opptabel2</vt:lpstr>
      <vt:lpstr>object3_opptabel1</vt:lpstr>
      <vt:lpstr>object3_opptabel2</vt:lpstr>
      <vt:lpstr>object4_opptabel1</vt:lpstr>
      <vt:lpstr>object4_opptabel2</vt:lpstr>
      <vt:lpstr>object5_opptabel1</vt:lpstr>
      <vt:lpstr>object5_opptabel2</vt:lpstr>
      <vt:lpstr>object6_opptabel1</vt:lpstr>
      <vt:lpstr>object6_opptabel2</vt:lpstr>
      <vt:lpstr>object7_opptabel1</vt:lpstr>
      <vt:lpstr>object7_opptabel2</vt:lpstr>
      <vt:lpstr>objectprijs1_1</vt:lpstr>
      <vt:lpstr>objectprijs1_2</vt:lpstr>
      <vt:lpstr>objectprijs2_1</vt:lpstr>
      <vt:lpstr>objectprijs3_1</vt:lpstr>
      <vt:lpstr>objectprijs3_2</vt:lpstr>
      <vt:lpstr>objectprijs4_1</vt:lpstr>
      <vt:lpstr>objectprijs4_2</vt:lpstr>
      <vt:lpstr>objectprijs5_1</vt:lpstr>
      <vt:lpstr>objectprijs6_1</vt:lpstr>
      <vt:lpstr>objectprijs7_1</vt:lpstr>
      <vt:lpstr>objecturen1_1</vt:lpstr>
      <vt:lpstr>objecturen1_2</vt:lpstr>
      <vt:lpstr>objecturen2_1</vt:lpstr>
      <vt:lpstr>objecturen3_1</vt:lpstr>
      <vt:lpstr>objecturen3_2</vt:lpstr>
      <vt:lpstr>objecturen4_1</vt:lpstr>
      <vt:lpstr>objecturen4_2</vt:lpstr>
      <vt:lpstr>objecturen5_1</vt:lpstr>
      <vt:lpstr>objecturen6_1</vt:lpstr>
      <vt:lpstr>objecturen7_1</vt:lpstr>
      <vt:lpstr>objecturenhf1_1</vt:lpstr>
      <vt:lpstr>objecturenhf1_2</vt:lpstr>
      <vt:lpstr>objecturenhf2_1</vt:lpstr>
      <vt:lpstr>objecturenhf3_1</vt:lpstr>
      <vt:lpstr>objecturenhf3_2</vt:lpstr>
      <vt:lpstr>objecturenhf4_1</vt:lpstr>
      <vt:lpstr>objecturenhf4_2</vt:lpstr>
      <vt:lpstr>objecturenhf5_1</vt:lpstr>
      <vt:lpstr>objecturenhf6_1</vt:lpstr>
      <vt:lpstr>objecturenhf7_1</vt:lpstr>
      <vt:lpstr>prijsdag1</vt:lpstr>
      <vt:lpstr>prijsdag2</vt:lpstr>
      <vt:lpstr>prijsjaar</vt:lpstr>
      <vt:lpstr>prijsjaar1</vt:lpstr>
      <vt:lpstr>prijsjaar2</vt:lpstr>
      <vt:lpstr>prijsjaarafroep</vt:lpstr>
      <vt:lpstr>prijsjaarafroep1</vt:lpstr>
      <vt:lpstr>prijsjaarglas</vt:lpstr>
      <vt:lpstr>prijsjaarglas1</vt:lpstr>
      <vt:lpstr>prijsjaarnietmeewerkend</vt:lpstr>
      <vt:lpstr>prijsjaartotaal</vt:lpstr>
      <vt:lpstr>prijsjaartotaal1</vt:lpstr>
      <vt:lpstr>prijsjaartotaal2</vt:lpstr>
      <vt:lpstr>prijsjaartotaaloverzicht</vt:lpstr>
      <vt:lpstr>prijsmaandtotaal1</vt:lpstr>
      <vt:lpstr>prijsmaandtotaal2</vt:lpstr>
      <vt:lpstr>prodnorm13</vt:lpstr>
      <vt:lpstr>prodnorm14</vt:lpstr>
      <vt:lpstr>prodnorm15</vt:lpstr>
      <vt:lpstr>prodnorm16</vt:lpstr>
      <vt:lpstr>prodnorm17</vt:lpstr>
      <vt:lpstr>prodnorm18</vt:lpstr>
      <vt:lpstr>prodnorm19</vt:lpstr>
      <vt:lpstr>prodnorm20</vt:lpstr>
      <vt:lpstr>prodnorm21</vt:lpstr>
      <vt:lpstr>prodnorm22</vt:lpstr>
      <vt:lpstr>prodnorm23</vt:lpstr>
      <vt:lpstr>prodnorm24</vt:lpstr>
      <vt:lpstr>prodnorm25</vt:lpstr>
      <vt:lpstr>prodnorm26</vt:lpstr>
      <vt:lpstr>prodnorm27</vt:lpstr>
      <vt:lpstr>prodnorm28</vt:lpstr>
      <vt:lpstr>prodnorm29</vt:lpstr>
      <vt:lpstr>prodnorm30</vt:lpstr>
      <vt:lpstr>prodnorm31</vt:lpstr>
      <vt:lpstr>prodnorm32</vt:lpstr>
      <vt:lpstr>prodnorm33</vt:lpstr>
      <vt:lpstr>prodnorm34</vt:lpstr>
      <vt:lpstr>prodnorm35</vt:lpstr>
      <vt:lpstr>prodnorm36</vt:lpstr>
      <vt:lpstr>prodnorm37</vt:lpstr>
      <vt:lpstr>prodnorm38</vt:lpstr>
      <vt:lpstr>prodnorm39</vt:lpstr>
      <vt:lpstr>prodnorm40</vt:lpstr>
      <vt:lpstr>prodnorm41</vt:lpstr>
      <vt:lpstr>prodnorm42</vt:lpstr>
      <vt:lpstr>prodnorm43</vt:lpstr>
      <vt:lpstr>prodnorm44</vt:lpstr>
      <vt:lpstr>prodnorm45</vt:lpstr>
      <vt:lpstr>prodnorm50</vt:lpstr>
      <vt:lpstr>prodnorm51</vt:lpstr>
      <vt:lpstr>prodnorm52</vt:lpstr>
      <vt:lpstr>prodnorm53</vt:lpstr>
      <vt:lpstr>prodnorm54</vt:lpstr>
      <vt:lpstr>prodnorm55</vt:lpstr>
      <vt:lpstr>prodnorm56</vt:lpstr>
      <vt:lpstr>prodnorm57</vt:lpstr>
      <vt:lpstr>prodnorm58</vt:lpstr>
      <vt:lpstr>prodnorm59</vt:lpstr>
      <vt:lpstr>prodnorm60</vt:lpstr>
      <vt:lpstr>prodnorm61</vt:lpstr>
      <vt:lpstr>prodnorm62</vt:lpstr>
      <vt:lpstr>prodnorm63</vt:lpstr>
      <vt:lpstr>prodnorm64</vt:lpstr>
      <vt:lpstr>prodnorm65</vt:lpstr>
      <vt:lpstr>prodnorm66</vt:lpstr>
      <vt:lpstr>prodnorm67</vt:lpstr>
      <vt:lpstr>prodnorm68</vt:lpstr>
      <vt:lpstr>prodnorm69</vt:lpstr>
      <vt:lpstr>prodnorm70</vt:lpstr>
      <vt:lpstr>prodnorm71</vt:lpstr>
      <vt:lpstr>prodnorm72</vt:lpstr>
      <vt:lpstr>prodnorm73</vt:lpstr>
      <vt:lpstr>prodnorm74</vt:lpstr>
      <vt:lpstr>prodnorm75</vt:lpstr>
      <vt:lpstr>prodnorm76</vt:lpstr>
      <vt:lpstr>prodnorm77</vt:lpstr>
      <vt:lpstr>taakfreqtabel1</vt:lpstr>
      <vt:lpstr>taakfreqtabel2</vt:lpstr>
      <vt:lpstr>tabeltype</vt:lpstr>
      <vt:lpstr>tarieftabel1</vt:lpstr>
      <vt:lpstr>tarieftabel2</vt:lpstr>
      <vt:lpstr>tzpjt1</vt:lpstr>
      <vt:lpstr>tzpjt1_1</vt:lpstr>
      <vt:lpstr>tzpjt1_2</vt:lpstr>
      <vt:lpstr>tzpjt2</vt:lpstr>
      <vt:lpstr>tzpjt2_1</vt:lpstr>
      <vt:lpstr>tzpjt3_1</vt:lpstr>
      <vt:lpstr>tzpjt3_2</vt:lpstr>
      <vt:lpstr>tzpjt4_1</vt:lpstr>
      <vt:lpstr>tzpjt4_2</vt:lpstr>
      <vt:lpstr>tzpjt5_1</vt:lpstr>
      <vt:lpstr>tzpjt6_1</vt:lpstr>
      <vt:lpstr>tzpjt7_1</vt:lpstr>
      <vt:lpstr>tzpmt1</vt:lpstr>
      <vt:lpstr>tzpmt1_1</vt:lpstr>
      <vt:lpstr>tzpmt1_2</vt:lpstr>
      <vt:lpstr>tzpmt2</vt:lpstr>
      <vt:lpstr>tzpmt2_1</vt:lpstr>
      <vt:lpstr>tzpmt3_1</vt:lpstr>
      <vt:lpstr>tzpmt3_2</vt:lpstr>
      <vt:lpstr>tzpmt4_1</vt:lpstr>
      <vt:lpstr>tzpmt4_2</vt:lpstr>
      <vt:lpstr>tzpmt5_1</vt:lpstr>
      <vt:lpstr>tzpmt6_1</vt:lpstr>
      <vt:lpstr>tzpmt7_1</vt:lpstr>
      <vt:lpstr>tzujt1</vt:lpstr>
      <vt:lpstr>tzujt1_1</vt:lpstr>
      <vt:lpstr>tzujt1_2</vt:lpstr>
      <vt:lpstr>tzujt2</vt:lpstr>
      <vt:lpstr>tzujt2_1</vt:lpstr>
      <vt:lpstr>tzujt3_1</vt:lpstr>
      <vt:lpstr>tzujt3_2</vt:lpstr>
      <vt:lpstr>tzujt4_1</vt:lpstr>
      <vt:lpstr>tzujt4_2</vt:lpstr>
      <vt:lpstr>tzujt5_1</vt:lpstr>
      <vt:lpstr>tzujt6_1</vt:lpstr>
      <vt:lpstr>tzujt7_1</vt:lpstr>
      <vt:lpstr>urendag1</vt:lpstr>
      <vt:lpstr>urendag2</vt:lpstr>
      <vt:lpstr>urenjaar</vt:lpstr>
      <vt:lpstr>urenjaar1</vt:lpstr>
      <vt:lpstr>urenjaar2</vt:lpstr>
      <vt:lpstr>urenjaarnietmeewerkend</vt:lpstr>
      <vt:lpstr>urenjaartotaal</vt:lpstr>
      <vt:lpstr>urenjaartotaal1</vt:lpstr>
      <vt:lpstr>urenjaartotaal2</vt:lpstr>
      <vt:lpstr>urenjaartotaalhf</vt:lpstr>
      <vt:lpstr>urenjaartotaalhf1</vt:lpstr>
      <vt:lpstr>urenjaartotaalhf2</vt:lpstr>
      <vt:lpstr>urenjaartotaaloverzicht</vt:lpstr>
      <vt:lpstr>urenjaartotaaloverzichthf</vt:lpstr>
      <vt:lpstr>uurfactortabel1</vt:lpstr>
      <vt:lpstr>uurfactortabel2</vt:lpstr>
      <vt:lpstr>uurtarief13</vt:lpstr>
      <vt:lpstr>uurtarief14</vt:lpstr>
      <vt:lpstr>uurtarief15</vt:lpstr>
      <vt:lpstr>uurtarief16</vt:lpstr>
      <vt:lpstr>uurtarief17</vt:lpstr>
      <vt:lpstr>uurtarief18</vt:lpstr>
      <vt:lpstr>uurtarief19</vt:lpstr>
      <vt:lpstr>uurtarief20</vt:lpstr>
      <vt:lpstr>uurtarief21</vt:lpstr>
      <vt:lpstr>uurtarief22</vt:lpstr>
      <vt:lpstr>uurtarief23</vt:lpstr>
      <vt:lpstr>uurtarief24</vt:lpstr>
      <vt:lpstr>uurtarief25</vt:lpstr>
      <vt:lpstr>uurtarief26</vt:lpstr>
      <vt:lpstr>uurtarief27</vt:lpstr>
      <vt:lpstr>uurtarief28</vt:lpstr>
      <vt:lpstr>uurtarief29</vt:lpstr>
      <vt:lpstr>uurtarief30</vt:lpstr>
      <vt:lpstr>uurtarief31</vt:lpstr>
      <vt:lpstr>uurtarief32</vt:lpstr>
      <vt:lpstr>uurtarief33</vt:lpstr>
      <vt:lpstr>uurtarief34</vt:lpstr>
      <vt:lpstr>uurtarief35</vt:lpstr>
      <vt:lpstr>uurtarief36</vt:lpstr>
      <vt:lpstr>uurtarief37</vt:lpstr>
      <vt:lpstr>uurtarief38</vt:lpstr>
      <vt:lpstr>uurtarief39</vt:lpstr>
      <vt:lpstr>uurtarief40</vt:lpstr>
      <vt:lpstr>uurtarief41</vt:lpstr>
      <vt:lpstr>uurtarief42</vt:lpstr>
      <vt:lpstr>uurtarief43</vt:lpstr>
      <vt:lpstr>uurtarief44</vt:lpstr>
      <vt:lpstr>uurtarief45</vt:lpstr>
      <vt:lpstr>uurtarief50</vt:lpstr>
      <vt:lpstr>uurtarief51</vt:lpstr>
      <vt:lpstr>uurtarief52</vt:lpstr>
      <vt:lpstr>uurtarief53</vt:lpstr>
      <vt:lpstr>uurtarief54</vt:lpstr>
      <vt:lpstr>uurtarief55</vt:lpstr>
      <vt:lpstr>uurtarief56</vt:lpstr>
      <vt:lpstr>uurtarief57</vt:lpstr>
      <vt:lpstr>uurtarief58</vt:lpstr>
      <vt:lpstr>uurtarief59</vt:lpstr>
      <vt:lpstr>uurtarief60</vt:lpstr>
      <vt:lpstr>uurtarief61</vt:lpstr>
      <vt:lpstr>uurtarief62</vt:lpstr>
      <vt:lpstr>uurtarief63</vt:lpstr>
      <vt:lpstr>uurtarief64</vt:lpstr>
      <vt:lpstr>uurtarief65</vt:lpstr>
      <vt:lpstr>uurtarief66</vt:lpstr>
      <vt:lpstr>uurtarief67</vt:lpstr>
      <vt:lpstr>uurtarief68</vt:lpstr>
      <vt:lpstr>uurtarief69</vt:lpstr>
      <vt:lpstr>uurtarief70</vt:lpstr>
      <vt:lpstr>uurtarief71</vt:lpstr>
      <vt:lpstr>uurtarief72</vt:lpstr>
      <vt:lpstr>uurtarief73</vt:lpstr>
      <vt:lpstr>uurtarief74</vt:lpstr>
      <vt:lpstr>uurtarief75</vt:lpstr>
      <vt:lpstr>uurtarief76</vt:lpstr>
      <vt:lpstr>uurtarief77</vt:lpstr>
    </vt:vector>
  </TitlesOfParts>
  <Company>Intexso Adviesbureau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Maaike Schmelling</dc:creator>
  <cp:lastModifiedBy>Maaike Schmelling</cp:lastModifiedBy>
  <dcterms:created xsi:type="dcterms:W3CDTF">2022-05-19T05:49:28Z</dcterms:created>
  <dcterms:modified xsi:type="dcterms:W3CDTF">2022-05-19T05:52:27Z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0x010100DCCB0BB2FFA6004B89B65265A779022A</vt:lpwstr>
  </property>
</Properties>
</file>