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aukje\OneDrive\Bureaublad\aukje\Design Acadamy Eindhoven\schoonmaak\bestek\def\TenderNed\"/>
    </mc:Choice>
  </mc:AlternateContent>
  <xr:revisionPtr revIDLastSave="0" documentId="8_{A56D1E7C-14ED-416E-A773-DE097A5B4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ntarisatiestaat" sheetId="11" r:id="rId1"/>
    <sheet name="Controlegegevens SMC" sheetId="12" state="hidden" r:id="rId2"/>
    <sheet name="Parameters" sheetId="9" state="veryHidden" r:id="rId3"/>
    <sheet name="Ruimtestaat" sheetId="2" r:id="rId4"/>
    <sheet name="Normenblad" sheetId="4" r:id="rId5"/>
    <sheet name="Offerte uurtarief" sheetId="5" r:id="rId6"/>
    <sheet name="Offerte uurtarief OLGA" sheetId="10" state="veryHidden" r:id="rId7"/>
    <sheet name="Kostenblad" sheetId="6" r:id="rId8"/>
  </sheets>
  <externalReferences>
    <externalReference r:id="rId9"/>
    <externalReference r:id="rId10"/>
    <externalReference r:id="rId11"/>
  </externalReferences>
  <definedNames>
    <definedName name="_1F" localSheetId="0" hidden="1">[1]Psychiatrie!#REF!</definedName>
    <definedName name="_1F" localSheetId="6" hidden="1">[1]Psychiatrie!#REF!</definedName>
    <definedName name="_1F" hidden="1">[1]Psychiatrie!#REF!</definedName>
    <definedName name="_2_0_F" localSheetId="0" hidden="1">[1]Psychiatrie!#REF!</definedName>
    <definedName name="_2_0_F" localSheetId="6" hidden="1">[1]Psychiatrie!#REF!</definedName>
    <definedName name="_2_0_F" hidden="1">[1]Psychiatrie!#REF!</definedName>
    <definedName name="_Dist_Bin" localSheetId="0" hidden="1">#REF!</definedName>
    <definedName name="_Dist_Bin" localSheetId="6" hidden="1">#REF!</definedName>
    <definedName name="_Dist_Bin" hidden="1">#REF!</definedName>
    <definedName name="_Dist_Values" localSheetId="0" hidden="1">#REF!</definedName>
    <definedName name="_Dist_Values" localSheetId="6" hidden="1">#REF!</definedName>
    <definedName name="_Dist_Values" hidden="1">#REF!</definedName>
    <definedName name="_Fill" localSheetId="0" hidden="1">'[2]#REF'!#REF!</definedName>
    <definedName name="_Fill" localSheetId="5" hidden="1">'[3]#REF'!#REF!</definedName>
    <definedName name="_Fill" localSheetId="6" hidden="1">'[3]#REF'!#REF!</definedName>
    <definedName name="_Fill" hidden="1">'[2]#REF'!#REF!</definedName>
    <definedName name="_xlnm._FilterDatabase" localSheetId="0" hidden="1">Inventarisatiestaat!$A$1:$AB$125</definedName>
    <definedName name="_Key1" localSheetId="0" hidden="1">'[2]#REF'!#REF!</definedName>
    <definedName name="_Key1" localSheetId="5" hidden="1">'[3]#REF'!#REF!</definedName>
    <definedName name="_Key1" localSheetId="6" hidden="1">'[3]#REF'!#REF!</definedName>
    <definedName name="_Key1" hidden="1">'[2]#REF'!#REF!</definedName>
    <definedName name="_Order1" hidden="1">255</definedName>
    <definedName name="_Sort" localSheetId="0" hidden="1">#REF!</definedName>
    <definedName name="_Sort" localSheetId="6" hidden="1">#REF!</definedName>
    <definedName name="_Sort" hidden="1">#REF!</definedName>
    <definedName name="_Table1_In1" localSheetId="0" hidden="1">#REF!</definedName>
    <definedName name="_Table1_In1" localSheetId="6" hidden="1">#REF!</definedName>
    <definedName name="_Table1_In1" hidden="1">#REF!</definedName>
    <definedName name="_Table1_Out" localSheetId="0" hidden="1">#REF!</definedName>
    <definedName name="_Table1_Out" localSheetId="6" hidden="1">#REF!</definedName>
    <definedName name="_Table1_Out" hidden="1">#REF!</definedName>
    <definedName name="AccessDatabase" hidden="1">"C:\data\excel\BASISWP.mdb"</definedName>
    <definedName name="offerteuur">'Offerte uurtarief'!$E$39</definedName>
    <definedName name="offerteuurolga">'Offerte uurtarief OLGA'!$E$42</definedName>
    <definedName name="qc">#REF!</definedName>
    <definedName name="qcolga">#REF!</definedName>
    <definedName name="totkol">Parameters!$C$18</definedName>
    <definedName name="tUren">Normenblad!$CI$9</definedName>
    <definedName name="tUrenOlga">Normenblad!A1048558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6" i="6" l="1"/>
  <c r="AW7" i="6"/>
  <c r="AW8" i="6"/>
  <c r="BK7" i="6"/>
  <c r="AW6" i="4"/>
  <c r="AW7" i="4"/>
  <c r="AW8" i="4"/>
  <c r="L6" i="4"/>
  <c r="CH6" i="4" s="1"/>
  <c r="AV6" i="2"/>
  <c r="AV7" i="2"/>
  <c r="AV8" i="2"/>
  <c r="AZ6" i="6"/>
  <c r="D6" i="2"/>
  <c r="AZ6" i="4" s="1"/>
  <c r="E6" i="2"/>
  <c r="BD6" i="6"/>
  <c r="F6" i="2"/>
  <c r="BB6" i="4" s="1"/>
  <c r="G6" i="2"/>
  <c r="BC6" i="4" s="1"/>
  <c r="H6" i="2"/>
  <c r="I6" i="2"/>
  <c r="BH6" i="6" s="1"/>
  <c r="J6" i="2"/>
  <c r="BF6" i="4" s="1"/>
  <c r="K6" i="2"/>
  <c r="BL6" i="6" s="1"/>
  <c r="D7" i="2"/>
  <c r="AZ7" i="4" s="1"/>
  <c r="E7" i="2"/>
  <c r="BA7" i="4" s="1"/>
  <c r="BN7" i="4" s="1"/>
  <c r="F7" i="2"/>
  <c r="BB7" i="4" s="1"/>
  <c r="G7" i="2"/>
  <c r="BC7" i="4" s="1"/>
  <c r="H7" i="2"/>
  <c r="BD7" i="4" s="1"/>
  <c r="I7" i="2"/>
  <c r="BH7" i="6" s="1"/>
  <c r="J7" i="2"/>
  <c r="BF7" i="4" s="1"/>
  <c r="K7" i="2"/>
  <c r="BL7" i="6" s="1"/>
  <c r="D8" i="2"/>
  <c r="AZ8" i="4" s="1"/>
  <c r="BM8" i="4" s="1"/>
  <c r="E8" i="2"/>
  <c r="F8" i="2"/>
  <c r="BB8" i="4" s="1"/>
  <c r="G8" i="2"/>
  <c r="BC8" i="4" s="1"/>
  <c r="BP8" i="4" s="1"/>
  <c r="H8" i="2"/>
  <c r="BD8" i="4" s="1"/>
  <c r="I8" i="2"/>
  <c r="BH8" i="6" s="1"/>
  <c r="J8" i="2"/>
  <c r="BJ8" i="6" s="1"/>
  <c r="BK8" i="6"/>
  <c r="K8" i="2"/>
  <c r="B15" i="9"/>
  <c r="C15" i="9" s="1"/>
  <c r="AB125" i="11"/>
  <c r="AB124" i="11"/>
  <c r="AB123" i="11"/>
  <c r="AB122" i="11"/>
  <c r="AB121" i="11"/>
  <c r="AB120" i="11"/>
  <c r="AB119" i="11"/>
  <c r="AB118" i="11"/>
  <c r="AB117" i="11"/>
  <c r="AB116" i="11"/>
  <c r="AB115" i="11"/>
  <c r="AB114" i="11"/>
  <c r="AB113" i="11"/>
  <c r="AB112" i="11"/>
  <c r="AB111" i="11"/>
  <c r="AB110" i="11"/>
  <c r="AB109" i="11"/>
  <c r="AB108" i="11"/>
  <c r="AB107" i="11"/>
  <c r="AB106" i="11"/>
  <c r="AB105" i="11"/>
  <c r="AB104" i="11"/>
  <c r="AB103" i="11"/>
  <c r="AB102" i="11"/>
  <c r="AB101" i="11"/>
  <c r="AB100" i="11"/>
  <c r="AB99" i="11"/>
  <c r="AB98" i="11"/>
  <c r="AB97" i="11"/>
  <c r="AB96" i="11"/>
  <c r="AB95" i="11"/>
  <c r="AB94" i="11"/>
  <c r="AB93" i="11"/>
  <c r="AB92" i="11"/>
  <c r="AB91" i="11"/>
  <c r="AB90" i="11"/>
  <c r="AB89" i="11"/>
  <c r="AB88" i="11"/>
  <c r="AB87" i="11"/>
  <c r="AB86" i="11"/>
  <c r="AB85" i="11"/>
  <c r="AB84" i="11"/>
  <c r="AB83" i="11"/>
  <c r="AB82" i="11"/>
  <c r="AB81" i="11"/>
  <c r="AB80" i="11"/>
  <c r="AB79" i="11"/>
  <c r="AB78" i="11"/>
  <c r="AB77" i="11"/>
  <c r="AB76" i="11"/>
  <c r="AB75" i="11"/>
  <c r="AB74" i="11"/>
  <c r="AB73" i="11"/>
  <c r="AB72" i="11"/>
  <c r="AB71" i="11"/>
  <c r="AB70" i="11"/>
  <c r="AB69" i="11"/>
  <c r="AB68" i="11"/>
  <c r="AB67" i="11"/>
  <c r="AB66" i="11"/>
  <c r="AB65" i="11"/>
  <c r="AB64" i="11"/>
  <c r="AB63" i="11"/>
  <c r="AB62" i="11"/>
  <c r="AB61" i="11"/>
  <c r="AB60" i="11"/>
  <c r="AB59" i="11"/>
  <c r="AB58" i="11"/>
  <c r="AB57" i="11"/>
  <c r="AB56" i="11"/>
  <c r="AB55" i="11"/>
  <c r="AB54" i="11"/>
  <c r="AB53" i="11"/>
  <c r="AB52" i="11"/>
  <c r="AB51" i="11"/>
  <c r="AB50" i="11"/>
  <c r="AB49" i="11"/>
  <c r="AB48" i="11"/>
  <c r="AB47" i="11"/>
  <c r="AB46" i="11"/>
  <c r="AB45" i="11"/>
  <c r="AB44" i="11"/>
  <c r="AB43" i="11"/>
  <c r="AB42" i="11"/>
  <c r="AB41" i="11"/>
  <c r="AB40" i="11"/>
  <c r="AB39" i="11"/>
  <c r="AB38" i="11"/>
  <c r="AB37" i="11"/>
  <c r="AB36" i="11"/>
  <c r="AB35" i="11"/>
  <c r="AB34" i="11"/>
  <c r="AB33" i="11"/>
  <c r="AB32" i="11"/>
  <c r="AB31" i="11"/>
  <c r="AB30" i="11"/>
  <c r="AB29" i="11"/>
  <c r="AB28" i="11"/>
  <c r="AB27" i="11"/>
  <c r="AB26" i="11"/>
  <c r="AB25" i="11"/>
  <c r="AB24" i="11"/>
  <c r="AB23" i="11"/>
  <c r="AB22" i="11"/>
  <c r="AB21" i="11"/>
  <c r="AB18" i="11"/>
  <c r="AB14" i="11"/>
  <c r="AB10" i="11"/>
  <c r="AB6" i="11"/>
  <c r="AB3" i="11"/>
  <c r="AB2" i="11"/>
  <c r="C16" i="9"/>
  <c r="D15" i="12"/>
  <c r="D16" i="12"/>
  <c r="B2" i="4"/>
  <c r="M34" i="10"/>
  <c r="L34" i="10"/>
  <c r="I40" i="10"/>
  <c r="E40" i="10"/>
  <c r="J40" i="10" s="1"/>
  <c r="I36" i="10"/>
  <c r="H36" i="10"/>
  <c r="E36" i="10"/>
  <c r="E35" i="10"/>
  <c r="K35" i="10" s="1"/>
  <c r="I35" i="10"/>
  <c r="I34" i="10"/>
  <c r="E34" i="10"/>
  <c r="K34" i="10" s="1"/>
  <c r="I33" i="10"/>
  <c r="E33" i="10"/>
  <c r="J33" i="10" s="1"/>
  <c r="I32" i="10"/>
  <c r="E32" i="10"/>
  <c r="J32" i="10"/>
  <c r="E31" i="10"/>
  <c r="J31" i="10" s="1"/>
  <c r="I31" i="10"/>
  <c r="E30" i="10"/>
  <c r="J30" i="10"/>
  <c r="I30" i="10"/>
  <c r="I29" i="10"/>
  <c r="E29" i="10"/>
  <c r="J29" i="10"/>
  <c r="I28" i="10"/>
  <c r="E28" i="10"/>
  <c r="E27" i="10"/>
  <c r="J27" i="10"/>
  <c r="I27" i="10"/>
  <c r="I23" i="10"/>
  <c r="H23" i="10"/>
  <c r="E23" i="10"/>
  <c r="I22" i="10"/>
  <c r="E22" i="10"/>
  <c r="J22" i="10"/>
  <c r="I21" i="10"/>
  <c r="E21" i="10"/>
  <c r="E20" i="10"/>
  <c r="J20" i="10" s="1"/>
  <c r="I20" i="10"/>
  <c r="E19" i="10"/>
  <c r="J19" i="10" s="1"/>
  <c r="I19" i="10"/>
  <c r="I18" i="10"/>
  <c r="E18" i="10"/>
  <c r="J18" i="10" s="1"/>
  <c r="I15" i="10"/>
  <c r="I12" i="10"/>
  <c r="E12" i="10"/>
  <c r="F12" i="10" s="1"/>
  <c r="J11" i="10"/>
  <c r="I8" i="10"/>
  <c r="E8" i="10"/>
  <c r="F8" i="10" s="1"/>
  <c r="I7" i="10"/>
  <c r="E7" i="10"/>
  <c r="J4" i="10"/>
  <c r="I37" i="5"/>
  <c r="E37" i="5"/>
  <c r="J37" i="5" s="1"/>
  <c r="I33" i="5"/>
  <c r="H33" i="5"/>
  <c r="E33" i="5"/>
  <c r="J33" i="5" s="1"/>
  <c r="I32" i="5"/>
  <c r="E32" i="5"/>
  <c r="J32" i="5" s="1"/>
  <c r="E31" i="5"/>
  <c r="J31" i="5" s="1"/>
  <c r="I31" i="5"/>
  <c r="E30" i="5"/>
  <c r="J30" i="5" s="1"/>
  <c r="I30" i="5"/>
  <c r="I29" i="5"/>
  <c r="E29" i="5"/>
  <c r="J29" i="5" s="1"/>
  <c r="I28" i="5"/>
  <c r="E28" i="5"/>
  <c r="J28" i="5"/>
  <c r="E27" i="5"/>
  <c r="J27" i="5" s="1"/>
  <c r="I27" i="5"/>
  <c r="E26" i="5"/>
  <c r="I26" i="5"/>
  <c r="I22" i="5"/>
  <c r="H22" i="5"/>
  <c r="E22" i="5"/>
  <c r="J22" i="5" s="1"/>
  <c r="I21" i="5"/>
  <c r="E21" i="5"/>
  <c r="J21" i="5" s="1"/>
  <c r="I20" i="5"/>
  <c r="E20" i="5"/>
  <c r="J20" i="5" s="1"/>
  <c r="I19" i="5"/>
  <c r="E19" i="5"/>
  <c r="J19" i="5" s="1"/>
  <c r="I18" i="5"/>
  <c r="E18" i="5"/>
  <c r="J18" i="5" s="1"/>
  <c r="I15" i="5"/>
  <c r="I12" i="5"/>
  <c r="E12" i="5"/>
  <c r="F12" i="5" s="1"/>
  <c r="J11" i="5"/>
  <c r="I8" i="5"/>
  <c r="E8" i="5"/>
  <c r="I7" i="5"/>
  <c r="E7" i="5"/>
  <c r="F7" i="5" s="1"/>
  <c r="J4" i="5"/>
  <c r="J36" i="10"/>
  <c r="B2" i="10"/>
  <c r="B2" i="5"/>
  <c r="B2" i="6"/>
  <c r="B2" i="2"/>
  <c r="B21" i="9"/>
  <c r="B22" i="9" s="1"/>
  <c r="J21" i="10"/>
  <c r="J28" i="10"/>
  <c r="F34" i="10"/>
  <c r="G9" i="2" l="1"/>
  <c r="BF8" i="6"/>
  <c r="BC7" i="6"/>
  <c r="D9" i="2"/>
  <c r="B4" i="9" s="1"/>
  <c r="C4" i="9" s="1"/>
  <c r="BB8" i="6"/>
  <c r="B8" i="9"/>
  <c r="C8" i="9" s="1"/>
  <c r="J9" i="2"/>
  <c r="B12" i="9" s="1"/>
  <c r="C12" i="9" s="1"/>
  <c r="BG7" i="6"/>
  <c r="BO6" i="4"/>
  <c r="CB6" i="4"/>
  <c r="F6" i="4"/>
  <c r="BQ8" i="4"/>
  <c r="CD8" i="4"/>
  <c r="H8" i="4"/>
  <c r="BC8" i="6"/>
  <c r="BD7" i="6"/>
  <c r="F8" i="4"/>
  <c r="BO8" i="4"/>
  <c r="J7" i="4"/>
  <c r="CF7" i="4" s="1"/>
  <c r="BS7" i="4"/>
  <c r="G7" i="4"/>
  <c r="CC7" i="4" s="1"/>
  <c r="BP7" i="4"/>
  <c r="D7" i="4"/>
  <c r="BZ7" i="4" s="1"/>
  <c r="BM7" i="4"/>
  <c r="H9" i="2"/>
  <c r="E9" i="2"/>
  <c r="B5" i="9" s="1"/>
  <c r="C5" i="9" s="1"/>
  <c r="BG7" i="4"/>
  <c r="F7" i="4"/>
  <c r="CB7" i="4" s="1"/>
  <c r="BO7" i="4"/>
  <c r="J6" i="4"/>
  <c r="BS6" i="4"/>
  <c r="CF6" i="4"/>
  <c r="G6" i="4"/>
  <c r="BP6" i="4"/>
  <c r="CC6" i="4"/>
  <c r="D6" i="4"/>
  <c r="BM6" i="4"/>
  <c r="BZ6" i="4"/>
  <c r="BE7" i="4"/>
  <c r="BI6" i="6"/>
  <c r="B11" i="9"/>
  <c r="C11" i="9" s="1"/>
  <c r="BE6" i="6"/>
  <c r="F9" i="2"/>
  <c r="B7" i="9" s="1"/>
  <c r="C7" i="9" s="1"/>
  <c r="CB8" i="4"/>
  <c r="BG8" i="6"/>
  <c r="B9" i="9"/>
  <c r="C9" i="9" s="1"/>
  <c r="AZ7" i="6"/>
  <c r="BA6" i="6"/>
  <c r="B3" i="9"/>
  <c r="C3" i="9" s="1"/>
  <c r="CC8" i="4"/>
  <c r="G8" i="4"/>
  <c r="BZ8" i="4"/>
  <c r="D8" i="4"/>
  <c r="H7" i="4"/>
  <c r="CD7" i="4" s="1"/>
  <c r="E7" i="4"/>
  <c r="CA7" i="4" s="1"/>
  <c r="K9" i="2"/>
  <c r="B14" i="9" s="1"/>
  <c r="C14" i="9" s="1"/>
  <c r="I9" i="2"/>
  <c r="B10" i="9" s="1"/>
  <c r="C10" i="9" s="1"/>
  <c r="B6" i="9"/>
  <c r="C6" i="9" s="1"/>
  <c r="L6" i="2"/>
  <c r="L9" i="2" s="1"/>
  <c r="BA8" i="4"/>
  <c r="BQ7" i="4"/>
  <c r="BF8" i="4"/>
  <c r="BG6" i="4"/>
  <c r="BE6" i="4"/>
  <c r="BI8" i="6"/>
  <c r="BE8" i="6"/>
  <c r="BA8" i="6"/>
  <c r="BJ7" i="6"/>
  <c r="BF7" i="6"/>
  <c r="BB7" i="6"/>
  <c r="BK6" i="6"/>
  <c r="BG6" i="6"/>
  <c r="BC6" i="6"/>
  <c r="B2" i="9"/>
  <c r="C2" i="9" s="1"/>
  <c r="BD6" i="4"/>
  <c r="BA6" i="4"/>
  <c r="BL8" i="6"/>
  <c r="BD8" i="6"/>
  <c r="AZ8" i="6"/>
  <c r="BI7" i="6"/>
  <c r="BE7" i="6"/>
  <c r="BA7" i="6"/>
  <c r="BJ6" i="6"/>
  <c r="BF6" i="6"/>
  <c r="BB6" i="6"/>
  <c r="BG8" i="4"/>
  <c r="BE8" i="4"/>
  <c r="B13" i="9"/>
  <c r="C13" i="9" s="1"/>
  <c r="AB7" i="11"/>
  <c r="AB11" i="11"/>
  <c r="AB19" i="11"/>
  <c r="AB4" i="11"/>
  <c r="AB8" i="11"/>
  <c r="AB12" i="11"/>
  <c r="AB16" i="11"/>
  <c r="AB20" i="11"/>
  <c r="AB15" i="11"/>
  <c r="AB5" i="11"/>
  <c r="AB9" i="11"/>
  <c r="AB13" i="11"/>
  <c r="AB17" i="11"/>
  <c r="E35" i="5"/>
  <c r="F37" i="5" s="1"/>
  <c r="E9" i="10"/>
  <c r="E13" i="10" s="1"/>
  <c r="E15" i="10" s="1"/>
  <c r="F15" i="10" s="1"/>
  <c r="E9" i="5"/>
  <c r="E13" i="5" s="1"/>
  <c r="E15" i="5" s="1"/>
  <c r="F15" i="5" s="1"/>
  <c r="J35" i="10"/>
  <c r="C34" i="10"/>
  <c r="E38" i="10"/>
  <c r="F40" i="10" s="1"/>
  <c r="J34" i="10"/>
  <c r="F7" i="10"/>
  <c r="F8" i="5"/>
  <c r="J26" i="5"/>
  <c r="J23" i="10"/>
  <c r="C18" i="9" l="1"/>
  <c r="BN8" i="4"/>
  <c r="CA8" i="4"/>
  <c r="E8" i="4"/>
  <c r="BR7" i="4"/>
  <c r="CE7" i="4"/>
  <c r="I7" i="4"/>
  <c r="BT7" i="4"/>
  <c r="K7" i="4"/>
  <c r="CG7" i="4" s="1"/>
  <c r="BT8" i="4"/>
  <c r="CG8" i="4"/>
  <c r="K8" i="4"/>
  <c r="I6" i="4"/>
  <c r="CE6" i="4" s="1"/>
  <c r="BR6" i="4"/>
  <c r="I8" i="4"/>
  <c r="BR8" i="4"/>
  <c r="CE8" i="4"/>
  <c r="E6" i="4"/>
  <c r="BN6" i="4"/>
  <c r="CA6" i="4"/>
  <c r="CG6" i="4"/>
  <c r="K6" i="4"/>
  <c r="BT6" i="4"/>
  <c r="H6" i="4"/>
  <c r="BQ6" i="4"/>
  <c r="CD6" i="4"/>
  <c r="BI6" i="4"/>
  <c r="BI9" i="4" s="1"/>
  <c r="J8" i="4"/>
  <c r="CF8" i="4" s="1"/>
  <c r="BS8" i="4"/>
  <c r="E16" i="5"/>
  <c r="E16" i="10"/>
  <c r="AY6" i="4" l="1"/>
  <c r="AY9" i="4" s="1"/>
  <c r="M9" i="4" s="1"/>
  <c r="BV6" i="4"/>
  <c r="BV9" i="4" s="1"/>
  <c r="CI6" i="4"/>
  <c r="CI9" i="4" s="1"/>
  <c r="E25" i="10"/>
  <c r="F20" i="10"/>
  <c r="F21" i="10"/>
  <c r="F19" i="10"/>
  <c r="F18" i="10"/>
  <c r="F23" i="10"/>
  <c r="F20" i="5"/>
  <c r="F19" i="5"/>
  <c r="E24" i="5"/>
  <c r="F21" i="5"/>
  <c r="F22" i="5"/>
  <c r="F18" i="5"/>
  <c r="M6" i="4" l="1"/>
  <c r="D8" i="12"/>
  <c r="D20" i="12" s="1"/>
  <c r="D7" i="12"/>
  <c r="D19" i="12" s="1"/>
  <c r="F28" i="5"/>
  <c r="F31" i="5"/>
  <c r="F32" i="5"/>
  <c r="E39" i="5"/>
  <c r="F27" i="5"/>
  <c r="F33" i="5"/>
  <c r="F30" i="5"/>
  <c r="F29" i="5"/>
  <c r="F26" i="5"/>
  <c r="F32" i="10"/>
  <c r="F35" i="10"/>
  <c r="E42" i="10"/>
  <c r="F28" i="10"/>
  <c r="F36" i="10"/>
  <c r="F29" i="10"/>
  <c r="F30" i="10"/>
  <c r="F33" i="10"/>
  <c r="F31" i="10"/>
  <c r="F27" i="10"/>
  <c r="L7" i="6" l="1"/>
  <c r="L8" i="6"/>
  <c r="L6" i="6"/>
  <c r="G6" i="6"/>
  <c r="G8" i="6"/>
  <c r="H8" i="6"/>
  <c r="D7" i="6"/>
  <c r="D6" i="6"/>
  <c r="D8" i="6"/>
  <c r="J6" i="6"/>
  <c r="J7" i="6"/>
  <c r="F6" i="6"/>
  <c r="F8" i="6"/>
  <c r="E7" i="6"/>
  <c r="H7" i="6"/>
  <c r="G7" i="6"/>
  <c r="F7" i="6"/>
  <c r="E8" i="6"/>
  <c r="I7" i="6"/>
  <c r="J8" i="6"/>
  <c r="E6" i="6"/>
  <c r="H6" i="6"/>
  <c r="K6" i="6"/>
  <c r="I6" i="6"/>
  <c r="K8" i="6"/>
  <c r="I8" i="6"/>
  <c r="K7" i="6"/>
  <c r="D11" i="12"/>
  <c r="D23" i="12" s="1"/>
  <c r="D28" i="12"/>
  <c r="D12" i="12"/>
  <c r="D24" i="12" s="1"/>
  <c r="D29" i="12"/>
  <c r="L35" i="10"/>
  <c r="C35" i="10" s="1"/>
  <c r="H9" i="6" l="1"/>
  <c r="E9" i="6"/>
  <c r="I9" i="6"/>
  <c r="J9" i="6"/>
  <c r="F9" i="6"/>
  <c r="D9" i="6"/>
  <c r="M6" i="6"/>
  <c r="M9" i="6" s="1"/>
  <c r="G9" i="6"/>
  <c r="K9" i="6"/>
  <c r="L9" i="6"/>
  <c r="G29" i="12"/>
  <c r="F29" i="12"/>
  <c r="E29" i="12"/>
  <c r="G28" i="12"/>
  <c r="F28" i="12"/>
  <c r="E28" i="12"/>
</calcChain>
</file>

<file path=xl/sharedStrings.xml><?xml version="1.0" encoding="utf-8"?>
<sst xmlns="http://schemas.openxmlformats.org/spreadsheetml/2006/main" count="1188" uniqueCount="419">
  <si>
    <t>Klantnaam</t>
  </si>
  <si>
    <t>Locatie</t>
  </si>
  <si>
    <t>Ruimtesoort</t>
  </si>
  <si>
    <t>Etage</t>
  </si>
  <si>
    <t>Ruimtenr</t>
  </si>
  <si>
    <t>Ruimte</t>
  </si>
  <si>
    <t>Vloerafwerking</t>
  </si>
  <si>
    <t>Opp. in m²</t>
  </si>
  <si>
    <t>Freq</t>
  </si>
  <si>
    <t>Sanitair</t>
  </si>
  <si>
    <t>Kantoor</t>
  </si>
  <si>
    <t>Entree</t>
  </si>
  <si>
    <t>Restauratief</t>
  </si>
  <si>
    <t>Groepsruimte</t>
  </si>
  <si>
    <t>Representatief</t>
  </si>
  <si>
    <t>Acceptatie        frequentie</t>
  </si>
  <si>
    <t>Verkeersruimte</t>
  </si>
  <si>
    <t>TOTAAL M²                locatie</t>
  </si>
  <si>
    <t xml:space="preserve"> </t>
  </si>
  <si>
    <t>%</t>
  </si>
  <si>
    <t>€</t>
  </si>
  <si>
    <t>Basis uurloon Nulsituatie</t>
  </si>
  <si>
    <t xml:space="preserve">  </t>
  </si>
  <si>
    <t xml:space="preserve">Vakantietoeslag </t>
  </si>
  <si>
    <t>Eindejaars uitkering</t>
  </si>
  <si>
    <t>Bruto uurloon inclusief toeslagen</t>
  </si>
  <si>
    <t>SV-loon grondslag voor berekening sociale verzekeringen</t>
  </si>
  <si>
    <t>Premies Sociale Verzekeringen</t>
  </si>
  <si>
    <t>Subtotaal loonkosten per uur inclusief sociale verzekeringen</t>
  </si>
  <si>
    <t>Opslag niet werkbare dagen</t>
  </si>
  <si>
    <t>Totaal loonkosten per uur</t>
  </si>
  <si>
    <t>Materiaal/- en middelen</t>
  </si>
  <si>
    <t>Afvalzakken</t>
  </si>
  <si>
    <t>Werkkleding en uitrusting</t>
  </si>
  <si>
    <t>Machinekosten</t>
  </si>
  <si>
    <t>Eventueel zelf invullen</t>
  </si>
  <si>
    <t>Totaal directe kosten</t>
  </si>
  <si>
    <t>Toezicht ( objectleiding / niet meewerkend toezicht )</t>
  </si>
  <si>
    <t>Managementkosten</t>
  </si>
  <si>
    <t>P.Z. kosten</t>
  </si>
  <si>
    <t>Opleiding</t>
  </si>
  <si>
    <t>Administratiekosten</t>
  </si>
  <si>
    <t>Huisvestingskosten</t>
  </si>
  <si>
    <t>Kosten verzuimbegeleiding</t>
  </si>
  <si>
    <t>Totaal indirecte kosten</t>
  </si>
  <si>
    <t>Risico en winst</t>
  </si>
  <si>
    <t>Offerte tarief</t>
  </si>
  <si>
    <t>Lokaal</t>
  </si>
  <si>
    <t>Pantry</t>
  </si>
  <si>
    <t>Publieksruimte</t>
  </si>
  <si>
    <t>Sportzaal</t>
  </si>
  <si>
    <t>Woonunit</t>
  </si>
  <si>
    <t>Niet in Onderhoud</t>
  </si>
  <si>
    <t>Totaal</t>
  </si>
  <si>
    <t>Ruimtesoorten</t>
  </si>
  <si>
    <t>inhoud kolom wel/niet zichtbaar</t>
  </si>
  <si>
    <t>Minimale taak</t>
  </si>
  <si>
    <t>Aanvulling tot minimale taak</t>
  </si>
  <si>
    <t>tbv Ruimtestaat</t>
  </si>
  <si>
    <t>Gemiddelde norm</t>
  </si>
  <si>
    <t>Totale m2 per jaar</t>
  </si>
  <si>
    <t>totaal uren per jaar</t>
  </si>
  <si>
    <t>Reiskosten</t>
  </si>
  <si>
    <t>Naam klant</t>
  </si>
  <si>
    <t>Eerste letter</t>
  </si>
  <si>
    <t>Kosten SMC Beheer</t>
  </si>
  <si>
    <t>Overzicht SMC Calculatie</t>
  </si>
  <si>
    <t>Gecalculeerde uren:</t>
  </si>
  <si>
    <t>Uren SMO</t>
  </si>
  <si>
    <t>Uren Olga</t>
  </si>
  <si>
    <t>Overzicht kosten</t>
  </si>
  <si>
    <t>Kosten SMO</t>
  </si>
  <si>
    <t>Kosten Olga</t>
  </si>
  <si>
    <t>Overzicht kosten Kwaliteit</t>
  </si>
  <si>
    <t>QC SMO</t>
  </si>
  <si>
    <t>QC Olga</t>
  </si>
  <si>
    <t>Kosten per uur</t>
  </si>
  <si>
    <t>Kwaliteit SMO per uur</t>
  </si>
  <si>
    <t>Kwaliteit Olga per uur</t>
  </si>
  <si>
    <t>Overzicht kosten Beheer</t>
  </si>
  <si>
    <t>SMO</t>
  </si>
  <si>
    <t>Olga</t>
  </si>
  <si>
    <t xml:space="preserve">Uurtarief </t>
  </si>
  <si>
    <t>Offerte</t>
  </si>
  <si>
    <t>Offerte Olga</t>
  </si>
  <si>
    <t>Incl</t>
  </si>
  <si>
    <t>Excl QC</t>
  </si>
  <si>
    <t>Excl FS</t>
  </si>
  <si>
    <t>Excl QC/FS</t>
  </si>
  <si>
    <t>TOTAAL PER         LOCATIE</t>
  </si>
  <si>
    <t>Uniek</t>
  </si>
  <si>
    <t>loca</t>
  </si>
  <si>
    <t>Kosten SMC Kwaliteit</t>
  </si>
  <si>
    <t>Minimale taakgrootte</t>
  </si>
  <si>
    <t>Werkplaats</t>
  </si>
  <si>
    <t>Design Academy Eindhoven</t>
  </si>
  <si>
    <t>Emmasingel</t>
  </si>
  <si>
    <t>0.01</t>
  </si>
  <si>
    <t>0.02</t>
  </si>
  <si>
    <t xml:space="preserve">Trappenhuis </t>
  </si>
  <si>
    <t>0.03</t>
  </si>
  <si>
    <t>Gang</t>
  </si>
  <si>
    <t>0.04</t>
  </si>
  <si>
    <t>Trappenhuis</t>
  </si>
  <si>
    <t>Niet In Onderhoud</t>
  </si>
  <si>
    <t>0.05</t>
  </si>
  <si>
    <t>Magazijn</t>
  </si>
  <si>
    <t>0.06</t>
  </si>
  <si>
    <t xml:space="preserve">Conciërge </t>
  </si>
  <si>
    <t>0.07</t>
  </si>
  <si>
    <t>Lift</t>
  </si>
  <si>
    <t>0.08</t>
  </si>
  <si>
    <t>0.09</t>
  </si>
  <si>
    <t>Gang Tussenverdieping</t>
  </si>
  <si>
    <t>0.10</t>
  </si>
  <si>
    <t>Trappenhuis Tussenverdieping</t>
  </si>
  <si>
    <t>0.11</t>
  </si>
  <si>
    <t>Opslag Tussenverdieping</t>
  </si>
  <si>
    <t>1.01</t>
  </si>
  <si>
    <t>1.02</t>
  </si>
  <si>
    <t xml:space="preserve">Toiletgroep </t>
  </si>
  <si>
    <t>1.03</t>
  </si>
  <si>
    <t>Miva</t>
  </si>
  <si>
    <t>1.04</t>
  </si>
  <si>
    <t>1.05</t>
  </si>
  <si>
    <t>1.06</t>
  </si>
  <si>
    <t>1.07</t>
  </si>
  <si>
    <t>Mechanical Workshop</t>
  </si>
  <si>
    <t>1.08</t>
  </si>
  <si>
    <t>1.09</t>
  </si>
  <si>
    <t>Afzuiginstallatie</t>
  </si>
  <si>
    <t>1.10</t>
  </si>
  <si>
    <t xml:space="preserve">Werkplaats Kunststof </t>
  </si>
  <si>
    <t>1.11</t>
  </si>
  <si>
    <t>Zeefdruk Werkplaats</t>
  </si>
  <si>
    <t>1.12</t>
  </si>
  <si>
    <t>Opslag</t>
  </si>
  <si>
    <t>1.13</t>
  </si>
  <si>
    <t xml:space="preserve">Lesruimte </t>
  </si>
  <si>
    <t>1.14</t>
  </si>
  <si>
    <t xml:space="preserve">Vergaderzaal </t>
  </si>
  <si>
    <t>1.15</t>
  </si>
  <si>
    <t>Sanitaire Ruimte</t>
  </si>
  <si>
    <t>1.16</t>
  </si>
  <si>
    <t>1.17</t>
  </si>
  <si>
    <t>Toiletgroep</t>
  </si>
  <si>
    <t>1.18</t>
  </si>
  <si>
    <t>1.19</t>
  </si>
  <si>
    <t>Nood Trappenhuis</t>
  </si>
  <si>
    <t>1.20</t>
  </si>
  <si>
    <t>Plasterworkshop</t>
  </si>
  <si>
    <t>1.21</t>
  </si>
  <si>
    <t>Trap</t>
  </si>
  <si>
    <t>1.22</t>
  </si>
  <si>
    <t>1.23</t>
  </si>
  <si>
    <t>1.24</t>
  </si>
  <si>
    <t>2.01</t>
  </si>
  <si>
    <t>2.02</t>
  </si>
  <si>
    <t>2.03</t>
  </si>
  <si>
    <t>Lesruimte</t>
  </si>
  <si>
    <t>2.04</t>
  </si>
  <si>
    <t>Computerruimte</t>
  </si>
  <si>
    <t>2.05</t>
  </si>
  <si>
    <t>Ict Kantoor</t>
  </si>
  <si>
    <t>2.06</t>
  </si>
  <si>
    <t>Patchruimte</t>
  </si>
  <si>
    <t>2.07</t>
  </si>
  <si>
    <t>2.08</t>
  </si>
  <si>
    <t>2.09</t>
  </si>
  <si>
    <t xml:space="preserve">Computerruimte </t>
  </si>
  <si>
    <t>2.10</t>
  </si>
  <si>
    <t>Photostudio</t>
  </si>
  <si>
    <t>2.11</t>
  </si>
  <si>
    <t>2.12</t>
  </si>
  <si>
    <t>2.13</t>
  </si>
  <si>
    <t>2.14</t>
  </si>
  <si>
    <t>Koffiehoek</t>
  </si>
  <si>
    <t>2.15</t>
  </si>
  <si>
    <t xml:space="preserve">Kantoorruimte </t>
  </si>
  <si>
    <t>2.16</t>
  </si>
  <si>
    <t>2.17</t>
  </si>
  <si>
    <t>2.18</t>
  </si>
  <si>
    <t xml:space="preserve">Kantoor </t>
  </si>
  <si>
    <t>2.19</t>
  </si>
  <si>
    <t>2.20</t>
  </si>
  <si>
    <t>2.21</t>
  </si>
  <si>
    <t>2.22</t>
  </si>
  <si>
    <t>Bibliotheek</t>
  </si>
  <si>
    <t>2.23</t>
  </si>
  <si>
    <t>2.24</t>
  </si>
  <si>
    <t>Balie</t>
  </si>
  <si>
    <t>2.25</t>
  </si>
  <si>
    <t>2.26</t>
  </si>
  <si>
    <t>2.27</t>
  </si>
  <si>
    <t>Sanitair Tussenverdieping</t>
  </si>
  <si>
    <t>2.28</t>
  </si>
  <si>
    <t xml:space="preserve">Gang Tussenverdieping </t>
  </si>
  <si>
    <t>2.29</t>
  </si>
  <si>
    <t>3D Lab Tussenverdieping</t>
  </si>
  <si>
    <t>3.01</t>
  </si>
  <si>
    <t>3.02</t>
  </si>
  <si>
    <t>Opslagruimte</t>
  </si>
  <si>
    <t>3.03</t>
  </si>
  <si>
    <t>Gangzone</t>
  </si>
  <si>
    <t>3.04</t>
  </si>
  <si>
    <t>3.05</t>
  </si>
  <si>
    <t xml:space="preserve">Vergaderruimte </t>
  </si>
  <si>
    <t>3.06</t>
  </si>
  <si>
    <t>3.07</t>
  </si>
  <si>
    <t>3.08</t>
  </si>
  <si>
    <t>3.09</t>
  </si>
  <si>
    <t>3.10</t>
  </si>
  <si>
    <t>Auditorium</t>
  </si>
  <si>
    <t>3.11</t>
  </si>
  <si>
    <t>3.12</t>
  </si>
  <si>
    <t>3.13</t>
  </si>
  <si>
    <t xml:space="preserve">Nood Trappenhuis </t>
  </si>
  <si>
    <t>3.14</t>
  </si>
  <si>
    <t>3.15</t>
  </si>
  <si>
    <t>3.16</t>
  </si>
  <si>
    <t>3.17</t>
  </si>
  <si>
    <t>3.18</t>
  </si>
  <si>
    <t>3.19</t>
  </si>
  <si>
    <t>3.20</t>
  </si>
  <si>
    <t>Vergaderruimte</t>
  </si>
  <si>
    <t>3.21</t>
  </si>
  <si>
    <t>Textile Workshop</t>
  </si>
  <si>
    <t>3.22</t>
  </si>
  <si>
    <t>3.23</t>
  </si>
  <si>
    <t>Werkplaats Tussenverdieping</t>
  </si>
  <si>
    <t>4.01</t>
  </si>
  <si>
    <t>4.02</t>
  </si>
  <si>
    <t>4.03</t>
  </si>
  <si>
    <t>4.04</t>
  </si>
  <si>
    <t>4.05</t>
  </si>
  <si>
    <t>4.06</t>
  </si>
  <si>
    <t>4.07</t>
  </si>
  <si>
    <t xml:space="preserve">Vergader </t>
  </si>
  <si>
    <t>4.08</t>
  </si>
  <si>
    <t>4.09</t>
  </si>
  <si>
    <t>4.10</t>
  </si>
  <si>
    <t>4.11</t>
  </si>
  <si>
    <t xml:space="preserve">Trap </t>
  </si>
  <si>
    <t>4.12</t>
  </si>
  <si>
    <t>4.13</t>
  </si>
  <si>
    <t>4.14</t>
  </si>
  <si>
    <t>4.15</t>
  </si>
  <si>
    <t>4.16</t>
  </si>
  <si>
    <t>Toiletgroep Tussenverdieping</t>
  </si>
  <si>
    <t>4.17</t>
  </si>
  <si>
    <t>4.18</t>
  </si>
  <si>
    <t>5.01</t>
  </si>
  <si>
    <t>5.02</t>
  </si>
  <si>
    <t>5.03</t>
  </si>
  <si>
    <t>5.04</t>
  </si>
  <si>
    <t>5.05</t>
  </si>
  <si>
    <t>5.06</t>
  </si>
  <si>
    <t>5.07</t>
  </si>
  <si>
    <t>5.08</t>
  </si>
  <si>
    <t>Witte Dame Zaal</t>
  </si>
  <si>
    <t>5.09</t>
  </si>
  <si>
    <t xml:space="preserve">Gang </t>
  </si>
  <si>
    <t>5.10</t>
  </si>
  <si>
    <t>5.11</t>
  </si>
  <si>
    <t>5.12</t>
  </si>
  <si>
    <t>5.13</t>
  </si>
  <si>
    <t>Lesruimte Op Afroep</t>
  </si>
  <si>
    <t>5.14</t>
  </si>
  <si>
    <t>5.15</t>
  </si>
  <si>
    <t>5.16</t>
  </si>
  <si>
    <t>5.17</t>
  </si>
  <si>
    <t>Recreatie Tussenverdieping</t>
  </si>
  <si>
    <t>6.01</t>
  </si>
  <si>
    <t>6.02</t>
  </si>
  <si>
    <t xml:space="preserve">Restaurant </t>
  </si>
  <si>
    <t>Begane Grond</t>
  </si>
  <si>
    <t>Eerste Etage</t>
  </si>
  <si>
    <t>Tweede Etage</t>
  </si>
  <si>
    <t>Derde Etage</t>
  </si>
  <si>
    <t>Vierde Etage</t>
  </si>
  <si>
    <t>Vijfde Etage</t>
  </si>
  <si>
    <t>Zesde Etage</t>
  </si>
  <si>
    <t>Design Academy Eindhoven, Emmasingel, 0.01</t>
  </si>
  <si>
    <t>Design Academy Eindhoven, Emmasingel, 0.02</t>
  </si>
  <si>
    <t>Design Academy Eindhoven, Emmasingel, 0.03</t>
  </si>
  <si>
    <t>Design Academy Eindhoven, Emmasingel, 0.04</t>
  </si>
  <si>
    <t>Design Academy Eindhoven, Emmasingel, 0.05</t>
  </si>
  <si>
    <t>Design Academy Eindhoven, Emmasingel, 0.06</t>
  </si>
  <si>
    <t>Design Academy Eindhoven, Emmasingel, 0.07</t>
  </si>
  <si>
    <t>Design Academy Eindhoven, Emmasingel, 0.08</t>
  </si>
  <si>
    <t>Design Academy Eindhoven, Emmasingel, 0.09</t>
  </si>
  <si>
    <t>Design Academy Eindhoven, Emmasingel, 0.10</t>
  </si>
  <si>
    <t>Design Academy Eindhoven, Emmasingel, 0.11</t>
  </si>
  <si>
    <t>Design Academy Eindhoven, Emmasingel, 1.01</t>
  </si>
  <si>
    <t>Design Academy Eindhoven, Emmasingel, 1.02</t>
  </si>
  <si>
    <t>Design Academy Eindhoven, Emmasingel, 1.03</t>
  </si>
  <si>
    <t>Design Academy Eindhoven, Emmasingel, 1.04</t>
  </si>
  <si>
    <t>Design Academy Eindhoven, Emmasingel, 1.05</t>
  </si>
  <si>
    <t>Design Academy Eindhoven, Emmasingel, 1.06</t>
  </si>
  <si>
    <t>Design Academy Eindhoven, Emmasingel, 1.07</t>
  </si>
  <si>
    <t>Design Academy Eindhoven, Emmasingel, 1.08</t>
  </si>
  <si>
    <t>Design Academy Eindhoven, Emmasingel, 1.09</t>
  </si>
  <si>
    <t>Design Academy Eindhoven, Emmasingel, 1.10</t>
  </si>
  <si>
    <t>Design Academy Eindhoven, Emmasingel, 1.11</t>
  </si>
  <si>
    <t>Design Academy Eindhoven, Emmasingel, 1.12</t>
  </si>
  <si>
    <t>Design Academy Eindhoven, Emmasingel, 1.13</t>
  </si>
  <si>
    <t>Design Academy Eindhoven, Emmasingel, 1.14</t>
  </si>
  <si>
    <t>Design Academy Eindhoven, Emmasingel, 1.15</t>
  </si>
  <si>
    <t>Design Academy Eindhoven, Emmasingel, 1.16</t>
  </si>
  <si>
    <t>Design Academy Eindhoven, Emmasingel, 1.17</t>
  </si>
  <si>
    <t>Design Academy Eindhoven, Emmasingel, 1.18</t>
  </si>
  <si>
    <t>Design Academy Eindhoven, Emmasingel, 1.19</t>
  </si>
  <si>
    <t>Design Academy Eindhoven, Emmasingel, 1.20</t>
  </si>
  <si>
    <t>Design Academy Eindhoven, Emmasingel, 1.21</t>
  </si>
  <si>
    <t>Design Academy Eindhoven, Emmasingel, 1.22</t>
  </si>
  <si>
    <t>Design Academy Eindhoven, Emmasingel, 1.23</t>
  </si>
  <si>
    <t>Design Academy Eindhoven, Emmasingel, 1.24</t>
  </si>
  <si>
    <t>Design Academy Eindhoven, Emmasingel, 2.01</t>
  </si>
  <si>
    <t>Design Academy Eindhoven, Emmasingel, 2.02</t>
  </si>
  <si>
    <t>Design Academy Eindhoven, Emmasingel, 2.03</t>
  </si>
  <si>
    <t>Design Academy Eindhoven, Emmasingel, 2.04</t>
  </si>
  <si>
    <t>Design Academy Eindhoven, Emmasingel, 2.05</t>
  </si>
  <si>
    <t>Design Academy Eindhoven, Emmasingel, 2.06</t>
  </si>
  <si>
    <t>Design Academy Eindhoven, Emmasingel, 2.07</t>
  </si>
  <si>
    <t>Design Academy Eindhoven, Emmasingel, 2.08</t>
  </si>
  <si>
    <t>Design Academy Eindhoven, Emmasingel, 2.09</t>
  </si>
  <si>
    <t>Design Academy Eindhoven, Emmasingel, 2.10</t>
  </si>
  <si>
    <t>Design Academy Eindhoven, Emmasingel, 2.11</t>
  </si>
  <si>
    <t>Design Academy Eindhoven, Emmasingel, 2.12</t>
  </si>
  <si>
    <t>Design Academy Eindhoven, Emmasingel, 2.13</t>
  </si>
  <si>
    <t>Design Academy Eindhoven, Emmasingel, 2.14</t>
  </si>
  <si>
    <t>Design Academy Eindhoven, Emmasingel, 2.15</t>
  </si>
  <si>
    <t>Design Academy Eindhoven, Emmasingel, 2.16</t>
  </si>
  <si>
    <t>Design Academy Eindhoven, Emmasingel, 2.17</t>
  </si>
  <si>
    <t>Design Academy Eindhoven, Emmasingel, 2.18</t>
  </si>
  <si>
    <t>Design Academy Eindhoven, Emmasingel, 2.19</t>
  </si>
  <si>
    <t>Design Academy Eindhoven, Emmasingel, 2.20</t>
  </si>
  <si>
    <t>Design Academy Eindhoven, Emmasingel, 2.21</t>
  </si>
  <si>
    <t>Design Academy Eindhoven, Emmasingel, 2.22</t>
  </si>
  <si>
    <t>Design Academy Eindhoven, Emmasingel, 2.23</t>
  </si>
  <si>
    <t>Design Academy Eindhoven, Emmasingel, 2.24</t>
  </si>
  <si>
    <t>Design Academy Eindhoven, Emmasingel, 2.25</t>
  </si>
  <si>
    <t>Design Academy Eindhoven, Emmasingel, 2.26</t>
  </si>
  <si>
    <t>Design Academy Eindhoven, Emmasingel, 2.27</t>
  </si>
  <si>
    <t>Design Academy Eindhoven, Emmasingel, 2.28</t>
  </si>
  <si>
    <t>Design Academy Eindhoven, Emmasingel, 2.29</t>
  </si>
  <si>
    <t>Design Academy Eindhoven, Emmasingel, 3.01</t>
  </si>
  <si>
    <t>Design Academy Eindhoven, Emmasingel, 3.02</t>
  </si>
  <si>
    <t>Design Academy Eindhoven, Emmasingel, 3.03</t>
  </si>
  <si>
    <t>Design Academy Eindhoven, Emmasingel, 3.04</t>
  </si>
  <si>
    <t>Design Academy Eindhoven, Emmasingel, 3.05</t>
  </si>
  <si>
    <t>Design Academy Eindhoven, Emmasingel, 3.06</t>
  </si>
  <si>
    <t>Design Academy Eindhoven, Emmasingel, 3.07</t>
  </si>
  <si>
    <t>Design Academy Eindhoven, Emmasingel, 3.08</t>
  </si>
  <si>
    <t>Design Academy Eindhoven, Emmasingel, 3.09</t>
  </si>
  <si>
    <t>Design Academy Eindhoven, Emmasingel, 3.10</t>
  </si>
  <si>
    <t>Design Academy Eindhoven, Emmasingel, 3.11</t>
  </si>
  <si>
    <t>Design Academy Eindhoven, Emmasingel, 3.12</t>
  </si>
  <si>
    <t>Design Academy Eindhoven, Emmasingel, 3.13</t>
  </si>
  <si>
    <t>Design Academy Eindhoven, Emmasingel, 3.14</t>
  </si>
  <si>
    <t>Design Academy Eindhoven, Emmasingel, 3.15</t>
  </si>
  <si>
    <t>Design Academy Eindhoven, Emmasingel, 3.16</t>
  </si>
  <si>
    <t>Design Academy Eindhoven, Emmasingel, 3.17</t>
  </si>
  <si>
    <t>Design Academy Eindhoven, Emmasingel, 3.18</t>
  </si>
  <si>
    <t>Design Academy Eindhoven, Emmasingel, 3.19</t>
  </si>
  <si>
    <t>Design Academy Eindhoven, Emmasingel, 3.20</t>
  </si>
  <si>
    <t>Design Academy Eindhoven, Emmasingel, 3.21</t>
  </si>
  <si>
    <t>Design Academy Eindhoven, Emmasingel, 3.22</t>
  </si>
  <si>
    <t>Design Academy Eindhoven, Emmasingel, 3.23</t>
  </si>
  <si>
    <t>Design Academy Eindhoven, Emmasingel, 4.01</t>
  </si>
  <si>
    <t>Design Academy Eindhoven, Emmasingel, 4.02</t>
  </si>
  <si>
    <t>Design Academy Eindhoven, Emmasingel, 4.03</t>
  </si>
  <si>
    <t>Design Academy Eindhoven, Emmasingel, 4.04</t>
  </si>
  <si>
    <t>Design Academy Eindhoven, Emmasingel, 4.05</t>
  </si>
  <si>
    <t>Design Academy Eindhoven, Emmasingel, 4.06</t>
  </si>
  <si>
    <t>Design Academy Eindhoven, Emmasingel, 4.07</t>
  </si>
  <si>
    <t>Design Academy Eindhoven, Emmasingel, 4.08</t>
  </si>
  <si>
    <t>Design Academy Eindhoven, Emmasingel, 4.09</t>
  </si>
  <si>
    <t>Design Academy Eindhoven, Emmasingel, 4.10</t>
  </si>
  <si>
    <t>Design Academy Eindhoven, Emmasingel, 4.11</t>
  </si>
  <si>
    <t>Design Academy Eindhoven, Emmasingel, 4.12</t>
  </si>
  <si>
    <t>Design Academy Eindhoven, Emmasingel, 4.13</t>
  </si>
  <si>
    <t>Design Academy Eindhoven, Emmasingel, 4.14</t>
  </si>
  <si>
    <t>Design Academy Eindhoven, Emmasingel, 4.15</t>
  </si>
  <si>
    <t>Design Academy Eindhoven, Emmasingel, 4.16</t>
  </si>
  <si>
    <t>Design Academy Eindhoven, Emmasingel, 4.17</t>
  </si>
  <si>
    <t>Design Academy Eindhoven, Emmasingel, 4.18</t>
  </si>
  <si>
    <t>Design Academy Eindhoven, Emmasingel, 5.01</t>
  </si>
  <si>
    <t>Design Academy Eindhoven, Emmasingel, 5.02</t>
  </si>
  <si>
    <t>Design Academy Eindhoven, Emmasingel, 5.03</t>
  </si>
  <si>
    <t>Design Academy Eindhoven, Emmasingel, 5.04</t>
  </si>
  <si>
    <t>Design Academy Eindhoven, Emmasingel, 5.05</t>
  </si>
  <si>
    <t>Design Academy Eindhoven, Emmasingel, 5.06</t>
  </si>
  <si>
    <t>Design Academy Eindhoven, Emmasingel, 5.07</t>
  </si>
  <si>
    <t>Design Academy Eindhoven, Emmasingel, 5.08</t>
  </si>
  <si>
    <t>Design Academy Eindhoven, Emmasingel, 5.09</t>
  </si>
  <si>
    <t>Design Academy Eindhoven, Emmasingel, 5.10</t>
  </si>
  <si>
    <t>Design Academy Eindhoven, Emmasingel, 5.11</t>
  </si>
  <si>
    <t>Design Academy Eindhoven, Emmasingel, 5.12</t>
  </si>
  <si>
    <t>Design Academy Eindhoven, Emmasingel, 5.13</t>
  </si>
  <si>
    <t>Design Academy Eindhoven, Emmasingel, 5.14</t>
  </si>
  <si>
    <t>Design Academy Eindhoven, Emmasingel, 5.15</t>
  </si>
  <si>
    <t>Design Academy Eindhoven, Emmasingel, 5.16</t>
  </si>
  <si>
    <t>Design Academy Eindhoven, Emmasingel, 5.17</t>
  </si>
  <si>
    <t>Design Academy Eindhoven, Emmasingel, 6.01</t>
  </si>
  <si>
    <t>Design Academy Eindhoven, Emmasingel, 6.02</t>
  </si>
  <si>
    <t>Lino</t>
  </si>
  <si>
    <t>Steen</t>
  </si>
  <si>
    <t>Metaal</t>
  </si>
  <si>
    <t xml:space="preserve">Lino </t>
  </si>
  <si>
    <t>Steen/Metaal</t>
  </si>
  <si>
    <t xml:space="preserve">Steen </t>
  </si>
  <si>
    <t>Lini</t>
  </si>
  <si>
    <t>Hout</t>
  </si>
  <si>
    <t>Tapijt</t>
  </si>
  <si>
    <t>Metaal/ Steen</t>
  </si>
  <si>
    <t>Steen/ Metaal</t>
  </si>
  <si>
    <t xml:space="preserve">Gietvloer </t>
  </si>
  <si>
    <t>Gemiddelde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</si>
</sst>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0.000%"/>
    <numFmt numFmtId="167" formatCode="_-* #,##0.00_-;\-* #,##0.00_-;_-* &quot;-&quot;??_-;_-@_-"/>
    <numFmt numFmtId="168" formatCode="_-&quot;€&quot;\ * #,##0.00000_-;_-&quot;€&quot;\ * #,##0.00000\-;_-&quot;€&quot;\ * &quot;-&quot;??_-;_-@_-"/>
    <numFmt numFmtId="169" formatCode="_(&quot;ƒ&quot;* #,##0.00_);_(&quot;ƒ&quot;* \(#,##0.00\);_(&quot;ƒ&quot;* &quot;-&quot;??_);_(@_)"/>
    <numFmt numFmtId="170" formatCode="0.0"/>
    <numFmt numFmtId="171" formatCode="_-* #,##0.0_-;_-* #,##0.0\-;_-* &quot;-&quot;??_-;_-@_-"/>
    <numFmt numFmtId="172" formatCode="_ * #,##0.0_ ;_ * \-#,##0.0_ ;_ * &quot;-&quot;?_ ;_ @_ "/>
  </numFmts>
  <fonts count="30" x14ac:knownFonts="1">
    <font>
      <sz val="10"/>
      <name val="Arial"/>
    </font>
    <font>
      <sz val="10"/>
      <name val="Verdana"/>
      <family val="2"/>
    </font>
    <font>
      <b/>
      <sz val="9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b/>
      <sz val="12"/>
      <color indexed="9"/>
      <name val="Verdana"/>
      <family val="2"/>
    </font>
    <font>
      <sz val="10"/>
      <name val="Helv"/>
    </font>
    <font>
      <b/>
      <sz val="8"/>
      <color indexed="18"/>
      <name val="Verdana"/>
      <family val="2"/>
    </font>
    <font>
      <sz val="10"/>
      <color indexed="18"/>
      <name val="Verdana"/>
      <family val="2"/>
    </font>
    <font>
      <sz val="8"/>
      <name val="Verdana"/>
      <family val="2"/>
    </font>
    <font>
      <b/>
      <sz val="9"/>
      <color indexed="20"/>
      <name val="Verdana"/>
      <family val="2"/>
    </font>
    <font>
      <b/>
      <sz val="9"/>
      <color indexed="18"/>
      <name val="Verdana"/>
      <family val="2"/>
    </font>
    <font>
      <sz val="12"/>
      <name val="Verdana"/>
      <family val="2"/>
    </font>
    <font>
      <b/>
      <sz val="10"/>
      <color indexed="18"/>
      <name val="Verdana"/>
      <family val="2"/>
    </font>
    <font>
      <sz val="9"/>
      <color indexed="8"/>
      <name val="Verdana"/>
      <family val="2"/>
    </font>
    <font>
      <sz val="9"/>
      <color indexed="18"/>
      <name val="Verdana"/>
      <family val="2"/>
    </font>
    <font>
      <sz val="9"/>
      <color indexed="10"/>
      <name val="Verdana"/>
      <family val="2"/>
    </font>
    <font>
      <b/>
      <i/>
      <sz val="10"/>
      <name val="Verdana"/>
      <family val="2"/>
    </font>
    <font>
      <sz val="10"/>
      <color indexed="10"/>
      <name val="Verdana"/>
      <family val="2"/>
    </font>
    <font>
      <sz val="10"/>
      <name val="Times"/>
      <family val="1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8"/>
      <color theme="0"/>
      <name val="Verdana"/>
      <family val="2"/>
    </font>
    <font>
      <sz val="9"/>
      <color theme="0"/>
      <name val="Verdana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0"/>
      </patternFill>
    </fill>
    <fill>
      <patternFill patternType="solid">
        <fgColor rgb="FF00008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9" fillId="0" borderId="0"/>
    <xf numFmtId="167" fontId="9" fillId="0" borderId="0" applyFont="0" applyFill="0" applyBorder="0" applyAlignment="0" applyProtection="0"/>
    <xf numFmtId="169" fontId="22" fillId="0" borderId="0" applyFont="0" applyFill="0" applyBorder="0" applyAlignment="0" applyProtection="0"/>
  </cellStyleXfs>
  <cellXfs count="180">
    <xf numFmtId="0" fontId="0" fillId="0" borderId="0" xfId="0"/>
    <xf numFmtId="0" fontId="5" fillId="0" borderId="0" xfId="0" applyFont="1" applyProtection="1">
      <protection hidden="1"/>
    </xf>
    <xf numFmtId="4" fontId="5" fillId="0" borderId="0" xfId="0" applyNumberFormat="1" applyFont="1" applyAlignment="1" applyProtection="1">
      <alignment vertical="center"/>
      <protection hidden="1"/>
    </xf>
    <xf numFmtId="166" fontId="7" fillId="0" borderId="0" xfId="3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2" fontId="10" fillId="0" borderId="12" xfId="6" applyNumberFormat="1" applyFont="1" applyFill="1" applyBorder="1" applyAlignment="1" applyProtection="1">
      <alignment horizontal="center" vertical="center"/>
      <protection hidden="1"/>
    </xf>
    <xf numFmtId="2" fontId="11" fillId="0" borderId="13" xfId="6" applyNumberFormat="1" applyFont="1" applyFill="1" applyBorder="1" applyAlignment="1" applyProtection="1">
      <alignment horizontal="center" vertical="center"/>
      <protection hidden="1"/>
    </xf>
    <xf numFmtId="166" fontId="7" fillId="0" borderId="14" xfId="3" applyNumberFormat="1" applyFont="1" applyFill="1" applyBorder="1" applyAlignment="1" applyProtection="1">
      <alignment horizontal="center" vertical="center"/>
      <protection hidden="1"/>
    </xf>
    <xf numFmtId="0" fontId="12" fillId="0" borderId="0" xfId="6" applyNumberFormat="1" applyFont="1" applyFill="1" applyBorder="1" applyAlignment="1" applyProtection="1">
      <alignment horizontal="right" vertical="center"/>
      <protection hidden="1"/>
    </xf>
    <xf numFmtId="2" fontId="13" fillId="0" borderId="12" xfId="6" applyNumberFormat="1" applyFont="1" applyFill="1" applyBorder="1" applyAlignment="1" applyProtection="1">
      <alignment horizontal="center" vertical="center"/>
      <protection hidden="1"/>
    </xf>
    <xf numFmtId="2" fontId="14" fillId="0" borderId="13" xfId="6" applyNumberFormat="1" applyFont="1" applyFill="1" applyBorder="1" applyAlignment="1" applyProtection="1">
      <alignment horizontal="right" vertical="center"/>
      <protection hidden="1"/>
    </xf>
    <xf numFmtId="166" fontId="7" fillId="0" borderId="15" xfId="3" applyNumberFormat="1" applyFont="1" applyFill="1" applyBorder="1" applyAlignment="1" applyProtection="1">
      <alignment horizontal="center" vertical="center"/>
      <protection hidden="1"/>
    </xf>
    <xf numFmtId="0" fontId="15" fillId="0" borderId="0" xfId="1" applyNumberFormat="1" applyFont="1" applyFill="1" applyBorder="1" applyProtection="1">
      <protection hidden="1"/>
    </xf>
    <xf numFmtId="0" fontId="16" fillId="0" borderId="11" xfId="5" applyFont="1" applyBorder="1" applyProtection="1">
      <protection hidden="1"/>
    </xf>
    <xf numFmtId="0" fontId="17" fillId="0" borderId="12" xfId="5" applyFont="1" applyBorder="1" applyProtection="1">
      <protection hidden="1"/>
    </xf>
    <xf numFmtId="0" fontId="18" fillId="0" borderId="13" xfId="5" applyFont="1" applyBorder="1" applyAlignment="1" applyProtection="1">
      <alignment horizontal="right"/>
      <protection hidden="1"/>
    </xf>
    <xf numFmtId="166" fontId="7" fillId="0" borderId="10" xfId="3" applyNumberFormat="1" applyFont="1" applyFill="1" applyBorder="1" applyAlignment="1" applyProtection="1">
      <alignment horizontal="center" vertical="center"/>
      <protection hidden="1"/>
    </xf>
    <xf numFmtId="0" fontId="19" fillId="0" borderId="12" xfId="5" applyFont="1" applyBorder="1" applyAlignment="1" applyProtection="1">
      <alignment horizontal="right"/>
      <protection hidden="1"/>
    </xf>
    <xf numFmtId="10" fontId="19" fillId="0" borderId="12" xfId="5" applyNumberFormat="1" applyFont="1" applyBorder="1" applyAlignment="1" applyProtection="1">
      <alignment horizontal="right"/>
      <protection hidden="1"/>
    </xf>
    <xf numFmtId="0" fontId="15" fillId="0" borderId="0" xfId="3" applyNumberFormat="1" applyFont="1" applyFill="1" applyBorder="1" applyProtection="1">
      <protection hidden="1"/>
    </xf>
    <xf numFmtId="0" fontId="6" fillId="0" borderId="11" xfId="5" applyFont="1" applyBorder="1" applyProtection="1">
      <protection hidden="1"/>
    </xf>
    <xf numFmtId="0" fontId="17" fillId="0" borderId="12" xfId="5" applyFont="1" applyBorder="1" applyAlignment="1" applyProtection="1">
      <alignment horizontal="center"/>
      <protection hidden="1"/>
    </xf>
    <xf numFmtId="166" fontId="11" fillId="0" borderId="13" xfId="5" applyNumberFormat="1" applyFont="1" applyBorder="1" applyAlignment="1" applyProtection="1">
      <alignment horizontal="right"/>
      <protection hidden="1"/>
    </xf>
    <xf numFmtId="166" fontId="7" fillId="0" borderId="10" xfId="3" applyNumberFormat="1" applyFont="1" applyFill="1" applyBorder="1" applyAlignment="1" applyProtection="1">
      <alignment horizontal="center"/>
      <protection hidden="1"/>
    </xf>
    <xf numFmtId="0" fontId="20" fillId="0" borderId="11" xfId="5" applyFont="1" applyBorder="1" applyProtection="1">
      <protection hidden="1"/>
    </xf>
    <xf numFmtId="167" fontId="17" fillId="0" borderId="12" xfId="5" applyNumberFormat="1" applyFont="1" applyBorder="1" applyAlignment="1" applyProtection="1">
      <alignment horizontal="center"/>
      <protection hidden="1"/>
    </xf>
    <xf numFmtId="164" fontId="8" fillId="0" borderId="11" xfId="1" applyFont="1" applyFill="1" applyBorder="1" applyProtection="1">
      <protection hidden="1"/>
    </xf>
    <xf numFmtId="0" fontId="21" fillId="0" borderId="12" xfId="5" applyFont="1" applyBorder="1" applyAlignment="1" applyProtection="1">
      <alignment horizontal="center"/>
      <protection hidden="1"/>
    </xf>
    <xf numFmtId="10" fontId="18" fillId="0" borderId="13" xfId="3" applyNumberFormat="1" applyFont="1" applyFill="1" applyBorder="1" applyAlignment="1" applyProtection="1">
      <alignment horizontal="right"/>
      <protection hidden="1"/>
    </xf>
    <xf numFmtId="166" fontId="7" fillId="0" borderId="10" xfId="3" applyNumberFormat="1" applyFont="1" applyBorder="1" applyProtection="1">
      <protection hidden="1"/>
    </xf>
    <xf numFmtId="167" fontId="17" fillId="0" borderId="12" xfId="5" applyNumberFormat="1" applyFont="1" applyBorder="1" applyProtection="1">
      <protection hidden="1"/>
    </xf>
    <xf numFmtId="167" fontId="18" fillId="0" borderId="13" xfId="5" applyNumberFormat="1" applyFont="1" applyBorder="1" applyAlignment="1" applyProtection="1">
      <alignment horizontal="right"/>
      <protection hidden="1"/>
    </xf>
    <xf numFmtId="166" fontId="7" fillId="0" borderId="16" xfId="3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164" fontId="5" fillId="0" borderId="0" xfId="1" applyFont="1" applyAlignment="1" applyProtection="1">
      <alignment vertical="center"/>
      <protection hidden="1"/>
    </xf>
    <xf numFmtId="0" fontId="24" fillId="0" borderId="0" xfId="0" applyFont="1" applyProtection="1">
      <protection hidden="1"/>
    </xf>
    <xf numFmtId="0" fontId="24" fillId="0" borderId="0" xfId="0" applyFont="1" applyAlignment="1" applyProtection="1">
      <alignment vertical="center"/>
      <protection hidden="1"/>
    </xf>
    <xf numFmtId="0" fontId="1" fillId="0" borderId="11" xfId="5" applyFont="1" applyBorder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4" fillId="0" borderId="0" xfId="4" applyFont="1" applyProtection="1">
      <protection hidden="1"/>
    </xf>
    <xf numFmtId="164" fontId="5" fillId="0" borderId="0" xfId="1" applyFont="1" applyFill="1" applyBorder="1" applyAlignment="1" applyProtection="1">
      <alignment vertical="center"/>
      <protection locked="0" hidden="1"/>
    </xf>
    <xf numFmtId="0" fontId="5" fillId="0" borderId="0" xfId="0" applyFont="1" applyAlignment="1" applyProtection="1">
      <alignment vertical="center"/>
      <protection locked="0" hidden="1"/>
    </xf>
    <xf numFmtId="0" fontId="5" fillId="0" borderId="0" xfId="0" applyFont="1" applyAlignment="1" applyProtection="1">
      <alignment horizontal="center" vertical="center"/>
      <protection locked="0" hidden="1"/>
    </xf>
    <xf numFmtId="0" fontId="26" fillId="0" borderId="0" xfId="4" applyFont="1" applyProtection="1">
      <protection hidden="1"/>
    </xf>
    <xf numFmtId="166" fontId="11" fillId="0" borderId="14" xfId="3" applyNumberFormat="1" applyFont="1" applyFill="1" applyBorder="1" applyProtection="1">
      <protection locked="0" hidden="1"/>
    </xf>
    <xf numFmtId="166" fontId="11" fillId="0" borderId="13" xfId="3" applyNumberFormat="1" applyFont="1" applyFill="1" applyBorder="1" applyProtection="1">
      <protection locked="0" hidden="1"/>
    </xf>
    <xf numFmtId="10" fontId="11" fillId="0" borderId="13" xfId="3" applyNumberFormat="1" applyFont="1" applyFill="1" applyBorder="1" applyProtection="1">
      <protection locked="0" hidden="1"/>
    </xf>
    <xf numFmtId="0" fontId="2" fillId="0" borderId="0" xfId="4" applyFont="1" applyProtection="1">
      <protection locked="0" hidden="1"/>
    </xf>
    <xf numFmtId="0" fontId="4" fillId="0" borderId="0" xfId="4" applyFont="1" applyAlignment="1" applyProtection="1">
      <alignment horizontal="left"/>
      <protection locked="0" hidden="1"/>
    </xf>
    <xf numFmtId="0" fontId="4" fillId="0" borderId="0" xfId="4" applyFont="1" applyAlignment="1" applyProtection="1">
      <alignment horizontal="center"/>
      <protection locked="0" hidden="1"/>
    </xf>
    <xf numFmtId="2" fontId="4" fillId="0" borderId="0" xfId="1" applyNumberFormat="1" applyFont="1" applyAlignment="1" applyProtection="1">
      <alignment horizontal="right"/>
      <protection locked="0" hidden="1"/>
    </xf>
    <xf numFmtId="1" fontId="4" fillId="0" borderId="0" xfId="1" applyNumberFormat="1" applyFont="1" applyAlignment="1" applyProtection="1">
      <alignment horizontal="center"/>
      <protection locked="0" hidden="1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4" fillId="0" borderId="0" xfId="0" applyFont="1" applyProtection="1">
      <protection locked="0"/>
    </xf>
    <xf numFmtId="170" fontId="5" fillId="0" borderId="0" xfId="0" applyNumberFormat="1" applyFont="1" applyProtection="1">
      <protection locked="0"/>
    </xf>
    <xf numFmtId="0" fontId="6" fillId="2" borderId="3" xfId="0" applyFont="1" applyFill="1" applyBorder="1" applyAlignment="1" applyProtection="1">
      <alignment horizontal="center" textRotation="90"/>
      <protection locked="0"/>
    </xf>
    <xf numFmtId="0" fontId="6" fillId="2" borderId="3" xfId="0" applyFont="1" applyFill="1" applyBorder="1" applyAlignment="1" applyProtection="1">
      <alignment horizontal="center" textRotation="90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4" applyFont="1" applyProtection="1">
      <protection locked="0"/>
    </xf>
    <xf numFmtId="0" fontId="4" fillId="0" borderId="0" xfId="1" applyNumberFormat="1" applyFont="1" applyAlignment="1" applyProtection="1">
      <alignment horizontal="center"/>
      <protection locked="0"/>
    </xf>
    <xf numFmtId="164" fontId="5" fillId="0" borderId="0" xfId="1" applyFont="1" applyAlignment="1" applyProtection="1">
      <alignment vertical="center"/>
      <protection locked="0"/>
    </xf>
    <xf numFmtId="0" fontId="26" fillId="0" borderId="0" xfId="4" applyFont="1" applyProtection="1">
      <protection locked="0"/>
    </xf>
    <xf numFmtId="170" fontId="25" fillId="0" borderId="0" xfId="0" applyNumberFormat="1" applyFont="1" applyAlignment="1" applyProtection="1">
      <alignment vertical="center"/>
      <protection locked="0"/>
    </xf>
    <xf numFmtId="170" fontId="12" fillId="0" borderId="0" xfId="0" applyNumberFormat="1" applyFont="1" applyAlignment="1" applyProtection="1">
      <alignment vertical="center"/>
      <protection locked="0"/>
    </xf>
    <xf numFmtId="170" fontId="12" fillId="0" borderId="0" xfId="1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6" fillId="2" borderId="24" xfId="0" applyFont="1" applyFill="1" applyBorder="1" applyAlignment="1" applyProtection="1">
      <alignment horizontal="center" textRotation="90"/>
      <protection hidden="1"/>
    </xf>
    <xf numFmtId="0" fontId="6" fillId="2" borderId="25" xfId="0" applyFont="1" applyFill="1" applyBorder="1" applyAlignment="1" applyProtection="1">
      <alignment horizontal="center" textRotation="90" wrapText="1"/>
      <protection hidden="1"/>
    </xf>
    <xf numFmtId="0" fontId="6" fillId="2" borderId="25" xfId="0" applyFont="1" applyFill="1" applyBorder="1" applyAlignment="1" applyProtection="1">
      <alignment horizontal="center" textRotation="90"/>
      <protection hidden="1"/>
    </xf>
    <xf numFmtId="0" fontId="6" fillId="2" borderId="26" xfId="0" applyFont="1" applyFill="1" applyBorder="1" applyAlignment="1" applyProtection="1">
      <alignment horizontal="center" textRotation="90" wrapText="1"/>
      <protection hidden="1"/>
    </xf>
    <xf numFmtId="0" fontId="5" fillId="0" borderId="17" xfId="0" applyFont="1" applyBorder="1" applyProtection="1"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/>
      <protection hidden="1"/>
    </xf>
    <xf numFmtId="2" fontId="1" fillId="0" borderId="11" xfId="5" applyNumberFormat="1" applyFont="1" applyBorder="1" applyProtection="1">
      <protection hidden="1"/>
    </xf>
    <xf numFmtId="9" fontId="11" fillId="0" borderId="25" xfId="6" applyNumberFormat="1" applyFont="1" applyFill="1" applyBorder="1" applyAlignment="1" applyProtection="1">
      <alignment horizontal="center"/>
      <protection hidden="1"/>
    </xf>
    <xf numFmtId="0" fontId="1" fillId="0" borderId="0" xfId="6" applyNumberFormat="1" applyFont="1" applyFill="1" applyBorder="1" applyAlignment="1" applyProtection="1">
      <protection hidden="1"/>
    </xf>
    <xf numFmtId="165" fontId="11" fillId="0" borderId="29" xfId="2" applyFont="1" applyFill="1" applyBorder="1" applyProtection="1">
      <protection locked="0" hidden="1"/>
    </xf>
    <xf numFmtId="0" fontId="4" fillId="0" borderId="0" xfId="6" applyNumberFormat="1" applyFont="1" applyFill="1" applyBorder="1" applyAlignment="1" applyProtection="1">
      <alignment horizontal="right" vertical="center"/>
      <protection hidden="1"/>
    </xf>
    <xf numFmtId="165" fontId="11" fillId="0" borderId="25" xfId="2" applyFont="1" applyFill="1" applyBorder="1" applyAlignment="1" applyProtection="1">
      <protection hidden="1"/>
    </xf>
    <xf numFmtId="0" fontId="4" fillId="0" borderId="0" xfId="5" applyFont="1" applyAlignment="1" applyProtection="1">
      <alignment horizontal="right"/>
      <protection hidden="1"/>
    </xf>
    <xf numFmtId="165" fontId="16" fillId="0" borderId="25" xfId="2" applyFont="1" applyFill="1" applyBorder="1" applyAlignment="1" applyProtection="1">
      <protection hidden="1"/>
    </xf>
    <xf numFmtId="10" fontId="4" fillId="0" borderId="12" xfId="5" applyNumberFormat="1" applyFont="1" applyBorder="1" applyAlignment="1" applyProtection="1">
      <alignment horizontal="right"/>
      <protection hidden="1"/>
    </xf>
    <xf numFmtId="0" fontId="1" fillId="0" borderId="11" xfId="1" applyNumberFormat="1" applyFont="1" applyFill="1" applyBorder="1" applyAlignment="1" applyProtection="1">
      <alignment horizontal="left"/>
      <protection locked="0" hidden="1"/>
    </xf>
    <xf numFmtId="165" fontId="11" fillId="0" borderId="29" xfId="2" applyFont="1" applyFill="1" applyBorder="1" applyProtection="1">
      <protection hidden="1"/>
    </xf>
    <xf numFmtId="0" fontId="19" fillId="0" borderId="12" xfId="5" applyFont="1" applyBorder="1" applyAlignment="1" applyProtection="1">
      <alignment horizontal="center"/>
      <protection hidden="1"/>
    </xf>
    <xf numFmtId="165" fontId="1" fillId="0" borderId="0" xfId="0" applyNumberFormat="1" applyFont="1" applyAlignment="1" applyProtection="1">
      <alignment vertical="center"/>
      <protection hidden="1"/>
    </xf>
    <xf numFmtId="168" fontId="1" fillId="0" borderId="0" xfId="0" applyNumberFormat="1" applyFont="1" applyAlignment="1" applyProtection="1">
      <alignment vertical="center"/>
      <protection hidden="1"/>
    </xf>
    <xf numFmtId="165" fontId="1" fillId="0" borderId="0" xfId="2" applyFont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/>
      <protection hidden="1"/>
    </xf>
    <xf numFmtId="0" fontId="1" fillId="0" borderId="0" xfId="7" applyNumberFormat="1" applyFont="1" applyFill="1" applyBorder="1" applyAlignment="1" applyProtection="1">
      <protection hidden="1"/>
    </xf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171" fontId="3" fillId="0" borderId="0" xfId="1" applyNumberFormat="1" applyFont="1" applyProtection="1"/>
    <xf numFmtId="165" fontId="3" fillId="0" borderId="0" xfId="2" applyFont="1" applyFill="1" applyBorder="1" applyProtection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7" fillId="0" borderId="0" xfId="0" applyFont="1"/>
    <xf numFmtId="10" fontId="3" fillId="0" borderId="0" xfId="3" applyNumberFormat="1" applyFont="1" applyFill="1" applyBorder="1" applyProtection="1"/>
    <xf numFmtId="172" fontId="3" fillId="0" borderId="0" xfId="0" applyNumberFormat="1" applyFont="1"/>
    <xf numFmtId="44" fontId="3" fillId="0" borderId="0" xfId="2" applyNumberFormat="1" applyFont="1" applyFill="1" applyBorder="1" applyProtection="1"/>
    <xf numFmtId="164" fontId="3" fillId="0" borderId="0" xfId="1" applyFont="1" applyProtection="1"/>
    <xf numFmtId="165" fontId="3" fillId="0" borderId="0" xfId="2" applyFont="1" applyFill="1" applyProtection="1"/>
    <xf numFmtId="170" fontId="24" fillId="0" borderId="0" xfId="0" applyNumberFormat="1" applyFont="1" applyProtection="1">
      <protection locked="0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center"/>
    </xf>
    <xf numFmtId="0" fontId="2" fillId="0" borderId="0" xfId="4" applyFont="1" applyAlignment="1" applyProtection="1">
      <alignment horizontal="left"/>
      <protection locked="0" hidden="1"/>
    </xf>
    <xf numFmtId="0" fontId="2" fillId="0" borderId="0" xfId="4" applyFont="1" applyAlignment="1" applyProtection="1">
      <alignment horizontal="center"/>
      <protection locked="0" hidden="1"/>
    </xf>
    <xf numFmtId="2" fontId="2" fillId="0" borderId="0" xfId="1" applyNumberFormat="1" applyFont="1" applyAlignment="1" applyProtection="1">
      <alignment horizontal="center"/>
      <protection locked="0" hidden="1"/>
    </xf>
    <xf numFmtId="1" fontId="2" fillId="0" borderId="0" xfId="1" applyNumberFormat="1" applyFont="1" applyAlignment="1" applyProtection="1">
      <alignment horizontal="center"/>
      <protection locked="0" hidden="1"/>
    </xf>
    <xf numFmtId="2" fontId="4" fillId="0" borderId="0" xfId="1" applyNumberFormat="1" applyFont="1" applyAlignment="1">
      <alignment horizontal="right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" fontId="4" fillId="0" borderId="34" xfId="1" applyNumberFormat="1" applyFont="1" applyBorder="1" applyAlignment="1" applyProtection="1">
      <alignment horizontal="center"/>
      <protection locked="0" hidden="1"/>
    </xf>
    <xf numFmtId="1" fontId="4" fillId="0" borderId="35" xfId="1" applyNumberFormat="1" applyFont="1" applyBorder="1" applyAlignment="1" applyProtection="1">
      <alignment horizontal="center"/>
      <protection locked="0" hidden="1"/>
    </xf>
    <xf numFmtId="1" fontId="4" fillId="0" borderId="36" xfId="1" applyNumberFormat="1" applyFont="1" applyBorder="1" applyAlignment="1" applyProtection="1">
      <alignment horizontal="center"/>
      <protection locked="0" hidden="1"/>
    </xf>
    <xf numFmtId="164" fontId="5" fillId="0" borderId="20" xfId="1" applyFont="1" applyFill="1" applyBorder="1" applyAlignment="1" applyProtection="1">
      <alignment vertical="center"/>
      <protection locked="0" hidden="1"/>
    </xf>
    <xf numFmtId="164" fontId="5" fillId="0" borderId="25" xfId="1" applyFont="1" applyFill="1" applyBorder="1" applyAlignment="1" applyProtection="1">
      <alignment vertical="center"/>
      <protection locked="0" hidden="1"/>
    </xf>
    <xf numFmtId="164" fontId="5" fillId="0" borderId="37" xfId="1" applyFont="1" applyFill="1" applyBorder="1" applyAlignment="1" applyProtection="1">
      <alignment vertical="center"/>
      <protection locked="0" hidden="1"/>
    </xf>
    <xf numFmtId="164" fontId="23" fillId="4" borderId="33" xfId="1" applyFont="1" applyFill="1" applyBorder="1" applyAlignment="1" applyProtection="1">
      <alignment vertical="center"/>
      <protection locked="0" hidden="1"/>
    </xf>
    <xf numFmtId="164" fontId="23" fillId="4" borderId="40" xfId="1" applyFont="1" applyFill="1" applyBorder="1" applyAlignment="1" applyProtection="1">
      <alignment vertical="center"/>
      <protection locked="0" hidden="1"/>
    </xf>
    <xf numFmtId="0" fontId="29" fillId="4" borderId="42" xfId="1" applyNumberFormat="1" applyFont="1" applyFill="1" applyBorder="1" applyAlignment="1" applyProtection="1">
      <alignment horizontal="center"/>
      <protection locked="0" hidden="1"/>
    </xf>
    <xf numFmtId="0" fontId="29" fillId="4" borderId="41" xfId="4" applyFont="1" applyFill="1" applyBorder="1" applyAlignment="1" applyProtection="1">
      <alignment vertical="center"/>
      <protection locked="0" hidden="1"/>
    </xf>
    <xf numFmtId="164" fontId="5" fillId="0" borderId="20" xfId="1" applyFont="1" applyBorder="1" applyAlignment="1" applyProtection="1">
      <alignment vertical="center"/>
      <protection locked="0"/>
    </xf>
    <xf numFmtId="164" fontId="5" fillId="0" borderId="25" xfId="1" applyFont="1" applyBorder="1" applyAlignment="1" applyProtection="1">
      <alignment vertical="center"/>
      <protection locked="0"/>
    </xf>
    <xf numFmtId="164" fontId="5" fillId="0" borderId="37" xfId="1" applyFont="1" applyBorder="1" applyAlignment="1" applyProtection="1">
      <alignment vertical="center"/>
      <protection locked="0"/>
    </xf>
    <xf numFmtId="164" fontId="23" fillId="4" borderId="33" xfId="1" applyFont="1" applyFill="1" applyBorder="1" applyAlignment="1" applyProtection="1">
      <alignment vertical="center"/>
      <protection locked="0"/>
    </xf>
    <xf numFmtId="164" fontId="23" fillId="4" borderId="40" xfId="1" applyFont="1" applyFill="1" applyBorder="1" applyAlignment="1" applyProtection="1">
      <alignment vertical="center"/>
      <protection locked="0"/>
    </xf>
    <xf numFmtId="164" fontId="23" fillId="4" borderId="39" xfId="1" applyFont="1" applyFill="1" applyBorder="1" applyAlignment="1" applyProtection="1">
      <alignment vertical="center"/>
      <protection locked="0"/>
    </xf>
    <xf numFmtId="0" fontId="29" fillId="4" borderId="42" xfId="1" applyNumberFormat="1" applyFont="1" applyFill="1" applyBorder="1" applyAlignment="1" applyProtection="1">
      <alignment horizontal="center"/>
      <protection locked="0"/>
    </xf>
    <xf numFmtId="0" fontId="29" fillId="4" borderId="41" xfId="4" applyFont="1" applyFill="1" applyBorder="1" applyAlignment="1" applyProtection="1">
      <alignment vertical="center"/>
      <protection locked="0"/>
    </xf>
    <xf numFmtId="164" fontId="5" fillId="0" borderId="20" xfId="1" applyFont="1" applyBorder="1" applyAlignment="1" applyProtection="1">
      <alignment vertical="center"/>
      <protection hidden="1"/>
    </xf>
    <xf numFmtId="164" fontId="5" fillId="0" borderId="21" xfId="1" applyFont="1" applyBorder="1" applyAlignment="1" applyProtection="1">
      <alignment vertical="center"/>
      <protection hidden="1"/>
    </xf>
    <xf numFmtId="164" fontId="5" fillId="0" borderId="25" xfId="1" applyFont="1" applyBorder="1" applyAlignment="1" applyProtection="1">
      <alignment vertical="center"/>
      <protection hidden="1"/>
    </xf>
    <xf numFmtId="164" fontId="5" fillId="0" borderId="26" xfId="1" applyFont="1" applyBorder="1" applyAlignment="1" applyProtection="1">
      <alignment vertical="center"/>
      <protection hidden="1"/>
    </xf>
    <xf numFmtId="164" fontId="5" fillId="0" borderId="37" xfId="1" applyFont="1" applyBorder="1" applyAlignment="1" applyProtection="1">
      <alignment vertical="center"/>
      <protection hidden="1"/>
    </xf>
    <xf numFmtId="164" fontId="5" fillId="0" borderId="38" xfId="1" applyFont="1" applyBorder="1" applyAlignment="1" applyProtection="1">
      <alignment vertical="center"/>
      <protection hidden="1"/>
    </xf>
    <xf numFmtId="164" fontId="23" fillId="4" borderId="33" xfId="1" applyFont="1" applyFill="1" applyBorder="1" applyAlignment="1" applyProtection="1">
      <alignment vertical="center"/>
      <protection hidden="1"/>
    </xf>
    <xf numFmtId="164" fontId="23" fillId="4" borderId="40" xfId="1" applyFont="1" applyFill="1" applyBorder="1" applyAlignment="1" applyProtection="1">
      <alignment vertical="center"/>
      <protection hidden="1"/>
    </xf>
    <xf numFmtId="164" fontId="23" fillId="4" borderId="39" xfId="1" applyFont="1" applyFill="1" applyBorder="1" applyAlignment="1" applyProtection="1">
      <alignment vertical="center"/>
      <protection hidden="1"/>
    </xf>
    <xf numFmtId="0" fontId="23" fillId="4" borderId="41" xfId="0" applyFont="1" applyFill="1" applyBorder="1" applyAlignment="1" applyProtection="1">
      <alignment vertical="center"/>
      <protection hidden="1"/>
    </xf>
    <xf numFmtId="0" fontId="23" fillId="4" borderId="42" xfId="0" applyFont="1" applyFill="1" applyBorder="1" applyAlignment="1" applyProtection="1">
      <alignment horizontal="center" vertical="center"/>
      <protection hidden="1"/>
    </xf>
    <xf numFmtId="0" fontId="23" fillId="4" borderId="18" xfId="0" applyFont="1" applyFill="1" applyBorder="1" applyAlignment="1" applyProtection="1">
      <alignment horizontal="center"/>
      <protection hidden="1"/>
    </xf>
    <xf numFmtId="0" fontId="28" fillId="4" borderId="27" xfId="0" applyFont="1" applyFill="1" applyBorder="1" applyAlignment="1" applyProtection="1">
      <alignment horizontal="center"/>
      <protection hidden="1"/>
    </xf>
    <xf numFmtId="0" fontId="28" fillId="4" borderId="22" xfId="0" applyFont="1" applyFill="1" applyBorder="1" applyAlignment="1" applyProtection="1">
      <alignment horizontal="center"/>
      <protection hidden="1"/>
    </xf>
    <xf numFmtId="0" fontId="28" fillId="4" borderId="23" xfId="0" applyFont="1" applyFill="1" applyBorder="1" applyAlignment="1" applyProtection="1">
      <alignment horizontal="center"/>
      <protection hidden="1"/>
    </xf>
    <xf numFmtId="0" fontId="5" fillId="0" borderId="19" xfId="0" applyFont="1" applyBorder="1" applyAlignment="1" applyProtection="1">
      <alignment vertical="center"/>
      <protection hidden="1"/>
    </xf>
    <xf numFmtId="0" fontId="5" fillId="0" borderId="20" xfId="0" applyFont="1" applyBorder="1" applyAlignment="1" applyProtection="1">
      <alignment vertical="center"/>
      <protection hidden="1"/>
    </xf>
    <xf numFmtId="0" fontId="5" fillId="0" borderId="21" xfId="0" applyFont="1" applyBorder="1" applyAlignment="1" applyProtection="1">
      <alignment vertical="center"/>
      <protection hidden="1"/>
    </xf>
    <xf numFmtId="0" fontId="6" fillId="2" borderId="28" xfId="0" applyFont="1" applyFill="1" applyBorder="1" applyAlignment="1" applyProtection="1">
      <alignment horizontal="center" vertical="center"/>
      <protection hidden="1"/>
    </xf>
    <xf numFmtId="0" fontId="6" fillId="2" borderId="29" xfId="0" applyFont="1" applyFill="1" applyBorder="1" applyAlignment="1" applyProtection="1">
      <alignment horizontal="center" vertical="center"/>
      <protection hidden="1"/>
    </xf>
    <xf numFmtId="0" fontId="6" fillId="2" borderId="30" xfId="0" applyFont="1" applyFill="1" applyBorder="1" applyAlignment="1" applyProtection="1">
      <alignment horizontal="center" vertical="center"/>
      <protection hidden="1"/>
    </xf>
    <xf numFmtId="0" fontId="4" fillId="0" borderId="43" xfId="4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164" fontId="23" fillId="4" borderId="5" xfId="1" applyFont="1" applyFill="1" applyBorder="1" applyAlignment="1" applyProtection="1">
      <alignment vertical="center"/>
      <protection locked="0" hidden="1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170" fontId="12" fillId="0" borderId="0" xfId="1" applyNumberFormat="1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5" fillId="0" borderId="46" xfId="1" applyFont="1" applyBorder="1" applyAlignment="1" applyProtection="1">
      <alignment vertical="center"/>
      <protection locked="0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164" fontId="23" fillId="4" borderId="32" xfId="1" applyFont="1" applyFill="1" applyBorder="1" applyAlignment="1" applyProtection="1">
      <alignment vertical="center"/>
      <protection locked="0"/>
    </xf>
    <xf numFmtId="0" fontId="0" fillId="0" borderId="31" xfId="0" applyBorder="1" applyAlignment="1">
      <alignment vertical="center"/>
    </xf>
    <xf numFmtId="0" fontId="0" fillId="0" borderId="49" xfId="0" applyBorder="1" applyAlignment="1">
      <alignment vertical="center"/>
    </xf>
    <xf numFmtId="0" fontId="5" fillId="0" borderId="0" xfId="0" applyFont="1" applyAlignment="1" applyProtection="1">
      <alignment horizontal="center"/>
      <protection locked="0"/>
    </xf>
    <xf numFmtId="164" fontId="8" fillId="3" borderId="11" xfId="1" applyFont="1" applyFill="1" applyBorder="1" applyAlignment="1" applyProtection="1">
      <alignment horizontal="center" vertical="center"/>
      <protection hidden="1"/>
    </xf>
    <xf numFmtId="164" fontId="8" fillId="3" borderId="12" xfId="1" applyFont="1" applyFill="1" applyBorder="1" applyAlignment="1" applyProtection="1">
      <alignment horizontal="center" vertical="center"/>
      <protection hidden="1"/>
    </xf>
    <xf numFmtId="164" fontId="8" fillId="3" borderId="13" xfId="1" applyFont="1" applyFill="1" applyBorder="1" applyAlignment="1" applyProtection="1">
      <alignment horizontal="center" vertical="center"/>
      <protection hidden="1"/>
    </xf>
    <xf numFmtId="164" fontId="23" fillId="4" borderId="5" xfId="1" applyFont="1" applyFill="1" applyBorder="1" applyAlignment="1" applyProtection="1">
      <alignment vertical="center"/>
      <protection hidden="1"/>
    </xf>
  </cellXfs>
  <cellStyles count="8">
    <cellStyle name="Comma_Uurtarieven 2000 LEVERANCIER" xfId="6" xr:uid="{00000000-0005-0000-0000-000000000000}"/>
    <cellStyle name="Currency_ATIR-Calc-Uurtarief 2001" xfId="7" xr:uid="{00000000-0005-0000-0000-000001000000}"/>
    <cellStyle name="Komma" xfId="1" builtinId="3"/>
    <cellStyle name="Normal_Uurtarieven 2000 LEVERANCIER" xfId="5" xr:uid="{00000000-0005-0000-0000-000003000000}"/>
    <cellStyle name="Procent" xfId="3" builtinId="5"/>
    <cellStyle name="Standaard" xfId="0" builtinId="0"/>
    <cellStyle name="Standaard_Map1" xfId="4" xr:uid="{00000000-0005-0000-0000-000006000000}"/>
    <cellStyle name="Valuta" xfId="2" builtinId="4"/>
  </cellStyles>
  <dxfs count="16">
    <dxf>
      <font>
        <condense val="0"/>
        <extend val="0"/>
        <color indexed="10"/>
      </font>
    </dxf>
    <dxf>
      <fill>
        <patternFill>
          <bgColor indexed="48"/>
        </patternFill>
      </fill>
    </dxf>
    <dxf>
      <font>
        <condense val="0"/>
        <extend val="0"/>
        <color indexed="10"/>
      </font>
    </dxf>
    <dxf>
      <fill>
        <patternFill>
          <bgColor indexed="48"/>
        </patternFill>
      </fill>
    </dxf>
    <dxf>
      <font>
        <condense val="0"/>
        <extend val="0"/>
        <color indexed="9"/>
      </font>
      <fill>
        <patternFill>
          <bgColor indexed="48"/>
        </patternFill>
      </fill>
    </dxf>
    <dxf>
      <fill>
        <patternFill>
          <bgColor indexed="48"/>
        </patternFill>
      </fill>
    </dxf>
    <dxf>
      <font>
        <condense val="0"/>
        <extend val="0"/>
        <color indexed="9"/>
      </font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  <border>
        <vertical/>
        <horizontal/>
      </border>
    </dxf>
    <dxf>
      <font>
        <color theme="0"/>
      </font>
    </dxf>
    <dxf>
      <font>
        <color theme="0"/>
      </font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80"/>
      <color rgb="FF0000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pic>
      <xdr:nvPicPr>
        <xdr:cNvPr id="2" name="Picture 1" descr="Bakkerslan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CC"/>
            </a:clrFrom>
            <a:clrTo>
              <a:srgbClr val="FFFFC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666" b="84772"/>
        <a:stretch>
          <a:fillRect/>
        </a:stretch>
      </xdr:blipFill>
      <xdr:spPr bwMode="auto">
        <a:xfrm>
          <a:off x="6600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pic>
      <xdr:nvPicPr>
        <xdr:cNvPr id="2" name="Picture 1" descr="Bakkerslan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CC"/>
            </a:clrFrom>
            <a:clrTo>
              <a:srgbClr val="FFFFC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666" b="84772"/>
        <a:stretch>
          <a:fillRect/>
        </a:stretch>
      </xdr:blipFill>
      <xdr:spPr bwMode="auto">
        <a:xfrm>
          <a:off x="6600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359033.sharepoint.com/D: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359033.sharepoint.com/smc-sbs1/ts-home$/Voor..van/meten%20glas/meten%20glas/meten%20glas/meten%20glas/meten%20glas/meten%20glas/meten%20glas/meten%20glas/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359033.sharepoint.com/smc-sbs1/ts-home$/%20ATIR%20Werkdocumenten/%20%20ATIR%20in%20%20behandeling/Tarieven%202004/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0"/>
  <dimension ref="A1:AB125"/>
  <sheetViews>
    <sheetView tabSelected="1" workbookViewId="0">
      <pane ySplit="2" topLeftCell="A3" activePane="bottomLeft" state="frozen"/>
      <selection pane="bottomLeft" activeCell="L7" sqref="L7"/>
    </sheetView>
  </sheetViews>
  <sheetFormatPr defaultColWidth="9.140625" defaultRowHeight="11.25" x14ac:dyDescent="0.15"/>
  <cols>
    <col min="1" max="1" width="23.42578125" style="48" customWidth="1"/>
    <col min="2" max="2" width="22" style="48" customWidth="1"/>
    <col min="3" max="3" width="17" style="49" customWidth="1"/>
    <col min="4" max="4" width="15.85546875" style="49" customWidth="1"/>
    <col min="5" max="5" width="8.7109375" style="49" customWidth="1"/>
    <col min="6" max="6" width="28.140625" style="49" customWidth="1"/>
    <col min="7" max="7" width="15.28515625" style="49" customWidth="1"/>
    <col min="8" max="8" width="11.85546875" style="50" customWidth="1"/>
    <col min="9" max="9" width="11.85546875" style="51" customWidth="1"/>
    <col min="10" max="17" width="11.85546875" style="39" customWidth="1"/>
    <col min="18" max="26" width="9.140625" style="39" customWidth="1"/>
    <col min="27" max="28" width="9.140625" style="43"/>
    <col min="29" max="16384" width="9.140625" style="39"/>
  </cols>
  <sheetData>
    <row r="1" spans="1:28" x14ac:dyDescent="0.15">
      <c r="A1" s="47" t="s">
        <v>0</v>
      </c>
      <c r="B1" s="47" t="s">
        <v>1</v>
      </c>
      <c r="C1" s="112" t="s">
        <v>2</v>
      </c>
      <c r="D1" s="113" t="s">
        <v>3</v>
      </c>
      <c r="E1" s="113" t="s">
        <v>4</v>
      </c>
      <c r="F1" s="112" t="s">
        <v>5</v>
      </c>
      <c r="G1" s="113" t="s">
        <v>6</v>
      </c>
      <c r="H1" s="114" t="s">
        <v>7</v>
      </c>
      <c r="I1" s="115" t="s">
        <v>8</v>
      </c>
    </row>
    <row r="2" spans="1:28" ht="11.25" customHeight="1" x14ac:dyDescent="0.2">
      <c r="A2" s="110" t="s">
        <v>95</v>
      </c>
      <c r="B2" s="110" t="s">
        <v>96</v>
      </c>
      <c r="C2" s="117" t="s">
        <v>16</v>
      </c>
      <c r="D2" s="117" t="s">
        <v>275</v>
      </c>
      <c r="E2" s="118" t="s">
        <v>97</v>
      </c>
      <c r="F2" s="119" t="s">
        <v>11</v>
      </c>
      <c r="G2" s="117" t="s">
        <v>406</v>
      </c>
      <c r="H2" s="120">
        <v>25</v>
      </c>
      <c r="I2" s="51">
        <v>245</v>
      </c>
      <c r="AA2" t="s">
        <v>282</v>
      </c>
      <c r="AB2">
        <f t="shared" ref="AB2:AB33" si="0">COUNTIF(AA:AA,AA2)</f>
        <v>1</v>
      </c>
    </row>
    <row r="3" spans="1:28" ht="11.25" customHeight="1" x14ac:dyDescent="0.2">
      <c r="A3" s="110" t="s">
        <v>95</v>
      </c>
      <c r="B3" s="110" t="s">
        <v>96</v>
      </c>
      <c r="C3" s="117" t="s">
        <v>16</v>
      </c>
      <c r="D3" s="117" t="s">
        <v>275</v>
      </c>
      <c r="E3" s="117" t="s">
        <v>98</v>
      </c>
      <c r="F3" s="119" t="s">
        <v>99</v>
      </c>
      <c r="G3" s="117" t="s">
        <v>407</v>
      </c>
      <c r="H3" s="121">
        <v>10</v>
      </c>
      <c r="I3" s="51">
        <v>245</v>
      </c>
      <c r="AA3" t="s">
        <v>283</v>
      </c>
      <c r="AB3">
        <f t="shared" si="0"/>
        <v>1</v>
      </c>
    </row>
    <row r="4" spans="1:28" ht="11.25" customHeight="1" x14ac:dyDescent="0.2">
      <c r="A4" s="110" t="s">
        <v>95</v>
      </c>
      <c r="B4" s="110" t="s">
        <v>96</v>
      </c>
      <c r="C4" s="117" t="s">
        <v>16</v>
      </c>
      <c r="D4" s="117" t="s">
        <v>275</v>
      </c>
      <c r="E4" s="117" t="s">
        <v>100</v>
      </c>
      <c r="F4" s="117" t="s">
        <v>101</v>
      </c>
      <c r="G4" s="117" t="s">
        <v>406</v>
      </c>
      <c r="H4" s="121">
        <v>116</v>
      </c>
      <c r="I4" s="51">
        <v>245</v>
      </c>
      <c r="AA4" t="s">
        <v>284</v>
      </c>
      <c r="AB4">
        <f t="shared" si="0"/>
        <v>1</v>
      </c>
    </row>
    <row r="5" spans="1:28" ht="11.25" customHeight="1" x14ac:dyDescent="0.2">
      <c r="A5" s="110" t="s">
        <v>95</v>
      </c>
      <c r="B5" s="110" t="s">
        <v>96</v>
      </c>
      <c r="C5" s="117" t="s">
        <v>16</v>
      </c>
      <c r="D5" s="117" t="s">
        <v>275</v>
      </c>
      <c r="E5" s="117" t="s">
        <v>102</v>
      </c>
      <c r="F5" s="117" t="s">
        <v>103</v>
      </c>
      <c r="G5" s="117" t="s">
        <v>407</v>
      </c>
      <c r="H5" s="121">
        <v>32.5</v>
      </c>
      <c r="I5" s="51">
        <v>245</v>
      </c>
      <c r="AA5" t="s">
        <v>285</v>
      </c>
      <c r="AB5">
        <f t="shared" si="0"/>
        <v>1</v>
      </c>
    </row>
    <row r="6" spans="1:28" ht="11.25" customHeight="1" x14ac:dyDescent="0.2">
      <c r="A6" s="110" t="s">
        <v>95</v>
      </c>
      <c r="B6" s="110" t="s">
        <v>96</v>
      </c>
      <c r="C6" s="117" t="s">
        <v>104</v>
      </c>
      <c r="D6" s="117" t="s">
        <v>275</v>
      </c>
      <c r="E6" s="117" t="s">
        <v>105</v>
      </c>
      <c r="F6" s="117" t="s">
        <v>106</v>
      </c>
      <c r="G6" s="117" t="s">
        <v>406</v>
      </c>
      <c r="H6" s="121">
        <v>49</v>
      </c>
      <c r="I6" s="51">
        <v>0</v>
      </c>
      <c r="AA6" t="s">
        <v>286</v>
      </c>
      <c r="AB6">
        <f t="shared" si="0"/>
        <v>1</v>
      </c>
    </row>
    <row r="7" spans="1:28" ht="11.25" customHeight="1" x14ac:dyDescent="0.2">
      <c r="A7" s="110" t="s">
        <v>95</v>
      </c>
      <c r="B7" s="110" t="s">
        <v>96</v>
      </c>
      <c r="C7" s="117" t="s">
        <v>10</v>
      </c>
      <c r="D7" s="117" t="s">
        <v>275</v>
      </c>
      <c r="E7" s="117" t="s">
        <v>107</v>
      </c>
      <c r="F7" s="117" t="s">
        <v>108</v>
      </c>
      <c r="G7" s="117" t="s">
        <v>406</v>
      </c>
      <c r="H7" s="121">
        <v>49</v>
      </c>
      <c r="I7" s="51">
        <v>245</v>
      </c>
      <c r="AA7" t="s">
        <v>287</v>
      </c>
      <c r="AB7">
        <f t="shared" si="0"/>
        <v>1</v>
      </c>
    </row>
    <row r="8" spans="1:28" ht="11.25" customHeight="1" x14ac:dyDescent="0.2">
      <c r="A8" s="110" t="s">
        <v>95</v>
      </c>
      <c r="B8" s="110" t="s">
        <v>96</v>
      </c>
      <c r="C8" s="117" t="s">
        <v>16</v>
      </c>
      <c r="D8" s="117" t="s">
        <v>275</v>
      </c>
      <c r="E8" s="117" t="s">
        <v>109</v>
      </c>
      <c r="F8" s="117" t="s">
        <v>110</v>
      </c>
      <c r="G8" s="117" t="s">
        <v>408</v>
      </c>
      <c r="H8" s="121">
        <v>3.6</v>
      </c>
      <c r="I8" s="51">
        <v>245</v>
      </c>
      <c r="AA8" t="s">
        <v>288</v>
      </c>
      <c r="AB8">
        <f t="shared" si="0"/>
        <v>1</v>
      </c>
    </row>
    <row r="9" spans="1:28" ht="11.25" customHeight="1" x14ac:dyDescent="0.2">
      <c r="A9" s="110" t="s">
        <v>95</v>
      </c>
      <c r="B9" s="110" t="s">
        <v>96</v>
      </c>
      <c r="C9" s="117" t="s">
        <v>16</v>
      </c>
      <c r="D9" s="117" t="s">
        <v>275</v>
      </c>
      <c r="E9" s="117" t="s">
        <v>111</v>
      </c>
      <c r="F9" s="117" t="s">
        <v>110</v>
      </c>
      <c r="G9" s="117" t="s">
        <v>408</v>
      </c>
      <c r="H9" s="121">
        <v>3.6</v>
      </c>
      <c r="I9" s="51">
        <v>245</v>
      </c>
      <c r="AA9" t="s">
        <v>289</v>
      </c>
      <c r="AB9">
        <f t="shared" si="0"/>
        <v>1</v>
      </c>
    </row>
    <row r="10" spans="1:28" ht="11.25" customHeight="1" x14ac:dyDescent="0.2">
      <c r="A10" s="110" t="s">
        <v>95</v>
      </c>
      <c r="B10" s="110" t="s">
        <v>96</v>
      </c>
      <c r="C10" s="117" t="s">
        <v>16</v>
      </c>
      <c r="D10" s="117" t="s">
        <v>275</v>
      </c>
      <c r="E10" s="117" t="s">
        <v>112</v>
      </c>
      <c r="F10" s="117" t="s">
        <v>113</v>
      </c>
      <c r="G10" s="117" t="s">
        <v>406</v>
      </c>
      <c r="H10" s="121">
        <v>21.5</v>
      </c>
      <c r="I10" s="51">
        <v>245</v>
      </c>
      <c r="AA10" t="s">
        <v>290</v>
      </c>
      <c r="AB10">
        <f t="shared" si="0"/>
        <v>1</v>
      </c>
    </row>
    <row r="11" spans="1:28" ht="11.25" customHeight="1" x14ac:dyDescent="0.2">
      <c r="A11" s="110" t="s">
        <v>95</v>
      </c>
      <c r="B11" s="110" t="s">
        <v>96</v>
      </c>
      <c r="C11" s="117" t="s">
        <v>16</v>
      </c>
      <c r="D11" s="117" t="s">
        <v>275</v>
      </c>
      <c r="E11" s="117" t="s">
        <v>114</v>
      </c>
      <c r="F11" s="117" t="s">
        <v>115</v>
      </c>
      <c r="G11" s="117" t="s">
        <v>407</v>
      </c>
      <c r="H11" s="121">
        <v>32.5</v>
      </c>
      <c r="I11" s="51">
        <v>245</v>
      </c>
      <c r="AA11" t="s">
        <v>291</v>
      </c>
      <c r="AB11">
        <f t="shared" si="0"/>
        <v>1</v>
      </c>
    </row>
    <row r="12" spans="1:28" ht="11.25" customHeight="1" x14ac:dyDescent="0.2">
      <c r="A12" s="110" t="s">
        <v>95</v>
      </c>
      <c r="B12" s="110" t="s">
        <v>96</v>
      </c>
      <c r="C12" s="117" t="s">
        <v>104</v>
      </c>
      <c r="D12" s="117" t="s">
        <v>275</v>
      </c>
      <c r="E12" s="117" t="s">
        <v>116</v>
      </c>
      <c r="F12" s="117" t="s">
        <v>117</v>
      </c>
      <c r="G12" s="117" t="s">
        <v>407</v>
      </c>
      <c r="H12" s="121">
        <v>39</v>
      </c>
      <c r="I12" s="51">
        <v>0</v>
      </c>
      <c r="AA12" t="s">
        <v>292</v>
      </c>
      <c r="AB12">
        <f t="shared" si="0"/>
        <v>1</v>
      </c>
    </row>
    <row r="13" spans="1:28" ht="11.25" customHeight="1" x14ac:dyDescent="0.2">
      <c r="A13" s="110" t="s">
        <v>95</v>
      </c>
      <c r="B13" s="110" t="s">
        <v>96</v>
      </c>
      <c r="C13" s="117" t="s">
        <v>16</v>
      </c>
      <c r="D13" s="117" t="s">
        <v>276</v>
      </c>
      <c r="E13" s="117" t="s">
        <v>118</v>
      </c>
      <c r="F13" s="117" t="s">
        <v>101</v>
      </c>
      <c r="G13" s="117" t="s">
        <v>406</v>
      </c>
      <c r="H13" s="121">
        <v>21.5</v>
      </c>
      <c r="I13" s="51">
        <v>245</v>
      </c>
      <c r="AA13" t="s">
        <v>293</v>
      </c>
      <c r="AB13">
        <f t="shared" si="0"/>
        <v>1</v>
      </c>
    </row>
    <row r="14" spans="1:28" ht="11.25" customHeight="1" x14ac:dyDescent="0.2">
      <c r="A14" s="110" t="s">
        <v>95</v>
      </c>
      <c r="B14" s="110" t="s">
        <v>96</v>
      </c>
      <c r="C14" s="117" t="s">
        <v>9</v>
      </c>
      <c r="D14" s="117" t="s">
        <v>276</v>
      </c>
      <c r="E14" s="117" t="s">
        <v>119</v>
      </c>
      <c r="F14" s="117" t="s">
        <v>120</v>
      </c>
      <c r="G14" s="117" t="s">
        <v>407</v>
      </c>
      <c r="H14" s="121">
        <v>15</v>
      </c>
      <c r="I14" s="51">
        <v>490</v>
      </c>
      <c r="AA14" t="s">
        <v>294</v>
      </c>
      <c r="AB14">
        <f t="shared" si="0"/>
        <v>1</v>
      </c>
    </row>
    <row r="15" spans="1:28" ht="11.25" customHeight="1" x14ac:dyDescent="0.2">
      <c r="A15" s="110" t="s">
        <v>95</v>
      </c>
      <c r="B15" s="110" t="s">
        <v>96</v>
      </c>
      <c r="C15" s="117" t="s">
        <v>9</v>
      </c>
      <c r="D15" s="117" t="s">
        <v>276</v>
      </c>
      <c r="E15" s="117" t="s">
        <v>121</v>
      </c>
      <c r="F15" s="117" t="s">
        <v>122</v>
      </c>
      <c r="G15" s="117" t="s">
        <v>407</v>
      </c>
      <c r="H15" s="121">
        <v>4.5</v>
      </c>
      <c r="I15" s="51">
        <v>490</v>
      </c>
      <c r="AA15" t="s">
        <v>295</v>
      </c>
      <c r="AB15">
        <f t="shared" si="0"/>
        <v>1</v>
      </c>
    </row>
    <row r="16" spans="1:28" ht="11.25" customHeight="1" x14ac:dyDescent="0.2">
      <c r="A16" s="110" t="s">
        <v>95</v>
      </c>
      <c r="B16" s="110" t="s">
        <v>96</v>
      </c>
      <c r="C16" s="117" t="s">
        <v>9</v>
      </c>
      <c r="D16" s="117" t="s">
        <v>276</v>
      </c>
      <c r="E16" s="117" t="s">
        <v>123</v>
      </c>
      <c r="F16" s="117" t="s">
        <v>120</v>
      </c>
      <c r="G16" s="117" t="s">
        <v>407</v>
      </c>
      <c r="H16" s="121">
        <v>15</v>
      </c>
      <c r="I16" s="51">
        <v>490</v>
      </c>
      <c r="AA16" t="s">
        <v>296</v>
      </c>
      <c r="AB16">
        <f t="shared" si="0"/>
        <v>1</v>
      </c>
    </row>
    <row r="17" spans="1:28" ht="11.25" customHeight="1" x14ac:dyDescent="0.2">
      <c r="A17" s="110" t="s">
        <v>95</v>
      </c>
      <c r="B17" s="110" t="s">
        <v>96</v>
      </c>
      <c r="C17" s="117" t="s">
        <v>16</v>
      </c>
      <c r="D17" s="117" t="s">
        <v>276</v>
      </c>
      <c r="E17" s="117" t="s">
        <v>124</v>
      </c>
      <c r="F17" s="117" t="s">
        <v>99</v>
      </c>
      <c r="G17" s="117" t="s">
        <v>407</v>
      </c>
      <c r="H17" s="121">
        <v>32.5</v>
      </c>
      <c r="I17" s="51">
        <v>245</v>
      </c>
      <c r="AA17" t="s">
        <v>297</v>
      </c>
      <c r="AB17">
        <f t="shared" si="0"/>
        <v>1</v>
      </c>
    </row>
    <row r="18" spans="1:28" ht="11.25" customHeight="1" x14ac:dyDescent="0.2">
      <c r="A18" s="110" t="s">
        <v>95</v>
      </c>
      <c r="B18" s="110" t="s">
        <v>96</v>
      </c>
      <c r="C18" s="117" t="s">
        <v>16</v>
      </c>
      <c r="D18" s="117" t="s">
        <v>276</v>
      </c>
      <c r="E18" s="117" t="s">
        <v>125</v>
      </c>
      <c r="F18" s="117" t="s">
        <v>101</v>
      </c>
      <c r="G18" s="117" t="s">
        <v>406</v>
      </c>
      <c r="H18" s="121">
        <v>99</v>
      </c>
      <c r="I18" s="51">
        <v>245</v>
      </c>
      <c r="AA18" t="s">
        <v>298</v>
      </c>
      <c r="AB18">
        <f t="shared" si="0"/>
        <v>1</v>
      </c>
    </row>
    <row r="19" spans="1:28" ht="11.25" customHeight="1" x14ac:dyDescent="0.2">
      <c r="A19" s="110" t="s">
        <v>95</v>
      </c>
      <c r="B19" s="110" t="s">
        <v>96</v>
      </c>
      <c r="C19" s="117" t="s">
        <v>94</v>
      </c>
      <c r="D19" s="117" t="s">
        <v>276</v>
      </c>
      <c r="E19" s="117" t="s">
        <v>126</v>
      </c>
      <c r="F19" s="117" t="s">
        <v>127</v>
      </c>
      <c r="G19" s="117" t="s">
        <v>406</v>
      </c>
      <c r="H19" s="121">
        <v>784</v>
      </c>
      <c r="I19" s="51">
        <v>245</v>
      </c>
      <c r="AA19" t="s">
        <v>299</v>
      </c>
      <c r="AB19">
        <f t="shared" si="0"/>
        <v>1</v>
      </c>
    </row>
    <row r="20" spans="1:28" ht="12.75" x14ac:dyDescent="0.2">
      <c r="A20" s="110" t="s">
        <v>95</v>
      </c>
      <c r="B20" s="110" t="s">
        <v>96</v>
      </c>
      <c r="C20" s="117" t="s">
        <v>10</v>
      </c>
      <c r="D20" s="117" t="s">
        <v>276</v>
      </c>
      <c r="E20" s="117" t="s">
        <v>128</v>
      </c>
      <c r="F20" s="117" t="s">
        <v>10</v>
      </c>
      <c r="G20" s="117" t="s">
        <v>406</v>
      </c>
      <c r="H20" s="121">
        <v>28</v>
      </c>
      <c r="I20" s="51">
        <v>245</v>
      </c>
      <c r="AA20" t="s">
        <v>300</v>
      </c>
      <c r="AB20">
        <f t="shared" si="0"/>
        <v>1</v>
      </c>
    </row>
    <row r="21" spans="1:28" ht="11.25" customHeight="1" x14ac:dyDescent="0.2">
      <c r="A21" s="110" t="s">
        <v>95</v>
      </c>
      <c r="B21" s="110" t="s">
        <v>96</v>
      </c>
      <c r="C21" s="117" t="s">
        <v>104</v>
      </c>
      <c r="D21" s="117" t="s">
        <v>276</v>
      </c>
      <c r="E21" s="117" t="s">
        <v>129</v>
      </c>
      <c r="F21" s="117" t="s">
        <v>130</v>
      </c>
      <c r="G21" s="117" t="s">
        <v>406</v>
      </c>
      <c r="H21" s="121">
        <v>15</v>
      </c>
      <c r="I21" s="51">
        <v>0</v>
      </c>
      <c r="AA21" t="s">
        <v>301</v>
      </c>
      <c r="AB21">
        <f t="shared" si="0"/>
        <v>1</v>
      </c>
    </row>
    <row r="22" spans="1:28" ht="12.75" x14ac:dyDescent="0.2">
      <c r="A22" s="110" t="s">
        <v>95</v>
      </c>
      <c r="B22" s="110" t="s">
        <v>96</v>
      </c>
      <c r="C22" s="117" t="s">
        <v>94</v>
      </c>
      <c r="D22" s="117" t="s">
        <v>276</v>
      </c>
      <c r="E22" s="117" t="s">
        <v>131</v>
      </c>
      <c r="F22" s="117" t="s">
        <v>132</v>
      </c>
      <c r="G22" s="117" t="s">
        <v>406</v>
      </c>
      <c r="H22" s="121">
        <v>101</v>
      </c>
      <c r="I22" s="51">
        <v>245</v>
      </c>
      <c r="AA22" t="s">
        <v>302</v>
      </c>
      <c r="AB22">
        <f t="shared" si="0"/>
        <v>1</v>
      </c>
    </row>
    <row r="23" spans="1:28" ht="12.75" x14ac:dyDescent="0.2">
      <c r="A23" s="110" t="s">
        <v>95</v>
      </c>
      <c r="B23" s="110" t="s">
        <v>96</v>
      </c>
      <c r="C23" s="117" t="s">
        <v>94</v>
      </c>
      <c r="D23" s="117" t="s">
        <v>276</v>
      </c>
      <c r="E23" s="117" t="s">
        <v>133</v>
      </c>
      <c r="F23" s="117" t="s">
        <v>134</v>
      </c>
      <c r="G23" s="117" t="s">
        <v>406</v>
      </c>
      <c r="H23" s="121">
        <v>51</v>
      </c>
      <c r="I23" s="51">
        <v>245</v>
      </c>
      <c r="AA23" t="s">
        <v>303</v>
      </c>
      <c r="AB23">
        <f t="shared" si="0"/>
        <v>1</v>
      </c>
    </row>
    <row r="24" spans="1:28" ht="12.75" x14ac:dyDescent="0.2">
      <c r="A24" s="110" t="s">
        <v>95</v>
      </c>
      <c r="B24" s="110" t="s">
        <v>96</v>
      </c>
      <c r="C24" s="117" t="s">
        <v>104</v>
      </c>
      <c r="D24" s="117" t="s">
        <v>276</v>
      </c>
      <c r="E24" s="117" t="s">
        <v>135</v>
      </c>
      <c r="F24" s="117" t="s">
        <v>136</v>
      </c>
      <c r="G24" s="117" t="s">
        <v>406</v>
      </c>
      <c r="H24" s="121">
        <v>92</v>
      </c>
      <c r="I24" s="51">
        <v>0</v>
      </c>
      <c r="AA24" t="s">
        <v>304</v>
      </c>
      <c r="AB24">
        <f t="shared" si="0"/>
        <v>1</v>
      </c>
    </row>
    <row r="25" spans="1:28" ht="12.75" x14ac:dyDescent="0.2">
      <c r="A25" s="110" t="s">
        <v>95</v>
      </c>
      <c r="B25" s="110" t="s">
        <v>96</v>
      </c>
      <c r="C25" s="117" t="s">
        <v>47</v>
      </c>
      <c r="D25" s="117" t="s">
        <v>276</v>
      </c>
      <c r="E25" s="111" t="s">
        <v>137</v>
      </c>
      <c r="F25" s="117" t="s">
        <v>138</v>
      </c>
      <c r="G25" s="111" t="s">
        <v>406</v>
      </c>
      <c r="H25" s="116">
        <v>258</v>
      </c>
      <c r="I25" s="51">
        <v>245</v>
      </c>
      <c r="AA25" t="s">
        <v>305</v>
      </c>
      <c r="AB25">
        <f t="shared" si="0"/>
        <v>1</v>
      </c>
    </row>
    <row r="26" spans="1:28" ht="12.75" x14ac:dyDescent="0.2">
      <c r="A26" s="110" t="s">
        <v>95</v>
      </c>
      <c r="B26" s="110" t="s">
        <v>96</v>
      </c>
      <c r="C26" s="117" t="s">
        <v>14</v>
      </c>
      <c r="D26" s="117" t="s">
        <v>276</v>
      </c>
      <c r="E26" s="111" t="s">
        <v>139</v>
      </c>
      <c r="F26" s="117" t="s">
        <v>140</v>
      </c>
      <c r="G26" s="111" t="s">
        <v>409</v>
      </c>
      <c r="H26" s="116">
        <v>92.4</v>
      </c>
      <c r="I26" s="51">
        <v>245</v>
      </c>
      <c r="AA26" t="s">
        <v>306</v>
      </c>
      <c r="AB26">
        <f t="shared" si="0"/>
        <v>1</v>
      </c>
    </row>
    <row r="27" spans="1:28" ht="12.75" x14ac:dyDescent="0.2">
      <c r="A27" s="110" t="s">
        <v>95</v>
      </c>
      <c r="B27" s="110" t="s">
        <v>96</v>
      </c>
      <c r="C27" s="117" t="s">
        <v>9</v>
      </c>
      <c r="D27" s="117" t="s">
        <v>276</v>
      </c>
      <c r="E27" s="111" t="s">
        <v>141</v>
      </c>
      <c r="F27" s="117" t="s">
        <v>142</v>
      </c>
      <c r="G27" s="111" t="s">
        <v>406</v>
      </c>
      <c r="H27" s="116">
        <v>13</v>
      </c>
      <c r="I27" s="51">
        <v>490</v>
      </c>
      <c r="AA27" t="s">
        <v>307</v>
      </c>
      <c r="AB27">
        <f t="shared" si="0"/>
        <v>1</v>
      </c>
    </row>
    <row r="28" spans="1:28" ht="12.75" x14ac:dyDescent="0.2">
      <c r="A28" s="110" t="s">
        <v>95</v>
      </c>
      <c r="B28" s="110" t="s">
        <v>96</v>
      </c>
      <c r="C28" s="117" t="s">
        <v>16</v>
      </c>
      <c r="D28" s="117" t="s">
        <v>276</v>
      </c>
      <c r="E28" s="117" t="s">
        <v>143</v>
      </c>
      <c r="F28" s="117" t="s">
        <v>101</v>
      </c>
      <c r="G28" s="117" t="s">
        <v>406</v>
      </c>
      <c r="H28" s="120">
        <v>35</v>
      </c>
      <c r="I28" s="51">
        <v>245</v>
      </c>
      <c r="AA28" t="s">
        <v>308</v>
      </c>
      <c r="AB28">
        <f t="shared" si="0"/>
        <v>1</v>
      </c>
    </row>
    <row r="29" spans="1:28" ht="12.75" x14ac:dyDescent="0.2">
      <c r="A29" s="110" t="s">
        <v>95</v>
      </c>
      <c r="B29" s="110" t="s">
        <v>96</v>
      </c>
      <c r="C29" s="117" t="s">
        <v>9</v>
      </c>
      <c r="D29" s="117" t="s">
        <v>276</v>
      </c>
      <c r="E29" s="117" t="s">
        <v>144</v>
      </c>
      <c r="F29" s="117" t="s">
        <v>145</v>
      </c>
      <c r="G29" s="117" t="s">
        <v>407</v>
      </c>
      <c r="H29" s="120">
        <v>11</v>
      </c>
      <c r="I29" s="51">
        <v>490</v>
      </c>
      <c r="AA29" t="s">
        <v>309</v>
      </c>
      <c r="AB29">
        <f t="shared" si="0"/>
        <v>1</v>
      </c>
    </row>
    <row r="30" spans="1:28" ht="12.75" x14ac:dyDescent="0.2">
      <c r="A30" s="110" t="s">
        <v>95</v>
      </c>
      <c r="B30" s="110" t="s">
        <v>96</v>
      </c>
      <c r="C30" s="117" t="s">
        <v>16</v>
      </c>
      <c r="D30" s="117" t="s">
        <v>276</v>
      </c>
      <c r="E30" s="117" t="s">
        <v>146</v>
      </c>
      <c r="F30" s="117" t="s">
        <v>103</v>
      </c>
      <c r="G30" s="117" t="s">
        <v>410</v>
      </c>
      <c r="H30" s="120">
        <v>44</v>
      </c>
      <c r="I30" s="51">
        <v>245</v>
      </c>
      <c r="AA30" t="s">
        <v>310</v>
      </c>
      <c r="AB30">
        <f t="shared" si="0"/>
        <v>1</v>
      </c>
    </row>
    <row r="31" spans="1:28" ht="12.75" x14ac:dyDescent="0.2">
      <c r="A31" s="110" t="s">
        <v>95</v>
      </c>
      <c r="B31" s="110" t="s">
        <v>96</v>
      </c>
      <c r="C31" s="117" t="s">
        <v>16</v>
      </c>
      <c r="D31" s="117" t="s">
        <v>276</v>
      </c>
      <c r="E31" s="117" t="s">
        <v>147</v>
      </c>
      <c r="F31" s="117" t="s">
        <v>148</v>
      </c>
      <c r="G31" s="117" t="s">
        <v>408</v>
      </c>
      <c r="H31" s="120">
        <v>44</v>
      </c>
      <c r="I31" s="51">
        <v>49</v>
      </c>
      <c r="AA31" t="s">
        <v>311</v>
      </c>
      <c r="AB31">
        <f t="shared" si="0"/>
        <v>1</v>
      </c>
    </row>
    <row r="32" spans="1:28" ht="12.75" x14ac:dyDescent="0.2">
      <c r="A32" s="110" t="s">
        <v>95</v>
      </c>
      <c r="B32" s="110" t="s">
        <v>96</v>
      </c>
      <c r="C32" s="117" t="s">
        <v>94</v>
      </c>
      <c r="D32" s="117" t="s">
        <v>276</v>
      </c>
      <c r="E32" s="117" t="s">
        <v>149</v>
      </c>
      <c r="F32" s="117" t="s">
        <v>150</v>
      </c>
      <c r="G32" s="117" t="s">
        <v>406</v>
      </c>
      <c r="H32" s="120">
        <v>136</v>
      </c>
      <c r="I32" s="51">
        <v>245</v>
      </c>
      <c r="AA32" t="s">
        <v>312</v>
      </c>
      <c r="AB32">
        <f t="shared" si="0"/>
        <v>1</v>
      </c>
    </row>
    <row r="33" spans="1:28" ht="12.75" x14ac:dyDescent="0.2">
      <c r="A33" s="110" t="s">
        <v>95</v>
      </c>
      <c r="B33" s="110" t="s">
        <v>96</v>
      </c>
      <c r="C33" s="117" t="s">
        <v>16</v>
      </c>
      <c r="D33" s="117" t="s">
        <v>276</v>
      </c>
      <c r="E33" s="117" t="s">
        <v>151</v>
      </c>
      <c r="F33" s="117" t="s">
        <v>152</v>
      </c>
      <c r="G33" s="117" t="s">
        <v>408</v>
      </c>
      <c r="H33" s="120">
        <v>22</v>
      </c>
      <c r="I33" s="51">
        <v>245</v>
      </c>
      <c r="AA33" t="s">
        <v>313</v>
      </c>
      <c r="AB33">
        <f t="shared" si="0"/>
        <v>1</v>
      </c>
    </row>
    <row r="34" spans="1:28" ht="12.75" x14ac:dyDescent="0.2">
      <c r="A34" s="110" t="s">
        <v>95</v>
      </c>
      <c r="B34" s="110" t="s">
        <v>96</v>
      </c>
      <c r="C34" s="117" t="s">
        <v>16</v>
      </c>
      <c r="D34" s="117" t="s">
        <v>276</v>
      </c>
      <c r="E34" s="117" t="s">
        <v>153</v>
      </c>
      <c r="F34" s="117" t="s">
        <v>113</v>
      </c>
      <c r="G34" s="117" t="s">
        <v>406</v>
      </c>
      <c r="H34" s="120">
        <v>21.5</v>
      </c>
      <c r="I34" s="51">
        <v>245</v>
      </c>
      <c r="AA34" t="s">
        <v>314</v>
      </c>
      <c r="AB34">
        <f t="shared" ref="AB34:AB65" si="1">COUNTIF(AA:AA,AA34)</f>
        <v>1</v>
      </c>
    </row>
    <row r="35" spans="1:28" ht="12.75" x14ac:dyDescent="0.2">
      <c r="A35" s="110" t="s">
        <v>95</v>
      </c>
      <c r="B35" s="110" t="s">
        <v>96</v>
      </c>
      <c r="C35" s="117" t="s">
        <v>104</v>
      </c>
      <c r="D35" s="117" t="s">
        <v>276</v>
      </c>
      <c r="E35" s="117" t="s">
        <v>154</v>
      </c>
      <c r="F35" s="117" t="s">
        <v>117</v>
      </c>
      <c r="G35" s="117" t="s">
        <v>406</v>
      </c>
      <c r="H35" s="120">
        <v>64</v>
      </c>
      <c r="I35" s="51">
        <v>0</v>
      </c>
      <c r="AA35" t="s">
        <v>315</v>
      </c>
      <c r="AB35">
        <f t="shared" si="1"/>
        <v>1</v>
      </c>
    </row>
    <row r="36" spans="1:28" ht="12.75" x14ac:dyDescent="0.2">
      <c r="A36" s="110" t="s">
        <v>95</v>
      </c>
      <c r="B36" s="110" t="s">
        <v>96</v>
      </c>
      <c r="C36" s="117" t="s">
        <v>16</v>
      </c>
      <c r="D36" s="117" t="s">
        <v>276</v>
      </c>
      <c r="E36" s="117" t="s">
        <v>155</v>
      </c>
      <c r="F36" s="117" t="s">
        <v>115</v>
      </c>
      <c r="G36" s="117" t="s">
        <v>407</v>
      </c>
      <c r="H36" s="120">
        <v>32.5</v>
      </c>
      <c r="I36" s="51">
        <v>245</v>
      </c>
      <c r="AA36" t="s">
        <v>316</v>
      </c>
      <c r="AB36">
        <f t="shared" si="1"/>
        <v>1</v>
      </c>
    </row>
    <row r="37" spans="1:28" ht="12.75" x14ac:dyDescent="0.2">
      <c r="A37" s="110" t="s">
        <v>95</v>
      </c>
      <c r="B37" s="110" t="s">
        <v>96</v>
      </c>
      <c r="C37" s="117" t="s">
        <v>16</v>
      </c>
      <c r="D37" s="117" t="s">
        <v>277</v>
      </c>
      <c r="E37" s="117" t="s">
        <v>156</v>
      </c>
      <c r="F37" s="117" t="s">
        <v>101</v>
      </c>
      <c r="G37" s="117" t="s">
        <v>406</v>
      </c>
      <c r="H37" s="120">
        <v>105</v>
      </c>
      <c r="I37" s="51">
        <v>245</v>
      </c>
      <c r="AA37" t="s">
        <v>317</v>
      </c>
      <c r="AB37">
        <f t="shared" si="1"/>
        <v>1</v>
      </c>
    </row>
    <row r="38" spans="1:28" ht="12.75" x14ac:dyDescent="0.2">
      <c r="A38" s="110" t="s">
        <v>95</v>
      </c>
      <c r="B38" s="110" t="s">
        <v>96</v>
      </c>
      <c r="C38" s="117" t="s">
        <v>16</v>
      </c>
      <c r="D38" s="117" t="s">
        <v>277</v>
      </c>
      <c r="E38" s="117" t="s">
        <v>157</v>
      </c>
      <c r="F38" s="117" t="s">
        <v>99</v>
      </c>
      <c r="G38" s="117" t="s">
        <v>407</v>
      </c>
      <c r="H38" s="120">
        <v>32.5</v>
      </c>
      <c r="I38" s="51">
        <v>245</v>
      </c>
      <c r="AA38" t="s">
        <v>318</v>
      </c>
      <c r="AB38">
        <f t="shared" si="1"/>
        <v>1</v>
      </c>
    </row>
    <row r="39" spans="1:28" ht="12.75" x14ac:dyDescent="0.2">
      <c r="A39" s="110" t="s">
        <v>95</v>
      </c>
      <c r="B39" s="110" t="s">
        <v>96</v>
      </c>
      <c r="C39" s="117" t="s">
        <v>47</v>
      </c>
      <c r="D39" s="117" t="s">
        <v>277</v>
      </c>
      <c r="E39" s="117" t="s">
        <v>158</v>
      </c>
      <c r="F39" s="117" t="s">
        <v>159</v>
      </c>
      <c r="G39" s="117" t="s">
        <v>406</v>
      </c>
      <c r="H39" s="120">
        <v>152</v>
      </c>
      <c r="I39" s="51">
        <v>245</v>
      </c>
      <c r="AA39" t="s">
        <v>319</v>
      </c>
      <c r="AB39">
        <f t="shared" si="1"/>
        <v>1</v>
      </c>
    </row>
    <row r="40" spans="1:28" ht="12.75" x14ac:dyDescent="0.2">
      <c r="A40" s="110" t="s">
        <v>95</v>
      </c>
      <c r="B40" s="110" t="s">
        <v>96</v>
      </c>
      <c r="C40" s="117" t="s">
        <v>10</v>
      </c>
      <c r="D40" s="117" t="s">
        <v>277</v>
      </c>
      <c r="E40" s="117" t="s">
        <v>160</v>
      </c>
      <c r="F40" s="117" t="s">
        <v>161</v>
      </c>
      <c r="G40" s="117" t="s">
        <v>406</v>
      </c>
      <c r="H40" s="120">
        <v>82</v>
      </c>
      <c r="I40" s="51">
        <v>245</v>
      </c>
      <c r="AA40" t="s">
        <v>320</v>
      </c>
      <c r="AB40">
        <f t="shared" si="1"/>
        <v>1</v>
      </c>
    </row>
    <row r="41" spans="1:28" ht="12.75" x14ac:dyDescent="0.2">
      <c r="A41" s="110" t="s">
        <v>95</v>
      </c>
      <c r="B41" s="110" t="s">
        <v>96</v>
      </c>
      <c r="C41" s="117" t="s">
        <v>10</v>
      </c>
      <c r="D41" s="117" t="s">
        <v>277</v>
      </c>
      <c r="E41" s="117" t="s">
        <v>162</v>
      </c>
      <c r="F41" s="117" t="s">
        <v>163</v>
      </c>
      <c r="G41" s="117" t="s">
        <v>406</v>
      </c>
      <c r="H41" s="120">
        <v>50</v>
      </c>
      <c r="I41" s="51">
        <v>245</v>
      </c>
      <c r="AA41" t="s">
        <v>321</v>
      </c>
      <c r="AB41">
        <f t="shared" si="1"/>
        <v>1</v>
      </c>
    </row>
    <row r="42" spans="1:28" ht="12.75" x14ac:dyDescent="0.2">
      <c r="A42" s="110" t="s">
        <v>95</v>
      </c>
      <c r="B42" s="110" t="s">
        <v>96</v>
      </c>
      <c r="C42" s="117" t="s">
        <v>104</v>
      </c>
      <c r="D42" s="117" t="s">
        <v>277</v>
      </c>
      <c r="E42" s="117" t="s">
        <v>164</v>
      </c>
      <c r="F42" s="117" t="s">
        <v>165</v>
      </c>
      <c r="G42" s="117" t="s">
        <v>406</v>
      </c>
      <c r="H42" s="120">
        <v>30</v>
      </c>
      <c r="I42" s="51">
        <v>0</v>
      </c>
      <c r="AA42" t="s">
        <v>322</v>
      </c>
      <c r="AB42">
        <f t="shared" si="1"/>
        <v>1</v>
      </c>
    </row>
    <row r="43" spans="1:28" ht="12.75" x14ac:dyDescent="0.2">
      <c r="A43" s="110" t="s">
        <v>95</v>
      </c>
      <c r="B43" s="110" t="s">
        <v>96</v>
      </c>
      <c r="C43" s="117" t="s">
        <v>104</v>
      </c>
      <c r="D43" s="117" t="s">
        <v>277</v>
      </c>
      <c r="E43" s="117" t="s">
        <v>166</v>
      </c>
      <c r="F43" s="117" t="s">
        <v>136</v>
      </c>
      <c r="G43" s="117" t="s">
        <v>406</v>
      </c>
      <c r="H43" s="120">
        <v>18</v>
      </c>
      <c r="I43" s="51">
        <v>0</v>
      </c>
      <c r="AA43" t="s">
        <v>323</v>
      </c>
      <c r="AB43">
        <f t="shared" si="1"/>
        <v>1</v>
      </c>
    </row>
    <row r="44" spans="1:28" ht="12.75" x14ac:dyDescent="0.2">
      <c r="A44" s="110" t="s">
        <v>95</v>
      </c>
      <c r="B44" s="110" t="s">
        <v>96</v>
      </c>
      <c r="C44" s="117" t="s">
        <v>104</v>
      </c>
      <c r="D44" s="117" t="s">
        <v>277</v>
      </c>
      <c r="E44" s="117" t="s">
        <v>167</v>
      </c>
      <c r="F44" s="117" t="s">
        <v>136</v>
      </c>
      <c r="G44" s="117" t="s">
        <v>406</v>
      </c>
      <c r="H44" s="120">
        <v>24</v>
      </c>
      <c r="I44" s="51">
        <v>0</v>
      </c>
      <c r="AA44" t="s">
        <v>324</v>
      </c>
      <c r="AB44">
        <f t="shared" si="1"/>
        <v>1</v>
      </c>
    </row>
    <row r="45" spans="1:28" ht="12.75" x14ac:dyDescent="0.2">
      <c r="A45" s="110" t="s">
        <v>95</v>
      </c>
      <c r="B45" s="110" t="s">
        <v>96</v>
      </c>
      <c r="C45" s="117" t="s">
        <v>10</v>
      </c>
      <c r="D45" s="117" t="s">
        <v>277</v>
      </c>
      <c r="E45" s="117" t="s">
        <v>168</v>
      </c>
      <c r="F45" s="117" t="s">
        <v>169</v>
      </c>
      <c r="G45" s="117" t="s">
        <v>406</v>
      </c>
      <c r="H45" s="120">
        <v>95</v>
      </c>
      <c r="I45" s="51">
        <v>245</v>
      </c>
      <c r="AA45" t="s">
        <v>325</v>
      </c>
      <c r="AB45">
        <f t="shared" si="1"/>
        <v>1</v>
      </c>
    </row>
    <row r="46" spans="1:28" ht="12.75" x14ac:dyDescent="0.2">
      <c r="A46" s="110" t="s">
        <v>95</v>
      </c>
      <c r="B46" s="110" t="s">
        <v>96</v>
      </c>
      <c r="C46" s="117" t="s">
        <v>14</v>
      </c>
      <c r="D46" s="117" t="s">
        <v>277</v>
      </c>
      <c r="E46" s="117" t="s">
        <v>170</v>
      </c>
      <c r="F46" s="117" t="s">
        <v>171</v>
      </c>
      <c r="G46" s="117" t="s">
        <v>406</v>
      </c>
      <c r="H46" s="120">
        <v>103</v>
      </c>
      <c r="I46" s="51">
        <v>245</v>
      </c>
      <c r="AA46" t="s">
        <v>326</v>
      </c>
      <c r="AB46">
        <f t="shared" si="1"/>
        <v>1</v>
      </c>
    </row>
    <row r="47" spans="1:28" ht="12.75" x14ac:dyDescent="0.2">
      <c r="A47" s="110" t="s">
        <v>95</v>
      </c>
      <c r="B47" s="110" t="s">
        <v>96</v>
      </c>
      <c r="C47" s="117" t="s">
        <v>9</v>
      </c>
      <c r="D47" s="117" t="s">
        <v>277</v>
      </c>
      <c r="E47" s="117" t="s">
        <v>172</v>
      </c>
      <c r="F47" s="117" t="s">
        <v>120</v>
      </c>
      <c r="G47" s="117" t="s">
        <v>411</v>
      </c>
      <c r="H47" s="120">
        <v>7.3</v>
      </c>
      <c r="I47" s="51">
        <v>490</v>
      </c>
      <c r="AA47" t="s">
        <v>327</v>
      </c>
      <c r="AB47">
        <f t="shared" si="1"/>
        <v>1</v>
      </c>
    </row>
    <row r="48" spans="1:28" ht="12.75" x14ac:dyDescent="0.2">
      <c r="A48" s="110" t="s">
        <v>95</v>
      </c>
      <c r="B48" s="110" t="s">
        <v>96</v>
      </c>
      <c r="C48" s="117" t="s">
        <v>9</v>
      </c>
      <c r="D48" s="117" t="s">
        <v>277</v>
      </c>
      <c r="E48" s="117" t="s">
        <v>173</v>
      </c>
      <c r="F48" s="117" t="s">
        <v>120</v>
      </c>
      <c r="G48" s="117" t="s">
        <v>407</v>
      </c>
      <c r="H48" s="120">
        <v>10.5</v>
      </c>
      <c r="I48" s="51">
        <v>490</v>
      </c>
      <c r="AA48" t="s">
        <v>328</v>
      </c>
      <c r="AB48">
        <f t="shared" si="1"/>
        <v>1</v>
      </c>
    </row>
    <row r="49" spans="1:28" ht="12.75" x14ac:dyDescent="0.2">
      <c r="A49" s="110" t="s">
        <v>95</v>
      </c>
      <c r="B49" s="110" t="s">
        <v>96</v>
      </c>
      <c r="C49" s="117" t="s">
        <v>9</v>
      </c>
      <c r="D49" s="117" t="s">
        <v>277</v>
      </c>
      <c r="E49" s="117" t="s">
        <v>174</v>
      </c>
      <c r="F49" s="117" t="s">
        <v>122</v>
      </c>
      <c r="G49" s="117" t="s">
        <v>411</v>
      </c>
      <c r="H49" s="120">
        <v>5.5</v>
      </c>
      <c r="I49" s="51">
        <v>490</v>
      </c>
      <c r="AA49" t="s">
        <v>329</v>
      </c>
      <c r="AB49">
        <f t="shared" si="1"/>
        <v>1</v>
      </c>
    </row>
    <row r="50" spans="1:28" ht="12.75" x14ac:dyDescent="0.2">
      <c r="A50" s="110" t="s">
        <v>95</v>
      </c>
      <c r="B50" s="110" t="s">
        <v>96</v>
      </c>
      <c r="C50" s="117" t="s">
        <v>12</v>
      </c>
      <c r="D50" s="117" t="s">
        <v>277</v>
      </c>
      <c r="E50" s="117" t="s">
        <v>175</v>
      </c>
      <c r="F50" s="117" t="s">
        <v>176</v>
      </c>
      <c r="G50" s="117" t="s">
        <v>406</v>
      </c>
      <c r="H50" s="120">
        <v>68</v>
      </c>
      <c r="I50" s="51">
        <v>245</v>
      </c>
      <c r="AA50" t="s">
        <v>330</v>
      </c>
      <c r="AB50">
        <f t="shared" si="1"/>
        <v>1</v>
      </c>
    </row>
    <row r="51" spans="1:28" ht="12.75" x14ac:dyDescent="0.2">
      <c r="A51" s="110" t="s">
        <v>95</v>
      </c>
      <c r="B51" s="110" t="s">
        <v>96</v>
      </c>
      <c r="C51" s="117" t="s">
        <v>10</v>
      </c>
      <c r="D51" s="117" t="s">
        <v>277</v>
      </c>
      <c r="E51" s="117" t="s">
        <v>177</v>
      </c>
      <c r="F51" s="117" t="s">
        <v>178</v>
      </c>
      <c r="G51" s="117" t="s">
        <v>406</v>
      </c>
      <c r="H51" s="120">
        <v>625</v>
      </c>
      <c r="I51" s="51">
        <v>245</v>
      </c>
      <c r="AA51" t="s">
        <v>331</v>
      </c>
      <c r="AB51">
        <f t="shared" si="1"/>
        <v>1</v>
      </c>
    </row>
    <row r="52" spans="1:28" ht="12.75" x14ac:dyDescent="0.2">
      <c r="A52" s="110" t="s">
        <v>95</v>
      </c>
      <c r="B52" s="110" t="s">
        <v>96</v>
      </c>
      <c r="C52" s="117" t="s">
        <v>10</v>
      </c>
      <c r="D52" s="117" t="s">
        <v>277</v>
      </c>
      <c r="E52" s="117" t="s">
        <v>179</v>
      </c>
      <c r="F52" s="117" t="s">
        <v>178</v>
      </c>
      <c r="G52" s="117" t="s">
        <v>406</v>
      </c>
      <c r="H52" s="120">
        <v>94</v>
      </c>
      <c r="I52" s="51">
        <v>245</v>
      </c>
      <c r="AA52" t="s">
        <v>332</v>
      </c>
      <c r="AB52">
        <f t="shared" si="1"/>
        <v>1</v>
      </c>
    </row>
    <row r="53" spans="1:28" ht="12.75" x14ac:dyDescent="0.2">
      <c r="A53" s="110" t="s">
        <v>95</v>
      </c>
      <c r="B53" s="110" t="s">
        <v>96</v>
      </c>
      <c r="C53" s="117" t="s">
        <v>16</v>
      </c>
      <c r="D53" s="117" t="s">
        <v>277</v>
      </c>
      <c r="E53" s="117" t="s">
        <v>180</v>
      </c>
      <c r="F53" s="117" t="s">
        <v>101</v>
      </c>
      <c r="G53" s="117" t="s">
        <v>412</v>
      </c>
      <c r="H53" s="120">
        <v>266</v>
      </c>
      <c r="I53" s="51">
        <v>245</v>
      </c>
      <c r="AA53" t="s">
        <v>333</v>
      </c>
      <c r="AB53">
        <f t="shared" si="1"/>
        <v>1</v>
      </c>
    </row>
    <row r="54" spans="1:28" ht="12.75" x14ac:dyDescent="0.2">
      <c r="A54" s="110" t="s">
        <v>95</v>
      </c>
      <c r="B54" s="110" t="s">
        <v>96</v>
      </c>
      <c r="C54" s="117" t="s">
        <v>10</v>
      </c>
      <c r="D54" s="117" t="s">
        <v>277</v>
      </c>
      <c r="E54" s="117" t="s">
        <v>181</v>
      </c>
      <c r="F54" s="117" t="s">
        <v>182</v>
      </c>
      <c r="G54" s="117" t="s">
        <v>413</v>
      </c>
      <c r="H54" s="120">
        <v>30</v>
      </c>
      <c r="I54" s="51">
        <v>245</v>
      </c>
      <c r="AA54" t="s">
        <v>334</v>
      </c>
      <c r="AB54">
        <f t="shared" si="1"/>
        <v>1</v>
      </c>
    </row>
    <row r="55" spans="1:28" ht="12.75" x14ac:dyDescent="0.2">
      <c r="A55" s="110" t="s">
        <v>95</v>
      </c>
      <c r="B55" s="110" t="s">
        <v>96</v>
      </c>
      <c r="C55" s="117" t="s">
        <v>16</v>
      </c>
      <c r="D55" s="117" t="s">
        <v>277</v>
      </c>
      <c r="E55" s="117" t="s">
        <v>183</v>
      </c>
      <c r="F55" s="117" t="s">
        <v>103</v>
      </c>
      <c r="G55" s="117" t="s">
        <v>410</v>
      </c>
      <c r="H55" s="120">
        <v>44</v>
      </c>
      <c r="I55" s="51">
        <v>245</v>
      </c>
      <c r="AA55" t="s">
        <v>335</v>
      </c>
      <c r="AB55">
        <f t="shared" si="1"/>
        <v>1</v>
      </c>
    </row>
    <row r="56" spans="1:28" ht="12.75" x14ac:dyDescent="0.2">
      <c r="A56" s="110" t="s">
        <v>95</v>
      </c>
      <c r="B56" s="110" t="s">
        <v>96</v>
      </c>
      <c r="C56" s="117" t="s">
        <v>16</v>
      </c>
      <c r="D56" s="117" t="s">
        <v>277</v>
      </c>
      <c r="E56" s="117" t="s">
        <v>184</v>
      </c>
      <c r="F56" s="117" t="s">
        <v>103</v>
      </c>
      <c r="G56" s="117" t="s">
        <v>407</v>
      </c>
      <c r="H56" s="120">
        <v>22.5</v>
      </c>
      <c r="I56" s="51">
        <v>245</v>
      </c>
      <c r="AA56" t="s">
        <v>336</v>
      </c>
      <c r="AB56">
        <f t="shared" si="1"/>
        <v>1</v>
      </c>
    </row>
    <row r="57" spans="1:28" ht="12.75" x14ac:dyDescent="0.2">
      <c r="A57" s="110" t="s">
        <v>95</v>
      </c>
      <c r="B57" s="110" t="s">
        <v>96</v>
      </c>
      <c r="C57" s="117" t="s">
        <v>16</v>
      </c>
      <c r="D57" s="117" t="s">
        <v>277</v>
      </c>
      <c r="E57" s="117" t="s">
        <v>185</v>
      </c>
      <c r="F57" s="117" t="s">
        <v>148</v>
      </c>
      <c r="G57" s="117" t="s">
        <v>408</v>
      </c>
      <c r="H57" s="120">
        <v>44</v>
      </c>
      <c r="I57" s="51">
        <v>49</v>
      </c>
      <c r="AA57" t="s">
        <v>337</v>
      </c>
      <c r="AB57">
        <f t="shared" si="1"/>
        <v>1</v>
      </c>
    </row>
    <row r="58" spans="1:28" ht="12.75" x14ac:dyDescent="0.2">
      <c r="A58" s="48" t="s">
        <v>95</v>
      </c>
      <c r="B58" s="48" t="s">
        <v>96</v>
      </c>
      <c r="C58" s="49" t="s">
        <v>49</v>
      </c>
      <c r="D58" s="49" t="s">
        <v>277</v>
      </c>
      <c r="E58" s="49" t="s">
        <v>186</v>
      </c>
      <c r="F58" s="117" t="s">
        <v>187</v>
      </c>
      <c r="G58" s="49" t="s">
        <v>406</v>
      </c>
      <c r="H58" s="50">
        <v>123</v>
      </c>
      <c r="I58" s="51">
        <v>245</v>
      </c>
      <c r="AA58" s="103" t="s">
        <v>338</v>
      </c>
      <c r="AB58" s="103">
        <f t="shared" si="1"/>
        <v>1</v>
      </c>
    </row>
    <row r="59" spans="1:28" ht="12.75" x14ac:dyDescent="0.2">
      <c r="A59" s="48" t="s">
        <v>95</v>
      </c>
      <c r="B59" s="48" t="s">
        <v>96</v>
      </c>
      <c r="C59" s="49" t="s">
        <v>10</v>
      </c>
      <c r="D59" s="49" t="s">
        <v>277</v>
      </c>
      <c r="E59" s="49" t="s">
        <v>188</v>
      </c>
      <c r="F59" s="117" t="s">
        <v>10</v>
      </c>
      <c r="G59" s="49" t="s">
        <v>406</v>
      </c>
      <c r="H59" s="50">
        <v>30</v>
      </c>
      <c r="I59" s="51">
        <v>245</v>
      </c>
      <c r="AA59" s="103" t="s">
        <v>339</v>
      </c>
      <c r="AB59" s="103">
        <f t="shared" si="1"/>
        <v>1</v>
      </c>
    </row>
    <row r="60" spans="1:28" ht="12.75" x14ac:dyDescent="0.2">
      <c r="A60" s="48" t="s">
        <v>95</v>
      </c>
      <c r="B60" s="48" t="s">
        <v>96</v>
      </c>
      <c r="C60" s="49" t="s">
        <v>49</v>
      </c>
      <c r="D60" s="49" t="s">
        <v>277</v>
      </c>
      <c r="E60" s="49" t="s">
        <v>189</v>
      </c>
      <c r="F60" s="117" t="s">
        <v>190</v>
      </c>
      <c r="G60" s="49" t="s">
        <v>406</v>
      </c>
      <c r="H60" s="50">
        <v>57</v>
      </c>
      <c r="I60" s="51">
        <v>245</v>
      </c>
      <c r="AA60" s="103" t="s">
        <v>340</v>
      </c>
      <c r="AB60" s="103">
        <f t="shared" si="1"/>
        <v>1</v>
      </c>
    </row>
    <row r="61" spans="1:28" ht="12.75" x14ac:dyDescent="0.2">
      <c r="A61" s="48" t="s">
        <v>95</v>
      </c>
      <c r="B61" s="48" t="s">
        <v>96</v>
      </c>
      <c r="C61" s="49" t="s">
        <v>16</v>
      </c>
      <c r="D61" s="49" t="s">
        <v>277</v>
      </c>
      <c r="E61" s="49" t="s">
        <v>191</v>
      </c>
      <c r="F61" s="117" t="s">
        <v>115</v>
      </c>
      <c r="G61" s="49" t="s">
        <v>407</v>
      </c>
      <c r="H61" s="50">
        <v>32.5</v>
      </c>
      <c r="I61" s="51">
        <v>245</v>
      </c>
      <c r="AA61" s="103" t="s">
        <v>341</v>
      </c>
      <c r="AB61" s="103">
        <f t="shared" si="1"/>
        <v>1</v>
      </c>
    </row>
    <row r="62" spans="1:28" ht="12.75" x14ac:dyDescent="0.2">
      <c r="A62" s="48" t="s">
        <v>95</v>
      </c>
      <c r="B62" s="48" t="s">
        <v>96</v>
      </c>
      <c r="C62" s="49" t="s">
        <v>16</v>
      </c>
      <c r="D62" s="49" t="s">
        <v>277</v>
      </c>
      <c r="E62" s="49" t="s">
        <v>192</v>
      </c>
      <c r="F62" s="117" t="s">
        <v>113</v>
      </c>
      <c r="G62" s="49" t="s">
        <v>406</v>
      </c>
      <c r="H62" s="50">
        <v>21.5</v>
      </c>
      <c r="I62" s="51">
        <v>245</v>
      </c>
      <c r="AA62" s="103" t="s">
        <v>342</v>
      </c>
      <c r="AB62" s="103">
        <f t="shared" si="1"/>
        <v>1</v>
      </c>
    </row>
    <row r="63" spans="1:28" ht="12.75" x14ac:dyDescent="0.2">
      <c r="A63" s="48" t="s">
        <v>95</v>
      </c>
      <c r="B63" s="48" t="s">
        <v>96</v>
      </c>
      <c r="C63" s="49" t="s">
        <v>9</v>
      </c>
      <c r="D63" s="49" t="s">
        <v>277</v>
      </c>
      <c r="E63" s="49" t="s">
        <v>193</v>
      </c>
      <c r="F63" s="117" t="s">
        <v>194</v>
      </c>
      <c r="G63" s="49" t="s">
        <v>407</v>
      </c>
      <c r="H63" s="50">
        <v>28</v>
      </c>
      <c r="I63" s="51">
        <v>490</v>
      </c>
      <c r="AA63" s="103" t="s">
        <v>343</v>
      </c>
      <c r="AB63" s="103">
        <f t="shared" si="1"/>
        <v>1</v>
      </c>
    </row>
    <row r="64" spans="1:28" ht="12.75" x14ac:dyDescent="0.2">
      <c r="A64" s="48" t="s">
        <v>95</v>
      </c>
      <c r="B64" s="48" t="s">
        <v>96</v>
      </c>
      <c r="C64" s="49" t="s">
        <v>16</v>
      </c>
      <c r="D64" s="49" t="s">
        <v>277</v>
      </c>
      <c r="E64" s="49" t="s">
        <v>195</v>
      </c>
      <c r="F64" s="117" t="s">
        <v>196</v>
      </c>
      <c r="G64" s="49" t="s">
        <v>406</v>
      </c>
      <c r="H64" s="50">
        <v>35</v>
      </c>
      <c r="I64" s="51">
        <v>245</v>
      </c>
      <c r="AA64" s="103" t="s">
        <v>344</v>
      </c>
      <c r="AB64" s="103">
        <f t="shared" si="1"/>
        <v>1</v>
      </c>
    </row>
    <row r="65" spans="1:28" ht="12.75" x14ac:dyDescent="0.2">
      <c r="A65" s="48" t="s">
        <v>95</v>
      </c>
      <c r="B65" s="48" t="s">
        <v>96</v>
      </c>
      <c r="C65" s="49" t="s">
        <v>94</v>
      </c>
      <c r="D65" s="49" t="s">
        <v>277</v>
      </c>
      <c r="E65" s="49" t="s">
        <v>197</v>
      </c>
      <c r="F65" s="117" t="s">
        <v>198</v>
      </c>
      <c r="G65" s="49" t="s">
        <v>406</v>
      </c>
      <c r="H65" s="50">
        <v>64</v>
      </c>
      <c r="I65" s="51">
        <v>245</v>
      </c>
      <c r="AA65" s="103" t="s">
        <v>345</v>
      </c>
      <c r="AB65" s="103">
        <f t="shared" si="1"/>
        <v>1</v>
      </c>
    </row>
    <row r="66" spans="1:28" ht="12.75" x14ac:dyDescent="0.2">
      <c r="A66" s="48" t="s">
        <v>95</v>
      </c>
      <c r="B66" s="48" t="s">
        <v>96</v>
      </c>
      <c r="C66" s="49" t="s">
        <v>16</v>
      </c>
      <c r="D66" s="49" t="s">
        <v>278</v>
      </c>
      <c r="E66" s="49" t="s">
        <v>199</v>
      </c>
      <c r="F66" s="117" t="s">
        <v>99</v>
      </c>
      <c r="G66" s="49" t="s">
        <v>407</v>
      </c>
      <c r="H66" s="50">
        <v>32.5</v>
      </c>
      <c r="I66" s="51">
        <v>245</v>
      </c>
      <c r="AA66" s="103" t="s">
        <v>346</v>
      </c>
      <c r="AB66" s="103">
        <f t="shared" ref="AB66:AB97" si="2">COUNTIF(AA:AA,AA66)</f>
        <v>1</v>
      </c>
    </row>
    <row r="67" spans="1:28" ht="12.75" x14ac:dyDescent="0.2">
      <c r="A67" s="48" t="s">
        <v>95</v>
      </c>
      <c r="B67" s="48" t="s">
        <v>96</v>
      </c>
      <c r="C67" s="49" t="s">
        <v>104</v>
      </c>
      <c r="D67" s="49" t="s">
        <v>278</v>
      </c>
      <c r="E67" s="49" t="s">
        <v>200</v>
      </c>
      <c r="F67" s="117" t="s">
        <v>201</v>
      </c>
      <c r="G67" s="49" t="s">
        <v>406</v>
      </c>
      <c r="H67" s="50">
        <v>42</v>
      </c>
      <c r="I67" s="51">
        <v>0</v>
      </c>
      <c r="AA67" s="103" t="s">
        <v>347</v>
      </c>
      <c r="AB67" s="103">
        <f t="shared" si="2"/>
        <v>1</v>
      </c>
    </row>
    <row r="68" spans="1:28" ht="12.75" x14ac:dyDescent="0.2">
      <c r="A68" s="48" t="s">
        <v>95</v>
      </c>
      <c r="B68" s="48" t="s">
        <v>96</v>
      </c>
      <c r="C68" s="49" t="s">
        <v>16</v>
      </c>
      <c r="D68" s="49" t="s">
        <v>278</v>
      </c>
      <c r="E68" s="49" t="s">
        <v>202</v>
      </c>
      <c r="F68" s="117" t="s">
        <v>203</v>
      </c>
      <c r="G68" s="49" t="s">
        <v>406</v>
      </c>
      <c r="H68" s="50">
        <v>99</v>
      </c>
      <c r="I68" s="51">
        <v>245</v>
      </c>
      <c r="AA68" s="103" t="s">
        <v>348</v>
      </c>
      <c r="AB68" s="103">
        <f t="shared" si="2"/>
        <v>1</v>
      </c>
    </row>
    <row r="69" spans="1:28" ht="12.75" x14ac:dyDescent="0.2">
      <c r="A69" s="48" t="s">
        <v>95</v>
      </c>
      <c r="B69" s="48" t="s">
        <v>96</v>
      </c>
      <c r="C69" s="49" t="s">
        <v>47</v>
      </c>
      <c r="D69" s="49" t="s">
        <v>278</v>
      </c>
      <c r="E69" s="49" t="s">
        <v>204</v>
      </c>
      <c r="F69" s="117" t="s">
        <v>138</v>
      </c>
      <c r="G69" s="49" t="s">
        <v>406</v>
      </c>
      <c r="H69" s="50">
        <v>661</v>
      </c>
      <c r="I69" s="51">
        <v>245</v>
      </c>
      <c r="AA69" s="103" t="s">
        <v>349</v>
      </c>
      <c r="AB69" s="103">
        <f t="shared" si="2"/>
        <v>1</v>
      </c>
    </row>
    <row r="70" spans="1:28" x14ac:dyDescent="0.15">
      <c r="A70" s="48" t="s">
        <v>95</v>
      </c>
      <c r="B70" s="48" t="s">
        <v>96</v>
      </c>
      <c r="C70" s="49" t="s">
        <v>14</v>
      </c>
      <c r="D70" s="49" t="s">
        <v>278</v>
      </c>
      <c r="E70" s="49" t="s">
        <v>205</v>
      </c>
      <c r="F70" s="49" t="s">
        <v>206</v>
      </c>
      <c r="G70" s="49" t="s">
        <v>406</v>
      </c>
      <c r="H70" s="50">
        <v>14</v>
      </c>
      <c r="I70" s="51">
        <v>245</v>
      </c>
      <c r="AA70" s="43" t="s">
        <v>350</v>
      </c>
      <c r="AB70" s="43">
        <f t="shared" si="2"/>
        <v>1</v>
      </c>
    </row>
    <row r="71" spans="1:28" x14ac:dyDescent="0.15">
      <c r="A71" s="48" t="s">
        <v>95</v>
      </c>
      <c r="B71" s="48" t="s">
        <v>96</v>
      </c>
      <c r="C71" s="49" t="s">
        <v>14</v>
      </c>
      <c r="D71" s="49" t="s">
        <v>278</v>
      </c>
      <c r="E71" s="49" t="s">
        <v>207</v>
      </c>
      <c r="F71" s="49" t="s">
        <v>206</v>
      </c>
      <c r="G71" s="49" t="s">
        <v>406</v>
      </c>
      <c r="H71" s="50">
        <v>15</v>
      </c>
      <c r="I71" s="51">
        <v>245</v>
      </c>
      <c r="AA71" s="43" t="s">
        <v>351</v>
      </c>
      <c r="AB71" s="43">
        <f t="shared" si="2"/>
        <v>1</v>
      </c>
    </row>
    <row r="72" spans="1:28" x14ac:dyDescent="0.15">
      <c r="A72" s="48" t="s">
        <v>95</v>
      </c>
      <c r="B72" s="48" t="s">
        <v>96</v>
      </c>
      <c r="C72" s="49" t="s">
        <v>14</v>
      </c>
      <c r="D72" s="49" t="s">
        <v>278</v>
      </c>
      <c r="E72" s="49" t="s">
        <v>208</v>
      </c>
      <c r="F72" s="49" t="s">
        <v>206</v>
      </c>
      <c r="G72" s="49" t="s">
        <v>406</v>
      </c>
      <c r="H72" s="50">
        <v>63</v>
      </c>
      <c r="I72" s="51">
        <v>245</v>
      </c>
      <c r="AA72" s="43" t="s">
        <v>352</v>
      </c>
      <c r="AB72" s="43">
        <f t="shared" si="2"/>
        <v>1</v>
      </c>
    </row>
    <row r="73" spans="1:28" x14ac:dyDescent="0.15">
      <c r="A73" s="48" t="s">
        <v>95</v>
      </c>
      <c r="B73" s="48" t="s">
        <v>96</v>
      </c>
      <c r="C73" s="49" t="s">
        <v>14</v>
      </c>
      <c r="D73" s="49" t="s">
        <v>278</v>
      </c>
      <c r="E73" s="49" t="s">
        <v>209</v>
      </c>
      <c r="F73" s="49" t="s">
        <v>206</v>
      </c>
      <c r="G73" s="49" t="s">
        <v>406</v>
      </c>
      <c r="H73" s="50">
        <v>15</v>
      </c>
      <c r="I73" s="51">
        <v>245</v>
      </c>
      <c r="AA73" s="43" t="s">
        <v>353</v>
      </c>
      <c r="AB73" s="43">
        <f t="shared" si="2"/>
        <v>1</v>
      </c>
    </row>
    <row r="74" spans="1:28" x14ac:dyDescent="0.15">
      <c r="A74" s="48" t="s">
        <v>95</v>
      </c>
      <c r="B74" s="48" t="s">
        <v>96</v>
      </c>
      <c r="C74" s="49" t="s">
        <v>47</v>
      </c>
      <c r="D74" s="49" t="s">
        <v>278</v>
      </c>
      <c r="E74" s="49" t="s">
        <v>210</v>
      </c>
      <c r="F74" s="49" t="s">
        <v>159</v>
      </c>
      <c r="G74" s="49" t="s">
        <v>406</v>
      </c>
      <c r="H74" s="50">
        <v>712</v>
      </c>
      <c r="I74" s="51">
        <v>245</v>
      </c>
      <c r="AA74" s="43" t="s">
        <v>354</v>
      </c>
      <c r="AB74" s="43">
        <f t="shared" si="2"/>
        <v>1</v>
      </c>
    </row>
    <row r="75" spans="1:28" x14ac:dyDescent="0.15">
      <c r="A75" s="48" t="s">
        <v>95</v>
      </c>
      <c r="B75" s="48" t="s">
        <v>96</v>
      </c>
      <c r="C75" s="49" t="s">
        <v>49</v>
      </c>
      <c r="D75" s="49" t="s">
        <v>278</v>
      </c>
      <c r="E75" s="49" t="s">
        <v>211</v>
      </c>
      <c r="F75" s="49" t="s">
        <v>212</v>
      </c>
      <c r="G75" s="49" t="s">
        <v>414</v>
      </c>
      <c r="H75" s="50">
        <v>181</v>
      </c>
      <c r="I75" s="51">
        <v>245</v>
      </c>
      <c r="AA75" s="43" t="s">
        <v>355</v>
      </c>
      <c r="AB75" s="43">
        <f t="shared" si="2"/>
        <v>1</v>
      </c>
    </row>
    <row r="76" spans="1:28" x14ac:dyDescent="0.15">
      <c r="A76" s="48" t="s">
        <v>95</v>
      </c>
      <c r="B76" s="48" t="s">
        <v>96</v>
      </c>
      <c r="C76" s="49" t="s">
        <v>16</v>
      </c>
      <c r="D76" s="49" t="s">
        <v>278</v>
      </c>
      <c r="E76" s="49" t="s">
        <v>213</v>
      </c>
      <c r="F76" s="49" t="s">
        <v>101</v>
      </c>
      <c r="G76" s="49" t="s">
        <v>406</v>
      </c>
      <c r="H76" s="50">
        <v>266</v>
      </c>
      <c r="I76" s="51">
        <v>245</v>
      </c>
      <c r="AA76" s="43" t="s">
        <v>356</v>
      </c>
      <c r="AB76" s="43">
        <f t="shared" si="2"/>
        <v>1</v>
      </c>
    </row>
    <row r="77" spans="1:28" x14ac:dyDescent="0.15">
      <c r="A77" s="48" t="s">
        <v>95</v>
      </c>
      <c r="B77" s="48" t="s">
        <v>96</v>
      </c>
      <c r="C77" s="49" t="s">
        <v>16</v>
      </c>
      <c r="D77" s="49" t="s">
        <v>278</v>
      </c>
      <c r="E77" s="49" t="s">
        <v>214</v>
      </c>
      <c r="F77" s="49" t="s">
        <v>99</v>
      </c>
      <c r="G77" s="49" t="s">
        <v>410</v>
      </c>
      <c r="H77" s="50">
        <v>44</v>
      </c>
      <c r="I77" s="51">
        <v>245</v>
      </c>
      <c r="AA77" s="43" t="s">
        <v>357</v>
      </c>
      <c r="AB77" s="43">
        <f t="shared" si="2"/>
        <v>1</v>
      </c>
    </row>
    <row r="78" spans="1:28" x14ac:dyDescent="0.15">
      <c r="A78" s="48" t="s">
        <v>95</v>
      </c>
      <c r="B78" s="48" t="s">
        <v>96</v>
      </c>
      <c r="C78" s="49" t="s">
        <v>16</v>
      </c>
      <c r="D78" s="49" t="s">
        <v>278</v>
      </c>
      <c r="E78" s="49" t="s">
        <v>215</v>
      </c>
      <c r="F78" s="49" t="s">
        <v>216</v>
      </c>
      <c r="G78" s="49" t="s">
        <v>408</v>
      </c>
      <c r="H78" s="50">
        <v>44</v>
      </c>
      <c r="I78" s="51">
        <v>49</v>
      </c>
      <c r="AA78" s="43" t="s">
        <v>358</v>
      </c>
      <c r="AB78" s="43">
        <f t="shared" si="2"/>
        <v>1</v>
      </c>
    </row>
    <row r="79" spans="1:28" x14ac:dyDescent="0.15">
      <c r="A79" s="48" t="s">
        <v>95</v>
      </c>
      <c r="B79" s="48" t="s">
        <v>96</v>
      </c>
      <c r="C79" s="49" t="s">
        <v>16</v>
      </c>
      <c r="D79" s="49" t="s">
        <v>278</v>
      </c>
      <c r="E79" s="49" t="s">
        <v>217</v>
      </c>
      <c r="F79" s="49" t="s">
        <v>103</v>
      </c>
      <c r="G79" s="49" t="s">
        <v>408</v>
      </c>
      <c r="H79" s="50">
        <v>22</v>
      </c>
      <c r="I79" s="51">
        <v>245</v>
      </c>
      <c r="AA79" s="43" t="s">
        <v>359</v>
      </c>
      <c r="AB79" s="43">
        <f t="shared" si="2"/>
        <v>1</v>
      </c>
    </row>
    <row r="80" spans="1:28" x14ac:dyDescent="0.15">
      <c r="A80" s="48" t="s">
        <v>95</v>
      </c>
      <c r="B80" s="48" t="s">
        <v>96</v>
      </c>
      <c r="C80" s="49" t="s">
        <v>9</v>
      </c>
      <c r="D80" s="49" t="s">
        <v>278</v>
      </c>
      <c r="E80" s="49" t="s">
        <v>218</v>
      </c>
      <c r="F80" s="49" t="s">
        <v>145</v>
      </c>
      <c r="G80" s="49" t="s">
        <v>407</v>
      </c>
      <c r="H80" s="50">
        <v>15</v>
      </c>
      <c r="I80" s="51">
        <v>490</v>
      </c>
      <c r="AA80" s="43" t="s">
        <v>360</v>
      </c>
      <c r="AB80" s="43">
        <f t="shared" si="2"/>
        <v>1</v>
      </c>
    </row>
    <row r="81" spans="1:28" x14ac:dyDescent="0.15">
      <c r="A81" s="48" t="s">
        <v>95</v>
      </c>
      <c r="B81" s="48" t="s">
        <v>96</v>
      </c>
      <c r="C81" s="49" t="s">
        <v>9</v>
      </c>
      <c r="D81" s="49" t="s">
        <v>278</v>
      </c>
      <c r="E81" s="49" t="s">
        <v>219</v>
      </c>
      <c r="F81" s="49" t="s">
        <v>122</v>
      </c>
      <c r="G81" s="49" t="s">
        <v>407</v>
      </c>
      <c r="H81" s="50">
        <v>4.5</v>
      </c>
      <c r="I81" s="51">
        <v>490</v>
      </c>
      <c r="AA81" s="43" t="s">
        <v>361</v>
      </c>
      <c r="AB81" s="43">
        <f t="shared" si="2"/>
        <v>1</v>
      </c>
    </row>
    <row r="82" spans="1:28" x14ac:dyDescent="0.15">
      <c r="A82" s="48" t="s">
        <v>95</v>
      </c>
      <c r="B82" s="48" t="s">
        <v>96</v>
      </c>
      <c r="C82" s="49" t="s">
        <v>9</v>
      </c>
      <c r="D82" s="49" t="s">
        <v>278</v>
      </c>
      <c r="E82" s="49" t="s">
        <v>220</v>
      </c>
      <c r="F82" s="49" t="s">
        <v>145</v>
      </c>
      <c r="G82" s="49" t="s">
        <v>407</v>
      </c>
      <c r="H82" s="50">
        <v>15</v>
      </c>
      <c r="I82" s="51">
        <v>490</v>
      </c>
      <c r="AA82" s="43" t="s">
        <v>362</v>
      </c>
      <c r="AB82" s="43">
        <f t="shared" si="2"/>
        <v>1</v>
      </c>
    </row>
    <row r="83" spans="1:28" x14ac:dyDescent="0.15">
      <c r="A83" s="48" t="s">
        <v>95</v>
      </c>
      <c r="B83" s="48" t="s">
        <v>96</v>
      </c>
      <c r="C83" s="49" t="s">
        <v>14</v>
      </c>
      <c r="D83" s="49" t="s">
        <v>278</v>
      </c>
      <c r="E83" s="49" t="s">
        <v>221</v>
      </c>
      <c r="F83" s="49" t="s">
        <v>206</v>
      </c>
      <c r="G83" s="49" t="s">
        <v>406</v>
      </c>
      <c r="H83" s="50">
        <v>15</v>
      </c>
      <c r="I83" s="51">
        <v>245</v>
      </c>
      <c r="AA83" s="43" t="s">
        <v>363</v>
      </c>
      <c r="AB83" s="43">
        <f t="shared" si="2"/>
        <v>1</v>
      </c>
    </row>
    <row r="84" spans="1:28" x14ac:dyDescent="0.15">
      <c r="A84" s="48" t="s">
        <v>95</v>
      </c>
      <c r="B84" s="48" t="s">
        <v>96</v>
      </c>
      <c r="C84" s="49" t="s">
        <v>14</v>
      </c>
      <c r="D84" s="49" t="s">
        <v>278</v>
      </c>
      <c r="E84" s="49" t="s">
        <v>222</v>
      </c>
      <c r="F84" s="49" t="s">
        <v>206</v>
      </c>
      <c r="G84" s="49" t="s">
        <v>406</v>
      </c>
      <c r="H84" s="50">
        <v>15</v>
      </c>
      <c r="I84" s="51">
        <v>245</v>
      </c>
      <c r="AA84" s="43" t="s">
        <v>364</v>
      </c>
      <c r="AB84" s="43">
        <f t="shared" si="2"/>
        <v>1</v>
      </c>
    </row>
    <row r="85" spans="1:28" x14ac:dyDescent="0.15">
      <c r="A85" s="48" t="s">
        <v>95</v>
      </c>
      <c r="B85" s="48" t="s">
        <v>96</v>
      </c>
      <c r="C85" s="49" t="s">
        <v>14</v>
      </c>
      <c r="D85" s="49" t="s">
        <v>278</v>
      </c>
      <c r="E85" s="49" t="s">
        <v>223</v>
      </c>
      <c r="F85" s="49" t="s">
        <v>224</v>
      </c>
      <c r="G85" s="49" t="s">
        <v>406</v>
      </c>
      <c r="H85" s="50">
        <v>15</v>
      </c>
      <c r="I85" s="51">
        <v>245</v>
      </c>
      <c r="AA85" s="43" t="s">
        <v>365</v>
      </c>
      <c r="AB85" s="43">
        <f t="shared" si="2"/>
        <v>1</v>
      </c>
    </row>
    <row r="86" spans="1:28" x14ac:dyDescent="0.15">
      <c r="A86" s="48" t="s">
        <v>95</v>
      </c>
      <c r="B86" s="48" t="s">
        <v>96</v>
      </c>
      <c r="C86" s="49" t="s">
        <v>47</v>
      </c>
      <c r="D86" s="49" t="s">
        <v>278</v>
      </c>
      <c r="E86" s="49" t="s">
        <v>225</v>
      </c>
      <c r="F86" s="49" t="s">
        <v>226</v>
      </c>
      <c r="G86" s="49" t="s">
        <v>406</v>
      </c>
      <c r="H86" s="50">
        <v>136</v>
      </c>
      <c r="I86" s="51">
        <v>245</v>
      </c>
      <c r="AA86" s="43" t="s">
        <v>366</v>
      </c>
      <c r="AB86" s="43">
        <f t="shared" si="2"/>
        <v>1</v>
      </c>
    </row>
    <row r="87" spans="1:28" x14ac:dyDescent="0.15">
      <c r="A87" s="48" t="s">
        <v>95</v>
      </c>
      <c r="B87" s="48" t="s">
        <v>96</v>
      </c>
      <c r="C87" s="49" t="s">
        <v>16</v>
      </c>
      <c r="D87" s="49" t="s">
        <v>278</v>
      </c>
      <c r="E87" s="49" t="s">
        <v>227</v>
      </c>
      <c r="F87" s="49" t="s">
        <v>115</v>
      </c>
      <c r="G87" s="49" t="s">
        <v>407</v>
      </c>
      <c r="H87" s="50">
        <v>32.5</v>
      </c>
      <c r="I87" s="51">
        <v>245</v>
      </c>
      <c r="AA87" s="43" t="s">
        <v>367</v>
      </c>
      <c r="AB87" s="43">
        <f t="shared" si="2"/>
        <v>1</v>
      </c>
    </row>
    <row r="88" spans="1:28" x14ac:dyDescent="0.15">
      <c r="A88" s="48" t="s">
        <v>95</v>
      </c>
      <c r="B88" s="48" t="s">
        <v>96</v>
      </c>
      <c r="C88" s="49" t="s">
        <v>94</v>
      </c>
      <c r="D88" s="49" t="s">
        <v>278</v>
      </c>
      <c r="E88" s="49" t="s">
        <v>228</v>
      </c>
      <c r="F88" s="49" t="s">
        <v>229</v>
      </c>
      <c r="G88" s="49" t="s">
        <v>406</v>
      </c>
      <c r="H88" s="50">
        <v>65</v>
      </c>
      <c r="I88" s="51">
        <v>245</v>
      </c>
      <c r="AA88" s="43" t="s">
        <v>368</v>
      </c>
      <c r="AB88" s="43">
        <f t="shared" si="2"/>
        <v>1</v>
      </c>
    </row>
    <row r="89" spans="1:28" x14ac:dyDescent="0.15">
      <c r="A89" s="48" t="s">
        <v>95</v>
      </c>
      <c r="B89" s="48" t="s">
        <v>96</v>
      </c>
      <c r="C89" s="49" t="s">
        <v>16</v>
      </c>
      <c r="D89" s="49" t="s">
        <v>279</v>
      </c>
      <c r="E89" s="49" t="s">
        <v>230</v>
      </c>
      <c r="F89" s="49" t="s">
        <v>99</v>
      </c>
      <c r="G89" s="49" t="s">
        <v>407</v>
      </c>
      <c r="H89" s="50">
        <v>32.5</v>
      </c>
      <c r="I89" s="51">
        <v>245</v>
      </c>
      <c r="AA89" s="43" t="s">
        <v>369</v>
      </c>
      <c r="AB89" s="43">
        <f t="shared" si="2"/>
        <v>1</v>
      </c>
    </row>
    <row r="90" spans="1:28" x14ac:dyDescent="0.15">
      <c r="A90" s="48" t="s">
        <v>95</v>
      </c>
      <c r="B90" s="48" t="s">
        <v>96</v>
      </c>
      <c r="C90" s="49" t="s">
        <v>104</v>
      </c>
      <c r="D90" s="49" t="s">
        <v>279</v>
      </c>
      <c r="E90" s="49" t="s">
        <v>231</v>
      </c>
      <c r="F90" s="49" t="s">
        <v>136</v>
      </c>
      <c r="G90" s="49" t="s">
        <v>406</v>
      </c>
      <c r="H90" s="50">
        <v>42</v>
      </c>
      <c r="I90" s="51">
        <v>0</v>
      </c>
      <c r="AA90" s="43" t="s">
        <v>370</v>
      </c>
      <c r="AB90" s="43">
        <f t="shared" si="2"/>
        <v>1</v>
      </c>
    </row>
    <row r="91" spans="1:28" x14ac:dyDescent="0.15">
      <c r="A91" s="48" t="s">
        <v>95</v>
      </c>
      <c r="B91" s="48" t="s">
        <v>96</v>
      </c>
      <c r="C91" s="49" t="s">
        <v>9</v>
      </c>
      <c r="D91" s="49" t="s">
        <v>279</v>
      </c>
      <c r="E91" s="49" t="s">
        <v>232</v>
      </c>
      <c r="F91" s="49" t="s">
        <v>122</v>
      </c>
      <c r="G91" s="49" t="s">
        <v>407</v>
      </c>
      <c r="H91" s="50">
        <v>5.8</v>
      </c>
      <c r="I91" s="51">
        <v>490</v>
      </c>
      <c r="AA91" s="43" t="s">
        <v>371</v>
      </c>
      <c r="AB91" s="43">
        <f t="shared" si="2"/>
        <v>1</v>
      </c>
    </row>
    <row r="92" spans="1:28" x14ac:dyDescent="0.15">
      <c r="A92" s="48" t="s">
        <v>95</v>
      </c>
      <c r="B92" s="48" t="s">
        <v>96</v>
      </c>
      <c r="C92" s="49" t="s">
        <v>16</v>
      </c>
      <c r="D92" s="49" t="s">
        <v>279</v>
      </c>
      <c r="E92" s="49" t="s">
        <v>233</v>
      </c>
      <c r="F92" s="49" t="s">
        <v>101</v>
      </c>
      <c r="G92" s="49" t="s">
        <v>406</v>
      </c>
      <c r="H92" s="50">
        <v>139</v>
      </c>
      <c r="I92" s="51">
        <v>245</v>
      </c>
      <c r="AA92" s="43" t="s">
        <v>372</v>
      </c>
      <c r="AB92" s="43">
        <f t="shared" si="2"/>
        <v>1</v>
      </c>
    </row>
    <row r="93" spans="1:28" x14ac:dyDescent="0.15">
      <c r="A93" s="48" t="s">
        <v>95</v>
      </c>
      <c r="B93" s="48" t="s">
        <v>96</v>
      </c>
      <c r="C93" s="49" t="s">
        <v>47</v>
      </c>
      <c r="D93" s="49" t="s">
        <v>279</v>
      </c>
      <c r="E93" s="49" t="s">
        <v>234</v>
      </c>
      <c r="F93" s="49" t="s">
        <v>159</v>
      </c>
      <c r="G93" s="49" t="s">
        <v>406</v>
      </c>
      <c r="H93" s="50">
        <v>791</v>
      </c>
      <c r="I93" s="51">
        <v>245</v>
      </c>
      <c r="AA93" s="43" t="s">
        <v>373</v>
      </c>
      <c r="AB93" s="43">
        <f t="shared" si="2"/>
        <v>1</v>
      </c>
    </row>
    <row r="94" spans="1:28" x14ac:dyDescent="0.15">
      <c r="A94" s="48" t="s">
        <v>95</v>
      </c>
      <c r="B94" s="48" t="s">
        <v>96</v>
      </c>
      <c r="C94" s="49" t="s">
        <v>47</v>
      </c>
      <c r="D94" s="49" t="s">
        <v>279</v>
      </c>
      <c r="E94" s="49" t="s">
        <v>235</v>
      </c>
      <c r="F94" s="49" t="s">
        <v>138</v>
      </c>
      <c r="G94" s="49" t="s">
        <v>406</v>
      </c>
      <c r="H94" s="50">
        <v>691</v>
      </c>
      <c r="I94" s="51">
        <v>245</v>
      </c>
      <c r="AA94" s="43" t="s">
        <v>374</v>
      </c>
      <c r="AB94" s="43">
        <f t="shared" si="2"/>
        <v>1</v>
      </c>
    </row>
    <row r="95" spans="1:28" x14ac:dyDescent="0.15">
      <c r="A95" s="48" t="s">
        <v>95</v>
      </c>
      <c r="B95" s="48" t="s">
        <v>96</v>
      </c>
      <c r="C95" s="49" t="s">
        <v>14</v>
      </c>
      <c r="D95" s="49" t="s">
        <v>279</v>
      </c>
      <c r="E95" s="49" t="s">
        <v>236</v>
      </c>
      <c r="F95" s="49" t="s">
        <v>237</v>
      </c>
      <c r="G95" s="49" t="s">
        <v>406</v>
      </c>
      <c r="H95" s="50">
        <v>93</v>
      </c>
      <c r="I95" s="51">
        <v>245</v>
      </c>
      <c r="AA95" s="43" t="s">
        <v>375</v>
      </c>
      <c r="AB95" s="43">
        <f t="shared" si="2"/>
        <v>1</v>
      </c>
    </row>
    <row r="96" spans="1:28" x14ac:dyDescent="0.15">
      <c r="A96" s="48" t="s">
        <v>95</v>
      </c>
      <c r="B96" s="48" t="s">
        <v>96</v>
      </c>
      <c r="C96" s="49" t="s">
        <v>16</v>
      </c>
      <c r="D96" s="49" t="s">
        <v>279</v>
      </c>
      <c r="E96" s="49" t="s">
        <v>238</v>
      </c>
      <c r="F96" s="49" t="s">
        <v>101</v>
      </c>
      <c r="G96" s="49" t="s">
        <v>406</v>
      </c>
      <c r="H96" s="50">
        <v>40</v>
      </c>
      <c r="I96" s="51">
        <v>245</v>
      </c>
      <c r="AA96" s="43" t="s">
        <v>376</v>
      </c>
      <c r="AB96" s="43">
        <f t="shared" si="2"/>
        <v>1</v>
      </c>
    </row>
    <row r="97" spans="1:28" x14ac:dyDescent="0.15">
      <c r="A97" s="48" t="s">
        <v>95</v>
      </c>
      <c r="B97" s="48" t="s">
        <v>96</v>
      </c>
      <c r="C97" s="49" t="s">
        <v>9</v>
      </c>
      <c r="D97" s="49" t="s">
        <v>279</v>
      </c>
      <c r="E97" s="49" t="s">
        <v>239</v>
      </c>
      <c r="F97" s="49" t="s">
        <v>145</v>
      </c>
      <c r="G97" s="49" t="s">
        <v>407</v>
      </c>
      <c r="H97" s="50">
        <v>15</v>
      </c>
      <c r="I97" s="51">
        <v>490</v>
      </c>
      <c r="AA97" s="43" t="s">
        <v>377</v>
      </c>
      <c r="AB97" s="43">
        <f t="shared" si="2"/>
        <v>1</v>
      </c>
    </row>
    <row r="98" spans="1:28" x14ac:dyDescent="0.15">
      <c r="A98" s="48" t="s">
        <v>95</v>
      </c>
      <c r="B98" s="48" t="s">
        <v>96</v>
      </c>
      <c r="C98" s="49" t="s">
        <v>9</v>
      </c>
      <c r="D98" s="49" t="s">
        <v>279</v>
      </c>
      <c r="E98" s="49" t="s">
        <v>240</v>
      </c>
      <c r="F98" s="49" t="s">
        <v>145</v>
      </c>
      <c r="G98" s="49" t="s">
        <v>407</v>
      </c>
      <c r="H98" s="50">
        <v>15</v>
      </c>
      <c r="I98" s="51">
        <v>490</v>
      </c>
      <c r="AA98" s="43" t="s">
        <v>378</v>
      </c>
      <c r="AB98" s="43">
        <f t="shared" ref="AB98:AB129" si="3">COUNTIF(AA:AA,AA98)</f>
        <v>1</v>
      </c>
    </row>
    <row r="99" spans="1:28" x14ac:dyDescent="0.15">
      <c r="A99" s="48" t="s">
        <v>95</v>
      </c>
      <c r="B99" s="48" t="s">
        <v>96</v>
      </c>
      <c r="C99" s="49" t="s">
        <v>16</v>
      </c>
      <c r="D99" s="49" t="s">
        <v>279</v>
      </c>
      <c r="E99" s="49" t="s">
        <v>241</v>
      </c>
      <c r="F99" s="49" t="s">
        <v>242</v>
      </c>
      <c r="G99" s="49" t="s">
        <v>408</v>
      </c>
      <c r="H99" s="50">
        <v>15</v>
      </c>
      <c r="I99" s="51">
        <v>245</v>
      </c>
      <c r="AA99" s="43" t="s">
        <v>379</v>
      </c>
      <c r="AB99" s="43">
        <f t="shared" si="3"/>
        <v>1</v>
      </c>
    </row>
    <row r="100" spans="1:28" x14ac:dyDescent="0.15">
      <c r="A100" s="48" t="s">
        <v>95</v>
      </c>
      <c r="B100" s="48" t="s">
        <v>96</v>
      </c>
      <c r="C100" s="49" t="s">
        <v>16</v>
      </c>
      <c r="D100" s="49" t="s">
        <v>279</v>
      </c>
      <c r="E100" s="49" t="s">
        <v>243</v>
      </c>
      <c r="F100" s="49" t="s">
        <v>99</v>
      </c>
      <c r="G100" s="49" t="s">
        <v>415</v>
      </c>
      <c r="H100" s="50">
        <v>44</v>
      </c>
      <c r="I100" s="51">
        <v>245</v>
      </c>
      <c r="AA100" s="43" t="s">
        <v>380</v>
      </c>
      <c r="AB100" s="43">
        <f t="shared" si="3"/>
        <v>1</v>
      </c>
    </row>
    <row r="101" spans="1:28" x14ac:dyDescent="0.15">
      <c r="A101" s="48" t="s">
        <v>95</v>
      </c>
      <c r="B101" s="48" t="s">
        <v>96</v>
      </c>
      <c r="C101" s="49" t="s">
        <v>16</v>
      </c>
      <c r="D101" s="49" t="s">
        <v>279</v>
      </c>
      <c r="E101" s="49" t="s">
        <v>244</v>
      </c>
      <c r="F101" s="49" t="s">
        <v>148</v>
      </c>
      <c r="G101" s="49" t="s">
        <v>408</v>
      </c>
      <c r="H101" s="50">
        <v>44</v>
      </c>
      <c r="I101" s="51">
        <v>49</v>
      </c>
      <c r="AA101" s="43" t="s">
        <v>381</v>
      </c>
      <c r="AB101" s="43">
        <f t="shared" si="3"/>
        <v>1</v>
      </c>
    </row>
    <row r="102" spans="1:28" x14ac:dyDescent="0.15">
      <c r="A102" s="48" t="s">
        <v>95</v>
      </c>
      <c r="B102" s="48" t="s">
        <v>96</v>
      </c>
      <c r="C102" s="49" t="s">
        <v>104</v>
      </c>
      <c r="D102" s="49" t="s">
        <v>279</v>
      </c>
      <c r="E102" s="49" t="s">
        <v>245</v>
      </c>
      <c r="F102" s="49" t="s">
        <v>136</v>
      </c>
      <c r="G102" s="49" t="s">
        <v>406</v>
      </c>
      <c r="H102" s="50">
        <v>136</v>
      </c>
      <c r="I102" s="51">
        <v>0</v>
      </c>
      <c r="AA102" s="43" t="s">
        <v>382</v>
      </c>
      <c r="AB102" s="43">
        <f t="shared" si="3"/>
        <v>1</v>
      </c>
    </row>
    <row r="103" spans="1:28" x14ac:dyDescent="0.15">
      <c r="A103" s="48" t="s">
        <v>95</v>
      </c>
      <c r="B103" s="48" t="s">
        <v>96</v>
      </c>
      <c r="C103" s="49" t="s">
        <v>16</v>
      </c>
      <c r="D103" s="49" t="s">
        <v>279</v>
      </c>
      <c r="E103" s="49" t="s">
        <v>246</v>
      </c>
      <c r="F103" s="49" t="s">
        <v>113</v>
      </c>
      <c r="G103" s="49" t="s">
        <v>406</v>
      </c>
      <c r="H103" s="50">
        <v>21.5</v>
      </c>
      <c r="I103" s="51">
        <v>245</v>
      </c>
      <c r="AA103" s="43" t="s">
        <v>383</v>
      </c>
      <c r="AB103" s="43">
        <f t="shared" si="3"/>
        <v>1</v>
      </c>
    </row>
    <row r="104" spans="1:28" x14ac:dyDescent="0.15">
      <c r="A104" s="48" t="s">
        <v>95</v>
      </c>
      <c r="B104" s="48" t="s">
        <v>96</v>
      </c>
      <c r="C104" s="49" t="s">
        <v>9</v>
      </c>
      <c r="D104" s="49" t="s">
        <v>279</v>
      </c>
      <c r="E104" s="49" t="s">
        <v>247</v>
      </c>
      <c r="F104" s="49" t="s">
        <v>248</v>
      </c>
      <c r="G104" s="49" t="s">
        <v>407</v>
      </c>
      <c r="H104" s="50">
        <v>28</v>
      </c>
      <c r="I104" s="51">
        <v>490</v>
      </c>
      <c r="AA104" s="43" t="s">
        <v>384</v>
      </c>
      <c r="AB104" s="43">
        <f t="shared" si="3"/>
        <v>1</v>
      </c>
    </row>
    <row r="105" spans="1:28" x14ac:dyDescent="0.15">
      <c r="A105" s="48" t="s">
        <v>95</v>
      </c>
      <c r="B105" s="48" t="s">
        <v>96</v>
      </c>
      <c r="C105" s="49" t="s">
        <v>104</v>
      </c>
      <c r="D105" s="49" t="s">
        <v>279</v>
      </c>
      <c r="E105" s="49" t="s">
        <v>249</v>
      </c>
      <c r="F105" s="49" t="s">
        <v>117</v>
      </c>
      <c r="G105" s="49" t="s">
        <v>406</v>
      </c>
      <c r="H105" s="50">
        <v>64</v>
      </c>
      <c r="I105" s="51">
        <v>0</v>
      </c>
      <c r="AA105" s="43" t="s">
        <v>385</v>
      </c>
      <c r="AB105" s="43">
        <f t="shared" si="3"/>
        <v>1</v>
      </c>
    </row>
    <row r="106" spans="1:28" x14ac:dyDescent="0.15">
      <c r="A106" s="48" t="s">
        <v>95</v>
      </c>
      <c r="B106" s="48" t="s">
        <v>96</v>
      </c>
      <c r="C106" s="49" t="s">
        <v>16</v>
      </c>
      <c r="D106" s="49" t="s">
        <v>279</v>
      </c>
      <c r="E106" s="49" t="s">
        <v>250</v>
      </c>
      <c r="F106" s="49" t="s">
        <v>115</v>
      </c>
      <c r="G106" s="49" t="s">
        <v>407</v>
      </c>
      <c r="H106" s="50">
        <v>32.5</v>
      </c>
      <c r="I106" s="51">
        <v>245</v>
      </c>
      <c r="AA106" s="43" t="s">
        <v>386</v>
      </c>
      <c r="AB106" s="43">
        <f t="shared" si="3"/>
        <v>1</v>
      </c>
    </row>
    <row r="107" spans="1:28" x14ac:dyDescent="0.15">
      <c r="A107" s="48" t="s">
        <v>95</v>
      </c>
      <c r="B107" s="48" t="s">
        <v>96</v>
      </c>
      <c r="C107" s="49" t="s">
        <v>16</v>
      </c>
      <c r="D107" s="49" t="s">
        <v>280</v>
      </c>
      <c r="E107" s="49" t="s">
        <v>251</v>
      </c>
      <c r="F107" s="49" t="s">
        <v>99</v>
      </c>
      <c r="G107" s="49" t="s">
        <v>407</v>
      </c>
      <c r="H107" s="50">
        <v>32.5</v>
      </c>
      <c r="I107" s="51">
        <v>245</v>
      </c>
      <c r="AA107" s="43" t="s">
        <v>387</v>
      </c>
      <c r="AB107" s="43">
        <f t="shared" si="3"/>
        <v>1</v>
      </c>
    </row>
    <row r="108" spans="1:28" x14ac:dyDescent="0.15">
      <c r="A108" s="48" t="s">
        <v>95</v>
      </c>
      <c r="B108" s="48" t="s">
        <v>96</v>
      </c>
      <c r="C108" s="49" t="s">
        <v>104</v>
      </c>
      <c r="D108" s="49" t="s">
        <v>280</v>
      </c>
      <c r="E108" s="49" t="s">
        <v>252</v>
      </c>
      <c r="F108" s="49" t="s">
        <v>136</v>
      </c>
      <c r="G108" s="49" t="s">
        <v>406</v>
      </c>
      <c r="H108" s="50">
        <v>47</v>
      </c>
      <c r="I108" s="51">
        <v>0</v>
      </c>
      <c r="AA108" s="43" t="s">
        <v>388</v>
      </c>
      <c r="AB108" s="43">
        <f t="shared" si="3"/>
        <v>1</v>
      </c>
    </row>
    <row r="109" spans="1:28" x14ac:dyDescent="0.15">
      <c r="A109" s="48" t="s">
        <v>95</v>
      </c>
      <c r="B109" s="48" t="s">
        <v>96</v>
      </c>
      <c r="C109" s="49" t="s">
        <v>16</v>
      </c>
      <c r="D109" s="49" t="s">
        <v>280</v>
      </c>
      <c r="E109" s="49" t="s">
        <v>253</v>
      </c>
      <c r="F109" s="49" t="s">
        <v>101</v>
      </c>
      <c r="G109" s="49" t="s">
        <v>406</v>
      </c>
      <c r="H109" s="50">
        <v>143</v>
      </c>
      <c r="I109" s="51">
        <v>245</v>
      </c>
      <c r="AA109" s="43" t="s">
        <v>389</v>
      </c>
      <c r="AB109" s="43">
        <f t="shared" si="3"/>
        <v>1</v>
      </c>
    </row>
    <row r="110" spans="1:28" x14ac:dyDescent="0.15">
      <c r="A110" s="48" t="s">
        <v>95</v>
      </c>
      <c r="B110" s="48" t="s">
        <v>96</v>
      </c>
      <c r="C110" s="49" t="s">
        <v>47</v>
      </c>
      <c r="D110" s="49" t="s">
        <v>280</v>
      </c>
      <c r="E110" s="49" t="s">
        <v>254</v>
      </c>
      <c r="F110" s="49" t="s">
        <v>138</v>
      </c>
      <c r="G110" s="49" t="s">
        <v>406</v>
      </c>
      <c r="H110" s="50">
        <v>791</v>
      </c>
      <c r="I110" s="51">
        <v>245</v>
      </c>
      <c r="AA110" s="43" t="s">
        <v>390</v>
      </c>
      <c r="AB110" s="43">
        <f t="shared" si="3"/>
        <v>1</v>
      </c>
    </row>
    <row r="111" spans="1:28" x14ac:dyDescent="0.15">
      <c r="A111" s="48" t="s">
        <v>95</v>
      </c>
      <c r="B111" s="48" t="s">
        <v>96</v>
      </c>
      <c r="C111" s="49" t="s">
        <v>47</v>
      </c>
      <c r="D111" s="49" t="s">
        <v>280</v>
      </c>
      <c r="E111" s="49" t="s">
        <v>255</v>
      </c>
      <c r="F111" s="49" t="s">
        <v>138</v>
      </c>
      <c r="G111" s="49" t="s">
        <v>406</v>
      </c>
      <c r="H111" s="50">
        <v>678</v>
      </c>
      <c r="I111" s="51">
        <v>245</v>
      </c>
      <c r="AA111" s="43" t="s">
        <v>391</v>
      </c>
      <c r="AB111" s="43">
        <f t="shared" si="3"/>
        <v>1</v>
      </c>
    </row>
    <row r="112" spans="1:28" x14ac:dyDescent="0.15">
      <c r="A112" s="48" t="s">
        <v>95</v>
      </c>
      <c r="B112" s="48" t="s">
        <v>96</v>
      </c>
      <c r="C112" s="49" t="s">
        <v>9</v>
      </c>
      <c r="D112" s="49" t="s">
        <v>280</v>
      </c>
      <c r="E112" s="49" t="s">
        <v>256</v>
      </c>
      <c r="F112" s="49" t="s">
        <v>145</v>
      </c>
      <c r="G112" s="49" t="s">
        <v>407</v>
      </c>
      <c r="H112" s="50">
        <v>15</v>
      </c>
      <c r="I112" s="51">
        <v>490</v>
      </c>
      <c r="AA112" s="43" t="s">
        <v>392</v>
      </c>
      <c r="AB112" s="43">
        <f t="shared" si="3"/>
        <v>1</v>
      </c>
    </row>
    <row r="113" spans="1:28" x14ac:dyDescent="0.15">
      <c r="A113" s="48" t="s">
        <v>95</v>
      </c>
      <c r="B113" s="48" t="s">
        <v>96</v>
      </c>
      <c r="C113" s="49" t="s">
        <v>9</v>
      </c>
      <c r="D113" s="49" t="s">
        <v>280</v>
      </c>
      <c r="E113" s="49" t="s">
        <v>257</v>
      </c>
      <c r="F113" s="49" t="s">
        <v>145</v>
      </c>
      <c r="G113" s="49" t="s">
        <v>407</v>
      </c>
      <c r="H113" s="50">
        <v>15</v>
      </c>
      <c r="I113" s="51">
        <v>490</v>
      </c>
      <c r="AA113" s="43" t="s">
        <v>393</v>
      </c>
      <c r="AB113" s="43">
        <f t="shared" si="3"/>
        <v>1</v>
      </c>
    </row>
    <row r="114" spans="1:28" x14ac:dyDescent="0.15">
      <c r="A114" s="48" t="s">
        <v>95</v>
      </c>
      <c r="B114" s="48" t="s">
        <v>96</v>
      </c>
      <c r="C114" s="49" t="s">
        <v>14</v>
      </c>
      <c r="D114" s="49" t="s">
        <v>280</v>
      </c>
      <c r="E114" s="49" t="s">
        <v>258</v>
      </c>
      <c r="F114" s="49" t="s">
        <v>259</v>
      </c>
      <c r="G114" s="49" t="s">
        <v>407</v>
      </c>
      <c r="H114" s="50">
        <v>338</v>
      </c>
      <c r="I114" s="51">
        <v>245</v>
      </c>
      <c r="AA114" s="43" t="s">
        <v>394</v>
      </c>
      <c r="AB114" s="43">
        <f t="shared" si="3"/>
        <v>1</v>
      </c>
    </row>
    <row r="115" spans="1:28" x14ac:dyDescent="0.15">
      <c r="A115" s="48" t="s">
        <v>95</v>
      </c>
      <c r="B115" s="48" t="s">
        <v>96</v>
      </c>
      <c r="C115" s="49" t="s">
        <v>16</v>
      </c>
      <c r="D115" s="49" t="s">
        <v>280</v>
      </c>
      <c r="E115" s="49" t="s">
        <v>260</v>
      </c>
      <c r="F115" s="49" t="s">
        <v>261</v>
      </c>
      <c r="G115" s="49" t="s">
        <v>406</v>
      </c>
      <c r="H115" s="50">
        <v>60</v>
      </c>
      <c r="I115" s="51">
        <v>245</v>
      </c>
      <c r="AA115" s="43" t="s">
        <v>395</v>
      </c>
      <c r="AB115" s="43">
        <f t="shared" si="3"/>
        <v>1</v>
      </c>
    </row>
    <row r="116" spans="1:28" x14ac:dyDescent="0.15">
      <c r="A116" s="48" t="s">
        <v>95</v>
      </c>
      <c r="B116" s="48" t="s">
        <v>96</v>
      </c>
      <c r="C116" s="49" t="s">
        <v>16</v>
      </c>
      <c r="D116" s="49" t="s">
        <v>280</v>
      </c>
      <c r="E116" s="49" t="s">
        <v>262</v>
      </c>
      <c r="F116" s="49" t="s">
        <v>101</v>
      </c>
      <c r="G116" s="49" t="s">
        <v>406</v>
      </c>
      <c r="H116" s="50">
        <v>30</v>
      </c>
      <c r="I116" s="51">
        <v>245</v>
      </c>
      <c r="AA116" s="43" t="s">
        <v>396</v>
      </c>
      <c r="AB116" s="43">
        <f t="shared" si="3"/>
        <v>1</v>
      </c>
    </row>
    <row r="117" spans="1:28" x14ac:dyDescent="0.15">
      <c r="A117" s="48" t="s">
        <v>95</v>
      </c>
      <c r="B117" s="48" t="s">
        <v>96</v>
      </c>
      <c r="C117" s="49" t="s">
        <v>16</v>
      </c>
      <c r="D117" s="49" t="s">
        <v>280</v>
      </c>
      <c r="E117" s="49" t="s">
        <v>263</v>
      </c>
      <c r="F117" s="49" t="s">
        <v>99</v>
      </c>
      <c r="G117" s="49" t="s">
        <v>416</v>
      </c>
      <c r="H117" s="50">
        <v>44</v>
      </c>
      <c r="I117" s="51">
        <v>245</v>
      </c>
      <c r="AA117" s="43" t="s">
        <v>397</v>
      </c>
      <c r="AB117" s="43">
        <f t="shared" si="3"/>
        <v>1</v>
      </c>
    </row>
    <row r="118" spans="1:28" x14ac:dyDescent="0.15">
      <c r="A118" s="48" t="s">
        <v>95</v>
      </c>
      <c r="B118" s="48" t="s">
        <v>96</v>
      </c>
      <c r="C118" s="49" t="s">
        <v>16</v>
      </c>
      <c r="D118" s="49" t="s">
        <v>280</v>
      </c>
      <c r="E118" s="49" t="s">
        <v>264</v>
      </c>
      <c r="F118" s="49" t="s">
        <v>148</v>
      </c>
      <c r="G118" s="49" t="s">
        <v>408</v>
      </c>
      <c r="H118" s="50">
        <v>22</v>
      </c>
      <c r="I118" s="51">
        <v>49</v>
      </c>
      <c r="AA118" s="43" t="s">
        <v>398</v>
      </c>
      <c r="AB118" s="43">
        <f t="shared" si="3"/>
        <v>1</v>
      </c>
    </row>
    <row r="119" spans="1:28" x14ac:dyDescent="0.15">
      <c r="A119" s="48" t="s">
        <v>95</v>
      </c>
      <c r="B119" s="48" t="s">
        <v>96</v>
      </c>
      <c r="C119" s="49" t="s">
        <v>104</v>
      </c>
      <c r="D119" s="49" t="s">
        <v>280</v>
      </c>
      <c r="E119" s="49" t="s">
        <v>265</v>
      </c>
      <c r="F119" s="49" t="s">
        <v>266</v>
      </c>
      <c r="G119" s="49" t="s">
        <v>406</v>
      </c>
      <c r="H119" s="50">
        <v>136</v>
      </c>
      <c r="I119" s="51">
        <v>0</v>
      </c>
      <c r="AA119" s="43" t="s">
        <v>399</v>
      </c>
      <c r="AB119" s="43">
        <f t="shared" si="3"/>
        <v>1</v>
      </c>
    </row>
    <row r="120" spans="1:28" x14ac:dyDescent="0.15">
      <c r="A120" s="48" t="s">
        <v>95</v>
      </c>
      <c r="B120" s="48" t="s">
        <v>96</v>
      </c>
      <c r="C120" s="49" t="s">
        <v>16</v>
      </c>
      <c r="D120" s="49" t="s">
        <v>280</v>
      </c>
      <c r="E120" s="49" t="s">
        <v>267</v>
      </c>
      <c r="F120" s="49" t="s">
        <v>115</v>
      </c>
      <c r="G120" s="49" t="s">
        <v>407</v>
      </c>
      <c r="H120" s="50">
        <v>32.5</v>
      </c>
      <c r="I120" s="51">
        <v>245</v>
      </c>
      <c r="AA120" s="43" t="s">
        <v>400</v>
      </c>
      <c r="AB120" s="43">
        <f t="shared" si="3"/>
        <v>1</v>
      </c>
    </row>
    <row r="121" spans="1:28" x14ac:dyDescent="0.15">
      <c r="A121" s="48" t="s">
        <v>95</v>
      </c>
      <c r="B121" s="48" t="s">
        <v>96</v>
      </c>
      <c r="C121" s="49" t="s">
        <v>9</v>
      </c>
      <c r="D121" s="49" t="s">
        <v>280</v>
      </c>
      <c r="E121" s="49" t="s">
        <v>268</v>
      </c>
      <c r="F121" s="49" t="s">
        <v>248</v>
      </c>
      <c r="G121" s="49" t="s">
        <v>407</v>
      </c>
      <c r="H121" s="50">
        <v>28</v>
      </c>
      <c r="I121" s="51">
        <v>490</v>
      </c>
      <c r="AA121" s="43" t="s">
        <v>401</v>
      </c>
      <c r="AB121" s="43">
        <f t="shared" si="3"/>
        <v>1</v>
      </c>
    </row>
    <row r="122" spans="1:28" x14ac:dyDescent="0.15">
      <c r="A122" s="48" t="s">
        <v>95</v>
      </c>
      <c r="B122" s="48" t="s">
        <v>96</v>
      </c>
      <c r="C122" s="49" t="s">
        <v>16</v>
      </c>
      <c r="D122" s="49" t="s">
        <v>280</v>
      </c>
      <c r="E122" s="49" t="s">
        <v>269</v>
      </c>
      <c r="F122" s="49" t="s">
        <v>113</v>
      </c>
      <c r="G122" s="49" t="s">
        <v>406</v>
      </c>
      <c r="H122" s="50">
        <v>21.5</v>
      </c>
      <c r="I122" s="51">
        <v>245</v>
      </c>
      <c r="AA122" s="43" t="s">
        <v>402</v>
      </c>
      <c r="AB122" s="43">
        <f t="shared" si="3"/>
        <v>1</v>
      </c>
    </row>
    <row r="123" spans="1:28" x14ac:dyDescent="0.15">
      <c r="A123" s="48" t="s">
        <v>95</v>
      </c>
      <c r="B123" s="48" t="s">
        <v>96</v>
      </c>
      <c r="C123" s="49" t="s">
        <v>49</v>
      </c>
      <c r="D123" s="49" t="s">
        <v>280</v>
      </c>
      <c r="E123" s="49" t="s">
        <v>270</v>
      </c>
      <c r="F123" s="49" t="s">
        <v>271</v>
      </c>
      <c r="G123" s="49" t="s">
        <v>406</v>
      </c>
      <c r="H123" s="50">
        <v>64</v>
      </c>
      <c r="I123" s="51">
        <v>245</v>
      </c>
      <c r="AA123" s="43" t="s">
        <v>403</v>
      </c>
      <c r="AB123" s="43">
        <f t="shared" si="3"/>
        <v>1</v>
      </c>
    </row>
    <row r="124" spans="1:28" x14ac:dyDescent="0.15">
      <c r="A124" s="48" t="s">
        <v>95</v>
      </c>
      <c r="B124" s="48" t="s">
        <v>96</v>
      </c>
      <c r="C124" s="49" t="s">
        <v>16</v>
      </c>
      <c r="D124" s="49" t="s">
        <v>281</v>
      </c>
      <c r="E124" s="49" t="s">
        <v>272</v>
      </c>
      <c r="F124" s="49" t="s">
        <v>152</v>
      </c>
      <c r="G124" s="49" t="s">
        <v>409</v>
      </c>
      <c r="H124" s="50">
        <v>6</v>
      </c>
      <c r="I124" s="51">
        <v>245</v>
      </c>
      <c r="AA124" s="43" t="s">
        <v>404</v>
      </c>
      <c r="AB124" s="43">
        <f t="shared" si="3"/>
        <v>1</v>
      </c>
    </row>
    <row r="125" spans="1:28" x14ac:dyDescent="0.15">
      <c r="A125" s="48" t="s">
        <v>95</v>
      </c>
      <c r="B125" s="48" t="s">
        <v>96</v>
      </c>
      <c r="C125" s="49" t="s">
        <v>12</v>
      </c>
      <c r="D125" s="49" t="s">
        <v>281</v>
      </c>
      <c r="E125" s="49" t="s">
        <v>273</v>
      </c>
      <c r="F125" s="49" t="s">
        <v>274</v>
      </c>
      <c r="G125" s="49" t="s">
        <v>417</v>
      </c>
      <c r="H125" s="50">
        <v>222</v>
      </c>
      <c r="I125" s="51">
        <v>245</v>
      </c>
      <c r="AA125" s="43" t="s">
        <v>405</v>
      </c>
      <c r="AB125" s="43">
        <f t="shared" si="3"/>
        <v>1</v>
      </c>
    </row>
  </sheetData>
  <sheetProtection algorithmName="SHA-512" hashValue="SeVMVBwzg7FiCuCY0Wvl/D70M+pk7VeWqVtruNgvUoxzQdPZz6HX20F4MlB05lyEEVIPlhPBptbBQJ0tgQB6sw==" saltValue="UaeZ41PFMiib4Q8qFFVaBA==" spinCount="100000" sheet="1" objects="1" scenarios="1"/>
  <conditionalFormatting sqref="E1:E1048576">
    <cfRule type="expression" dxfId="15" priority="1">
      <formula>AB1&gt;1</formula>
    </cfRule>
  </conditionalFormatting>
  <dataValidations count="1">
    <dataValidation type="list" errorStyle="warning" allowBlank="1" showDropDown="1" errorTitle="Foutieve ruimtesoort" error="Deze ruimtesoort komt niet overeen met de gestelde voorwaarden." promptTitle="Ruimtesoort" prompt="De ruimtesoort moet beginnen met een hoofdletter en is altijd in enkelvoud. De ruimtesoort dient in Relatics bekend te zijn." sqref="C1 C70:C1048576" xr:uid="{00000000-0002-0000-0000-000000000000}">
      <formula1>RS</formula1>
    </dataValidation>
  </dataValidations>
  <printOptions gridLines="1"/>
  <pageMargins left="0.75" right="0.75" top="1" bottom="1" header="0.5" footer="0.5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7"/>
  <dimension ref="A3:G30"/>
  <sheetViews>
    <sheetView workbookViewId="0">
      <selection activeCell="F16" sqref="F16"/>
    </sheetView>
  </sheetViews>
  <sheetFormatPr defaultColWidth="8.85546875" defaultRowHeight="12.75" x14ac:dyDescent="0.2"/>
  <cols>
    <col min="4" max="4" width="14.85546875" customWidth="1"/>
  </cols>
  <sheetData>
    <row r="3" spans="1:7" x14ac:dyDescent="0.2">
      <c r="C3" s="97"/>
      <c r="D3" s="97"/>
      <c r="E3" s="97"/>
      <c r="F3" s="97"/>
      <c r="G3" s="97"/>
    </row>
    <row r="4" spans="1:7" x14ac:dyDescent="0.2">
      <c r="A4" s="97" t="s">
        <v>66</v>
      </c>
      <c r="C4" s="97"/>
      <c r="D4" s="97"/>
      <c r="E4" s="97"/>
      <c r="F4" s="97"/>
      <c r="G4" s="97"/>
    </row>
    <row r="5" spans="1:7" x14ac:dyDescent="0.2">
      <c r="C5" s="97"/>
      <c r="D5" s="97"/>
      <c r="E5" s="97"/>
      <c r="F5" s="97"/>
      <c r="G5" s="97"/>
    </row>
    <row r="6" spans="1:7" x14ac:dyDescent="0.2">
      <c r="A6" s="97" t="s">
        <v>67</v>
      </c>
      <c r="C6" s="97"/>
      <c r="D6" s="97"/>
      <c r="E6" s="97"/>
      <c r="F6" s="97"/>
      <c r="G6" s="97"/>
    </row>
    <row r="7" spans="1:7" x14ac:dyDescent="0.2">
      <c r="B7" s="97" t="s">
        <v>68</v>
      </c>
      <c r="C7" s="98"/>
      <c r="D7" s="107">
        <f>tUren</f>
        <v>0</v>
      </c>
      <c r="E7" s="97"/>
      <c r="F7" s="97"/>
      <c r="G7" s="97"/>
    </row>
    <row r="8" spans="1:7" x14ac:dyDescent="0.2">
      <c r="B8" s="97" t="s">
        <v>69</v>
      </c>
      <c r="C8" s="98"/>
      <c r="D8" s="107">
        <f>tUrenOlga-tUren</f>
        <v>0</v>
      </c>
      <c r="E8" s="97"/>
      <c r="F8" s="97"/>
      <c r="G8" s="97"/>
    </row>
    <row r="9" spans="1:7" x14ac:dyDescent="0.2">
      <c r="B9" s="97"/>
      <c r="C9" s="97"/>
      <c r="D9" s="97"/>
      <c r="E9" s="97"/>
      <c r="F9" s="97"/>
      <c r="G9" s="97"/>
    </row>
    <row r="10" spans="1:7" x14ac:dyDescent="0.2">
      <c r="A10" s="97" t="s">
        <v>70</v>
      </c>
      <c r="B10" s="97"/>
      <c r="C10" s="97"/>
      <c r="D10" s="97"/>
      <c r="E10" s="97"/>
      <c r="F10" s="97"/>
      <c r="G10" s="97"/>
    </row>
    <row r="11" spans="1:7" x14ac:dyDescent="0.2">
      <c r="B11" s="97" t="s">
        <v>71</v>
      </c>
      <c r="C11" s="105"/>
      <c r="D11" s="108">
        <f>D7*offerteuur</f>
        <v>0</v>
      </c>
      <c r="E11" s="97"/>
      <c r="F11" s="97"/>
      <c r="G11" s="97"/>
    </row>
    <row r="12" spans="1:7" x14ac:dyDescent="0.2">
      <c r="B12" s="97" t="s">
        <v>72</v>
      </c>
      <c r="C12" s="105"/>
      <c r="D12" s="108">
        <f>D8*offerteuurolga</f>
        <v>0</v>
      </c>
      <c r="E12" s="97"/>
      <c r="F12" s="97"/>
      <c r="G12" s="97"/>
    </row>
    <row r="13" spans="1:7" x14ac:dyDescent="0.2">
      <c r="B13" s="97"/>
      <c r="C13" s="97"/>
      <c r="D13" s="108"/>
      <c r="E13" s="97"/>
      <c r="F13" s="97"/>
      <c r="G13" s="97"/>
    </row>
    <row r="14" spans="1:7" x14ac:dyDescent="0.2">
      <c r="A14" s="97" t="s">
        <v>73</v>
      </c>
      <c r="B14" s="97"/>
      <c r="C14" s="97"/>
      <c r="D14" s="108"/>
      <c r="E14" s="97"/>
      <c r="F14" s="97"/>
      <c r="G14" s="97"/>
    </row>
    <row r="15" spans="1:7" x14ac:dyDescent="0.2">
      <c r="B15" s="97" t="s">
        <v>74</v>
      </c>
      <c r="C15" s="97"/>
      <c r="D15" s="108" t="e">
        <f>qc</f>
        <v>#REF!</v>
      </c>
      <c r="E15" s="97"/>
      <c r="F15" s="97"/>
      <c r="G15" s="97"/>
    </row>
    <row r="16" spans="1:7" x14ac:dyDescent="0.2">
      <c r="B16" s="97" t="s">
        <v>75</v>
      </c>
      <c r="C16" s="97"/>
      <c r="D16" s="108" t="e">
        <f>qcolga</f>
        <v>#REF!</v>
      </c>
      <c r="E16" s="97"/>
      <c r="F16" s="97"/>
      <c r="G16" s="97"/>
    </row>
    <row r="17" spans="1:7" x14ac:dyDescent="0.2">
      <c r="B17" s="97"/>
      <c r="C17" s="97"/>
      <c r="D17" s="108"/>
      <c r="E17" s="97"/>
      <c r="F17" s="97"/>
      <c r="G17" s="97"/>
    </row>
    <row r="18" spans="1:7" x14ac:dyDescent="0.2">
      <c r="A18" s="97" t="s">
        <v>76</v>
      </c>
      <c r="B18" s="97"/>
      <c r="C18" s="97"/>
      <c r="D18" s="108"/>
      <c r="E18" s="97"/>
      <c r="F18" s="97"/>
      <c r="G18" s="97"/>
    </row>
    <row r="19" spans="1:7" x14ac:dyDescent="0.2">
      <c r="B19" s="97" t="s">
        <v>77</v>
      </c>
      <c r="C19" s="97"/>
      <c r="D19" s="108">
        <f>IF(ISERROR(D15/D7),0,D15/D7)</f>
        <v>0</v>
      </c>
      <c r="E19" s="104">
        <v>0</v>
      </c>
      <c r="F19" s="97"/>
      <c r="G19" s="97"/>
    </row>
    <row r="20" spans="1:7" x14ac:dyDescent="0.2">
      <c r="B20" s="97" t="s">
        <v>78</v>
      </c>
      <c r="C20" s="97"/>
      <c r="D20" s="108">
        <f>IF(ISERROR(D16/D8),0,D16/D8)</f>
        <v>0</v>
      </c>
      <c r="E20" s="104">
        <v>0</v>
      </c>
      <c r="F20" s="97"/>
      <c r="G20" s="97"/>
    </row>
    <row r="21" spans="1:7" x14ac:dyDescent="0.2">
      <c r="B21" s="97"/>
      <c r="C21" s="97"/>
      <c r="D21" s="108"/>
      <c r="E21" s="104"/>
      <c r="F21" s="97"/>
      <c r="G21" s="97"/>
    </row>
    <row r="22" spans="1:7" x14ac:dyDescent="0.2">
      <c r="A22" s="97" t="s">
        <v>79</v>
      </c>
      <c r="B22" s="97"/>
      <c r="C22" s="97"/>
      <c r="D22" s="108"/>
      <c r="E22" s="104"/>
      <c r="F22" s="97"/>
      <c r="G22" s="97"/>
    </row>
    <row r="23" spans="1:7" x14ac:dyDescent="0.2">
      <c r="B23" s="97" t="s">
        <v>80</v>
      </c>
      <c r="C23" s="97"/>
      <c r="D23" s="108">
        <f>IF(ISERROR((5%*D11)/D7),0,(5%*D11)/D7)</f>
        <v>0</v>
      </c>
      <c r="E23" s="104">
        <v>0</v>
      </c>
      <c r="F23" s="97"/>
      <c r="G23" s="97"/>
    </row>
    <row r="24" spans="1:7" x14ac:dyDescent="0.2">
      <c r="B24" s="97" t="s">
        <v>81</v>
      </c>
      <c r="C24" s="97"/>
      <c r="D24" s="108">
        <f>IF(ISERROR((5%*D12)/D8),0,(5%*D12)/D8)</f>
        <v>0</v>
      </c>
      <c r="E24" s="104">
        <v>0</v>
      </c>
      <c r="F24" s="97"/>
      <c r="G24" s="97"/>
    </row>
    <row r="25" spans="1:7" x14ac:dyDescent="0.2">
      <c r="B25" s="97"/>
      <c r="C25" s="97"/>
      <c r="D25" s="99"/>
      <c r="E25" s="97"/>
      <c r="F25" s="97"/>
      <c r="G25" s="97"/>
    </row>
    <row r="26" spans="1:7" x14ac:dyDescent="0.2">
      <c r="B26" s="97"/>
      <c r="C26" s="97"/>
      <c r="D26" s="97"/>
      <c r="E26" s="97"/>
      <c r="F26" s="97"/>
      <c r="G26" s="97"/>
    </row>
    <row r="27" spans="1:7" x14ac:dyDescent="0.2">
      <c r="A27" s="97" t="s">
        <v>82</v>
      </c>
      <c r="B27" s="97"/>
      <c r="C27" s="97"/>
      <c r="D27" s="97" t="s">
        <v>85</v>
      </c>
      <c r="E27" s="97" t="s">
        <v>86</v>
      </c>
      <c r="F27" s="97" t="s">
        <v>87</v>
      </c>
      <c r="G27" s="97" t="s">
        <v>88</v>
      </c>
    </row>
    <row r="28" spans="1:7" x14ac:dyDescent="0.2">
      <c r="B28" s="97" t="s">
        <v>83</v>
      </c>
      <c r="C28" s="97"/>
      <c r="D28" s="99">
        <f>offerteuur</f>
        <v>0</v>
      </c>
      <c r="E28" s="106">
        <f>D28-D19</f>
        <v>0</v>
      </c>
      <c r="F28" s="106">
        <f>D28-D23</f>
        <v>0</v>
      </c>
      <c r="G28" s="106">
        <f>D28-D19-D23</f>
        <v>0</v>
      </c>
    </row>
    <row r="29" spans="1:7" x14ac:dyDescent="0.2">
      <c r="B29" s="97" t="s">
        <v>84</v>
      </c>
      <c r="C29" s="97"/>
      <c r="D29" s="99">
        <f>offerteuurolga</f>
        <v>0</v>
      </c>
      <c r="E29" s="106">
        <f>D29-D20</f>
        <v>0</v>
      </c>
      <c r="F29" s="106">
        <f>D29-D24</f>
        <v>0</v>
      </c>
      <c r="G29" s="106">
        <f>D29-D20-D24</f>
        <v>0</v>
      </c>
    </row>
    <row r="30" spans="1:7" x14ac:dyDescent="0.2">
      <c r="B30" s="97"/>
      <c r="C30" s="97"/>
      <c r="D30" s="97"/>
      <c r="E30" s="97"/>
      <c r="F30" s="97"/>
      <c r="G30" s="97"/>
    </row>
  </sheetData>
  <sheetProtection algorithmName="SHA-512" hashValue="miEUR+JQEJUy4CHe+5s5n2HK5V2tr+pvzxgkrk8Wcm8DfF5kz/vhadBxTZAw3Suks0PV1yKTMXt2KLsTSKkfAA==" saltValue="HWctaIg7phIMhePT4cFs/g==" spinCount="100000" sheet="1" objects="1" scenarios="1"/>
  <conditionalFormatting sqref="D11:D12 D15:D16 D19:D20 D23:D24 D28:G29">
    <cfRule type="cellIs" dxfId="14" priority="1" operator="greaterThan">
      <formula>0</formula>
    </cfRule>
  </conditionalFormatting>
  <conditionalFormatting sqref="B7:G29">
    <cfRule type="expression" dxfId="13" priority="3">
      <formula>$D7=0</formula>
    </cfRule>
  </conditionalFormatting>
  <conditionalFormatting sqref="B8:D8">
    <cfRule type="expression" dxfId="12" priority="2">
      <formula>$D8=0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/>
  <dimension ref="A1:L32"/>
  <sheetViews>
    <sheetView workbookViewId="0">
      <selection activeCell="A14" sqref="A14"/>
    </sheetView>
  </sheetViews>
  <sheetFormatPr defaultColWidth="9.140625" defaultRowHeight="12.75" x14ac:dyDescent="0.2"/>
  <cols>
    <col min="1" max="4" width="9.140625" customWidth="1"/>
    <col min="6" max="6" width="13.42578125" customWidth="1"/>
    <col min="7" max="7" width="12.140625" customWidth="1"/>
    <col min="8" max="11" width="11.7109375" customWidth="1"/>
  </cols>
  <sheetData>
    <row r="1" spans="1:12" x14ac:dyDescent="0.2">
      <c r="A1" s="92" t="s">
        <v>54</v>
      </c>
      <c r="B1" s="93" t="s">
        <v>55</v>
      </c>
      <c r="C1" s="94"/>
    </row>
    <row r="2" spans="1:12" x14ac:dyDescent="0.2">
      <c r="A2" s="95" t="s">
        <v>11</v>
      </c>
      <c r="B2">
        <f>IF(ISERROR(SUM(Ruimtestaat!#REF!)),0,SUM(Ruimtestaat!#REF!))</f>
        <v>0</v>
      </c>
      <c r="C2" s="96" t="str">
        <f t="shared" ref="C2:C16" si="0">IF(B2&gt;0,"Zichtbaar","Verborgen")</f>
        <v>Verborgen</v>
      </c>
    </row>
    <row r="3" spans="1:12" x14ac:dyDescent="0.2">
      <c r="A3" s="95" t="s">
        <v>13</v>
      </c>
      <c r="B3">
        <f>IF(ISERROR(SUM(Ruimtestaat!#REF!)),0,SUM(Ruimtestaat!#REF!))</f>
        <v>0</v>
      </c>
      <c r="C3" s="96" t="str">
        <f t="shared" si="0"/>
        <v>Verborgen</v>
      </c>
    </row>
    <row r="4" spans="1:12" x14ac:dyDescent="0.2">
      <c r="A4" s="95" t="s">
        <v>10</v>
      </c>
      <c r="B4">
        <f>IF(ISERROR(SUM(Ruimtestaat!D:D)),0,SUM(Ruimtestaat!D:D))</f>
        <v>2166</v>
      </c>
      <c r="C4" s="96" t="str">
        <f t="shared" si="0"/>
        <v>Zichtbaar</v>
      </c>
    </row>
    <row r="5" spans="1:12" x14ac:dyDescent="0.2">
      <c r="A5" s="95" t="s">
        <v>47</v>
      </c>
      <c r="B5">
        <f>IF(ISERROR(SUM(Ruimtestaat!E:E)),0,SUM(Ruimtestaat!E:E))</f>
        <v>9740</v>
      </c>
      <c r="C5" s="96" t="str">
        <f t="shared" si="0"/>
        <v>Zichtbaar</v>
      </c>
    </row>
    <row r="6" spans="1:12" x14ac:dyDescent="0.2">
      <c r="A6" s="95" t="s">
        <v>48</v>
      </c>
      <c r="B6">
        <f>IF(ISERROR(SUM(Ruimtestaat!#REF!)),0,SUM(Ruimtestaat!#REF!))</f>
        <v>0</v>
      </c>
      <c r="C6" s="96" t="str">
        <f t="shared" si="0"/>
        <v>Verborgen</v>
      </c>
    </row>
    <row r="7" spans="1:12" x14ac:dyDescent="0.2">
      <c r="A7" s="95" t="s">
        <v>49</v>
      </c>
      <c r="B7">
        <f>IF(ISERROR(SUM(Ruimtestaat!F:F)),0,SUM(Ruimtestaat!F:F))</f>
        <v>850</v>
      </c>
      <c r="C7" s="96" t="str">
        <f t="shared" si="0"/>
        <v>Zichtbaar</v>
      </c>
    </row>
    <row r="8" spans="1:12" x14ac:dyDescent="0.2">
      <c r="A8" s="95" t="s">
        <v>14</v>
      </c>
      <c r="B8">
        <f>IF(ISERROR(SUM(Ruimtestaat!G:G)),0,SUM(Ruimtestaat!G:G))</f>
        <v>1556.8</v>
      </c>
      <c r="C8" s="96" t="str">
        <f t="shared" si="0"/>
        <v>Zichtbaar</v>
      </c>
    </row>
    <row r="9" spans="1:12" x14ac:dyDescent="0.2">
      <c r="A9" s="95" t="s">
        <v>12</v>
      </c>
      <c r="B9">
        <f>IF(ISERROR(SUM(Ruimtestaat!H:H)),0,SUM(Ruimtestaat!H:H))</f>
        <v>580</v>
      </c>
      <c r="C9" s="96" t="str">
        <f t="shared" si="0"/>
        <v>Zichtbaar</v>
      </c>
      <c r="L9" s="97"/>
    </row>
    <row r="10" spans="1:12" x14ac:dyDescent="0.2">
      <c r="A10" s="95" t="s">
        <v>9</v>
      </c>
      <c r="B10">
        <f>IF(ISERROR(SUM(Ruimtestaat!I:I)),0,SUM(Ruimtestaat!I:I))</f>
        <v>532.20000000000005</v>
      </c>
      <c r="C10" s="96" t="str">
        <f t="shared" si="0"/>
        <v>Zichtbaar</v>
      </c>
      <c r="L10" s="97"/>
    </row>
    <row r="11" spans="1:12" x14ac:dyDescent="0.2">
      <c r="A11" s="95" t="s">
        <v>50</v>
      </c>
      <c r="B11">
        <f>IF(ISERROR(SUM(Ruimtestaat!#REF!)),0,SUM(Ruimtestaat!#REF!))</f>
        <v>0</v>
      </c>
      <c r="C11" s="96" t="str">
        <f t="shared" si="0"/>
        <v>Verborgen</v>
      </c>
      <c r="L11" s="97"/>
    </row>
    <row r="12" spans="1:12" x14ac:dyDescent="0.2">
      <c r="A12" s="95" t="s">
        <v>16</v>
      </c>
      <c r="B12">
        <f>IF(ISERROR(SUM(Ruimtestaat!J:J)),0,SUM(Ruimtestaat!J:J))</f>
        <v>4999.3999999999996</v>
      </c>
      <c r="C12" s="96" t="str">
        <f t="shared" si="0"/>
        <v>Zichtbaar</v>
      </c>
      <c r="L12" s="97"/>
    </row>
    <row r="13" spans="1:12" x14ac:dyDescent="0.2">
      <c r="A13" s="95" t="s">
        <v>51</v>
      </c>
      <c r="B13">
        <f>IF(ISERROR(SUM(Ruimtestaat!#REF!)),0,SUM(Ruimtestaat!#REF!))</f>
        <v>0</v>
      </c>
      <c r="C13" s="96" t="str">
        <f t="shared" si="0"/>
        <v>Verborgen</v>
      </c>
      <c r="L13" s="97"/>
    </row>
    <row r="14" spans="1:12" x14ac:dyDescent="0.2">
      <c r="A14" s="95" t="s">
        <v>94</v>
      </c>
      <c r="B14">
        <f>IF(ISERROR(SUM(Ruimtestaat!K:K)),0,SUM(Ruimtestaat!K:K))</f>
        <v>2402</v>
      </c>
      <c r="C14" s="96" t="str">
        <f t="shared" si="0"/>
        <v>Zichtbaar</v>
      </c>
      <c r="L14" s="97"/>
    </row>
    <row r="15" spans="1:12" x14ac:dyDescent="0.2">
      <c r="A15" s="95" t="s">
        <v>52</v>
      </c>
      <c r="B15">
        <f>IF(ISERROR(SUM(Ruimtestaat!#REF!)),0,SUM(Ruimtestaat!#REF!))</f>
        <v>0</v>
      </c>
      <c r="C15" s="96" t="str">
        <f t="shared" si="0"/>
        <v>Verborgen</v>
      </c>
      <c r="L15" s="97"/>
    </row>
    <row r="16" spans="1:12" ht="13.5" thickBot="1" x14ac:dyDescent="0.25">
      <c r="A16" s="100" t="s">
        <v>53</v>
      </c>
      <c r="B16" s="101">
        <v>1</v>
      </c>
      <c r="C16" s="102" t="str">
        <f t="shared" si="0"/>
        <v>Zichtbaar</v>
      </c>
      <c r="L16" s="97"/>
    </row>
    <row r="17" spans="1:12" x14ac:dyDescent="0.2">
      <c r="A17" s="95" t="s">
        <v>58</v>
      </c>
      <c r="L17" s="97"/>
    </row>
    <row r="18" spans="1:12" x14ac:dyDescent="0.2">
      <c r="C18" s="103">
        <f>COUNTIF(C2:C15,"Zichtbaar")+3</f>
        <v>11</v>
      </c>
      <c r="L18" s="97"/>
    </row>
    <row r="19" spans="1:12" x14ac:dyDescent="0.2">
      <c r="L19" s="97"/>
    </row>
    <row r="20" spans="1:12" x14ac:dyDescent="0.2">
      <c r="L20" s="97"/>
    </row>
    <row r="21" spans="1:12" x14ac:dyDescent="0.2">
      <c r="A21" t="s">
        <v>63</v>
      </c>
      <c r="B21" t="str">
        <f>Inventarisatiestaat!A2</f>
        <v>Design Academy Eindhoven</v>
      </c>
      <c r="L21" s="97"/>
    </row>
    <row r="22" spans="1:12" x14ac:dyDescent="0.2">
      <c r="A22" t="s">
        <v>64</v>
      </c>
      <c r="B22" t="str">
        <f>MID(B21,1,1)</f>
        <v>D</v>
      </c>
      <c r="L22" s="97"/>
    </row>
    <row r="23" spans="1:12" x14ac:dyDescent="0.2">
      <c r="L23" s="97"/>
    </row>
    <row r="24" spans="1:12" x14ac:dyDescent="0.2">
      <c r="L24" s="97"/>
    </row>
    <row r="25" spans="1:12" x14ac:dyDescent="0.2">
      <c r="L25" s="97"/>
    </row>
    <row r="26" spans="1:12" x14ac:dyDescent="0.2">
      <c r="L26" s="97"/>
    </row>
    <row r="27" spans="1:12" x14ac:dyDescent="0.2">
      <c r="L27" s="97"/>
    </row>
    <row r="28" spans="1:12" x14ac:dyDescent="0.2">
      <c r="L28" s="97"/>
    </row>
    <row r="29" spans="1:12" x14ac:dyDescent="0.2">
      <c r="L29" s="97"/>
    </row>
    <row r="30" spans="1:12" x14ac:dyDescent="0.2">
      <c r="L30" s="97"/>
    </row>
    <row r="31" spans="1:12" x14ac:dyDescent="0.2">
      <c r="F31" s="97"/>
      <c r="G31" s="97"/>
      <c r="H31" s="97"/>
      <c r="I31" s="97"/>
      <c r="J31" s="97"/>
      <c r="K31" s="97"/>
      <c r="L31" s="97"/>
    </row>
    <row r="32" spans="1:12" x14ac:dyDescent="0.2">
      <c r="F32" s="97"/>
      <c r="G32" s="97"/>
      <c r="H32" s="97"/>
      <c r="I32" s="97"/>
      <c r="J32" s="97"/>
      <c r="K32" s="97"/>
      <c r="L32" s="97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2">
    <pageSetUpPr fitToPage="1"/>
  </sheetPr>
  <dimension ref="A1:AV10"/>
  <sheetViews>
    <sheetView showGridLines="0" showRowColHeaders="0" showZeros="0" zoomScale="85" zoomScaleNormal="85" workbookViewId="0">
      <selection activeCell="B2" sqref="B2:R2"/>
    </sheetView>
  </sheetViews>
  <sheetFormatPr defaultColWidth="0" defaultRowHeight="12.75" customHeight="1" zeroHeight="1" x14ac:dyDescent="0.2"/>
  <cols>
    <col min="1" max="1" width="2.28515625" style="4" customWidth="1"/>
    <col min="2" max="2" width="35" style="41" customWidth="1"/>
    <col min="3" max="3" width="8.42578125" style="42" customWidth="1"/>
    <col min="4" max="12" width="14.28515625" style="40" customWidth="1"/>
    <col min="13" max="13" width="2.28515625" style="41" customWidth="1"/>
    <col min="14" max="27" width="9.140625" style="41" hidden="1" customWidth="1"/>
    <col min="28" max="46" width="9.140625" style="4" hidden="1" customWidth="1"/>
    <col min="47" max="48" width="9.140625" style="36" hidden="1" customWidth="1"/>
    <col min="49" max="16384" width="9.140625" style="4" hidden="1"/>
  </cols>
  <sheetData>
    <row r="1" spans="2:48" s="1" customFormat="1" ht="6.95" customHeight="1" thickBot="1" x14ac:dyDescent="0.25">
      <c r="B1" s="72"/>
      <c r="C1" s="73"/>
      <c r="D1" s="72"/>
      <c r="E1" s="72"/>
      <c r="F1" s="72"/>
      <c r="G1" s="72"/>
      <c r="H1" s="72"/>
      <c r="I1" s="72"/>
      <c r="J1" s="72"/>
      <c r="K1" s="72"/>
      <c r="L1" s="72"/>
      <c r="AU1" s="35"/>
      <c r="AV1" s="35"/>
    </row>
    <row r="2" spans="2:48" s="1" customFormat="1" ht="13.5" thickBot="1" x14ac:dyDescent="0.25">
      <c r="B2" s="151" t="str">
        <f>UPPER(CONCATENATE("Ruimtestaat ",Inventarisatiestaat!A2))</f>
        <v>RUIMTESTAAT DESIGN ACADEMY EINDHOVEN</v>
      </c>
      <c r="C2" s="152"/>
      <c r="D2" s="153"/>
      <c r="E2" s="153"/>
      <c r="F2" s="153"/>
      <c r="G2" s="153"/>
      <c r="H2" s="153"/>
      <c r="I2" s="153"/>
      <c r="J2" s="153"/>
      <c r="K2" s="153"/>
      <c r="L2" s="154"/>
      <c r="AU2" s="35"/>
      <c r="AV2" s="35"/>
    </row>
    <row r="3" spans="2:48" s="1" customFormat="1" ht="6.75" customHeight="1" x14ac:dyDescent="0.2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7"/>
      <c r="AU3" s="35"/>
      <c r="AV3" s="35"/>
    </row>
    <row r="4" spans="2:48" s="1" customFormat="1" ht="96.75" customHeight="1" x14ac:dyDescent="0.2">
      <c r="B4" s="68" t="s">
        <v>1</v>
      </c>
      <c r="C4" s="69" t="s">
        <v>15</v>
      </c>
      <c r="D4" s="70" t="s">
        <v>10</v>
      </c>
      <c r="E4" s="70" t="s">
        <v>47</v>
      </c>
      <c r="F4" s="70" t="s">
        <v>49</v>
      </c>
      <c r="G4" s="70" t="s">
        <v>14</v>
      </c>
      <c r="H4" s="70" t="s">
        <v>12</v>
      </c>
      <c r="I4" s="70" t="s">
        <v>9</v>
      </c>
      <c r="J4" s="70" t="s">
        <v>16</v>
      </c>
      <c r="K4" s="70" t="s">
        <v>94</v>
      </c>
      <c r="L4" s="71" t="s">
        <v>17</v>
      </c>
      <c r="AU4" s="35"/>
      <c r="AV4" s="35"/>
    </row>
    <row r="5" spans="2:48" s="1" customFormat="1" ht="8.25" customHeight="1" thickBot="1" x14ac:dyDescent="0.25">
      <c r="B5" s="158"/>
      <c r="C5" s="159"/>
      <c r="D5" s="159"/>
      <c r="E5" s="159"/>
      <c r="F5" s="159"/>
      <c r="G5" s="159"/>
      <c r="H5" s="159"/>
      <c r="I5" s="159"/>
      <c r="J5" s="159"/>
      <c r="K5" s="159"/>
      <c r="L5" s="160"/>
      <c r="AU5" s="35"/>
      <c r="AV5" s="35"/>
    </row>
    <row r="6" spans="2:48" ht="12.75" customHeight="1" x14ac:dyDescent="0.15">
      <c r="B6" s="161" t="s">
        <v>96</v>
      </c>
      <c r="C6" s="122">
        <v>490</v>
      </c>
      <c r="D6" s="125">
        <f>SUMIFS(Inventarisatiestaat!$H:$H,Inventarisatiestaat!$B:$B,$AU6,Inventarisatiestaat!$C:$C,D$4,Inventarisatiestaat!$I:$I,$C6)</f>
        <v>0</v>
      </c>
      <c r="E6" s="125">
        <f>SUMIFS(Inventarisatiestaat!$H:$H,Inventarisatiestaat!$B:$B,$AU6,Inventarisatiestaat!$C:$C,E$4,Inventarisatiestaat!$I:$I,$C6)</f>
        <v>0</v>
      </c>
      <c r="F6" s="125">
        <f>SUMIFS(Inventarisatiestaat!$H:$H,Inventarisatiestaat!$B:$B,$AU6,Inventarisatiestaat!$C:$C,F$4,Inventarisatiestaat!$I:$I,$C6)</f>
        <v>0</v>
      </c>
      <c r="G6" s="125">
        <f>SUMIFS(Inventarisatiestaat!$H:$H,Inventarisatiestaat!$B:$B,$AU6,Inventarisatiestaat!$C:$C,G$4,Inventarisatiestaat!$I:$I,$C6)</f>
        <v>0</v>
      </c>
      <c r="H6" s="125">
        <f>SUMIFS(Inventarisatiestaat!$H:$H,Inventarisatiestaat!$B:$B,$AU6,Inventarisatiestaat!$C:$C,H$4,Inventarisatiestaat!$I:$I,$C6)</f>
        <v>0</v>
      </c>
      <c r="I6" s="125">
        <f>SUMIFS(Inventarisatiestaat!$H:$H,Inventarisatiestaat!$B:$B,$AU6,Inventarisatiestaat!$C:$C,I$4,Inventarisatiestaat!$I:$I,$C6)</f>
        <v>266.10000000000002</v>
      </c>
      <c r="J6" s="125">
        <f>SUMIFS(Inventarisatiestaat!$H:$H,Inventarisatiestaat!$B:$B,$AU6,Inventarisatiestaat!$C:$C,J$4,Inventarisatiestaat!$I:$I,$C6)</f>
        <v>0</v>
      </c>
      <c r="K6" s="125">
        <f>SUMIFS(Inventarisatiestaat!$H:$H,Inventarisatiestaat!$B:$B,$AU6,Inventarisatiestaat!$C:$C,K$4,Inventarisatiestaat!$I:$I,$C6)</f>
        <v>0</v>
      </c>
      <c r="L6" s="164">
        <f>SUM(D6:K8)</f>
        <v>11413.2</v>
      </c>
      <c r="AU6" s="110" t="s">
        <v>96</v>
      </c>
      <c r="AV6" s="36">
        <f t="shared" ref="AV6:AV8" si="0">COUNTIF($AU$6:$AU$8, AU6)</f>
        <v>3</v>
      </c>
    </row>
    <row r="7" spans="2:48" ht="12.75" customHeight="1" x14ac:dyDescent="0.15">
      <c r="B7" s="162"/>
      <c r="C7" s="123">
        <v>245</v>
      </c>
      <c r="D7" s="126">
        <f>SUMIFS(Inventarisatiestaat!$H:$H,Inventarisatiestaat!$B:$B,$AU7,Inventarisatiestaat!$C:$C,D$4,Inventarisatiestaat!$I:$I,$C7)</f>
        <v>1083</v>
      </c>
      <c r="E7" s="126">
        <f>SUMIFS(Inventarisatiestaat!$H:$H,Inventarisatiestaat!$B:$B,$AU7,Inventarisatiestaat!$C:$C,E$4,Inventarisatiestaat!$I:$I,$C7)</f>
        <v>4870</v>
      </c>
      <c r="F7" s="126">
        <f>SUMIFS(Inventarisatiestaat!$H:$H,Inventarisatiestaat!$B:$B,$AU7,Inventarisatiestaat!$C:$C,F$4,Inventarisatiestaat!$I:$I,$C7)</f>
        <v>425</v>
      </c>
      <c r="G7" s="126">
        <f>SUMIFS(Inventarisatiestaat!$H:$H,Inventarisatiestaat!$B:$B,$AU7,Inventarisatiestaat!$C:$C,G$4,Inventarisatiestaat!$I:$I,$C7)</f>
        <v>778.4</v>
      </c>
      <c r="H7" s="126">
        <f>SUMIFS(Inventarisatiestaat!$H:$H,Inventarisatiestaat!$B:$B,$AU7,Inventarisatiestaat!$C:$C,H$4,Inventarisatiestaat!$I:$I,$C7)</f>
        <v>290</v>
      </c>
      <c r="I7" s="126">
        <f>SUMIFS(Inventarisatiestaat!$H:$H,Inventarisatiestaat!$B:$B,$AU7,Inventarisatiestaat!$C:$C,I$4,Inventarisatiestaat!$I:$I,$C7)</f>
        <v>0</v>
      </c>
      <c r="J7" s="126">
        <f>SUMIFS(Inventarisatiestaat!$H:$H,Inventarisatiestaat!$B:$B,$AU7,Inventarisatiestaat!$C:$C,J$4,Inventarisatiestaat!$I:$I,$C7)</f>
        <v>2301.6999999999998</v>
      </c>
      <c r="K7" s="126">
        <f>SUMIFS(Inventarisatiestaat!$H:$H,Inventarisatiestaat!$B:$B,$AU7,Inventarisatiestaat!$C:$C,K$4,Inventarisatiestaat!$I:$I,$C7)</f>
        <v>1201</v>
      </c>
      <c r="L7" s="165"/>
      <c r="AU7" s="110" t="s">
        <v>96</v>
      </c>
      <c r="AV7" s="36">
        <f t="shared" si="0"/>
        <v>3</v>
      </c>
    </row>
    <row r="8" spans="2:48" ht="12.75" customHeight="1" thickBot="1" x14ac:dyDescent="0.2">
      <c r="B8" s="163"/>
      <c r="C8" s="124">
        <v>49</v>
      </c>
      <c r="D8" s="127">
        <f>SUMIFS(Inventarisatiestaat!$H:$H,Inventarisatiestaat!$B:$B,$AU8,Inventarisatiestaat!$C:$C,D$4,Inventarisatiestaat!$I:$I,$C8)</f>
        <v>0</v>
      </c>
      <c r="E8" s="127">
        <f>SUMIFS(Inventarisatiestaat!$H:$H,Inventarisatiestaat!$B:$B,$AU8,Inventarisatiestaat!$C:$C,E$4,Inventarisatiestaat!$I:$I,$C8)</f>
        <v>0</v>
      </c>
      <c r="F8" s="127">
        <f>SUMIFS(Inventarisatiestaat!$H:$H,Inventarisatiestaat!$B:$B,$AU8,Inventarisatiestaat!$C:$C,F$4,Inventarisatiestaat!$I:$I,$C8)</f>
        <v>0</v>
      </c>
      <c r="G8" s="127">
        <f>SUMIFS(Inventarisatiestaat!$H:$H,Inventarisatiestaat!$B:$B,$AU8,Inventarisatiestaat!$C:$C,G$4,Inventarisatiestaat!$I:$I,$C8)</f>
        <v>0</v>
      </c>
      <c r="H8" s="127">
        <f>SUMIFS(Inventarisatiestaat!$H:$H,Inventarisatiestaat!$B:$B,$AU8,Inventarisatiestaat!$C:$C,H$4,Inventarisatiestaat!$I:$I,$C8)</f>
        <v>0</v>
      </c>
      <c r="I8" s="127">
        <f>SUMIFS(Inventarisatiestaat!$H:$H,Inventarisatiestaat!$B:$B,$AU8,Inventarisatiestaat!$C:$C,I$4,Inventarisatiestaat!$I:$I,$C8)</f>
        <v>0</v>
      </c>
      <c r="J8" s="127">
        <f>SUMIFS(Inventarisatiestaat!$H:$H,Inventarisatiestaat!$B:$B,$AU8,Inventarisatiestaat!$C:$C,J$4,Inventarisatiestaat!$I:$I,$C8)</f>
        <v>198</v>
      </c>
      <c r="K8" s="127">
        <f>SUMIFS(Inventarisatiestaat!$H:$H,Inventarisatiestaat!$B:$B,$AU8,Inventarisatiestaat!$C:$C,K$4,Inventarisatiestaat!$I:$I,$C8)</f>
        <v>0</v>
      </c>
      <c r="L8" s="166"/>
      <c r="AU8" s="110" t="s">
        <v>96</v>
      </c>
      <c r="AV8" s="36">
        <f t="shared" si="0"/>
        <v>3</v>
      </c>
    </row>
    <row r="9" spans="2:48" ht="12.75" customHeight="1" thickBot="1" x14ac:dyDescent="0.2">
      <c r="B9" s="131" t="s">
        <v>53</v>
      </c>
      <c r="C9" s="130"/>
      <c r="D9" s="129">
        <f>SUM(D$6:D8)</f>
        <v>1083</v>
      </c>
      <c r="E9" s="129">
        <f>SUM(E$6:E8)</f>
        <v>4870</v>
      </c>
      <c r="F9" s="129">
        <f>SUM(F$6:F8)</f>
        <v>425</v>
      </c>
      <c r="G9" s="129">
        <f>SUM(G$6:G8)</f>
        <v>778.4</v>
      </c>
      <c r="H9" s="129">
        <f>SUM(H$6:H8)</f>
        <v>290</v>
      </c>
      <c r="I9" s="129">
        <f>SUM(I$6:I8)</f>
        <v>266.10000000000002</v>
      </c>
      <c r="J9" s="129">
        <f>SUM(J$6:J8)</f>
        <v>2499.6999999999998</v>
      </c>
      <c r="K9" s="129">
        <f>SUM(K$6:K8)</f>
        <v>1201</v>
      </c>
      <c r="L9" s="128">
        <f>SUM(L$6:L8)</f>
        <v>11413.2</v>
      </c>
    </row>
    <row r="10" spans="2:48" ht="6.95" customHeight="1" x14ac:dyDescent="0.2"/>
  </sheetData>
  <sheetProtection algorithmName="SHA-512" hashValue="gCLCoBVnX7XPdBfWyBCBUjXgYTOsRUgsAnhLeCc0JSE3i5II9KR7Cch11izh4AhfBe1j9vnfRqz0cwOXJFGS9w==" saltValue="KLvqqs5d8hYTrcKmyGKTxg==" spinCount="100000" sheet="1" objects="1" scenarios="1"/>
  <dataConsolidate link="1"/>
  <mergeCells count="5">
    <mergeCell ref="B2:L2"/>
    <mergeCell ref="B3:L3"/>
    <mergeCell ref="B5:L5"/>
    <mergeCell ref="B6:B8"/>
    <mergeCell ref="L6:L8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>
    <oddHeader>&amp;C&amp;F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4"/>
  <dimension ref="A1:DG66"/>
  <sheetViews>
    <sheetView showGridLines="0" showZeros="0" topLeftCell="E1" zoomScale="85" workbookViewId="0">
      <selection activeCell="O1" sqref="O1:XFD1048576"/>
    </sheetView>
  </sheetViews>
  <sheetFormatPr defaultColWidth="0" defaultRowHeight="12.75" zeroHeight="1" x14ac:dyDescent="0.2"/>
  <cols>
    <col min="1" max="1" width="2.28515625" style="58" customWidth="1"/>
    <col min="2" max="2" width="35" style="58" customWidth="1"/>
    <col min="3" max="3" width="8.42578125" style="66" customWidth="1"/>
    <col min="4" max="12" width="12.7109375" style="61" customWidth="1"/>
    <col min="13" max="13" width="15.7109375" style="61" customWidth="1"/>
    <col min="14" max="14" width="2.28515625" style="58" customWidth="1"/>
    <col min="15" max="47" width="9.140625" style="58" hidden="1" customWidth="1"/>
    <col min="48" max="48" width="17.85546875" style="67" hidden="1" customWidth="1"/>
    <col min="49" max="51" width="9.140625" style="63" hidden="1" customWidth="1"/>
    <col min="52" max="87" width="9.140625" style="65" hidden="1" customWidth="1"/>
    <col min="88" max="107" width="9.140625" style="64" hidden="1" customWidth="1"/>
    <col min="108" max="111" width="0" style="64" hidden="1" customWidth="1"/>
    <col min="112" max="16384" width="9.140625" style="64" hidden="1"/>
  </cols>
  <sheetData>
    <row r="1" spans="2:91" s="52" customFormat="1" ht="6.95" customHeight="1" thickBot="1" x14ac:dyDescent="0.25">
      <c r="C1" s="53"/>
      <c r="AV1" s="54"/>
      <c r="AW1" s="54"/>
      <c r="AX1" s="54"/>
      <c r="AY1" s="109"/>
      <c r="BI1" s="55"/>
      <c r="BV1" s="55"/>
      <c r="CI1" s="55"/>
    </row>
    <row r="2" spans="2:91" s="52" customFormat="1" ht="13.5" thickBot="1" x14ac:dyDescent="0.25">
      <c r="B2" s="151" t="str">
        <f>UPPER(CONCATENATE("Normenblad ",Inventarisatiestaat!A2))</f>
        <v>NORMENBLAD DESIGN ACADEMY EINDHOVEN</v>
      </c>
      <c r="C2" s="152"/>
      <c r="D2" s="153"/>
      <c r="E2" s="153"/>
      <c r="F2" s="153"/>
      <c r="G2" s="153"/>
      <c r="H2" s="153"/>
      <c r="I2" s="153"/>
      <c r="J2" s="153"/>
      <c r="K2" s="153"/>
      <c r="L2" s="153"/>
      <c r="M2" s="154"/>
      <c r="AV2" s="54"/>
      <c r="AW2" s="54"/>
      <c r="AX2" s="54"/>
      <c r="AY2" s="54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</row>
    <row r="3" spans="2:91" s="52" customFormat="1" ht="6.75" customHeight="1" thickBot="1" x14ac:dyDescent="0.25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7"/>
      <c r="AV3" s="54"/>
      <c r="AW3" s="54"/>
      <c r="AX3" s="54"/>
      <c r="AY3" s="54"/>
    </row>
    <row r="4" spans="2:91" s="52" customFormat="1" ht="96.75" customHeight="1" thickBot="1" x14ac:dyDescent="0.25">
      <c r="B4" s="68" t="s">
        <v>1</v>
      </c>
      <c r="C4" s="69" t="s">
        <v>15</v>
      </c>
      <c r="D4" s="70" t="s">
        <v>10</v>
      </c>
      <c r="E4" s="70" t="s">
        <v>47</v>
      </c>
      <c r="F4" s="70" t="s">
        <v>49</v>
      </c>
      <c r="G4" s="70" t="s">
        <v>14</v>
      </c>
      <c r="H4" s="70" t="s">
        <v>12</v>
      </c>
      <c r="I4" s="70" t="s">
        <v>9</v>
      </c>
      <c r="J4" s="70" t="s">
        <v>16</v>
      </c>
      <c r="K4" s="70" t="s">
        <v>94</v>
      </c>
      <c r="L4" s="69" t="s">
        <v>93</v>
      </c>
      <c r="M4" s="71"/>
      <c r="AV4" s="54" t="s">
        <v>91</v>
      </c>
      <c r="AW4" s="54" t="s">
        <v>90</v>
      </c>
      <c r="AX4" s="54"/>
      <c r="AY4" s="54"/>
      <c r="AZ4" s="56" t="s">
        <v>10</v>
      </c>
      <c r="BA4" s="56" t="s">
        <v>47</v>
      </c>
      <c r="BB4" s="56" t="s">
        <v>49</v>
      </c>
      <c r="BC4" s="56" t="s">
        <v>14</v>
      </c>
      <c r="BD4" s="56" t="s">
        <v>12</v>
      </c>
      <c r="BE4" s="56" t="s">
        <v>9</v>
      </c>
      <c r="BF4" s="56" t="s">
        <v>16</v>
      </c>
      <c r="BG4" s="56" t="s">
        <v>94</v>
      </c>
      <c r="BH4" s="57" t="s">
        <v>56</v>
      </c>
      <c r="BI4" s="57" t="s">
        <v>59</v>
      </c>
      <c r="BM4" s="56" t="s">
        <v>10</v>
      </c>
      <c r="BN4" s="56" t="s">
        <v>47</v>
      </c>
      <c r="BO4" s="56" t="s">
        <v>49</v>
      </c>
      <c r="BP4" s="56" t="s">
        <v>14</v>
      </c>
      <c r="BQ4" s="56" t="s">
        <v>12</v>
      </c>
      <c r="BR4" s="56" t="s">
        <v>9</v>
      </c>
      <c r="BS4" s="56" t="s">
        <v>16</v>
      </c>
      <c r="BT4" s="56" t="s">
        <v>94</v>
      </c>
      <c r="BU4" s="57" t="s">
        <v>56</v>
      </c>
      <c r="BV4" s="57" t="s">
        <v>60</v>
      </c>
      <c r="BZ4" s="56" t="s">
        <v>10</v>
      </c>
      <c r="CA4" s="56" t="s">
        <v>47</v>
      </c>
      <c r="CB4" s="56" t="s">
        <v>49</v>
      </c>
      <c r="CC4" s="56" t="s">
        <v>14</v>
      </c>
      <c r="CD4" s="56" t="s">
        <v>12</v>
      </c>
      <c r="CE4" s="56" t="s">
        <v>9</v>
      </c>
      <c r="CF4" s="56" t="s">
        <v>16</v>
      </c>
      <c r="CG4" s="56" t="s">
        <v>94</v>
      </c>
      <c r="CH4" s="57" t="s">
        <v>56</v>
      </c>
      <c r="CI4" s="57" t="s">
        <v>61</v>
      </c>
      <c r="CM4" s="54"/>
    </row>
    <row r="5" spans="2:91" ht="6.75" customHeight="1" thickBot="1" x14ac:dyDescent="0.2">
      <c r="B5" s="158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  <c r="AV5" s="62"/>
    </row>
    <row r="6" spans="2:91" x14ac:dyDescent="0.15">
      <c r="B6" s="161" t="s">
        <v>96</v>
      </c>
      <c r="C6" s="122">
        <v>490</v>
      </c>
      <c r="D6" s="132" t="str">
        <f t="shared" ref="D6:K8" si="0">IF(AZ6=0,"","in m2/uur")</f>
        <v/>
      </c>
      <c r="E6" s="132" t="str">
        <f t="shared" si="0"/>
        <v/>
      </c>
      <c r="F6" s="132" t="str">
        <f t="shared" si="0"/>
        <v/>
      </c>
      <c r="G6" s="132" t="str">
        <f t="shared" si="0"/>
        <v/>
      </c>
      <c r="H6" s="132" t="str">
        <f t="shared" si="0"/>
        <v/>
      </c>
      <c r="I6" s="132" t="str">
        <f t="shared" si="0"/>
        <v>in m2/uur</v>
      </c>
      <c r="J6" s="132" t="str">
        <f t="shared" si="0"/>
        <v/>
      </c>
      <c r="K6" s="132" t="str">
        <f t="shared" si="0"/>
        <v/>
      </c>
      <c r="L6" s="169" t="str">
        <f t="shared" ref="L6" si="1">IF(BH6=0,"","in uren/dag")</f>
        <v>in uren/dag</v>
      </c>
      <c r="M6" s="172" t="str">
        <f>IF(AY6&gt;=BI6,BV6/CI6,"Alles invullen")</f>
        <v>Alles invullen</v>
      </c>
      <c r="AV6" s="110" t="s">
        <v>96</v>
      </c>
      <c r="AW6" s="63">
        <f t="shared" ref="AW6:AW8" si="2">COUNTIF($AV$6:$AV$8, AV6)</f>
        <v>3</v>
      </c>
      <c r="AY6" s="63">
        <f>COUNTIF(D6:K8,"&gt;0")</f>
        <v>0</v>
      </c>
      <c r="AZ6" s="65">
        <f>IF(ISERROR(Ruimtestaat!D6),0,IF(Ruimtestaat!D6&gt;0,1,0))</f>
        <v>0</v>
      </c>
      <c r="BA6" s="65">
        <f>IF(ISERROR(Ruimtestaat!E6),0,IF(Ruimtestaat!E6&gt;0,1,0))</f>
        <v>0</v>
      </c>
      <c r="BB6" s="65">
        <f>IF(ISERROR(Ruimtestaat!F6),0,IF(Ruimtestaat!F6&gt;0,1,0))</f>
        <v>0</v>
      </c>
      <c r="BC6" s="65">
        <f>IF(ISERROR(Ruimtestaat!G6),0,IF(Ruimtestaat!G6&gt;0,1,0))</f>
        <v>0</v>
      </c>
      <c r="BD6" s="65">
        <f>IF(ISERROR(Ruimtestaat!H6),0,IF(Ruimtestaat!H6&gt;0,1,0))</f>
        <v>0</v>
      </c>
      <c r="BE6" s="65">
        <f>IF(ISERROR(Ruimtestaat!I6),0,IF(Ruimtestaat!I6&gt;0,1,0))</f>
        <v>1</v>
      </c>
      <c r="BF6" s="65">
        <f>IF(ISERROR(Ruimtestaat!J6),0,IF(Ruimtestaat!J6&gt;0,1,0))</f>
        <v>0</v>
      </c>
      <c r="BG6" s="65">
        <f>IF(ISERROR(Ruimtestaat!K6),0,IF(Ruimtestaat!K6&gt;0,1,0))</f>
        <v>0</v>
      </c>
      <c r="BH6" s="167">
        <v>1</v>
      </c>
      <c r="BI6" s="167">
        <f>SUM(AZ6:BG8)</f>
        <v>9</v>
      </c>
      <c r="BM6" s="65">
        <f>IF(AZ6=0,0,Ruimtestaat!D6*Ruimtestaat!$C6)</f>
        <v>0</v>
      </c>
      <c r="BN6" s="65">
        <f>IF(BA6=0,0,Ruimtestaat!E6*Ruimtestaat!$C6)</f>
        <v>0</v>
      </c>
      <c r="BO6" s="65">
        <f>IF(BB6=0,0,Ruimtestaat!F6*Ruimtestaat!$C6)</f>
        <v>0</v>
      </c>
      <c r="BP6" s="65">
        <f>IF(BC6=0,0,Ruimtestaat!G6*Ruimtestaat!$C6)</f>
        <v>0</v>
      </c>
      <c r="BQ6" s="65">
        <f>IF(BD6=0,0,Ruimtestaat!H6*Ruimtestaat!$C6)</f>
        <v>0</v>
      </c>
      <c r="BR6" s="65">
        <f>IF(BE6=0,0,Ruimtestaat!I6*Ruimtestaat!$C6)</f>
        <v>130389.00000000001</v>
      </c>
      <c r="BS6" s="65">
        <f>IF(BF6=0,0,Ruimtestaat!J6*Ruimtestaat!$C6)</f>
        <v>0</v>
      </c>
      <c r="BT6" s="65">
        <f>IF(BG6=0,0,Ruimtestaat!K6*Ruimtestaat!$C6)</f>
        <v>0</v>
      </c>
      <c r="BV6" s="167">
        <f>SUM(BM6:BT8)</f>
        <v>2822620.5</v>
      </c>
      <c r="BZ6" s="65">
        <f t="shared" ref="BZ6:CG8" si="3">IF(AZ6=0,0,IF(ISTEXT(D6),0,BM6/D6))</f>
        <v>0</v>
      </c>
      <c r="CA6" s="65">
        <f t="shared" si="3"/>
        <v>0</v>
      </c>
      <c r="CB6" s="65">
        <f t="shared" si="3"/>
        <v>0</v>
      </c>
      <c r="CC6" s="65">
        <f t="shared" si="3"/>
        <v>0</v>
      </c>
      <c r="CD6" s="65">
        <f t="shared" si="3"/>
        <v>0</v>
      </c>
      <c r="CE6" s="65">
        <f t="shared" si="3"/>
        <v>0</v>
      </c>
      <c r="CF6" s="65">
        <f t="shared" si="3"/>
        <v>0</v>
      </c>
      <c r="CG6" s="65">
        <f t="shared" si="3"/>
        <v>0</v>
      </c>
      <c r="CH6" s="167">
        <f>IF(ISNUMBER(L6),IF(SUM(BZ6:CG8)&lt;C6*L6,(C6*L6)-SUM(BZ6:CG8),0),0)</f>
        <v>0</v>
      </c>
      <c r="CI6" s="167">
        <f>SUM(BZ6:CH8)</f>
        <v>0</v>
      </c>
    </row>
    <row r="7" spans="2:91" x14ac:dyDescent="0.15">
      <c r="B7" s="162"/>
      <c r="C7" s="123">
        <v>245</v>
      </c>
      <c r="D7" s="133" t="str">
        <f t="shared" si="0"/>
        <v>in m2/uur</v>
      </c>
      <c r="E7" s="133" t="str">
        <f t="shared" si="0"/>
        <v>in m2/uur</v>
      </c>
      <c r="F7" s="133" t="str">
        <f t="shared" si="0"/>
        <v>in m2/uur</v>
      </c>
      <c r="G7" s="133" t="str">
        <f t="shared" si="0"/>
        <v>in m2/uur</v>
      </c>
      <c r="H7" s="133" t="str">
        <f t="shared" si="0"/>
        <v>in m2/uur</v>
      </c>
      <c r="I7" s="133" t="str">
        <f t="shared" si="0"/>
        <v/>
      </c>
      <c r="J7" s="133" t="str">
        <f t="shared" si="0"/>
        <v>in m2/uur</v>
      </c>
      <c r="K7" s="133" t="str">
        <f t="shared" si="0"/>
        <v>in m2/uur</v>
      </c>
      <c r="L7" s="170"/>
      <c r="M7" s="173"/>
      <c r="AV7" s="110" t="s">
        <v>96</v>
      </c>
      <c r="AW7" s="63">
        <f t="shared" si="2"/>
        <v>3</v>
      </c>
      <c r="AZ7" s="65">
        <f>IF(ISERROR(Ruimtestaat!D7),0,IF(Ruimtestaat!D7&gt;0,1,0))</f>
        <v>1</v>
      </c>
      <c r="BA7" s="65">
        <f>IF(ISERROR(Ruimtestaat!E7),0,IF(Ruimtestaat!E7&gt;0,1,0))</f>
        <v>1</v>
      </c>
      <c r="BB7" s="65">
        <f>IF(ISERROR(Ruimtestaat!F7),0,IF(Ruimtestaat!F7&gt;0,1,0))</f>
        <v>1</v>
      </c>
      <c r="BC7" s="65">
        <f>IF(ISERROR(Ruimtestaat!G7),0,IF(Ruimtestaat!G7&gt;0,1,0))</f>
        <v>1</v>
      </c>
      <c r="BD7" s="65">
        <f>IF(ISERROR(Ruimtestaat!H7),0,IF(Ruimtestaat!H7&gt;0,1,0))</f>
        <v>1</v>
      </c>
      <c r="BE7" s="65">
        <f>IF(ISERROR(Ruimtestaat!I7),0,IF(Ruimtestaat!I7&gt;0,1,0))</f>
        <v>0</v>
      </c>
      <c r="BF7" s="65">
        <f>IF(ISERROR(Ruimtestaat!J7),0,IF(Ruimtestaat!J7&gt;0,1,0))</f>
        <v>1</v>
      </c>
      <c r="BG7" s="65">
        <f>IF(ISERROR(Ruimtestaat!K7),0,IF(Ruimtestaat!K7&gt;0,1,0))</f>
        <v>1</v>
      </c>
      <c r="BH7" s="168"/>
      <c r="BI7" s="168"/>
      <c r="BM7" s="65">
        <f>IF(AZ7=0,0,Ruimtestaat!D7*Ruimtestaat!$C7)</f>
        <v>265335</v>
      </c>
      <c r="BN7" s="65">
        <f>IF(BA7=0,0,Ruimtestaat!E7*Ruimtestaat!$C7)</f>
        <v>1193150</v>
      </c>
      <c r="BO7" s="65">
        <f>IF(BB7=0,0,Ruimtestaat!F7*Ruimtestaat!$C7)</f>
        <v>104125</v>
      </c>
      <c r="BP7" s="65">
        <f>IF(BC7=0,0,Ruimtestaat!G7*Ruimtestaat!$C7)</f>
        <v>190708</v>
      </c>
      <c r="BQ7" s="65">
        <f>IF(BD7=0,0,Ruimtestaat!H7*Ruimtestaat!$C7)</f>
        <v>71050</v>
      </c>
      <c r="BR7" s="65">
        <f>IF(BE7=0,0,Ruimtestaat!I7*Ruimtestaat!$C7)</f>
        <v>0</v>
      </c>
      <c r="BS7" s="65">
        <f>IF(BF7=0,0,Ruimtestaat!J7*Ruimtestaat!$C7)</f>
        <v>563916.5</v>
      </c>
      <c r="BT7" s="65">
        <f>IF(BG7=0,0,Ruimtestaat!K7*Ruimtestaat!$C7)</f>
        <v>294245</v>
      </c>
      <c r="BV7" s="168"/>
      <c r="BZ7" s="65">
        <f t="shared" si="3"/>
        <v>0</v>
      </c>
      <c r="CA7" s="65">
        <f t="shared" si="3"/>
        <v>0</v>
      </c>
      <c r="CB7" s="65">
        <f t="shared" si="3"/>
        <v>0</v>
      </c>
      <c r="CC7" s="65">
        <f t="shared" si="3"/>
        <v>0</v>
      </c>
      <c r="CD7" s="65">
        <f t="shared" si="3"/>
        <v>0</v>
      </c>
      <c r="CE7" s="65">
        <f t="shared" si="3"/>
        <v>0</v>
      </c>
      <c r="CF7" s="65">
        <f t="shared" si="3"/>
        <v>0</v>
      </c>
      <c r="CG7" s="65">
        <f t="shared" si="3"/>
        <v>0</v>
      </c>
      <c r="CH7" s="168"/>
      <c r="CI7" s="168"/>
    </row>
    <row r="8" spans="2:91" ht="13.5" thickBot="1" x14ac:dyDescent="0.2">
      <c r="B8" s="163"/>
      <c r="C8" s="124">
        <v>49</v>
      </c>
      <c r="D8" s="134" t="str">
        <f t="shared" si="0"/>
        <v/>
      </c>
      <c r="E8" s="134" t="str">
        <f t="shared" si="0"/>
        <v/>
      </c>
      <c r="F8" s="134" t="str">
        <f t="shared" si="0"/>
        <v/>
      </c>
      <c r="G8" s="134" t="str">
        <f t="shared" si="0"/>
        <v/>
      </c>
      <c r="H8" s="134" t="str">
        <f t="shared" si="0"/>
        <v/>
      </c>
      <c r="I8" s="134" t="str">
        <f t="shared" si="0"/>
        <v/>
      </c>
      <c r="J8" s="134" t="str">
        <f t="shared" si="0"/>
        <v>in m2/uur</v>
      </c>
      <c r="K8" s="134" t="str">
        <f t="shared" si="0"/>
        <v/>
      </c>
      <c r="L8" s="171"/>
      <c r="M8" s="174"/>
      <c r="AV8" s="110" t="s">
        <v>96</v>
      </c>
      <c r="AW8" s="63">
        <f t="shared" si="2"/>
        <v>3</v>
      </c>
      <c r="AZ8" s="65">
        <f>IF(ISERROR(Ruimtestaat!D8),0,IF(Ruimtestaat!D8&gt;0,1,0))</f>
        <v>0</v>
      </c>
      <c r="BA8" s="65">
        <f>IF(ISERROR(Ruimtestaat!E8),0,IF(Ruimtestaat!E8&gt;0,1,0))</f>
        <v>0</v>
      </c>
      <c r="BB8" s="65">
        <f>IF(ISERROR(Ruimtestaat!F8),0,IF(Ruimtestaat!F8&gt;0,1,0))</f>
        <v>0</v>
      </c>
      <c r="BC8" s="65">
        <f>IF(ISERROR(Ruimtestaat!G8),0,IF(Ruimtestaat!G8&gt;0,1,0))</f>
        <v>0</v>
      </c>
      <c r="BD8" s="65">
        <f>IF(ISERROR(Ruimtestaat!H8),0,IF(Ruimtestaat!H8&gt;0,1,0))</f>
        <v>0</v>
      </c>
      <c r="BE8" s="65">
        <f>IF(ISERROR(Ruimtestaat!I8),0,IF(Ruimtestaat!I8&gt;0,1,0))</f>
        <v>0</v>
      </c>
      <c r="BF8" s="65">
        <f>IF(ISERROR(Ruimtestaat!J8),0,IF(Ruimtestaat!J8&gt;0,1,0))</f>
        <v>1</v>
      </c>
      <c r="BG8" s="65">
        <f>IF(ISERROR(Ruimtestaat!K8),0,IF(Ruimtestaat!K8&gt;0,1,0))</f>
        <v>0</v>
      </c>
      <c r="BH8" s="168"/>
      <c r="BI8" s="168"/>
      <c r="BM8" s="65">
        <f>IF(AZ8=0,0,Ruimtestaat!D8*Ruimtestaat!$C8)</f>
        <v>0</v>
      </c>
      <c r="BN8" s="65">
        <f>IF(BA8=0,0,Ruimtestaat!E8*Ruimtestaat!$C8)</f>
        <v>0</v>
      </c>
      <c r="BO8" s="65">
        <f>IF(BB8=0,0,Ruimtestaat!F8*Ruimtestaat!$C8)</f>
        <v>0</v>
      </c>
      <c r="BP8" s="65">
        <f>IF(BC8=0,0,Ruimtestaat!G8*Ruimtestaat!$C8)</f>
        <v>0</v>
      </c>
      <c r="BQ8" s="65">
        <f>IF(BD8=0,0,Ruimtestaat!H8*Ruimtestaat!$C8)</f>
        <v>0</v>
      </c>
      <c r="BR8" s="65">
        <f>IF(BE8=0,0,Ruimtestaat!I8*Ruimtestaat!$C8)</f>
        <v>0</v>
      </c>
      <c r="BS8" s="65">
        <f>IF(BF8=0,0,Ruimtestaat!J8*Ruimtestaat!$C8)</f>
        <v>9702</v>
      </c>
      <c r="BT8" s="65">
        <f>IF(BG8=0,0,Ruimtestaat!K8*Ruimtestaat!$C8)</f>
        <v>0</v>
      </c>
      <c r="BV8" s="168"/>
      <c r="BZ8" s="65">
        <f t="shared" si="3"/>
        <v>0</v>
      </c>
      <c r="CA8" s="65">
        <f t="shared" si="3"/>
        <v>0</v>
      </c>
      <c r="CB8" s="65">
        <f t="shared" si="3"/>
        <v>0</v>
      </c>
      <c r="CC8" s="65">
        <f t="shared" si="3"/>
        <v>0</v>
      </c>
      <c r="CD8" s="65">
        <f t="shared" si="3"/>
        <v>0</v>
      </c>
      <c r="CE8" s="65">
        <f t="shared" si="3"/>
        <v>0</v>
      </c>
      <c r="CF8" s="65">
        <f t="shared" si="3"/>
        <v>0</v>
      </c>
      <c r="CG8" s="65">
        <f t="shared" si="3"/>
        <v>0</v>
      </c>
      <c r="CH8" s="168"/>
      <c r="CI8" s="168"/>
    </row>
    <row r="9" spans="2:91" ht="13.5" thickBot="1" x14ac:dyDescent="0.2">
      <c r="B9" s="139" t="s">
        <v>418</v>
      </c>
      <c r="C9" s="138"/>
      <c r="D9" s="136"/>
      <c r="E9" s="136"/>
      <c r="F9" s="136"/>
      <c r="G9" s="136"/>
      <c r="H9" s="136"/>
      <c r="I9" s="136"/>
      <c r="J9" s="136"/>
      <c r="K9" s="136"/>
      <c r="L9" s="137"/>
      <c r="M9" s="135" t="str">
        <f>IF(AY9&gt;=BI9,BV9/CI9,"Alles invullen")</f>
        <v>Alles invullen</v>
      </c>
      <c r="AV9" s="62"/>
      <c r="AY9" s="63">
        <f>SUM(AY$6:AY8)</f>
        <v>0</v>
      </c>
      <c r="BI9" s="65">
        <f>SUM(BI$6:BI8)</f>
        <v>9</v>
      </c>
      <c r="BV9" s="65">
        <f>SUM(BV$6:BV8)</f>
        <v>2822620.5</v>
      </c>
      <c r="CI9" s="65">
        <f>SUM(CI$6:CI8)</f>
        <v>0</v>
      </c>
    </row>
    <row r="10" spans="2:91" ht="6.95" customHeight="1" x14ac:dyDescent="0.15">
      <c r="B10" s="59"/>
      <c r="C10" s="60"/>
      <c r="AV10" s="62"/>
    </row>
    <row r="11" spans="2:91" hidden="1" x14ac:dyDescent="0.15">
      <c r="B11" s="59"/>
      <c r="C11" s="60"/>
      <c r="AV11" s="62"/>
    </row>
    <row r="12" spans="2:91" hidden="1" x14ac:dyDescent="0.15">
      <c r="B12" s="59"/>
      <c r="C12" s="60"/>
      <c r="AV12" s="62"/>
    </row>
    <row r="13" spans="2:91" hidden="1" x14ac:dyDescent="0.15">
      <c r="B13" s="59"/>
      <c r="C13" s="60"/>
      <c r="AV13" s="62"/>
    </row>
    <row r="14" spans="2:91" hidden="1" x14ac:dyDescent="0.15">
      <c r="B14" s="59"/>
      <c r="C14" s="60"/>
      <c r="AV14" s="62"/>
    </row>
    <row r="15" spans="2:91" hidden="1" x14ac:dyDescent="0.15">
      <c r="B15" s="59"/>
      <c r="C15" s="60"/>
      <c r="AV15" s="62"/>
    </row>
    <row r="16" spans="2:91" hidden="1" x14ac:dyDescent="0.15">
      <c r="B16" s="59"/>
      <c r="C16" s="60"/>
      <c r="AV16" s="62"/>
    </row>
    <row r="17" spans="2:48" hidden="1" x14ac:dyDescent="0.15">
      <c r="B17" s="59"/>
      <c r="C17" s="60"/>
      <c r="AV17" s="62"/>
    </row>
    <row r="18" spans="2:48" hidden="1" x14ac:dyDescent="0.15">
      <c r="B18" s="59"/>
      <c r="C18" s="60"/>
      <c r="AV18" s="62"/>
    </row>
    <row r="19" spans="2:48" hidden="1" x14ac:dyDescent="0.15">
      <c r="B19" s="59"/>
      <c r="C19" s="60"/>
      <c r="AV19" s="62"/>
    </row>
    <row r="20" spans="2:48" hidden="1" x14ac:dyDescent="0.15">
      <c r="B20" s="59"/>
      <c r="C20" s="60"/>
      <c r="AV20" s="62"/>
    </row>
    <row r="21" spans="2:48" hidden="1" x14ac:dyDescent="0.15">
      <c r="B21" s="59"/>
      <c r="C21" s="60"/>
      <c r="AV21" s="62"/>
    </row>
    <row r="22" spans="2:48" hidden="1" x14ac:dyDescent="0.15">
      <c r="B22" s="59"/>
      <c r="C22" s="60"/>
      <c r="AV22" s="62"/>
    </row>
    <row r="23" spans="2:48" hidden="1" x14ac:dyDescent="0.15">
      <c r="B23" s="59"/>
      <c r="C23" s="60"/>
      <c r="AV23" s="62"/>
    </row>
    <row r="24" spans="2:48" hidden="1" x14ac:dyDescent="0.15">
      <c r="B24" s="59"/>
      <c r="C24" s="60"/>
      <c r="AV24" s="62"/>
    </row>
    <row r="25" spans="2:48" hidden="1" x14ac:dyDescent="0.15">
      <c r="B25" s="59"/>
      <c r="C25" s="60"/>
      <c r="AV25" s="62"/>
    </row>
    <row r="26" spans="2:48" hidden="1" x14ac:dyDescent="0.15">
      <c r="B26" s="59"/>
      <c r="C26" s="60"/>
      <c r="AV26" s="62"/>
    </row>
    <row r="27" spans="2:48" hidden="1" x14ac:dyDescent="0.15">
      <c r="B27" s="59"/>
      <c r="C27" s="60"/>
      <c r="AV27" s="62"/>
    </row>
    <row r="28" spans="2:48" hidden="1" x14ac:dyDescent="0.15">
      <c r="B28" s="59"/>
      <c r="C28" s="60"/>
      <c r="AV28" s="62"/>
    </row>
    <row r="29" spans="2:48" hidden="1" x14ac:dyDescent="0.15">
      <c r="B29" s="59"/>
      <c r="C29" s="60"/>
      <c r="AV29" s="62"/>
    </row>
    <row r="30" spans="2:48" hidden="1" x14ac:dyDescent="0.15">
      <c r="B30" s="59"/>
      <c r="C30" s="60"/>
      <c r="AV30" s="62"/>
    </row>
    <row r="31" spans="2:48" hidden="1" x14ac:dyDescent="0.15">
      <c r="B31" s="59"/>
      <c r="C31" s="60"/>
      <c r="AV31" s="62"/>
    </row>
    <row r="32" spans="2:48" hidden="1" x14ac:dyDescent="0.15">
      <c r="B32" s="59"/>
      <c r="C32" s="60"/>
      <c r="AV32" s="62"/>
    </row>
    <row r="33" spans="2:48" hidden="1" x14ac:dyDescent="0.15">
      <c r="B33" s="59"/>
      <c r="C33" s="60"/>
      <c r="AV33" s="62"/>
    </row>
    <row r="34" spans="2:48" hidden="1" x14ac:dyDescent="0.15">
      <c r="B34" s="59"/>
      <c r="C34" s="60"/>
      <c r="AV34" s="62"/>
    </row>
    <row r="35" spans="2:48" hidden="1" x14ac:dyDescent="0.15">
      <c r="B35" s="59"/>
      <c r="C35" s="60"/>
      <c r="AV35" s="62"/>
    </row>
    <row r="36" spans="2:48" hidden="1" x14ac:dyDescent="0.15">
      <c r="B36" s="59"/>
      <c r="C36" s="60"/>
      <c r="AV36" s="62"/>
    </row>
    <row r="37" spans="2:48" hidden="1" x14ac:dyDescent="0.15">
      <c r="B37" s="59"/>
      <c r="C37" s="60"/>
      <c r="AV37" s="62"/>
    </row>
    <row r="38" spans="2:48" hidden="1" x14ac:dyDescent="0.15">
      <c r="B38" s="59"/>
      <c r="C38" s="60"/>
      <c r="AV38" s="62"/>
    </row>
    <row r="39" spans="2:48" hidden="1" x14ac:dyDescent="0.15">
      <c r="B39" s="59"/>
      <c r="C39" s="60"/>
      <c r="AV39" s="62"/>
    </row>
    <row r="40" spans="2:48" hidden="1" x14ac:dyDescent="0.15">
      <c r="B40" s="59"/>
      <c r="C40" s="60"/>
      <c r="AV40" s="62"/>
    </row>
    <row r="41" spans="2:48" hidden="1" x14ac:dyDescent="0.15">
      <c r="B41" s="59"/>
      <c r="C41" s="60"/>
      <c r="AV41" s="62"/>
    </row>
    <row r="42" spans="2:48" hidden="1" x14ac:dyDescent="0.15">
      <c r="B42" s="59"/>
      <c r="C42" s="60"/>
      <c r="AV42" s="62"/>
    </row>
    <row r="43" spans="2:48" hidden="1" x14ac:dyDescent="0.15">
      <c r="B43" s="59"/>
      <c r="C43" s="60"/>
      <c r="AV43" s="62"/>
    </row>
    <row r="44" spans="2:48" hidden="1" x14ac:dyDescent="0.15">
      <c r="B44" s="59"/>
      <c r="C44" s="60"/>
      <c r="AV44" s="62"/>
    </row>
    <row r="45" spans="2:48" hidden="1" x14ac:dyDescent="0.15">
      <c r="B45" s="59"/>
      <c r="C45" s="60"/>
      <c r="AV45" s="62"/>
    </row>
    <row r="46" spans="2:48" hidden="1" x14ac:dyDescent="0.15">
      <c r="B46" s="59"/>
      <c r="C46" s="60"/>
      <c r="AV46" s="62"/>
    </row>
    <row r="47" spans="2:48" hidden="1" x14ac:dyDescent="0.15">
      <c r="B47" s="59"/>
      <c r="C47" s="60"/>
      <c r="AV47" s="62"/>
    </row>
    <row r="48" spans="2:48" hidden="1" x14ac:dyDescent="0.15">
      <c r="B48" s="59"/>
      <c r="C48" s="60"/>
      <c r="AV48" s="62"/>
    </row>
    <row r="49" spans="2:48" hidden="1" x14ac:dyDescent="0.15">
      <c r="B49" s="59"/>
      <c r="C49" s="60"/>
      <c r="AV49" s="62"/>
    </row>
    <row r="50" spans="2:48" hidden="1" x14ac:dyDescent="0.15">
      <c r="B50" s="59"/>
      <c r="C50" s="60"/>
      <c r="AV50" s="62"/>
    </row>
    <row r="51" spans="2:48" hidden="1" x14ac:dyDescent="0.15">
      <c r="B51" s="59"/>
      <c r="C51" s="60"/>
      <c r="AV51" s="62"/>
    </row>
    <row r="52" spans="2:48" hidden="1" x14ac:dyDescent="0.15">
      <c r="B52" s="59"/>
      <c r="C52" s="60"/>
      <c r="AV52" s="62"/>
    </row>
    <row r="53" spans="2:48" hidden="1" x14ac:dyDescent="0.15">
      <c r="B53" s="59"/>
      <c r="C53" s="60"/>
      <c r="AV53" s="62"/>
    </row>
    <row r="54" spans="2:48" hidden="1" x14ac:dyDescent="0.15">
      <c r="B54" s="59"/>
      <c r="C54" s="60"/>
      <c r="AV54" s="62"/>
    </row>
    <row r="55" spans="2:48" hidden="1" x14ac:dyDescent="0.15">
      <c r="B55" s="59"/>
      <c r="C55" s="60"/>
      <c r="AV55" s="62"/>
    </row>
    <row r="56" spans="2:48" hidden="1" x14ac:dyDescent="0.15">
      <c r="B56" s="59"/>
      <c r="C56" s="60"/>
      <c r="AV56" s="62"/>
    </row>
    <row r="57" spans="2:48" hidden="1" x14ac:dyDescent="0.15">
      <c r="B57" s="59"/>
      <c r="C57" s="60"/>
      <c r="AV57" s="62"/>
    </row>
    <row r="58" spans="2:48" hidden="1" x14ac:dyDescent="0.15">
      <c r="B58" s="59"/>
      <c r="C58" s="60"/>
      <c r="AV58" s="62"/>
    </row>
    <row r="59" spans="2:48" hidden="1" x14ac:dyDescent="0.15">
      <c r="B59" s="59"/>
      <c r="C59" s="60"/>
      <c r="AV59" s="62"/>
    </row>
    <row r="60" spans="2:48" hidden="1" x14ac:dyDescent="0.15">
      <c r="B60" s="59"/>
      <c r="C60" s="60"/>
      <c r="AV60" s="62"/>
    </row>
    <row r="62" spans="2:48" hidden="1" x14ac:dyDescent="0.15">
      <c r="B62" s="59"/>
      <c r="C62" s="60"/>
      <c r="AV62" s="62"/>
    </row>
    <row r="63" spans="2:48" hidden="1" x14ac:dyDescent="0.15">
      <c r="B63" s="59"/>
      <c r="C63" s="60"/>
      <c r="AV63" s="62"/>
    </row>
    <row r="64" spans="2:48" hidden="1" x14ac:dyDescent="0.15">
      <c r="B64" s="59"/>
      <c r="C64" s="60"/>
      <c r="AV64" s="62"/>
    </row>
    <row r="65" spans="2:48" hidden="1" x14ac:dyDescent="0.15">
      <c r="B65" s="59"/>
      <c r="C65" s="60"/>
      <c r="AV65" s="62"/>
    </row>
    <row r="66" spans="2:48" hidden="1" x14ac:dyDescent="0.15">
      <c r="B66" s="59"/>
      <c r="C66" s="60"/>
      <c r="AV66" s="62"/>
    </row>
  </sheetData>
  <sheetProtection algorithmName="SHA-512" hashValue="hyBz9qg0mQzYm0NJda98hkNKR2T2HI2tUGCdmvYpNg/Z+C7frT8pQIV62URGrI53hG21j5Dn37V6PKCCcJwn4A==" saltValue="AEDJ8HpK/eesFMqWHzRoPw==" spinCount="100000" sheet="1" objects="1" scenarios="1"/>
  <mergeCells count="14">
    <mergeCell ref="B5:M5"/>
    <mergeCell ref="BZ2:CI2"/>
    <mergeCell ref="B2:M2"/>
    <mergeCell ref="B3:M3"/>
    <mergeCell ref="AZ2:BI2"/>
    <mergeCell ref="BM2:BV2"/>
    <mergeCell ref="BV6:BV8"/>
    <mergeCell ref="CH6:CH8"/>
    <mergeCell ref="CI6:CI8"/>
    <mergeCell ref="B6:B8"/>
    <mergeCell ref="L6:L8"/>
    <mergeCell ref="M6:M8"/>
    <mergeCell ref="BH6:BH8"/>
    <mergeCell ref="BI6:BI8"/>
  </mergeCells>
  <conditionalFormatting sqref="K6:L6 D6:J1048576 K9:L1048576 K7:K8">
    <cfRule type="expression" priority="13" stopIfTrue="1">
      <formula>AZ6=""</formula>
    </cfRule>
    <cfRule type="expression" dxfId="11" priority="14" stopIfTrue="1">
      <formula>AZ6&lt;1</formula>
    </cfRule>
    <cfRule type="containsText" dxfId="10" priority="15" operator="containsText" text="ur">
      <formula>NOT(ISERROR(SEARCH("ur",D6)))</formula>
    </cfRule>
    <cfRule type="containsText" dxfId="9" priority="16" operator="containsText" text="norm">
      <formula>NOT(ISERROR(SEARCH("norm",D6)))</formula>
    </cfRule>
    <cfRule type="containsText" dxfId="8" priority="17" operator="containsText" text="in">
      <formula>NOT(ISERROR(SEARCH("in",D6)))</formula>
    </cfRule>
    <cfRule type="cellIs" priority="18" operator="greaterThan">
      <formula>0</formula>
    </cfRule>
  </conditionalFormatting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&amp;C&amp;F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>
    <pageSetUpPr fitToPage="1"/>
  </sheetPr>
  <dimension ref="A1:AA48"/>
  <sheetViews>
    <sheetView showGridLines="0" showRowColHeaders="0" showZeros="0" topLeftCell="A5" zoomScale="85" workbookViewId="0">
      <selection activeCell="B34" sqref="B34"/>
    </sheetView>
  </sheetViews>
  <sheetFormatPr defaultColWidth="0" defaultRowHeight="12.75" customHeight="1" zeroHeight="1" x14ac:dyDescent="0.2"/>
  <cols>
    <col min="1" max="1" width="1.7109375" style="4" customWidth="1"/>
    <col min="2" max="2" width="70.42578125" style="4" bestFit="1" customWidth="1"/>
    <col min="3" max="3" width="16" style="33" customWidth="1"/>
    <col min="4" max="4" width="10.85546875" style="2" bestFit="1" customWidth="1"/>
    <col min="5" max="5" width="11.28515625" style="4" bestFit="1" customWidth="1"/>
    <col min="6" max="6" width="8" style="3" customWidth="1"/>
    <col min="7" max="7" width="1.7109375" style="4" customWidth="1"/>
    <col min="8" max="11" width="12.7109375" style="4" hidden="1" customWidth="1"/>
    <col min="12" max="12" width="13.28515625" style="4" hidden="1" customWidth="1"/>
    <col min="13" max="27" width="12.7109375" style="4" hidden="1" customWidth="1"/>
    <col min="28" max="16384" width="19.85546875" style="4" hidden="1"/>
  </cols>
  <sheetData>
    <row r="1" spans="2:10" ht="6.95" customHeight="1" x14ac:dyDescent="0.2"/>
    <row r="2" spans="2:10" ht="34.5" customHeight="1" x14ac:dyDescent="0.2">
      <c r="B2" s="176" t="str">
        <f>CONCATENATE("Offerte uurtarief - ",UPPER(Inventarisatiestaat!A2))</f>
        <v>Offerte uurtarief - DESIGN ACADEMY EINDHOVEN</v>
      </c>
      <c r="C2" s="177"/>
      <c r="D2" s="177"/>
      <c r="E2" s="177"/>
      <c r="F2" s="178"/>
    </row>
    <row r="3" spans="2:10" s="74" customFormat="1" ht="15" customHeight="1" x14ac:dyDescent="0.2">
      <c r="B3" s="75"/>
      <c r="C3" s="5"/>
      <c r="D3" s="6" t="s">
        <v>19</v>
      </c>
      <c r="E3" s="76" t="s">
        <v>20</v>
      </c>
      <c r="F3" s="7"/>
      <c r="I3" s="8"/>
      <c r="J3" s="77"/>
    </row>
    <row r="4" spans="2:10" s="74" customFormat="1" ht="15" customHeight="1" x14ac:dyDescent="0.2">
      <c r="B4" s="75" t="s">
        <v>21</v>
      </c>
      <c r="C4" s="9"/>
      <c r="D4" s="10"/>
      <c r="E4" s="78"/>
      <c r="F4" s="11"/>
      <c r="I4" s="79"/>
      <c r="J4" s="12">
        <f>COUNTBLANK(E4)</f>
        <v>1</v>
      </c>
    </row>
    <row r="5" spans="2:10" s="74" customFormat="1" ht="15" customHeight="1" x14ac:dyDescent="0.2">
      <c r="B5" s="13" t="s">
        <v>22</v>
      </c>
      <c r="C5" s="14"/>
      <c r="D5" s="15"/>
      <c r="E5" s="80"/>
      <c r="F5" s="16"/>
      <c r="I5" s="81"/>
      <c r="J5" s="77"/>
    </row>
    <row r="6" spans="2:10" s="74" customFormat="1" ht="15" customHeight="1" x14ac:dyDescent="0.2">
      <c r="B6" s="37"/>
      <c r="C6" s="17"/>
      <c r="D6" s="15"/>
      <c r="E6" s="80"/>
      <c r="F6" s="16"/>
      <c r="I6" s="81"/>
      <c r="J6" s="77"/>
    </row>
    <row r="7" spans="2:10" s="74" customFormat="1" ht="15" customHeight="1" x14ac:dyDescent="0.2">
      <c r="B7" s="37" t="s">
        <v>23</v>
      </c>
      <c r="C7" s="18"/>
      <c r="D7" s="44"/>
      <c r="E7" s="80">
        <f>E4*D7</f>
        <v>0</v>
      </c>
      <c r="F7" s="16" t="e">
        <f>E7/E4</f>
        <v>#DIV/0!</v>
      </c>
      <c r="I7" s="19">
        <f>COUNTBLANK(D7)</f>
        <v>1</v>
      </c>
      <c r="J7" s="77"/>
    </row>
    <row r="8" spans="2:10" s="74" customFormat="1" ht="15" customHeight="1" x14ac:dyDescent="0.2">
      <c r="B8" s="37" t="s">
        <v>24</v>
      </c>
      <c r="C8" s="18"/>
      <c r="D8" s="44"/>
      <c r="E8" s="80">
        <f>E4*D8</f>
        <v>0</v>
      </c>
      <c r="F8" s="16" t="e">
        <f>E8/E4</f>
        <v>#DIV/0!</v>
      </c>
      <c r="I8" s="19">
        <f>COUNTBLANK(D8)</f>
        <v>1</v>
      </c>
      <c r="J8" s="77"/>
    </row>
    <row r="9" spans="2:10" s="74" customFormat="1" x14ac:dyDescent="0.2">
      <c r="B9" s="20" t="s">
        <v>25</v>
      </c>
      <c r="C9" s="21"/>
      <c r="D9" s="22"/>
      <c r="E9" s="82">
        <f>SUM(E4:E8)</f>
        <v>0</v>
      </c>
      <c r="F9" s="23"/>
      <c r="I9" s="81"/>
      <c r="J9" s="77"/>
    </row>
    <row r="10" spans="2:10" s="74" customFormat="1" ht="15" customHeight="1" x14ac:dyDescent="0.2">
      <c r="B10" s="37"/>
      <c r="C10" s="17"/>
      <c r="D10" s="22"/>
      <c r="E10" s="80"/>
      <c r="F10" s="16"/>
      <c r="I10" s="81"/>
      <c r="J10" s="77"/>
    </row>
    <row r="11" spans="2:10" s="74" customFormat="1" ht="15" customHeight="1" x14ac:dyDescent="0.2">
      <c r="B11" s="24" t="s">
        <v>26</v>
      </c>
      <c r="C11" s="18"/>
      <c r="D11" s="22"/>
      <c r="E11" s="78"/>
      <c r="F11" s="16"/>
      <c r="I11" s="81"/>
      <c r="J11" s="12">
        <f>COUNTBLANK(E11)</f>
        <v>1</v>
      </c>
    </row>
    <row r="12" spans="2:10" s="74" customFormat="1" ht="15" customHeight="1" x14ac:dyDescent="0.2">
      <c r="B12" s="37" t="s">
        <v>27</v>
      </c>
      <c r="C12" s="18"/>
      <c r="D12" s="44"/>
      <c r="E12" s="80">
        <f>D12*E11</f>
        <v>0</v>
      </c>
      <c r="F12" s="16" t="e">
        <f>E12/E11</f>
        <v>#DIV/0!</v>
      </c>
      <c r="I12" s="19">
        <f>COUNTBLANK(D12)</f>
        <v>1</v>
      </c>
      <c r="J12" s="77"/>
    </row>
    <row r="13" spans="2:10" s="74" customFormat="1" ht="15" customHeight="1" x14ac:dyDescent="0.2">
      <c r="B13" s="20" t="s">
        <v>28</v>
      </c>
      <c r="C13" s="21"/>
      <c r="D13" s="22"/>
      <c r="E13" s="82">
        <f>SUM(E9,E12)</f>
        <v>0</v>
      </c>
      <c r="F13" s="23"/>
      <c r="I13" s="81"/>
      <c r="J13" s="77"/>
    </row>
    <row r="14" spans="2:10" s="74" customFormat="1" ht="15" customHeight="1" x14ac:dyDescent="0.2">
      <c r="B14" s="37"/>
      <c r="C14" s="21"/>
      <c r="D14" s="22"/>
      <c r="E14" s="80"/>
      <c r="F14" s="16"/>
      <c r="I14" s="81"/>
      <c r="J14" s="77"/>
    </row>
    <row r="15" spans="2:10" s="74" customFormat="1" ht="15" customHeight="1" x14ac:dyDescent="0.2">
      <c r="B15" s="37" t="s">
        <v>29</v>
      </c>
      <c r="C15" s="83"/>
      <c r="D15" s="45"/>
      <c r="E15" s="80">
        <f>E13*D15</f>
        <v>0</v>
      </c>
      <c r="F15" s="16" t="e">
        <f>E15/E13</f>
        <v>#DIV/0!</v>
      </c>
      <c r="I15" s="19">
        <f>COUNTBLANK(D15)</f>
        <v>1</v>
      </c>
      <c r="J15" s="77"/>
    </row>
    <row r="16" spans="2:10" s="74" customFormat="1" x14ac:dyDescent="0.2">
      <c r="B16" s="20" t="s">
        <v>30</v>
      </c>
      <c r="C16" s="21"/>
      <c r="D16" s="15"/>
      <c r="E16" s="80">
        <f>E13+E15</f>
        <v>0</v>
      </c>
      <c r="F16" s="23"/>
      <c r="I16" s="81"/>
      <c r="J16" s="77"/>
    </row>
    <row r="17" spans="2:10" s="74" customFormat="1" x14ac:dyDescent="0.2">
      <c r="B17" s="37"/>
      <c r="C17" s="21"/>
      <c r="D17" s="15"/>
      <c r="E17" s="80"/>
      <c r="F17" s="16"/>
      <c r="I17" s="81"/>
      <c r="J17" s="77"/>
    </row>
    <row r="18" spans="2:10" s="74" customFormat="1" ht="15" x14ac:dyDescent="0.2">
      <c r="B18" s="37" t="s">
        <v>31</v>
      </c>
      <c r="C18" s="25"/>
      <c r="D18" s="46"/>
      <c r="E18" s="78" t="str">
        <f>IF(D18="","",D18*$E$16)</f>
        <v/>
      </c>
      <c r="F18" s="16" t="e">
        <f>E18/$E$16</f>
        <v>#VALUE!</v>
      </c>
      <c r="I18" s="12">
        <f t="shared" ref="I18:J22" si="0">COUNTBLANK(D18)</f>
        <v>1</v>
      </c>
      <c r="J18" s="12">
        <f t="shared" si="0"/>
        <v>1</v>
      </c>
    </row>
    <row r="19" spans="2:10" s="74" customFormat="1" ht="15" x14ac:dyDescent="0.2">
      <c r="B19" s="37" t="s">
        <v>32</v>
      </c>
      <c r="C19" s="25"/>
      <c r="D19" s="46"/>
      <c r="E19" s="78" t="str">
        <f>IF(D19="","",D19*$E$16)</f>
        <v/>
      </c>
      <c r="F19" s="16" t="e">
        <f>E19/$E$16</f>
        <v>#VALUE!</v>
      </c>
      <c r="I19" s="12">
        <f t="shared" si="0"/>
        <v>1</v>
      </c>
      <c r="J19" s="12">
        <f t="shared" si="0"/>
        <v>1</v>
      </c>
    </row>
    <row r="20" spans="2:10" s="74" customFormat="1" ht="15" x14ac:dyDescent="0.2">
      <c r="B20" s="37" t="s">
        <v>33</v>
      </c>
      <c r="C20" s="21"/>
      <c r="D20" s="46"/>
      <c r="E20" s="78" t="str">
        <f>IF(D20="","",D20*$E$16)</f>
        <v/>
      </c>
      <c r="F20" s="16" t="e">
        <f>E20/$E$16</f>
        <v>#VALUE!</v>
      </c>
      <c r="I20" s="12">
        <f t="shared" si="0"/>
        <v>1</v>
      </c>
      <c r="J20" s="12">
        <f t="shared" si="0"/>
        <v>1</v>
      </c>
    </row>
    <row r="21" spans="2:10" s="74" customFormat="1" ht="15" x14ac:dyDescent="0.2">
      <c r="B21" s="37" t="s">
        <v>34</v>
      </c>
      <c r="C21" s="21"/>
      <c r="D21" s="46"/>
      <c r="E21" s="78" t="str">
        <f>IF(D21="","",D21*$E$16)</f>
        <v/>
      </c>
      <c r="F21" s="16" t="e">
        <f>E21/$E$16</f>
        <v>#VALUE!</v>
      </c>
      <c r="I21" s="12">
        <f t="shared" si="0"/>
        <v>1</v>
      </c>
      <c r="J21" s="12">
        <f t="shared" si="0"/>
        <v>1</v>
      </c>
    </row>
    <row r="22" spans="2:10" s="74" customFormat="1" ht="15" x14ac:dyDescent="0.2">
      <c r="B22" s="84" t="s">
        <v>35</v>
      </c>
      <c r="C22" s="21"/>
      <c r="D22" s="46"/>
      <c r="E22" s="78" t="str">
        <f>IF(D22="","",D22*$E$16)</f>
        <v/>
      </c>
      <c r="F22" s="16" t="e">
        <f>E22/$E$16</f>
        <v>#VALUE!</v>
      </c>
      <c r="H22" s="74">
        <f>IF(B22="Eventueel zelf invullen",1,0)</f>
        <v>1</v>
      </c>
      <c r="I22" s="12">
        <f t="shared" si="0"/>
        <v>1</v>
      </c>
      <c r="J22" s="12">
        <f t="shared" si="0"/>
        <v>1</v>
      </c>
    </row>
    <row r="23" spans="2:10" s="74" customFormat="1" ht="15" x14ac:dyDescent="0.2">
      <c r="B23" s="26"/>
      <c r="C23" s="21"/>
      <c r="D23" s="15" t="s">
        <v>18</v>
      </c>
      <c r="E23" s="85"/>
      <c r="F23" s="16"/>
      <c r="I23" s="81"/>
      <c r="J23" s="12"/>
    </row>
    <row r="24" spans="2:10" s="74" customFormat="1" x14ac:dyDescent="0.2">
      <c r="B24" s="20" t="s">
        <v>36</v>
      </c>
      <c r="C24" s="21"/>
      <c r="D24" s="15"/>
      <c r="E24" s="82">
        <f>SUM(E18:E22)+E16</f>
        <v>0</v>
      </c>
      <c r="F24" s="23"/>
      <c r="I24" s="81"/>
      <c r="J24" s="77"/>
    </row>
    <row r="25" spans="2:10" s="74" customFormat="1" x14ac:dyDescent="0.2">
      <c r="B25" s="37"/>
      <c r="C25" s="21"/>
      <c r="D25" s="15"/>
      <c r="E25" s="80"/>
      <c r="F25" s="16"/>
      <c r="I25" s="81"/>
      <c r="J25" s="77"/>
    </row>
    <row r="26" spans="2:10" s="74" customFormat="1" ht="15" x14ac:dyDescent="0.2">
      <c r="B26" s="37" t="s">
        <v>37</v>
      </c>
      <c r="C26" s="21"/>
      <c r="D26" s="46"/>
      <c r="E26" s="78" t="str">
        <f>IF(D26="","",D26*$E$24)</f>
        <v/>
      </c>
      <c r="F26" s="23" t="e">
        <f>E26/$E$24</f>
        <v>#VALUE!</v>
      </c>
      <c r="I26" s="12">
        <f>COUNTBLANK(D26)</f>
        <v>1</v>
      </c>
      <c r="J26" s="12">
        <f>COUNTBLANK(E26)</f>
        <v>1</v>
      </c>
    </row>
    <row r="27" spans="2:10" s="74" customFormat="1" ht="15" x14ac:dyDescent="0.2">
      <c r="B27" s="37" t="s">
        <v>38</v>
      </c>
      <c r="C27" s="21"/>
      <c r="D27" s="46"/>
      <c r="E27" s="78" t="str">
        <f t="shared" ref="E27:E33" si="1">IF(D27="","",D27*$E$24)</f>
        <v/>
      </c>
      <c r="F27" s="23" t="e">
        <f t="shared" ref="F27:F33" si="2">E27/$E$24</f>
        <v>#VALUE!</v>
      </c>
      <c r="I27" s="12">
        <f t="shared" ref="I27:J33" si="3">COUNTBLANK(D27)</f>
        <v>1</v>
      </c>
      <c r="J27" s="12">
        <f t="shared" si="3"/>
        <v>1</v>
      </c>
    </row>
    <row r="28" spans="2:10" s="74" customFormat="1" ht="15" x14ac:dyDescent="0.2">
      <c r="B28" s="37" t="s">
        <v>39</v>
      </c>
      <c r="C28" s="21"/>
      <c r="D28" s="46"/>
      <c r="E28" s="78" t="str">
        <f t="shared" si="1"/>
        <v/>
      </c>
      <c r="F28" s="23" t="e">
        <f t="shared" si="2"/>
        <v>#VALUE!</v>
      </c>
      <c r="I28" s="12">
        <f t="shared" si="3"/>
        <v>1</v>
      </c>
      <c r="J28" s="12">
        <f t="shared" si="3"/>
        <v>1</v>
      </c>
    </row>
    <row r="29" spans="2:10" s="74" customFormat="1" ht="15" x14ac:dyDescent="0.2">
      <c r="B29" s="37" t="s">
        <v>40</v>
      </c>
      <c r="C29" s="21"/>
      <c r="D29" s="46"/>
      <c r="E29" s="78" t="str">
        <f t="shared" si="1"/>
        <v/>
      </c>
      <c r="F29" s="23" t="e">
        <f t="shared" si="2"/>
        <v>#VALUE!</v>
      </c>
      <c r="I29" s="12">
        <f t="shared" si="3"/>
        <v>1</v>
      </c>
      <c r="J29" s="12">
        <f t="shared" si="3"/>
        <v>1</v>
      </c>
    </row>
    <row r="30" spans="2:10" s="74" customFormat="1" ht="15" x14ac:dyDescent="0.2">
      <c r="B30" s="37" t="s">
        <v>41</v>
      </c>
      <c r="C30" s="21"/>
      <c r="D30" s="46"/>
      <c r="E30" s="78" t="str">
        <f t="shared" si="1"/>
        <v/>
      </c>
      <c r="F30" s="23" t="e">
        <f t="shared" si="2"/>
        <v>#VALUE!</v>
      </c>
      <c r="I30" s="12">
        <f t="shared" si="3"/>
        <v>1</v>
      </c>
      <c r="J30" s="12">
        <f t="shared" si="3"/>
        <v>1</v>
      </c>
    </row>
    <row r="31" spans="2:10" s="74" customFormat="1" ht="15" x14ac:dyDescent="0.2">
      <c r="B31" s="37" t="s">
        <v>42</v>
      </c>
      <c r="C31" s="21"/>
      <c r="D31" s="46"/>
      <c r="E31" s="78" t="str">
        <f t="shared" si="1"/>
        <v/>
      </c>
      <c r="F31" s="23" t="e">
        <f t="shared" si="2"/>
        <v>#VALUE!</v>
      </c>
      <c r="I31" s="12">
        <f t="shared" si="3"/>
        <v>1</v>
      </c>
      <c r="J31" s="12">
        <f t="shared" si="3"/>
        <v>1</v>
      </c>
    </row>
    <row r="32" spans="2:10" s="74" customFormat="1" ht="15" x14ac:dyDescent="0.2">
      <c r="B32" s="37" t="s">
        <v>43</v>
      </c>
      <c r="C32" s="21"/>
      <c r="D32" s="46"/>
      <c r="E32" s="78" t="str">
        <f t="shared" si="1"/>
        <v/>
      </c>
      <c r="F32" s="23" t="e">
        <f t="shared" si="2"/>
        <v>#VALUE!</v>
      </c>
      <c r="I32" s="12">
        <f t="shared" si="3"/>
        <v>1</v>
      </c>
      <c r="J32" s="12">
        <f t="shared" si="3"/>
        <v>1</v>
      </c>
    </row>
    <row r="33" spans="2:10" s="74" customFormat="1" ht="15" x14ac:dyDescent="0.2">
      <c r="B33" s="84" t="s">
        <v>35</v>
      </c>
      <c r="C33" s="21"/>
      <c r="D33" s="46"/>
      <c r="E33" s="78" t="str">
        <f t="shared" si="1"/>
        <v/>
      </c>
      <c r="F33" s="23" t="e">
        <f t="shared" si="2"/>
        <v>#VALUE!</v>
      </c>
      <c r="H33" s="74">
        <f>IF(B33="Eventueel zelf invullen",1,0)</f>
        <v>1</v>
      </c>
      <c r="I33" s="12">
        <f t="shared" si="3"/>
        <v>1</v>
      </c>
      <c r="J33" s="12">
        <f>COUNTBLANK(E33)</f>
        <v>1</v>
      </c>
    </row>
    <row r="34" spans="2:10" s="74" customFormat="1" ht="15" x14ac:dyDescent="0.2">
      <c r="B34" s="26"/>
      <c r="C34" s="21"/>
      <c r="D34" s="28"/>
      <c r="E34" s="85"/>
      <c r="F34" s="16"/>
      <c r="I34" s="90"/>
      <c r="J34" s="12"/>
    </row>
    <row r="35" spans="2:10" s="74" customFormat="1" x14ac:dyDescent="0.2">
      <c r="B35" s="20" t="s">
        <v>44</v>
      </c>
      <c r="C35" s="21"/>
      <c r="D35" s="15"/>
      <c r="E35" s="82">
        <f>IF(ISERROR(IF(#REF!&gt;#REF!,SUM(E26:E32,#REF!,E33:E33),SUM(E26:E33))),SUM(E26:E33),IF(#REF!&gt;#REF!,SUM(E26:E32,#REF!,E33:E33),SUM(E26:E33)))</f>
        <v>0</v>
      </c>
      <c r="F35" s="23"/>
      <c r="I35" s="81"/>
      <c r="J35" s="77"/>
    </row>
    <row r="36" spans="2:10" s="74" customFormat="1" x14ac:dyDescent="0.2">
      <c r="B36" s="37"/>
      <c r="C36" s="21"/>
      <c r="D36" s="15"/>
      <c r="E36" s="80"/>
      <c r="F36" s="29"/>
      <c r="I36" s="81"/>
      <c r="J36" s="77"/>
    </row>
    <row r="37" spans="2:10" s="74" customFormat="1" ht="15" x14ac:dyDescent="0.2">
      <c r="B37" s="37" t="s">
        <v>45</v>
      </c>
      <c r="C37" s="21"/>
      <c r="D37" s="46"/>
      <c r="E37" s="78" t="str">
        <f>IF(D37="","",D37*(E24+E35))</f>
        <v/>
      </c>
      <c r="F37" s="16" t="e">
        <f>E37/E35</f>
        <v>#VALUE!</v>
      </c>
      <c r="I37" s="12">
        <f>COUNTBLANK(D37)</f>
        <v>1</v>
      </c>
      <c r="J37" s="12">
        <f>COUNTBLANK(E37)</f>
        <v>1</v>
      </c>
    </row>
    <row r="38" spans="2:10" s="74" customFormat="1" x14ac:dyDescent="0.2">
      <c r="B38" s="37"/>
      <c r="C38" s="14"/>
      <c r="D38" s="15"/>
      <c r="E38" s="80"/>
      <c r="F38" s="16"/>
      <c r="I38" s="81"/>
      <c r="J38" s="77"/>
    </row>
    <row r="39" spans="2:10" s="74" customFormat="1" x14ac:dyDescent="0.2">
      <c r="B39" s="20" t="s">
        <v>46</v>
      </c>
      <c r="C39" s="30"/>
      <c r="D39" s="31"/>
      <c r="E39" s="82">
        <f>SUM(E24,E35,E37)</f>
        <v>0</v>
      </c>
      <c r="F39" s="32"/>
      <c r="I39" s="81"/>
      <c r="J39" s="91"/>
    </row>
    <row r="40" spans="2:10" ht="12.75" customHeight="1" x14ac:dyDescent="0.2"/>
    <row r="41" spans="2:10" ht="12.75" customHeight="1" x14ac:dyDescent="0.2"/>
    <row r="42" spans="2:10" ht="12.75" customHeight="1" x14ac:dyDescent="0.2"/>
    <row r="43" spans="2:10" ht="12.75" customHeight="1" x14ac:dyDescent="0.2"/>
    <row r="44" spans="2:10" ht="12.75" customHeight="1" x14ac:dyDescent="0.2"/>
    <row r="45" spans="2:10" ht="12.75" customHeight="1" x14ac:dyDescent="0.2"/>
    <row r="46" spans="2:10" ht="12.75" customHeight="1" x14ac:dyDescent="0.2"/>
    <row r="47" spans="2:10" ht="12.75" customHeight="1" x14ac:dyDescent="0.2"/>
    <row r="48" spans="2:10" ht="12.75" customHeight="1" x14ac:dyDescent="0.2"/>
  </sheetData>
  <sheetProtection algorithmName="SHA-512" hashValue="+TszaRBEEH5aLNyg9EKBioATvdp/I12vajNfw5nchXnms7wjXte/WkdVVqvE3pY5eywU8wFljk4UddaXi3BoIw==" saltValue="RomHOzrEbTEJb56NJ+x8YQ==" spinCount="100000" sheet="1" objects="1" scenarios="1"/>
  <mergeCells count="1">
    <mergeCell ref="B2:F2"/>
  </mergeCells>
  <conditionalFormatting sqref="E4 E11 D12 D15 D37:E37 D18:E22 D7:D8 D26:E33">
    <cfRule type="expression" dxfId="7" priority="1" stopIfTrue="1">
      <formula>I4=1</formula>
    </cfRule>
  </conditionalFormatting>
  <conditionalFormatting sqref="B22 B33">
    <cfRule type="expression" dxfId="6" priority="2" stopIfTrue="1">
      <formula>H22=1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>
    <oddHeader>&amp;C&amp;F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>
    <pageSetUpPr fitToPage="1"/>
  </sheetPr>
  <dimension ref="A1:AA49"/>
  <sheetViews>
    <sheetView showGridLines="0" showRowColHeaders="0" showZeros="0" topLeftCell="A22" zoomScale="85" workbookViewId="0">
      <selection activeCell="E35" sqref="E35"/>
    </sheetView>
  </sheetViews>
  <sheetFormatPr defaultColWidth="0" defaultRowHeight="12.75" customHeight="1" zeroHeight="1" x14ac:dyDescent="0.2"/>
  <cols>
    <col min="1" max="1" width="1.7109375" style="4" customWidth="1"/>
    <col min="2" max="2" width="70.42578125" style="4" bestFit="1" customWidth="1"/>
    <col min="3" max="3" width="16" style="33" customWidth="1"/>
    <col min="4" max="4" width="10.85546875" style="2" bestFit="1" customWidth="1"/>
    <col min="5" max="5" width="11.28515625" style="4" bestFit="1" customWidth="1"/>
    <col min="6" max="6" width="8" style="3" customWidth="1"/>
    <col min="7" max="7" width="1.7109375" style="4" customWidth="1"/>
    <col min="8" max="11" width="12.7109375" style="4" hidden="1" customWidth="1"/>
    <col min="12" max="12" width="13.28515625" style="4" hidden="1" customWidth="1"/>
    <col min="13" max="27" width="12.7109375" style="4" hidden="1" customWidth="1"/>
    <col min="28" max="16384" width="19.85546875" style="4" hidden="1"/>
  </cols>
  <sheetData>
    <row r="1" spans="2:10" ht="6.95" customHeight="1" x14ac:dyDescent="0.2"/>
    <row r="2" spans="2:10" ht="34.5" customHeight="1" x14ac:dyDescent="0.2">
      <c r="B2" s="176" t="str">
        <f>CONCATENATE("Offerte uurtarief OLGA's - ",UPPER(Inventarisatiestaat!A2))</f>
        <v>Offerte uurtarief OLGA's - DESIGN ACADEMY EINDHOVEN</v>
      </c>
      <c r="C2" s="177"/>
      <c r="D2" s="177"/>
      <c r="E2" s="177"/>
      <c r="F2" s="178"/>
    </row>
    <row r="3" spans="2:10" s="74" customFormat="1" ht="15" customHeight="1" x14ac:dyDescent="0.2">
      <c r="B3" s="75"/>
      <c r="C3" s="5"/>
      <c r="D3" s="6" t="s">
        <v>19</v>
      </c>
      <c r="E3" s="76" t="s">
        <v>20</v>
      </c>
      <c r="F3" s="7"/>
      <c r="I3" s="8"/>
      <c r="J3" s="77"/>
    </row>
    <row r="4" spans="2:10" s="74" customFormat="1" ht="15" customHeight="1" x14ac:dyDescent="0.2">
      <c r="B4" s="75" t="s">
        <v>21</v>
      </c>
      <c r="C4" s="9"/>
      <c r="D4" s="10"/>
      <c r="E4" s="78"/>
      <c r="F4" s="11"/>
      <c r="I4" s="79"/>
      <c r="J4" s="12">
        <f>COUNTBLANK(E4)</f>
        <v>1</v>
      </c>
    </row>
    <row r="5" spans="2:10" s="74" customFormat="1" ht="15" customHeight="1" x14ac:dyDescent="0.2">
      <c r="B5" s="13" t="s">
        <v>22</v>
      </c>
      <c r="C5" s="14"/>
      <c r="D5" s="15"/>
      <c r="E5" s="80"/>
      <c r="F5" s="16"/>
      <c r="I5" s="81"/>
      <c r="J5" s="77"/>
    </row>
    <row r="6" spans="2:10" s="74" customFormat="1" ht="15" customHeight="1" x14ac:dyDescent="0.2">
      <c r="B6" s="37"/>
      <c r="C6" s="17"/>
      <c r="D6" s="15"/>
      <c r="E6" s="80"/>
      <c r="F6" s="16"/>
      <c r="I6" s="81"/>
      <c r="J6" s="77"/>
    </row>
    <row r="7" spans="2:10" s="74" customFormat="1" ht="15" customHeight="1" x14ac:dyDescent="0.2">
      <c r="B7" s="37" t="s">
        <v>23</v>
      </c>
      <c r="C7" s="18"/>
      <c r="D7" s="44"/>
      <c r="E7" s="80">
        <f>E4*D7</f>
        <v>0</v>
      </c>
      <c r="F7" s="16" t="e">
        <f>E7/E4</f>
        <v>#DIV/0!</v>
      </c>
      <c r="I7" s="19">
        <f>COUNTBLANK(D7)</f>
        <v>1</v>
      </c>
      <c r="J7" s="77"/>
    </row>
    <row r="8" spans="2:10" s="74" customFormat="1" ht="15" customHeight="1" x14ac:dyDescent="0.2">
      <c r="B8" s="37" t="s">
        <v>24</v>
      </c>
      <c r="C8" s="18"/>
      <c r="D8" s="44"/>
      <c r="E8" s="80">
        <f>E4*D8</f>
        <v>0</v>
      </c>
      <c r="F8" s="16" t="e">
        <f>E8/E4</f>
        <v>#DIV/0!</v>
      </c>
      <c r="I8" s="19">
        <f>COUNTBLANK(D8)</f>
        <v>1</v>
      </c>
      <c r="J8" s="77"/>
    </row>
    <row r="9" spans="2:10" s="74" customFormat="1" x14ac:dyDescent="0.2">
      <c r="B9" s="20" t="s">
        <v>25</v>
      </c>
      <c r="C9" s="21"/>
      <c r="D9" s="22"/>
      <c r="E9" s="82">
        <f>SUM(E4:E8)</f>
        <v>0</v>
      </c>
      <c r="F9" s="23"/>
      <c r="I9" s="81"/>
      <c r="J9" s="77"/>
    </row>
    <row r="10" spans="2:10" s="74" customFormat="1" ht="15" customHeight="1" x14ac:dyDescent="0.2">
      <c r="B10" s="37"/>
      <c r="C10" s="17"/>
      <c r="D10" s="22"/>
      <c r="E10" s="80"/>
      <c r="F10" s="16"/>
      <c r="I10" s="81"/>
      <c r="J10" s="77"/>
    </row>
    <row r="11" spans="2:10" s="74" customFormat="1" ht="15" customHeight="1" x14ac:dyDescent="0.2">
      <c r="B11" s="24" t="s">
        <v>26</v>
      </c>
      <c r="C11" s="18"/>
      <c r="D11" s="22"/>
      <c r="E11" s="78"/>
      <c r="F11" s="16"/>
      <c r="I11" s="81"/>
      <c r="J11" s="12">
        <f>COUNTBLANK(E11)</f>
        <v>1</v>
      </c>
    </row>
    <row r="12" spans="2:10" s="74" customFormat="1" ht="15" customHeight="1" x14ac:dyDescent="0.2">
      <c r="B12" s="37" t="s">
        <v>27</v>
      </c>
      <c r="C12" s="18"/>
      <c r="D12" s="44"/>
      <c r="E12" s="80">
        <f>D12*E11</f>
        <v>0</v>
      </c>
      <c r="F12" s="16" t="e">
        <f>E12/E11</f>
        <v>#DIV/0!</v>
      </c>
      <c r="I12" s="19">
        <f>COUNTBLANK(D12)</f>
        <v>1</v>
      </c>
      <c r="J12" s="77"/>
    </row>
    <row r="13" spans="2:10" s="74" customFormat="1" ht="15" customHeight="1" x14ac:dyDescent="0.2">
      <c r="B13" s="20" t="s">
        <v>28</v>
      </c>
      <c r="C13" s="21"/>
      <c r="D13" s="22"/>
      <c r="E13" s="82">
        <f>SUM(E9,E12)</f>
        <v>0</v>
      </c>
      <c r="F13" s="23"/>
      <c r="I13" s="81"/>
      <c r="J13" s="77"/>
    </row>
    <row r="14" spans="2:10" s="74" customFormat="1" ht="15" customHeight="1" x14ac:dyDescent="0.2">
      <c r="B14" s="37"/>
      <c r="C14" s="21"/>
      <c r="D14" s="22"/>
      <c r="E14" s="80"/>
      <c r="F14" s="16"/>
      <c r="I14" s="81"/>
      <c r="J14" s="77"/>
    </row>
    <row r="15" spans="2:10" s="74" customFormat="1" ht="15" customHeight="1" x14ac:dyDescent="0.2">
      <c r="B15" s="37" t="s">
        <v>29</v>
      </c>
      <c r="C15" s="83"/>
      <c r="D15" s="45"/>
      <c r="E15" s="80">
        <f>E13*D15</f>
        <v>0</v>
      </c>
      <c r="F15" s="16" t="e">
        <f>E15/E13</f>
        <v>#DIV/0!</v>
      </c>
      <c r="I15" s="19">
        <f>COUNTBLANK(D15)</f>
        <v>1</v>
      </c>
      <c r="J15" s="77"/>
    </row>
    <row r="16" spans="2:10" s="74" customFormat="1" x14ac:dyDescent="0.2">
      <c r="B16" s="20" t="s">
        <v>30</v>
      </c>
      <c r="C16" s="21"/>
      <c r="D16" s="15"/>
      <c r="E16" s="80">
        <f>E13+E15</f>
        <v>0</v>
      </c>
      <c r="F16" s="23"/>
      <c r="I16" s="81"/>
      <c r="J16" s="77"/>
    </row>
    <row r="17" spans="2:10" s="74" customFormat="1" x14ac:dyDescent="0.2">
      <c r="B17" s="37"/>
      <c r="C17" s="21"/>
      <c r="D17" s="15"/>
      <c r="E17" s="80"/>
      <c r="F17" s="16"/>
      <c r="I17" s="81"/>
      <c r="J17" s="77"/>
    </row>
    <row r="18" spans="2:10" s="74" customFormat="1" ht="15" x14ac:dyDescent="0.2">
      <c r="B18" s="37" t="s">
        <v>31</v>
      </c>
      <c r="C18" s="25"/>
      <c r="D18" s="46"/>
      <c r="E18" s="78" t="str">
        <f t="shared" ref="E18:E23" si="0">IF(D18="","",D18*$E$16)</f>
        <v/>
      </c>
      <c r="F18" s="16" t="e">
        <f>E18/$E$16</f>
        <v>#VALUE!</v>
      </c>
      <c r="I18" s="12">
        <f t="shared" ref="I18:J23" si="1">COUNTBLANK(D18)</f>
        <v>1</v>
      </c>
      <c r="J18" s="12">
        <f t="shared" si="1"/>
        <v>1</v>
      </c>
    </row>
    <row r="19" spans="2:10" s="74" customFormat="1" ht="15" x14ac:dyDescent="0.2">
      <c r="B19" s="37" t="s">
        <v>32</v>
      </c>
      <c r="C19" s="25"/>
      <c r="D19" s="46"/>
      <c r="E19" s="78" t="str">
        <f t="shared" si="0"/>
        <v/>
      </c>
      <c r="F19" s="16" t="e">
        <f>E19/$E$16</f>
        <v>#VALUE!</v>
      </c>
      <c r="I19" s="12">
        <f t="shared" si="1"/>
        <v>1</v>
      </c>
      <c r="J19" s="12">
        <f t="shared" si="1"/>
        <v>1</v>
      </c>
    </row>
    <row r="20" spans="2:10" s="74" customFormat="1" ht="15" x14ac:dyDescent="0.2">
      <c r="B20" s="37" t="s">
        <v>33</v>
      </c>
      <c r="C20" s="21"/>
      <c r="D20" s="46"/>
      <c r="E20" s="78" t="str">
        <f t="shared" si="0"/>
        <v/>
      </c>
      <c r="F20" s="16" t="e">
        <f>E20/$E$16</f>
        <v>#VALUE!</v>
      </c>
      <c r="I20" s="12">
        <f t="shared" si="1"/>
        <v>1</v>
      </c>
      <c r="J20" s="12">
        <f t="shared" si="1"/>
        <v>1</v>
      </c>
    </row>
    <row r="21" spans="2:10" s="74" customFormat="1" ht="15" x14ac:dyDescent="0.2">
      <c r="B21" s="37" t="s">
        <v>34</v>
      </c>
      <c r="C21" s="21"/>
      <c r="D21" s="46"/>
      <c r="E21" s="78" t="str">
        <f t="shared" si="0"/>
        <v/>
      </c>
      <c r="F21" s="16" t="e">
        <f>E21/$E$16</f>
        <v>#VALUE!</v>
      </c>
      <c r="I21" s="12">
        <f t="shared" si="1"/>
        <v>1</v>
      </c>
      <c r="J21" s="12">
        <f t="shared" si="1"/>
        <v>1</v>
      </c>
    </row>
    <row r="22" spans="2:10" s="74" customFormat="1" ht="15" x14ac:dyDescent="0.2">
      <c r="B22" s="37" t="s">
        <v>62</v>
      </c>
      <c r="C22" s="21"/>
      <c r="D22" s="46"/>
      <c r="E22" s="78" t="str">
        <f t="shared" si="0"/>
        <v/>
      </c>
      <c r="F22" s="16"/>
      <c r="I22" s="12">
        <f>COUNTBLANK(D22)</f>
        <v>1</v>
      </c>
      <c r="J22" s="12">
        <f>COUNTBLANK(E22)</f>
        <v>1</v>
      </c>
    </row>
    <row r="23" spans="2:10" s="74" customFormat="1" ht="15" x14ac:dyDescent="0.2">
      <c r="B23" s="84" t="s">
        <v>35</v>
      </c>
      <c r="C23" s="21"/>
      <c r="D23" s="46"/>
      <c r="E23" s="78" t="str">
        <f t="shared" si="0"/>
        <v/>
      </c>
      <c r="F23" s="16" t="e">
        <f>E23/$E$16</f>
        <v>#VALUE!</v>
      </c>
      <c r="H23" s="74">
        <f>IF(B23="Eventueel zelf invullen",1,0)</f>
        <v>1</v>
      </c>
      <c r="I23" s="12">
        <f t="shared" si="1"/>
        <v>1</v>
      </c>
      <c r="J23" s="12">
        <f t="shared" si="1"/>
        <v>1</v>
      </c>
    </row>
    <row r="24" spans="2:10" s="74" customFormat="1" ht="15" x14ac:dyDescent="0.2">
      <c r="B24" s="26"/>
      <c r="C24" s="21"/>
      <c r="D24" s="15" t="s">
        <v>18</v>
      </c>
      <c r="E24" s="85"/>
      <c r="F24" s="16"/>
      <c r="I24" s="81"/>
      <c r="J24" s="12"/>
    </row>
    <row r="25" spans="2:10" s="74" customFormat="1" x14ac:dyDescent="0.2">
      <c r="B25" s="20" t="s">
        <v>36</v>
      </c>
      <c r="C25" s="21"/>
      <c r="D25" s="15"/>
      <c r="E25" s="82">
        <f>SUM(E18:E23)+E16</f>
        <v>0</v>
      </c>
      <c r="F25" s="23"/>
      <c r="I25" s="81"/>
      <c r="J25" s="77"/>
    </row>
    <row r="26" spans="2:10" s="74" customFormat="1" x14ac:dyDescent="0.2">
      <c r="B26" s="37"/>
      <c r="C26" s="21"/>
      <c r="D26" s="15"/>
      <c r="E26" s="80"/>
      <c r="F26" s="16"/>
      <c r="I26" s="81"/>
      <c r="J26" s="77"/>
    </row>
    <row r="27" spans="2:10" s="74" customFormat="1" ht="15" x14ac:dyDescent="0.2">
      <c r="B27" s="37" t="s">
        <v>37</v>
      </c>
      <c r="C27" s="21"/>
      <c r="D27" s="46"/>
      <c r="E27" s="78" t="str">
        <f>IF(D27="","",D27*$E$25)</f>
        <v/>
      </c>
      <c r="F27" s="23" t="e">
        <f>E27/$E$25</f>
        <v>#VALUE!</v>
      </c>
      <c r="I27" s="12">
        <f>COUNTBLANK(D27)</f>
        <v>1</v>
      </c>
      <c r="J27" s="12">
        <f>COUNTBLANK(E27)</f>
        <v>1</v>
      </c>
    </row>
    <row r="28" spans="2:10" s="74" customFormat="1" ht="15" x14ac:dyDescent="0.2">
      <c r="B28" s="37" t="s">
        <v>38</v>
      </c>
      <c r="C28" s="21"/>
      <c r="D28" s="46"/>
      <c r="E28" s="78" t="str">
        <f t="shared" ref="E28:E36" si="2">IF(D28="","",D28*$E$25)</f>
        <v/>
      </c>
      <c r="F28" s="23" t="e">
        <f t="shared" ref="F28:F36" si="3">E28/$E$25</f>
        <v>#VALUE!</v>
      </c>
      <c r="I28" s="12">
        <f t="shared" ref="I28:J36" si="4">COUNTBLANK(D28)</f>
        <v>1</v>
      </c>
      <c r="J28" s="12">
        <f t="shared" si="4"/>
        <v>1</v>
      </c>
    </row>
    <row r="29" spans="2:10" s="74" customFormat="1" ht="15" x14ac:dyDescent="0.2">
      <c r="B29" s="37" t="s">
        <v>39</v>
      </c>
      <c r="C29" s="21"/>
      <c r="D29" s="46"/>
      <c r="E29" s="78" t="str">
        <f t="shared" si="2"/>
        <v/>
      </c>
      <c r="F29" s="23" t="e">
        <f t="shared" si="3"/>
        <v>#VALUE!</v>
      </c>
      <c r="I29" s="12">
        <f t="shared" si="4"/>
        <v>1</v>
      </c>
      <c r="J29" s="12">
        <f t="shared" si="4"/>
        <v>1</v>
      </c>
    </row>
    <row r="30" spans="2:10" s="74" customFormat="1" ht="15" x14ac:dyDescent="0.2">
      <c r="B30" s="37" t="s">
        <v>40</v>
      </c>
      <c r="C30" s="21"/>
      <c r="D30" s="46"/>
      <c r="E30" s="78" t="str">
        <f t="shared" si="2"/>
        <v/>
      </c>
      <c r="F30" s="23" t="e">
        <f t="shared" si="3"/>
        <v>#VALUE!</v>
      </c>
      <c r="I30" s="12">
        <f t="shared" si="4"/>
        <v>1</v>
      </c>
      <c r="J30" s="12">
        <f t="shared" si="4"/>
        <v>1</v>
      </c>
    </row>
    <row r="31" spans="2:10" s="74" customFormat="1" ht="15" x14ac:dyDescent="0.2">
      <c r="B31" s="37" t="s">
        <v>41</v>
      </c>
      <c r="C31" s="21"/>
      <c r="D31" s="46"/>
      <c r="E31" s="78" t="str">
        <f t="shared" si="2"/>
        <v/>
      </c>
      <c r="F31" s="23" t="e">
        <f t="shared" si="3"/>
        <v>#VALUE!</v>
      </c>
      <c r="I31" s="12">
        <f t="shared" si="4"/>
        <v>1</v>
      </c>
      <c r="J31" s="12">
        <f t="shared" si="4"/>
        <v>1</v>
      </c>
    </row>
    <row r="32" spans="2:10" s="74" customFormat="1" ht="15" x14ac:dyDescent="0.2">
      <c r="B32" s="37" t="s">
        <v>42</v>
      </c>
      <c r="C32" s="21"/>
      <c r="D32" s="46"/>
      <c r="E32" s="78" t="str">
        <f t="shared" si="2"/>
        <v/>
      </c>
      <c r="F32" s="23" t="e">
        <f t="shared" si="3"/>
        <v>#VALUE!</v>
      </c>
      <c r="I32" s="12">
        <f t="shared" si="4"/>
        <v>1</v>
      </c>
      <c r="J32" s="12">
        <f t="shared" si="4"/>
        <v>1</v>
      </c>
    </row>
    <row r="33" spans="2:13" s="74" customFormat="1" ht="15" x14ac:dyDescent="0.2">
      <c r="B33" s="37" t="s">
        <v>43</v>
      </c>
      <c r="C33" s="21"/>
      <c r="D33" s="46"/>
      <c r="E33" s="78" t="str">
        <f t="shared" si="2"/>
        <v/>
      </c>
      <c r="F33" s="23" t="e">
        <f t="shared" si="3"/>
        <v>#VALUE!</v>
      </c>
      <c r="I33" s="12">
        <f t="shared" si="4"/>
        <v>1</v>
      </c>
      <c r="J33" s="12">
        <f t="shared" si="4"/>
        <v>1</v>
      </c>
    </row>
    <row r="34" spans="2:13" s="74" customFormat="1" ht="15" x14ac:dyDescent="0.2">
      <c r="B34" s="37" t="s">
        <v>92</v>
      </c>
      <c r="C34" s="86" t="str">
        <f>IF(K34&gt;ROUNDUP(L34,2),"Overschrijdt max.kosten","")</f>
        <v/>
      </c>
      <c r="D34" s="45"/>
      <c r="E34" s="78" t="str">
        <f>IF(D34="","",D34*$E$25)</f>
        <v/>
      </c>
      <c r="F34" s="23" t="e">
        <f>E34/$E$26</f>
        <v>#VALUE!</v>
      </c>
      <c r="I34" s="19">
        <f t="shared" si="4"/>
        <v>1</v>
      </c>
      <c r="J34" s="12">
        <f t="shared" si="4"/>
        <v>1</v>
      </c>
      <c r="K34" s="87">
        <f>IF(E34="",0,E34)</f>
        <v>0</v>
      </c>
      <c r="L34" s="88">
        <f>IF(tUrenOlga=0,0,M34/tUrenOlga)</f>
        <v>0</v>
      </c>
      <c r="M34" s="89" t="e">
        <f>qcolga</f>
        <v>#REF!</v>
      </c>
    </row>
    <row r="35" spans="2:13" s="74" customFormat="1" ht="15" x14ac:dyDescent="0.2">
      <c r="B35" s="37" t="s">
        <v>65</v>
      </c>
      <c r="C35" s="27" t="str">
        <f>IF(K35&gt;L35,"Overschrijdt max. kosten","")</f>
        <v/>
      </c>
      <c r="D35" s="46"/>
      <c r="E35" s="78" t="str">
        <f>IF(D35="","",D35*$E$25)</f>
        <v/>
      </c>
      <c r="F35" s="23" t="e">
        <f>E35/$E$25</f>
        <v>#VALUE!</v>
      </c>
      <c r="I35" s="12">
        <f t="shared" si="4"/>
        <v>1</v>
      </c>
      <c r="J35" s="12">
        <f t="shared" si="4"/>
        <v>1</v>
      </c>
      <c r="K35" s="87">
        <f>IF(E35="",0,E35)</f>
        <v>0</v>
      </c>
      <c r="L35" s="88">
        <f>5%*E42</f>
        <v>0</v>
      </c>
    </row>
    <row r="36" spans="2:13" s="74" customFormat="1" ht="15" x14ac:dyDescent="0.2">
      <c r="B36" s="84" t="s">
        <v>35</v>
      </c>
      <c r="C36" s="21"/>
      <c r="D36" s="46"/>
      <c r="E36" s="78" t="str">
        <f t="shared" si="2"/>
        <v/>
      </c>
      <c r="F36" s="23" t="e">
        <f t="shared" si="3"/>
        <v>#VALUE!</v>
      </c>
      <c r="H36" s="74">
        <f>IF(B36="Eventueel zelf invullen",1,0)</f>
        <v>1</v>
      </c>
      <c r="I36" s="12">
        <f t="shared" si="4"/>
        <v>1</v>
      </c>
      <c r="J36" s="12">
        <f>COUNTBLANK(E36)</f>
        <v>1</v>
      </c>
    </row>
    <row r="37" spans="2:13" s="74" customFormat="1" ht="15" x14ac:dyDescent="0.2">
      <c r="B37" s="26"/>
      <c r="C37" s="21"/>
      <c r="D37" s="28"/>
      <c r="E37" s="85"/>
      <c r="F37" s="16"/>
      <c r="I37" s="90"/>
      <c r="J37" s="12"/>
    </row>
    <row r="38" spans="2:13" s="74" customFormat="1" x14ac:dyDescent="0.2">
      <c r="B38" s="20" t="s">
        <v>44</v>
      </c>
      <c r="C38" s="21"/>
      <c r="D38" s="15"/>
      <c r="E38" s="82">
        <f>IF(ISERROR(IF(K34&gt;L34,SUM(E27:E33,L34,E35:E36),SUM(E27:E36))),SUM(E27:E36),IF(K34&gt;L34,SUM(E27:E33,L34,E35:E36),SUM(E27:E36)))</f>
        <v>0</v>
      </c>
      <c r="F38" s="23"/>
      <c r="I38" s="81"/>
      <c r="J38" s="77"/>
    </row>
    <row r="39" spans="2:13" s="74" customFormat="1" x14ac:dyDescent="0.2">
      <c r="B39" s="37"/>
      <c r="C39" s="21"/>
      <c r="D39" s="15"/>
      <c r="E39" s="80"/>
      <c r="F39" s="29"/>
      <c r="I39" s="81"/>
      <c r="J39" s="77"/>
    </row>
    <row r="40" spans="2:13" s="74" customFormat="1" ht="15" x14ac:dyDescent="0.2">
      <c r="B40" s="37" t="s">
        <v>45</v>
      </c>
      <c r="C40" s="21"/>
      <c r="D40" s="46"/>
      <c r="E40" s="78" t="str">
        <f>IF(D40="","",D40*(E25+E38))</f>
        <v/>
      </c>
      <c r="F40" s="16" t="e">
        <f>E40/E38</f>
        <v>#VALUE!</v>
      </c>
      <c r="I40" s="12">
        <f>COUNTBLANK(D40)</f>
        <v>1</v>
      </c>
      <c r="J40" s="12">
        <f>COUNTBLANK(E40)</f>
        <v>1</v>
      </c>
    </row>
    <row r="41" spans="2:13" s="74" customFormat="1" x14ac:dyDescent="0.2">
      <c r="B41" s="37"/>
      <c r="C41" s="14"/>
      <c r="D41" s="15"/>
      <c r="E41" s="80"/>
      <c r="F41" s="16"/>
      <c r="I41" s="81"/>
      <c r="J41" s="77"/>
    </row>
    <row r="42" spans="2:13" s="74" customFormat="1" x14ac:dyDescent="0.2">
      <c r="B42" s="20" t="s">
        <v>46</v>
      </c>
      <c r="C42" s="30"/>
      <c r="D42" s="31"/>
      <c r="E42" s="82">
        <f>SUM(E25,E38,E40)</f>
        <v>0</v>
      </c>
      <c r="F42" s="32"/>
      <c r="I42" s="81"/>
      <c r="J42" s="91"/>
    </row>
    <row r="43" spans="2:13" hidden="1" x14ac:dyDescent="0.2"/>
    <row r="44" spans="2:13" hidden="1" x14ac:dyDescent="0.2"/>
    <row r="45" spans="2:13" hidden="1" x14ac:dyDescent="0.2"/>
    <row r="46" spans="2:13" hidden="1" x14ac:dyDescent="0.2"/>
    <row r="47" spans="2:13" hidden="1" x14ac:dyDescent="0.2"/>
    <row r="48" spans="2:13" hidden="1" x14ac:dyDescent="0.2"/>
    <row r="49" ht="12.75" customHeight="1" x14ac:dyDescent="0.2"/>
  </sheetData>
  <mergeCells count="1">
    <mergeCell ref="B2:F2"/>
  </mergeCells>
  <conditionalFormatting sqref="E4 E11 D12 D15 D40:E40 D7:D8 D27:E33 D36:E36 D34:D35 D18:E23">
    <cfRule type="expression" dxfId="5" priority="1" stopIfTrue="1">
      <formula>I4=1</formula>
    </cfRule>
  </conditionalFormatting>
  <conditionalFormatting sqref="B23 B36">
    <cfRule type="expression" dxfId="4" priority="2" stopIfTrue="1">
      <formula>H23=1</formula>
    </cfRule>
  </conditionalFormatting>
  <conditionalFormatting sqref="E34">
    <cfRule type="expression" dxfId="3" priority="3" stopIfTrue="1">
      <formula>J34=1</formula>
    </cfRule>
    <cfRule type="expression" dxfId="2" priority="4" stopIfTrue="1">
      <formula>K34&gt;ROUNDUP(L34,2)</formula>
    </cfRule>
  </conditionalFormatting>
  <conditionalFormatting sqref="E35">
    <cfRule type="expression" dxfId="1" priority="5" stopIfTrue="1">
      <formula>J35=1</formula>
    </cfRule>
    <cfRule type="cellIs" dxfId="0" priority="6" stopIfTrue="1" operator="greaterThan">
      <formula>L35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>
    <oddHeader>&amp;C&amp;F</odd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BL10"/>
  <sheetViews>
    <sheetView showGridLines="0" showRowColHeaders="0" showZeros="0" zoomScale="85" workbookViewId="0">
      <selection activeCell="B2" sqref="B2:R2"/>
    </sheetView>
  </sheetViews>
  <sheetFormatPr defaultColWidth="0" defaultRowHeight="12.75" zeroHeight="1" x14ac:dyDescent="0.2"/>
  <cols>
    <col min="1" max="1" width="2.28515625" style="4" customWidth="1"/>
    <col min="2" max="2" width="35" style="4" customWidth="1"/>
    <col min="3" max="3" width="8.42578125" style="33" customWidth="1"/>
    <col min="4" max="12" width="14.7109375" style="34" customWidth="1"/>
    <col min="13" max="13" width="16.7109375" style="34" customWidth="1"/>
    <col min="14" max="14" width="2.28515625" style="4" customWidth="1"/>
    <col min="15" max="47" width="9.140625" style="4" hidden="1" customWidth="1"/>
    <col min="48" max="48" width="17.85546875" style="4" hidden="1" customWidth="1"/>
    <col min="49" max="16384" width="9.140625" style="4" hidden="1"/>
  </cols>
  <sheetData>
    <row r="1" spans="2:64" s="1" customFormat="1" ht="6.95" customHeight="1" thickBot="1" x14ac:dyDescent="0.25">
      <c r="C1" s="38"/>
    </row>
    <row r="2" spans="2:64" s="1" customFormat="1" ht="13.5" thickBot="1" x14ac:dyDescent="0.25">
      <c r="B2" s="151" t="str">
        <f>UPPER(CONCATENATE("Kostenblad ",Inventarisatiestaat!A2))</f>
        <v>KOSTENBLAD DESIGN ACADEMY EINDHOVEN</v>
      </c>
      <c r="C2" s="152"/>
      <c r="D2" s="153"/>
      <c r="E2" s="153"/>
      <c r="F2" s="153"/>
      <c r="G2" s="153"/>
      <c r="H2" s="153"/>
      <c r="I2" s="153"/>
      <c r="J2" s="153"/>
      <c r="K2" s="153"/>
      <c r="L2" s="153"/>
      <c r="M2" s="154"/>
    </row>
    <row r="3" spans="2:64" s="1" customFormat="1" ht="6.75" customHeight="1" x14ac:dyDescent="0.2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7"/>
    </row>
    <row r="4" spans="2:64" s="1" customFormat="1" ht="96.75" customHeight="1" x14ac:dyDescent="0.2">
      <c r="B4" s="68" t="s">
        <v>1</v>
      </c>
      <c r="C4" s="69" t="s">
        <v>15</v>
      </c>
      <c r="D4" s="70" t="s">
        <v>10</v>
      </c>
      <c r="E4" s="70" t="s">
        <v>47</v>
      </c>
      <c r="F4" s="70" t="s">
        <v>49</v>
      </c>
      <c r="G4" s="70" t="s">
        <v>14</v>
      </c>
      <c r="H4" s="70" t="s">
        <v>12</v>
      </c>
      <c r="I4" s="70" t="s">
        <v>9</v>
      </c>
      <c r="J4" s="70" t="s">
        <v>16</v>
      </c>
      <c r="K4" s="70" t="s">
        <v>94</v>
      </c>
      <c r="L4" s="69" t="s">
        <v>57</v>
      </c>
      <c r="M4" s="71" t="s">
        <v>89</v>
      </c>
    </row>
    <row r="5" spans="2:64" s="1" customFormat="1" ht="8.25" customHeight="1" thickBot="1" x14ac:dyDescent="0.25">
      <c r="B5" s="158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2:64" x14ac:dyDescent="0.15">
      <c r="B6" s="161" t="s">
        <v>96</v>
      </c>
      <c r="C6" s="122">
        <v>490</v>
      </c>
      <c r="D6" s="140">
        <f>Normenblad!BZ6*offerteuur</f>
        <v>0</v>
      </c>
      <c r="E6" s="140">
        <f>Normenblad!CA6*offerteuur</f>
        <v>0</v>
      </c>
      <c r="F6" s="140">
        <f>Normenblad!CB6*offerteuur</f>
        <v>0</v>
      </c>
      <c r="G6" s="140">
        <f>Normenblad!CC6*offerteuur</f>
        <v>0</v>
      </c>
      <c r="H6" s="140">
        <f>Normenblad!CD6*offerteuur</f>
        <v>0</v>
      </c>
      <c r="I6" s="140">
        <f>Normenblad!CE6*offerteuur</f>
        <v>0</v>
      </c>
      <c r="J6" s="140">
        <f>Normenblad!CF6*offerteuur</f>
        <v>0</v>
      </c>
      <c r="K6" s="140">
        <f>Normenblad!CG6*offerteuur</f>
        <v>0</v>
      </c>
      <c r="L6" s="141">
        <f>Normenblad!CH6*offerteuur</f>
        <v>0</v>
      </c>
      <c r="M6" s="179">
        <f>SUM(D6:L8)</f>
        <v>0</v>
      </c>
      <c r="AV6" s="110" t="s">
        <v>96</v>
      </c>
      <c r="AW6" s="4">
        <f t="shared" ref="AW6:AW8" si="0">COUNTIF($AV$6:$AV$8, AV6)</f>
        <v>3</v>
      </c>
      <c r="AZ6" s="4">
        <f>IF(ISERROR(Ruimtestaat!#REF!),0,IF(Ruimtestaat!#REF!&gt;0,1,0))</f>
        <v>0</v>
      </c>
      <c r="BA6" s="4">
        <f>IF(ISERROR(Ruimtestaat!#REF!),0,IF(Ruimtestaat!#REF!&gt;0,1,0))</f>
        <v>0</v>
      </c>
      <c r="BB6" s="4">
        <f>IF(ISERROR(Ruimtestaat!D6),0,IF(Ruimtestaat!D6&gt;0,1,0))</f>
        <v>0</v>
      </c>
      <c r="BC6" s="4">
        <f>IF(ISERROR(Ruimtestaat!E6),0,IF(Ruimtestaat!E6&gt;0,1,0))</f>
        <v>0</v>
      </c>
      <c r="BD6" s="4">
        <f>IF(ISERROR(Ruimtestaat!#REF!),0,IF(Ruimtestaat!#REF!&gt;0,1,0))</f>
        <v>0</v>
      </c>
      <c r="BE6" s="4">
        <f>IF(ISERROR(Ruimtestaat!F6),0,IF(Ruimtestaat!F6&gt;0,1,0))</f>
        <v>0</v>
      </c>
      <c r="BF6" s="4">
        <f>IF(ISERROR(Ruimtestaat!G6),0,IF(Ruimtestaat!G6&gt;0,1,0))</f>
        <v>0</v>
      </c>
      <c r="BG6" s="4">
        <f>IF(ISERROR(Ruimtestaat!H6),0,IF(Ruimtestaat!H6&gt;0,1,0))</f>
        <v>0</v>
      </c>
      <c r="BH6" s="4">
        <f>IF(ISERROR(Ruimtestaat!I6),0,IF(Ruimtestaat!I6&gt;0,1,0))</f>
        <v>1</v>
      </c>
      <c r="BI6" s="4">
        <f>IF(ISERROR(Ruimtestaat!#REF!),0,IF(Ruimtestaat!#REF!&gt;0,1,0))</f>
        <v>0</v>
      </c>
      <c r="BJ6" s="4">
        <f>IF(ISERROR(Ruimtestaat!J6),0,IF(Ruimtestaat!J6&gt;0,1,0))</f>
        <v>0</v>
      </c>
      <c r="BK6" s="4">
        <f>IF(ISERROR(Ruimtestaat!#REF!),0,IF(Ruimtestaat!#REF!&gt;0,1,0))</f>
        <v>0</v>
      </c>
      <c r="BL6" s="4">
        <f>IF(ISERROR(Ruimtestaat!K6),0,IF(Ruimtestaat!K6&gt;0,1,0))</f>
        <v>0</v>
      </c>
    </row>
    <row r="7" spans="2:64" x14ac:dyDescent="0.15">
      <c r="B7" s="162"/>
      <c r="C7" s="123">
        <v>245</v>
      </c>
      <c r="D7" s="142">
        <f>Normenblad!BZ7*offerteuur</f>
        <v>0</v>
      </c>
      <c r="E7" s="142">
        <f>Normenblad!CA7*offerteuur</f>
        <v>0</v>
      </c>
      <c r="F7" s="142">
        <f>Normenblad!CB7*offerteuur</f>
        <v>0</v>
      </c>
      <c r="G7" s="142">
        <f>Normenblad!CC7*offerteuur</f>
        <v>0</v>
      </c>
      <c r="H7" s="142">
        <f>Normenblad!CD7*offerteuur</f>
        <v>0</v>
      </c>
      <c r="I7" s="142">
        <f>Normenblad!CE7*offerteuur</f>
        <v>0</v>
      </c>
      <c r="J7" s="142">
        <f>Normenblad!CF7*offerteuur</f>
        <v>0</v>
      </c>
      <c r="K7" s="142">
        <f>Normenblad!CG7*offerteuur</f>
        <v>0</v>
      </c>
      <c r="L7" s="143">
        <f>Normenblad!CH7*offerteuur</f>
        <v>0</v>
      </c>
      <c r="M7" s="165"/>
      <c r="AV7" s="110" t="s">
        <v>96</v>
      </c>
      <c r="AW7" s="4">
        <f t="shared" si="0"/>
        <v>3</v>
      </c>
      <c r="AZ7" s="4">
        <f>IF(ISERROR(Ruimtestaat!#REF!),0,IF(Ruimtestaat!#REF!&gt;0,1,0))</f>
        <v>0</v>
      </c>
      <c r="BA7" s="4">
        <f>IF(ISERROR(Ruimtestaat!#REF!),0,IF(Ruimtestaat!#REF!&gt;0,1,0))</f>
        <v>0</v>
      </c>
      <c r="BB7" s="4">
        <f>IF(ISERROR(Ruimtestaat!D7),0,IF(Ruimtestaat!D7&gt;0,1,0))</f>
        <v>1</v>
      </c>
      <c r="BC7" s="4">
        <f>IF(ISERROR(Ruimtestaat!E7),0,IF(Ruimtestaat!E7&gt;0,1,0))</f>
        <v>1</v>
      </c>
      <c r="BD7" s="4">
        <f>IF(ISERROR(Ruimtestaat!#REF!),0,IF(Ruimtestaat!#REF!&gt;0,1,0))</f>
        <v>0</v>
      </c>
      <c r="BE7" s="4">
        <f>IF(ISERROR(Ruimtestaat!F7),0,IF(Ruimtestaat!F7&gt;0,1,0))</f>
        <v>1</v>
      </c>
      <c r="BF7" s="4">
        <f>IF(ISERROR(Ruimtestaat!G7),0,IF(Ruimtestaat!G7&gt;0,1,0))</f>
        <v>1</v>
      </c>
      <c r="BG7" s="4">
        <f>IF(ISERROR(Ruimtestaat!H7),0,IF(Ruimtestaat!H7&gt;0,1,0))</f>
        <v>1</v>
      </c>
      <c r="BH7" s="4">
        <f>IF(ISERROR(Ruimtestaat!I7),0,IF(Ruimtestaat!I7&gt;0,1,0))</f>
        <v>0</v>
      </c>
      <c r="BI7" s="4">
        <f>IF(ISERROR(Ruimtestaat!#REF!),0,IF(Ruimtestaat!#REF!&gt;0,1,0))</f>
        <v>0</v>
      </c>
      <c r="BJ7" s="4">
        <f>IF(ISERROR(Ruimtestaat!J7),0,IF(Ruimtestaat!J7&gt;0,1,0))</f>
        <v>1</v>
      </c>
      <c r="BK7" s="4">
        <f>IF(ISERROR(Ruimtestaat!#REF!),0,IF(Ruimtestaat!#REF!&gt;0,1,0))</f>
        <v>0</v>
      </c>
      <c r="BL7" s="4">
        <f>IF(ISERROR(Ruimtestaat!K7),0,IF(Ruimtestaat!K7&gt;0,1,0))</f>
        <v>1</v>
      </c>
    </row>
    <row r="8" spans="2:64" ht="13.5" thickBot="1" x14ac:dyDescent="0.2">
      <c r="B8" s="163"/>
      <c r="C8" s="124">
        <v>49</v>
      </c>
      <c r="D8" s="144">
        <f>Normenblad!BZ8*offerteuur</f>
        <v>0</v>
      </c>
      <c r="E8" s="144">
        <f>Normenblad!CA8*offerteuur</f>
        <v>0</v>
      </c>
      <c r="F8" s="144">
        <f>Normenblad!CB8*offerteuur</f>
        <v>0</v>
      </c>
      <c r="G8" s="144">
        <f>Normenblad!CC8*offerteuur</f>
        <v>0</v>
      </c>
      <c r="H8" s="144">
        <f>Normenblad!CD8*offerteuur</f>
        <v>0</v>
      </c>
      <c r="I8" s="144">
        <f>Normenblad!CE8*offerteuur</f>
        <v>0</v>
      </c>
      <c r="J8" s="144">
        <f>Normenblad!CF8*offerteuur</f>
        <v>0</v>
      </c>
      <c r="K8" s="144">
        <f>Normenblad!CG8*offerteuur</f>
        <v>0</v>
      </c>
      <c r="L8" s="145">
        <f>Normenblad!CH8*offerteuur</f>
        <v>0</v>
      </c>
      <c r="M8" s="166"/>
      <c r="AV8" s="110" t="s">
        <v>96</v>
      </c>
      <c r="AW8" s="4">
        <f t="shared" si="0"/>
        <v>3</v>
      </c>
      <c r="AZ8" s="4">
        <f>IF(ISERROR(Ruimtestaat!#REF!),0,IF(Ruimtestaat!#REF!&gt;0,1,0))</f>
        <v>0</v>
      </c>
      <c r="BA8" s="4">
        <f>IF(ISERROR(Ruimtestaat!#REF!),0,IF(Ruimtestaat!#REF!&gt;0,1,0))</f>
        <v>0</v>
      </c>
      <c r="BB8" s="4">
        <f>IF(ISERROR(Ruimtestaat!D8),0,IF(Ruimtestaat!D8&gt;0,1,0))</f>
        <v>0</v>
      </c>
      <c r="BC8" s="4">
        <f>IF(ISERROR(Ruimtestaat!E8),0,IF(Ruimtestaat!E8&gt;0,1,0))</f>
        <v>0</v>
      </c>
      <c r="BD8" s="4">
        <f>IF(ISERROR(Ruimtestaat!#REF!),0,IF(Ruimtestaat!#REF!&gt;0,1,0))</f>
        <v>0</v>
      </c>
      <c r="BE8" s="4">
        <f>IF(ISERROR(Ruimtestaat!F8),0,IF(Ruimtestaat!F8&gt;0,1,0))</f>
        <v>0</v>
      </c>
      <c r="BF8" s="4">
        <f>IF(ISERROR(Ruimtestaat!G8),0,IF(Ruimtestaat!G8&gt;0,1,0))</f>
        <v>0</v>
      </c>
      <c r="BG8" s="4">
        <f>IF(ISERROR(Ruimtestaat!H8),0,IF(Ruimtestaat!H8&gt;0,1,0))</f>
        <v>0</v>
      </c>
      <c r="BH8" s="4">
        <f>IF(ISERROR(Ruimtestaat!I8),0,IF(Ruimtestaat!I8&gt;0,1,0))</f>
        <v>0</v>
      </c>
      <c r="BI8" s="4">
        <f>IF(ISERROR(Ruimtestaat!#REF!),0,IF(Ruimtestaat!#REF!&gt;0,1,0))</f>
        <v>0</v>
      </c>
      <c r="BJ8" s="4">
        <f>IF(ISERROR(Ruimtestaat!J8),0,IF(Ruimtestaat!J8&gt;0,1,0))</f>
        <v>1</v>
      </c>
      <c r="BK8" s="4">
        <f>IF(ISERROR(Ruimtestaat!#REF!),0,IF(Ruimtestaat!#REF!&gt;0,1,0))</f>
        <v>0</v>
      </c>
      <c r="BL8" s="4">
        <f>IF(ISERROR(Ruimtestaat!K8),0,IF(Ruimtestaat!K8&gt;0,1,0))</f>
        <v>0</v>
      </c>
    </row>
    <row r="9" spans="2:64" ht="13.5" thickBot="1" x14ac:dyDescent="0.25">
      <c r="B9" s="149" t="s">
        <v>53</v>
      </c>
      <c r="C9" s="150"/>
      <c r="D9" s="147">
        <f>SUM(D$6:D8)</f>
        <v>0</v>
      </c>
      <c r="E9" s="147">
        <f>SUM(E$6:E8)</f>
        <v>0</v>
      </c>
      <c r="F9" s="147">
        <f>SUM(F$6:F8)</f>
        <v>0</v>
      </c>
      <c r="G9" s="147">
        <f>SUM(G$6:G8)</f>
        <v>0</v>
      </c>
      <c r="H9" s="147">
        <f>SUM(H$6:H8)</f>
        <v>0</v>
      </c>
      <c r="I9" s="147">
        <f>SUM(I$6:I8)</f>
        <v>0</v>
      </c>
      <c r="J9" s="147">
        <f>SUM(J$6:J8)</f>
        <v>0</v>
      </c>
      <c r="K9" s="147">
        <f>SUM(K$6:K8)</f>
        <v>0</v>
      </c>
      <c r="L9" s="148">
        <f>SUM(L$6:L8)</f>
        <v>0</v>
      </c>
      <c r="M9" s="146">
        <f>SUM(M$6:M8)</f>
        <v>0</v>
      </c>
    </row>
    <row r="10" spans="2:64" ht="6.95" customHeight="1" x14ac:dyDescent="0.2"/>
  </sheetData>
  <sheetProtection algorithmName="SHA-512" hashValue="yuziOpf+dQXEd/sL9PisFeSmQ1SlWlvjnPXGsywuYKgg+KV3ZXLl+cwYeP6d1oZULVcSjoXg7EOBsyvMZbHAlQ==" saltValue="f7Ym3Y0m7xbNuxOE4eca2w==" spinCount="100000" sheet="1" objects="1" scenarios="1"/>
  <mergeCells count="5">
    <mergeCell ref="B2:M2"/>
    <mergeCell ref="B3:M3"/>
    <mergeCell ref="B5:M5"/>
    <mergeCell ref="B6:B8"/>
    <mergeCell ref="M6:M8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>
    <oddHeader>&amp;C&amp;F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5000C0538264982609741D21873C6" ma:contentTypeVersion="10" ma:contentTypeDescription="Een nieuw document maken." ma:contentTypeScope="" ma:versionID="e075f67ee3aee4c4ba8fb099af39dc4c">
  <xsd:schema xmlns:xsd="http://www.w3.org/2001/XMLSchema" xmlns:xs="http://www.w3.org/2001/XMLSchema" xmlns:p="http://schemas.microsoft.com/office/2006/metadata/properties" xmlns:ns2="b0cacc2f-2786-4339-a5a2-1b9b5a34f65c" xmlns:ns3="69cab178-a625-4c76-9ca1-2ca1942520d1" targetNamespace="http://schemas.microsoft.com/office/2006/metadata/properties" ma:root="true" ma:fieldsID="e96a5e15688f42b8cf29d8a5f4cd279e" ns2:_="" ns3:_="">
    <xsd:import namespace="b0cacc2f-2786-4339-a5a2-1b9b5a34f65c"/>
    <xsd:import namespace="69cab178-a625-4c76-9ca1-2ca194252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acc2f-2786-4339-a5a2-1b9b5a34f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ab178-a625-4c76-9ca1-2ca1942520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7FFC91-D78F-45FE-8BE8-CE302780A7E4}">
  <ds:schemaRefs>
    <ds:schemaRef ds:uri="http://schemas.microsoft.com/office/2006/metadata/properties"/>
    <ds:schemaRef ds:uri="http://purl.org/dc/elements/1.1/"/>
    <ds:schemaRef ds:uri="b0cacc2f-2786-4339-a5a2-1b9b5a34f65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9cab178-a625-4c76-9ca1-2ca1942520d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05A548-739D-4CED-A4F4-6F51177FFD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7A1FD5-C10B-4158-9985-FB7BD8D33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acc2f-2786-4339-a5a2-1b9b5a34f65c"/>
    <ds:schemaRef ds:uri="69cab178-a625-4c76-9ca1-2ca194252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Inventarisatiestaat</vt:lpstr>
      <vt:lpstr>Controlegegevens SMC</vt:lpstr>
      <vt:lpstr>Ruimtestaat</vt:lpstr>
      <vt:lpstr>Normenblad</vt:lpstr>
      <vt:lpstr>Offerte uurtarief</vt:lpstr>
      <vt:lpstr>Kostenblad</vt:lpstr>
      <vt:lpstr>offerteuur</vt:lpstr>
      <vt:lpstr>offerteuurolga</vt:lpstr>
      <vt:lpstr>totkol</vt:lpstr>
      <vt:lpstr>tUren</vt:lpstr>
      <vt:lpstr>tUrenOlga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Aukje Tol</dc:creator>
  <cp:lastModifiedBy>aukje</cp:lastModifiedBy>
  <cp:lastPrinted>2014-09-10T05:32:22Z</cp:lastPrinted>
  <dcterms:created xsi:type="dcterms:W3CDTF">2014-08-29T14:37:15Z</dcterms:created>
  <dcterms:modified xsi:type="dcterms:W3CDTF">2023-01-23T15:10:28Z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0x0101000225000C0538264982609741D21873C6</vt:lpwstr>
  </property>
</Properties>
</file>