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emehv-my.sharepoint.com/personal/barry_verbeek_eindhoven_nl/Documents/#2. Projecten/l. Levering Biomassa/04. Aanbestedingsdocumenten/"/>
    </mc:Choice>
  </mc:AlternateContent>
  <xr:revisionPtr revIDLastSave="729" documentId="8_{10326E0F-5906-4DD4-981A-4C4D14324B74}" xr6:coauthVersionLast="47" xr6:coauthVersionMax="47" xr10:uidLastSave="{1F6A9D80-DF5B-4C45-B396-38DDDDBB4932}"/>
  <bookViews>
    <workbookView xWindow="-120" yWindow="-120" windowWidth="24240" windowHeight="13140" activeTab="1" xr2:uid="{B8B81974-AC7A-4A79-A04B-AABBACF1D6CA}"/>
  </bookViews>
  <sheets>
    <sheet name="Inschrijvers" sheetId="5" r:id="rId1"/>
    <sheet name="Beoordeling BEC Meerhoven" sheetId="3" r:id="rId2"/>
    <sheet name="Beoordeling BEC ir. Ottenbad" sheetId="7" r:id="rId3"/>
  </sheets>
  <definedNames>
    <definedName name="BovengrensBandbreedteKwartaalTonnage" localSheetId="2">'Beoordeling BEC ir. Ottenbad'!$B$17</definedName>
    <definedName name="BovengrensBandbreedteKwartaalTonnage">'Beoordeling BEC Meerhoven'!$B$17</definedName>
    <definedName name="BovengrensBandbreedteLeverprognose" localSheetId="2">'Beoordeling BEC ir. Ottenbad'!$B$13</definedName>
    <definedName name="BovengrensBandbreedteLeverprognose">'Beoordeling BEC Meerhoven'!$B$13</definedName>
    <definedName name="HoogsteTonnagePrijsInschrijvers" localSheetId="2">'Beoordeling BEC ir. Ottenbad'!$B$21</definedName>
    <definedName name="HoogsteTonnagePrijsInschrijvers">'Beoordeling BEC Meerhoven'!$B$21</definedName>
    <definedName name="LaagsteTonnagePrijsInschrijvers" localSheetId="2">'Beoordeling BEC ir. Ottenbad'!$B$20</definedName>
    <definedName name="LaagsteTonnagePrijsInschrijvers">'Beoordeling BEC Meerhoven'!$B$20</definedName>
    <definedName name="MaximaleScoreKwartaalTonnage" localSheetId="2">'Beoordeling BEC ir. Ottenbad'!$B$18</definedName>
    <definedName name="MaximaleScoreKwartaalTonnage">'Beoordeling BEC Meerhoven'!$B$18</definedName>
    <definedName name="MaximaleScoreLeverprognose" localSheetId="2">'Beoordeling BEC ir. Ottenbad'!$B$14</definedName>
    <definedName name="MaximaleScoreLeverprognose">'Beoordeling BEC Meerhoven'!$B$14</definedName>
    <definedName name="MaximaleScorePrijs" localSheetId="2">'Beoordeling BEC ir. Ottenbad'!$B$22</definedName>
    <definedName name="MaximaleScorePrijs">'Beoordeling BEC Meerhoven'!$B$22</definedName>
    <definedName name="OndergrensBandbreedteLeverprognose" localSheetId="2">'Beoordeling BEC ir. Ottenbad'!$B$15</definedName>
    <definedName name="OndergrensBandbreedteLeverprognose">'Beoordeling BEC Meerhoven'!$B$15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24" i="7" l="1"/>
  <c r="B21" i="7"/>
  <c r="B20" i="7"/>
  <c r="G8" i="7" s="1"/>
  <c r="I10" i="7"/>
  <c r="D10" i="7"/>
  <c r="C10" i="7"/>
  <c r="B10" i="7"/>
  <c r="F9" i="7"/>
  <c r="E9" i="7"/>
  <c r="A9" i="7"/>
  <c r="F4" i="7"/>
  <c r="E4" i="7"/>
  <c r="A4" i="7"/>
  <c r="F3" i="7"/>
  <c r="E3" i="7"/>
  <c r="A3" i="7"/>
  <c r="F6" i="7"/>
  <c r="E6" i="7"/>
  <c r="A6" i="7"/>
  <c r="F7" i="7"/>
  <c r="E7" i="7"/>
  <c r="A7" i="7"/>
  <c r="F8" i="7"/>
  <c r="E8" i="7"/>
  <c r="A8" i="7"/>
  <c r="F5" i="7"/>
  <c r="E5" i="7"/>
  <c r="A5" i="7"/>
  <c r="B1" i="7"/>
  <c r="E3" i="3"/>
  <c r="E5" i="3"/>
  <c r="E7" i="3"/>
  <c r="E6" i="3"/>
  <c r="E4" i="3"/>
  <c r="E9" i="3"/>
  <c r="E8" i="3"/>
  <c r="F3" i="3"/>
  <c r="F5" i="3"/>
  <c r="F7" i="3"/>
  <c r="F6" i="3"/>
  <c r="F4" i="3"/>
  <c r="F9" i="3"/>
  <c r="F8" i="3"/>
  <c r="B21" i="3"/>
  <c r="G4" i="3" s="1"/>
  <c r="B20" i="3"/>
  <c r="C24" i="3"/>
  <c r="A8" i="3"/>
  <c r="B1" i="3"/>
  <c r="A6" i="3"/>
  <c r="A9" i="3"/>
  <c r="A4" i="3"/>
  <c r="A7" i="3"/>
  <c r="A3" i="3"/>
  <c r="A5" i="3"/>
  <c r="G9" i="7" l="1"/>
  <c r="H9" i="7" s="1"/>
  <c r="G5" i="7"/>
  <c r="H5" i="7" s="1"/>
  <c r="G7" i="7"/>
  <c r="H7" i="7" s="1"/>
  <c r="G4" i="7"/>
  <c r="G6" i="7"/>
  <c r="G7" i="3"/>
  <c r="G6" i="3"/>
  <c r="E10" i="7"/>
  <c r="G3" i="7"/>
  <c r="H3" i="7" s="1"/>
  <c r="G5" i="3"/>
  <c r="G3" i="3"/>
  <c r="H3" i="3" s="1"/>
  <c r="G8" i="3"/>
  <c r="G9" i="3"/>
  <c r="F10" i="7"/>
  <c r="H6" i="7"/>
  <c r="H4" i="7"/>
  <c r="H8" i="7"/>
  <c r="I10" i="3"/>
  <c r="G10" i="7" l="1"/>
  <c r="H10" i="7"/>
  <c r="D10" i="3"/>
  <c r="C10" i="3"/>
  <c r="B10" i="3"/>
  <c r="H5" i="3" l="1"/>
  <c r="H7" i="3"/>
  <c r="H6" i="3"/>
  <c r="H4" i="3"/>
  <c r="H9" i="3"/>
  <c r="H8" i="3"/>
  <c r="E10" i="3"/>
  <c r="F10" i="3"/>
  <c r="G10" i="3" l="1"/>
  <c r="H10" i="3"/>
</calcChain>
</file>

<file path=xl/sharedStrings.xml><?xml version="1.0" encoding="utf-8"?>
<sst xmlns="http://schemas.openxmlformats.org/spreadsheetml/2006/main" count="70" uniqueCount="36">
  <si>
    <t>Aanbesteding: ‘Levering (houtige) biomassa ten behoeve van de bio energiecentrale(s) Eindhoven’</t>
  </si>
  <si>
    <t>Naam inschrijver</t>
  </si>
  <si>
    <t>= invullen</t>
  </si>
  <si>
    <t>[ondernemer 1]</t>
  </si>
  <si>
    <t>[ondernemer 2]</t>
  </si>
  <si>
    <t>[ondernemer 3]</t>
  </si>
  <si>
    <t>[ondernemer 4]</t>
  </si>
  <si>
    <t>[ondernemer 5]</t>
  </si>
  <si>
    <t>[ondernemer 6]</t>
  </si>
  <si>
    <t>[ondernemer 7]</t>
  </si>
  <si>
    <r>
      <t>Offerte evaluatie detailblad:</t>
    </r>
    <r>
      <rPr>
        <b/>
        <sz val="10"/>
        <color theme="1" tint="0.34998626667073579"/>
        <rFont val="Calibri"/>
        <family val="2"/>
        <scheme val="minor"/>
      </rPr>
      <t xml:space="preserve"> Beoordeling</t>
    </r>
  </si>
  <si>
    <r>
      <t xml:space="preserve">Basiscapaciteit
</t>
    </r>
    <r>
      <rPr>
        <sz val="8"/>
        <color theme="1"/>
        <rFont val="Calibri"/>
        <family val="2"/>
        <scheme val="minor"/>
      </rPr>
      <t>(maximaal 7.000 ton p.j.)</t>
    </r>
  </si>
  <si>
    <r>
      <t xml:space="preserve">Leverprognose 
</t>
    </r>
    <r>
      <rPr>
        <sz val="8"/>
        <color theme="1"/>
        <rFont val="Calibri"/>
        <family val="2"/>
        <scheme val="minor"/>
      </rPr>
      <t>(voor 1 jaar)</t>
    </r>
  </si>
  <si>
    <t xml:space="preserve">Kwartaal 
tonnage </t>
  </si>
  <si>
    <r>
      <t xml:space="preserve">Prijs per kwartaal
</t>
    </r>
    <r>
      <rPr>
        <sz val="8"/>
        <color theme="1"/>
        <rFont val="Calibri"/>
        <family val="2"/>
        <scheme val="minor"/>
      </rPr>
      <t>(per ton, excl. btw)</t>
    </r>
  </si>
  <si>
    <t>Score 
leverprognose</t>
  </si>
  <si>
    <t>Score
Kwartaal tonnage</t>
  </si>
  <si>
    <r>
      <t xml:space="preserve">Score Prijs
</t>
    </r>
    <r>
      <rPr>
        <sz val="8"/>
        <color theme="1"/>
        <rFont val="Calibri"/>
        <family val="2"/>
        <scheme val="minor"/>
      </rPr>
      <t>(kwartaal tarief)</t>
    </r>
  </si>
  <si>
    <r>
      <t xml:space="preserve">Totale Score
</t>
    </r>
    <r>
      <rPr>
        <sz val="8"/>
        <color theme="1"/>
        <rFont val="Calibri"/>
        <family val="2"/>
        <scheme val="minor"/>
      </rPr>
      <t>(rangorde)</t>
    </r>
  </si>
  <si>
    <t>Gekozen
(ja/nee)</t>
  </si>
  <si>
    <t>ja</t>
  </si>
  <si>
    <t>nee</t>
  </si>
  <si>
    <t>Totaal</t>
  </si>
  <si>
    <t>Totaal punten</t>
  </si>
  <si>
    <t>Let op! (1) Voor de leverprognose (op jaarbasis) geldt een bandbreedte van minimaal 1.500 ton en maximaal 7.000 ton</t>
  </si>
  <si>
    <t>Maximale leverprognose (tonnage op jaarbasis):</t>
  </si>
  <si>
    <t>Maximale score leverprognose (weging):</t>
  </si>
  <si>
    <t>Maximale kwartaal tonnage:</t>
  </si>
  <si>
    <t>Maximale score kwartaal tonnage (weging):</t>
  </si>
  <si>
    <t>Laagste tonnage prijs alle ondernemers:</t>
  </si>
  <si>
    <t>Hoogste tonnage prijs alle ondernemers:</t>
  </si>
  <si>
    <t>Maximale score prijs (levertarief op kwartaalbasis):</t>
  </si>
  <si>
    <t>Maximaal haalbare score:</t>
  </si>
  <si>
    <t>CorrectieBandbreedte</t>
  </si>
  <si>
    <t>Let op! (1) Voor de leverprognose (op jaarbasis) geldt een bandbreedte van minimaal 500 ton en maximaal 1.500 ton</t>
  </si>
  <si>
    <t xml:space="preserve">Let op! (2) Een kwartaal tonnage kan voor het opmaken van de rangorde nooit meer dan 50% van de jaarprognose bedragen. Indien een hoeveelheid &gt; 50% van de jaarprognose wordt opgegeven, dan voor het opmaken van de rangorde rekenen met een percentage van 50% van de jaarprognose.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</si>
</sst>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 [$€-2]\ * #,##0.00_ ;_ [$€-2]\ * \-#,##0.00_ ;_ [$€-2]\ * &quot;-&quot;??_ ;_ @_ "/>
    <numFmt numFmtId="166" formatCode="_-* #,##0.00_-;_-* #,##0.00\-;_-* &quot;-&quot;??_-;_-@_-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Calibri"/>
      <family val="2"/>
      <scheme val="minor"/>
    </font>
    <font>
      <b/>
      <sz val="10"/>
      <color theme="1" tint="0.34998626667073579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sz val="12"/>
      <name val="Arial"/>
      <family val="2"/>
    </font>
    <font>
      <b/>
      <sz val="14"/>
      <color theme="1" tint="0.34998626667073579"/>
      <name val="Calibri"/>
      <family val="2"/>
      <scheme val="minor"/>
    </font>
    <font>
      <sz val="11"/>
      <color theme="1" tint="0.34998626667073579"/>
      <name val="Calibri "/>
    </font>
    <font>
      <b/>
      <sz val="9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</cellStyleXfs>
  <cellXfs count="84">
    <xf numFmtId="0" fontId="0" fillId="0" borderId="0" xfId="0"/>
    <xf numFmtId="164" fontId="0" fillId="0" borderId="0" xfId="0" applyNumberFormat="1"/>
    <xf numFmtId="0" fontId="2" fillId="0" borderId="0" xfId="0" applyFont="1"/>
    <xf numFmtId="0" fontId="10" fillId="0" borderId="0" xfId="2" applyFont="1" applyAlignment="1">
      <alignment vertical="top"/>
    </xf>
    <xf numFmtId="0" fontId="9" fillId="0" borderId="0" xfId="2" applyFont="1" applyAlignment="1">
      <alignment vertical="top"/>
    </xf>
    <xf numFmtId="0" fontId="11" fillId="0" borderId="0" xfId="0" applyFont="1" applyAlignment="1">
      <alignment vertical="center"/>
    </xf>
    <xf numFmtId="0" fontId="12" fillId="0" borderId="0" xfId="2" applyFont="1"/>
    <xf numFmtId="0" fontId="9" fillId="0" borderId="10" xfId="0" applyFont="1" applyBorder="1" applyAlignment="1">
      <alignment horizontal="center" vertical="center"/>
    </xf>
    <xf numFmtId="0" fontId="8" fillId="0" borderId="12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3" borderId="0" xfId="0" quotePrefix="1" applyFill="1" applyAlignment="1">
      <alignment horizontal="left" vertical="center"/>
    </xf>
    <xf numFmtId="0" fontId="9" fillId="3" borderId="12" xfId="0" applyFont="1" applyFill="1" applyBorder="1" applyAlignment="1">
      <alignment horizontal="left" vertical="center"/>
    </xf>
    <xf numFmtId="1" fontId="6" fillId="0" borderId="14" xfId="2" applyNumberFormat="1" applyFont="1" applyBorder="1" applyAlignment="1">
      <alignment horizontal="left" vertical="top"/>
    </xf>
    <xf numFmtId="0" fontId="9" fillId="0" borderId="9" xfId="2" applyFont="1" applyBorder="1" applyAlignment="1">
      <alignment vertical="top"/>
    </xf>
    <xf numFmtId="0" fontId="4" fillId="0" borderId="4" xfId="0" applyFont="1" applyBorder="1" applyAlignment="1">
      <alignment horizontal="center" wrapText="1"/>
    </xf>
    <xf numFmtId="0" fontId="4" fillId="0" borderId="1" xfId="0" applyFont="1" applyBorder="1"/>
    <xf numFmtId="0" fontId="9" fillId="0" borderId="8" xfId="2" applyFont="1" applyBorder="1" applyAlignment="1">
      <alignment vertical="top"/>
    </xf>
    <xf numFmtId="0" fontId="4" fillId="0" borderId="1" xfId="0" applyFont="1" applyBorder="1" applyAlignment="1">
      <alignment horizontal="center" wrapText="1"/>
    </xf>
    <xf numFmtId="0" fontId="10" fillId="0" borderId="16" xfId="2" applyFont="1" applyBorder="1" applyAlignment="1">
      <alignment vertical="top"/>
    </xf>
    <xf numFmtId="0" fontId="4" fillId="0" borderId="17" xfId="0" applyFont="1" applyBorder="1" applyAlignment="1">
      <alignment horizontal="center" wrapText="1"/>
    </xf>
    <xf numFmtId="0" fontId="9" fillId="0" borderId="16" xfId="2" applyFont="1" applyBorder="1" applyAlignment="1">
      <alignment vertical="top"/>
    </xf>
    <xf numFmtId="1" fontId="4" fillId="0" borderId="17" xfId="0" applyNumberFormat="1" applyFont="1" applyBorder="1"/>
    <xf numFmtId="0" fontId="4" fillId="0" borderId="0" xfId="0" applyFont="1"/>
    <xf numFmtId="164" fontId="4" fillId="0" borderId="0" xfId="0" applyNumberFormat="1" applyFont="1"/>
    <xf numFmtId="1" fontId="4" fillId="0" borderId="0" xfId="0" applyNumberFormat="1" applyFont="1"/>
    <xf numFmtId="0" fontId="13" fillId="4" borderId="18" xfId="0" applyFont="1" applyFill="1" applyBorder="1"/>
    <xf numFmtId="0" fontId="13" fillId="4" borderId="19" xfId="0" applyFont="1" applyFill="1" applyBorder="1"/>
    <xf numFmtId="0" fontId="13" fillId="4" borderId="0" xfId="0" applyFont="1" applyFill="1"/>
    <xf numFmtId="44" fontId="13" fillId="4" borderId="0" xfId="1" applyFont="1" applyFill="1" applyBorder="1"/>
    <xf numFmtId="0" fontId="13" fillId="4" borderId="22" xfId="0" applyFont="1" applyFill="1" applyBorder="1"/>
    <xf numFmtId="0" fontId="2" fillId="0" borderId="13" xfId="0" applyFont="1" applyBorder="1"/>
    <xf numFmtId="0" fontId="13" fillId="4" borderId="11" xfId="0" applyFont="1" applyFill="1" applyBorder="1"/>
    <xf numFmtId="0" fontId="0" fillId="2" borderId="20" xfId="0" applyFill="1" applyBorder="1"/>
    <xf numFmtId="0" fontId="0" fillId="2" borderId="3" xfId="0" applyFill="1" applyBorder="1"/>
    <xf numFmtId="0" fontId="0" fillId="2" borderId="2" xfId="0" applyFill="1" applyBorder="1"/>
    <xf numFmtId="0" fontId="2" fillId="2" borderId="21" xfId="0" applyFont="1" applyFill="1" applyBorder="1"/>
    <xf numFmtId="0" fontId="2" fillId="2" borderId="0" xfId="0" applyFont="1" applyFill="1"/>
    <xf numFmtId="0" fontId="4" fillId="0" borderId="17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164" fontId="4" fillId="0" borderId="17" xfId="0" applyNumberFormat="1" applyFont="1" applyBorder="1" applyAlignment="1">
      <alignment horizontal="center"/>
    </xf>
    <xf numFmtId="1" fontId="4" fillId="0" borderId="17" xfId="0" applyNumberFormat="1" applyFont="1" applyBorder="1" applyAlignment="1">
      <alignment horizontal="center"/>
    </xf>
    <xf numFmtId="1" fontId="4" fillId="0" borderId="20" xfId="0" applyNumberFormat="1" applyFont="1" applyBorder="1"/>
    <xf numFmtId="1" fontId="4" fillId="0" borderId="17" xfId="0" applyNumberFormat="1" applyFont="1" applyBorder="1" applyAlignment="1">
      <alignment wrapText="1"/>
    </xf>
    <xf numFmtId="0" fontId="0" fillId="0" borderId="0" xfId="0" applyNumberFormat="1"/>
    <xf numFmtId="0" fontId="0" fillId="0" borderId="0" xfId="0" applyFill="1"/>
    <xf numFmtId="1" fontId="0" fillId="0" borderId="0" xfId="0" applyNumberFormat="1" applyFill="1"/>
    <xf numFmtId="0" fontId="13" fillId="5" borderId="19" xfId="0" applyFont="1" applyFill="1" applyBorder="1"/>
    <xf numFmtId="0" fontId="13" fillId="5" borderId="18" xfId="0" applyFont="1" applyFill="1" applyBorder="1"/>
    <xf numFmtId="0" fontId="13" fillId="5" borderId="0" xfId="0" applyFont="1" applyFill="1"/>
    <xf numFmtId="44" fontId="13" fillId="5" borderId="0" xfId="1" applyFont="1" applyFill="1" applyBorder="1"/>
    <xf numFmtId="0" fontId="13" fillId="5" borderId="22" xfId="0" applyFont="1" applyFill="1" applyBorder="1"/>
    <xf numFmtId="0" fontId="13" fillId="5" borderId="11" xfId="0" applyFont="1" applyFill="1" applyBorder="1"/>
    <xf numFmtId="1" fontId="4" fillId="2" borderId="17" xfId="0" applyNumberFormat="1" applyFont="1" applyFill="1" applyBorder="1"/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wrapText="1"/>
    </xf>
    <xf numFmtId="0" fontId="14" fillId="2" borderId="2" xfId="0" applyFont="1" applyFill="1" applyBorder="1" applyAlignment="1">
      <alignment horizontal="center" wrapText="1"/>
    </xf>
    <xf numFmtId="0" fontId="14" fillId="2" borderId="18" xfId="0" applyFont="1" applyFill="1" applyBorder="1" applyAlignment="1">
      <alignment horizontal="center" wrapText="1"/>
    </xf>
    <xf numFmtId="0" fontId="14" fillId="2" borderId="7" xfId="0" applyFont="1" applyFill="1" applyBorder="1" applyAlignment="1">
      <alignment horizontal="center" wrapText="1"/>
    </xf>
    <xf numFmtId="0" fontId="14" fillId="2" borderId="13" xfId="0" applyFont="1" applyFill="1" applyBorder="1" applyAlignment="1">
      <alignment horizontal="center" wrapText="1"/>
    </xf>
    <xf numFmtId="0" fontId="14" fillId="2" borderId="11" xfId="0" applyFont="1" applyFill="1" applyBorder="1" applyAlignment="1">
      <alignment horizontal="center" wrapText="1"/>
    </xf>
    <xf numFmtId="0" fontId="4" fillId="0" borderId="1" xfId="0" applyFont="1" applyBorder="1" applyProtection="1"/>
    <xf numFmtId="1" fontId="4" fillId="0" borderId="20" xfId="0" applyNumberFormat="1" applyFont="1" applyBorder="1" applyProtection="1"/>
    <xf numFmtId="1" fontId="4" fillId="0" borderId="17" xfId="0" applyNumberFormat="1" applyFont="1" applyBorder="1" applyProtection="1"/>
    <xf numFmtId="1" fontId="4" fillId="2" borderId="17" xfId="0" applyNumberFormat="1" applyFont="1" applyFill="1" applyBorder="1" applyProtection="1"/>
    <xf numFmtId="1" fontId="4" fillId="0" borderId="17" xfId="0" applyNumberFormat="1" applyFont="1" applyBorder="1" applyAlignment="1" applyProtection="1">
      <alignment horizontal="center"/>
    </xf>
    <xf numFmtId="0" fontId="4" fillId="0" borderId="17" xfId="0" applyFont="1" applyBorder="1" applyAlignment="1" applyProtection="1">
      <alignment horizontal="center"/>
    </xf>
    <xf numFmtId="0" fontId="4" fillId="0" borderId="1" xfId="0" applyFont="1" applyBorder="1" applyProtection="1">
      <protection locked="0"/>
    </xf>
    <xf numFmtId="0" fontId="4" fillId="0" borderId="17" xfId="0" applyFont="1" applyBorder="1" applyProtection="1">
      <protection locked="0"/>
    </xf>
    <xf numFmtId="164" fontId="4" fillId="0" borderId="17" xfId="0" applyNumberFormat="1" applyFont="1" applyBorder="1" applyProtection="1">
      <protection locked="0"/>
    </xf>
    <xf numFmtId="0" fontId="14" fillId="2" borderId="3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4" fillId="2" borderId="18" xfId="0" applyFont="1" applyFill="1" applyBorder="1" applyAlignment="1">
      <alignment horizontal="center" vertical="center" wrapText="1"/>
    </xf>
    <xf numFmtId="0" fontId="14" fillId="2" borderId="21" xfId="0" applyFont="1" applyFill="1" applyBorder="1" applyAlignment="1">
      <alignment horizontal="center" vertical="center" wrapText="1"/>
    </xf>
    <xf numFmtId="0" fontId="14" fillId="2" borderId="0" xfId="0" applyFont="1" applyFill="1" applyBorder="1" applyAlignment="1">
      <alignment horizontal="center" vertical="center" wrapText="1"/>
    </xf>
    <xf numFmtId="0" fontId="14" fillId="2" borderId="20" xfId="0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14" fillId="2" borderId="13" xfId="0" applyFont="1" applyFill="1" applyBorder="1" applyAlignment="1">
      <alignment horizontal="center" vertical="center" wrapText="1"/>
    </xf>
    <xf numFmtId="0" fontId="14" fillId="2" borderId="11" xfId="0" applyFont="1" applyFill="1" applyBorder="1" applyAlignment="1">
      <alignment horizontal="center" vertical="center" wrapText="1"/>
    </xf>
    <xf numFmtId="164" fontId="0" fillId="2" borderId="0" xfId="0" applyNumberFormat="1" applyFill="1"/>
    <xf numFmtId="0" fontId="0" fillId="2" borderId="0" xfId="0" applyFill="1"/>
    <xf numFmtId="0" fontId="4" fillId="0" borderId="17" xfId="0" applyFont="1" applyBorder="1" applyAlignment="1" applyProtection="1">
      <alignment horizontal="center" wrapText="1"/>
      <protection locked="0"/>
    </xf>
    <xf numFmtId="0" fontId="4" fillId="0" borderId="15" xfId="0" applyFont="1" applyBorder="1" applyAlignment="1" applyProtection="1">
      <alignment horizontal="center" wrapText="1"/>
      <protection locked="0"/>
    </xf>
  </cellXfs>
  <cellStyles count="4">
    <cellStyle name="Komma 2" xfId="3" xr:uid="{DA2C7B08-6176-4635-A229-5792FC7F76CE}"/>
    <cellStyle name="Standaard" xfId="0" builtinId="0"/>
    <cellStyle name="Standaard 3" xfId="2" xr:uid="{33F021C8-F554-4B7E-8991-4C9311B0672E}"/>
    <cellStyle name="Valuta" xfId="1" builtinId="4"/>
  </cellStyles>
  <dxfs count="4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" formatCode="0"/>
      <border diagonalUp="0" diagonalDown="0">
        <left style="thin">
          <color indexed="64"/>
        </left>
        <right style="thin">
          <color indexed="64"/>
        </right>
      </border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" formatCode="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" formatCode="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" formatCode="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 [$€-2]\ * #,##0.00_ ;_ [$€-2]\ * \-#,##0.00_ ;_ [$€-2]\ * &quot;-&quot;??_ ;_ @_ 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" formatCode="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" formatCode="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" formatCode="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 [$€-2]\ * #,##0.00_ ;_ [$€-2]\ * \-#,##0.00_ ;_ [$€-2]\ * &quot;-&quot;??_ ;_ @_ 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border diagonalUp="0" diagonalDown="0" outline="0">
        <left/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" formatCode="0"/>
      <border diagonalUp="0" diagonalDown="0" outline="0">
        <left style="thin">
          <color indexed="64"/>
        </left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" formatCode="0"/>
      <border diagonalUp="0" diagonalDown="0" outline="0">
        <left style="thin">
          <color indexed="64"/>
        </left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" formatCode="0"/>
      <border diagonalUp="0" diagonalDown="0" outline="0">
        <left style="thin">
          <color indexed="64"/>
        </left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" formatCode="0"/>
      <border diagonalUp="0" diagonalDown="0" outline="0">
        <left style="thin">
          <color indexed="64"/>
        </left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 [$€-2]\ * #,##0.00_ ;_ [$€-2]\ * \-#,##0.00_ ;_ [$€-2]\ * &quot;-&quot;??_ ;_ @_ "/>
      <border diagonalUp="0" diagonalDown="0">
        <left style="thin">
          <color indexed="64"/>
        </left>
        <right style="thin">
          <color indexed="64"/>
        </right>
      </border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</border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border diagonalUp="0" diagonalDown="0">
        <right style="thin">
          <color indexed="64"/>
        </right>
      </border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border diagonalUp="0" diagonalDown="0" outline="0">
        <left/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" formatCode="0"/>
      <border diagonalUp="0" diagonalDown="0" outline="0">
        <left style="thin">
          <color indexed="64"/>
        </left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" formatCode="0"/>
      <border diagonalUp="0" diagonalDown="0">
        <left style="thin">
          <color indexed="64"/>
        </left>
        <right style="thin">
          <color indexed="64"/>
        </right>
      </border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" formatCode="0"/>
      <border diagonalUp="0" diagonalDown="0">
        <left style="thin">
          <color indexed="64"/>
        </left>
        <right style="thin">
          <color indexed="64"/>
        </right>
      </border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 [$€-2]\ * #,##0.00_ ;_ [$€-2]\ * \-#,##0.00_ ;_ [$€-2]\ * &quot;-&quot;??_ ;_ @_ "/>
      <border diagonalUp="0" diagonalDown="0">
        <left style="thin">
          <color indexed="64"/>
        </left>
        <right style="thin">
          <color indexed="64"/>
        </right>
      </border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</border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border diagonalUp="0" diagonalDown="0">
        <right style="thin">
          <color indexed="64"/>
        </right>
      </border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border diagonalUp="0" diagonalDown="0">
        <left/>
        <right style="thin">
          <color indexed="64"/>
        </right>
        <top/>
        <bottom/>
      </border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AC5BFAC-16CF-4227-921C-46535CFDCFAA}" name="Tabel13" displayName="Tabel13" ref="A2:I10" totalsRowCount="1" headerRowDxfId="41" dataDxfId="40" totalsRowDxfId="39">
  <autoFilter ref="A2:I9" xr:uid="{B2D93CC1-880B-44E1-AD0A-26430BD11D91}"/>
  <sortState xmlns:xlrd2="http://schemas.microsoft.com/office/spreadsheetml/2017/richdata2" ref="A3:I9">
    <sortCondition descending="1" ref="H2:H9"/>
  </sortState>
  <tableColumns count="9">
    <tableColumn id="1" xr3:uid="{B4E6E974-1AEC-4895-902B-922C592B5370}" name="Basiscapaciteit_x000a_(maximaal 7.000 ton p.j.)" totalsRowLabel="Totaal" dataDxfId="35" totalsRowDxfId="10"/>
    <tableColumn id="8" xr3:uid="{691D7229-185D-42CE-8CC4-006785B44377}" name="Leverprognose _x000a_(voor 1 jaar)" totalsRowFunction="custom" dataDxfId="34" totalsRowDxfId="9">
      <totalsRowFormula>"Totaal "&amp;(SUBTOTAL(109,Tabel13[Leverprognose 
(voor 1 jaar)])) &amp;" ton"</totalsRowFormula>
    </tableColumn>
    <tableColumn id="2" xr3:uid="{1340EEBD-9374-45EF-B324-F5F804D2C8F0}" name="Kwartaal _x000a_tonnage " totalsRowFunction="custom" dataDxfId="33" totalsRowDxfId="8">
      <totalsRowFormula>"Totaal "&amp;(SUBTOTAL(109,Tabel13[Kwartaal 
tonnage ])) &amp;" ton"</totalsRowFormula>
    </tableColumn>
    <tableColumn id="3" xr3:uid="{B5D3E2C4-07E2-42FE-BE0A-0F5390638264}" name="Prijs per kwartaal_x000a_(per ton, excl. btw)" totalsRowFunction="custom" dataDxfId="32" totalsRowDxfId="7">
      <totalsRowFormula>"gem. "&amp;ROUND(SUBTOTAL(101,Tabel13[Prijs per kwartaal
(per ton, excl. btw)]),1)</totalsRowFormula>
    </tableColumn>
    <tableColumn id="9" xr3:uid="{F0208D96-639D-4509-82DE-31FA3D825481}" name="Score _x000a_leverprognose" totalsRowFunction="average" dataDxfId="31" totalsRowDxfId="6">
      <calculatedColumnFormula>MIN((Tabel13[[#This Row],[Leverprognose 
(voor 1 jaar)]]-OndergrensBandbreedteLeverprognose)/(BovengrensBandbreedteLeverprognose-OndergrensBandbreedteLeverprognose)*MaximaleScoreLeverprognose,MaximaleScoreLeverprognose)</calculatedColumnFormula>
    </tableColumn>
    <tableColumn id="4" xr3:uid="{A69B414E-6A2F-462C-8653-3EC781E79BA5}" name="Score_x000a_Kwartaal tonnage" totalsRowFunction="custom" dataDxfId="30" totalsRowDxfId="5">
      <calculatedColumnFormula>(MIN((MIN(Tabel13[[#This Row],[Kwartaal 
tonnage ]],(Tabel13[[#This Row],[Leverprognose 
(voor 1 jaar)]]/2)))/BovengrensBandbreedteKwartaalTonnage,1)*MaximaleScoreKwartaalTonnage)</calculatedColumnFormula>
      <totalsRowFormula>"gem. "&amp;ROUND(SUBTOTAL(101,Tabel13[Score
Kwartaal tonnage]),1)</totalsRowFormula>
    </tableColumn>
    <tableColumn id="5" xr3:uid="{21E1C210-5E59-4642-8C78-18E5A2EC501D}" name="Score Prijs_x000a_(kwartaal tarief)" totalsRowFunction="custom" dataDxfId="29" totalsRowDxfId="4">
      <calculatedColumnFormula>(HoogsteTonnagePrijsInschrijvers-Tabel13[[#This Row],[Prijs per kwartaal
(per ton, excl. btw)]])*MaximaleScorePrijs/(HoogsteTonnagePrijsInschrijvers-LaagsteTonnagePrijsInschrijvers)</calculatedColumnFormula>
      <totalsRowFormula>"gem. "&amp;ROUND(SUBTOTAL(101,Tabel13[Score Prijs
(kwartaal tarief)]),1)</totalsRowFormula>
    </tableColumn>
    <tableColumn id="6" xr3:uid="{12B66E86-14C6-4A4B-BB5E-12A7D369F8A9}" name="Totale Score_x000a_(rangorde)" totalsRowFunction="custom" dataDxfId="1" totalsRowDxfId="3">
      <calculatedColumnFormula>ROUND(Tabel13[[#This Row],[Score
Kwartaal tonnage]]+Tabel13[[#This Row],[Score Prijs
(kwartaal tarief)]]+E3,1)</calculatedColumnFormula>
      <totalsRowFormula>"gem. "&amp;ROUND(SUBTOTAL(101,Tabel13[Totale Score
(rangorde)]),1)</totalsRowFormula>
    </tableColumn>
    <tableColumn id="7" xr3:uid="{ABC9DA02-1CD9-47DE-ACE7-68D86030AADC}" name="Gekozen_x000a_(ja/nee)" totalsRowFunction="custom" dataDxfId="2" totalsRowDxfId="0">
      <totalsRowFormula>"Totaal "&amp;(SUMIF(Tabel13[Gekozen
(ja/nee)],"Ja",Tabel13[Kwartaal 
tonnage ]))&amp;" ton"</totalsRowFormula>
    </tableColumn>
  </tableColumns>
  <tableStyleInfo name="TableStyleMedium5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C5BB988-4409-4F7A-A9B6-64F39883846C}" name="Tabel134" displayName="Tabel134" ref="A2:I10" totalsRowCount="1" headerRowDxfId="38" dataDxfId="37" totalsRowDxfId="36">
  <autoFilter ref="A2:I9" xr:uid="{B2D93CC1-880B-44E1-AD0A-26430BD11D91}"/>
  <sortState xmlns:xlrd2="http://schemas.microsoft.com/office/spreadsheetml/2017/richdata2" ref="A3:I9">
    <sortCondition descending="1" ref="H2:H9"/>
  </sortState>
  <tableColumns count="9">
    <tableColumn id="1" xr3:uid="{BF272383-4AB4-413E-9302-5DF9B1F69DD2}" name="Basiscapaciteit_x000a_(maximaal 7.000 ton p.j.)" totalsRowLabel="Totaal" dataDxfId="28" totalsRowDxfId="19"/>
    <tableColumn id="8" xr3:uid="{C9BB78E9-E040-4BB9-A085-017DFE3531F4}" name="Leverprognose _x000a_(voor 1 jaar)" totalsRowFunction="custom" dataDxfId="27" totalsRowDxfId="18">
      <totalsRowFormula>"Totaal "&amp;(SUBTOTAL(109,Tabel134[Leverprognose 
(voor 1 jaar)])) &amp;" ton"</totalsRowFormula>
    </tableColumn>
    <tableColumn id="2" xr3:uid="{CBC4ED52-48F9-4933-961E-1EBF03DC53FE}" name="Kwartaal _x000a_tonnage " totalsRowFunction="custom" dataDxfId="26" totalsRowDxfId="17">
      <totalsRowFormula>"Totaal "&amp;(SUBTOTAL(109,Tabel134[Kwartaal 
tonnage ])) &amp;" ton"</totalsRowFormula>
    </tableColumn>
    <tableColumn id="3" xr3:uid="{BEA09FD7-F8DB-4EC9-A8C0-7230E4B073A3}" name="Prijs per kwartaal_x000a_(per ton, excl. btw)" totalsRowFunction="custom" dataDxfId="25" totalsRowDxfId="16">
      <totalsRowFormula>"gem. "&amp;ROUND(SUBTOTAL(101,Tabel134[Prijs per kwartaal
(per ton, excl. btw)]),1)</totalsRowFormula>
    </tableColumn>
    <tableColumn id="9" xr3:uid="{C15FBBD2-83DE-4F47-BD0C-A786592951B7}" name="Score _x000a_leverprognose" totalsRowFunction="average" dataDxfId="24" totalsRowDxfId="15">
      <calculatedColumnFormula>MIN((Tabel134[[#This Row],[Leverprognose 
(voor 1 jaar)]]-OndergrensBandbreedteLeverprognose)/(BovengrensBandbreedteLeverprognose-OndergrensBandbreedteLeverprognose)*MaximaleScoreLeverprognose,MaximaleScoreLeverprognose)</calculatedColumnFormula>
    </tableColumn>
    <tableColumn id="4" xr3:uid="{9C0EA406-C1B0-48D3-BD6E-4C3184C72EFB}" name="Score_x000a_Kwartaal tonnage" totalsRowFunction="custom" dataDxfId="23" totalsRowDxfId="14">
      <calculatedColumnFormula>(MIN((MIN(Tabel134[[#This Row],[Kwartaal 
tonnage ]],(Tabel134[[#This Row],[Leverprognose 
(voor 1 jaar)]]/2)))/BovengrensBandbreedteKwartaalTonnage,1)*MaximaleScoreKwartaalTonnage)</calculatedColumnFormula>
      <totalsRowFormula>"gem. "&amp;ROUND(SUBTOTAL(101,Tabel134[Score
Kwartaal tonnage]),1)</totalsRowFormula>
    </tableColumn>
    <tableColumn id="5" xr3:uid="{FC899BAF-BB74-4E69-90DF-F94CC7FEC7FC}" name="Score Prijs_x000a_(kwartaal tarief)" totalsRowFunction="custom" dataDxfId="22" totalsRowDxfId="13">
      <calculatedColumnFormula>(HoogsteTonnagePrijsInschrijvers-Tabel134[[#This Row],[Prijs per kwartaal
(per ton, excl. btw)]])*MaximaleScorePrijs/(HoogsteTonnagePrijsInschrijvers-LaagsteTonnagePrijsInschrijvers)</calculatedColumnFormula>
      <totalsRowFormula>"gem. "&amp;ROUND(SUBTOTAL(101,Tabel134[Score Prijs
(kwartaal tarief)]),1)</totalsRowFormula>
    </tableColumn>
    <tableColumn id="6" xr3:uid="{DA44E296-4633-4C9E-84F7-EF1D6E032B9D}" name="Totale Score_x000a_(rangorde)" totalsRowFunction="custom" dataDxfId="21" totalsRowDxfId="12">
      <calculatedColumnFormula>ROUND(Tabel134[[#This Row],[Score
Kwartaal tonnage]]+Tabel134[[#This Row],[Score Prijs
(kwartaal tarief)]]+E3,1)</calculatedColumnFormula>
      <totalsRowFormula>"gem. "&amp;ROUND(SUBTOTAL(101,Tabel134[Totale Score
(rangorde)]),1)</totalsRowFormula>
    </tableColumn>
    <tableColumn id="7" xr3:uid="{07471C66-C291-405C-B65A-6F7175E2C746}" name="Gekozen_x000a_(ja/nee)" totalsRowFunction="custom" dataDxfId="20" totalsRowDxfId="11">
      <totalsRowFormula>"Totaal "&amp;(SUMIF(Tabel134[Gekozen
(ja/nee)],"Ja",Tabel134[Kwartaal 
tonnage ]))&amp;" ton"</totalsRow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8944E1-F6B8-4D22-BF61-79B149BEFE0D}">
  <dimension ref="A1:F9"/>
  <sheetViews>
    <sheetView workbookViewId="0">
      <selection activeCell="B9" sqref="B9"/>
    </sheetView>
  </sheetViews>
  <sheetFormatPr defaultColWidth="9.140625" defaultRowHeight="14.25"/>
  <cols>
    <col min="1" max="1" width="2.7109375" style="6" customWidth="1"/>
    <col min="2" max="2" width="121" style="6" customWidth="1"/>
    <col min="3" max="3" width="9.140625" style="6"/>
    <col min="4" max="4" width="37" style="6" customWidth="1"/>
    <col min="5" max="16384" width="9.140625" style="6"/>
  </cols>
  <sheetData>
    <row r="1" spans="1:6" ht="18.75">
      <c r="A1" s="53" t="s">
        <v>0</v>
      </c>
      <c r="B1" s="54"/>
      <c r="C1" s="5"/>
      <c r="D1"/>
      <c r="E1"/>
      <c r="F1"/>
    </row>
    <row r="2" spans="1:6" ht="15">
      <c r="A2" s="7"/>
      <c r="B2" s="8" t="s">
        <v>1</v>
      </c>
      <c r="C2" s="9"/>
      <c r="D2" s="10" t="s">
        <v>2</v>
      </c>
      <c r="E2"/>
      <c r="F2"/>
    </row>
    <row r="3" spans="1:6" ht="28.5" customHeight="1">
      <c r="A3" s="7">
        <v>1</v>
      </c>
      <c r="B3" s="11" t="s">
        <v>3</v>
      </c>
      <c r="C3" s="9"/>
      <c r="D3"/>
      <c r="E3"/>
      <c r="F3"/>
    </row>
    <row r="4" spans="1:6" ht="28.5" customHeight="1">
      <c r="A4" s="7">
        <v>2</v>
      </c>
      <c r="B4" s="11" t="s">
        <v>4</v>
      </c>
      <c r="C4" s="9"/>
      <c r="D4"/>
      <c r="E4"/>
      <c r="F4"/>
    </row>
    <row r="5" spans="1:6" ht="28.5" customHeight="1">
      <c r="A5" s="7">
        <v>3</v>
      </c>
      <c r="B5" s="11" t="s">
        <v>5</v>
      </c>
      <c r="C5" s="9"/>
      <c r="D5"/>
      <c r="E5"/>
      <c r="F5"/>
    </row>
    <row r="6" spans="1:6" ht="28.5" customHeight="1">
      <c r="A6" s="7">
        <v>4</v>
      </c>
      <c r="B6" s="11" t="s">
        <v>6</v>
      </c>
      <c r="C6" s="9"/>
      <c r="D6"/>
      <c r="E6"/>
      <c r="F6"/>
    </row>
    <row r="7" spans="1:6" ht="28.5" customHeight="1">
      <c r="A7" s="7">
        <v>5</v>
      </c>
      <c r="B7" s="11" t="s">
        <v>7</v>
      </c>
      <c r="C7" s="9"/>
      <c r="D7"/>
      <c r="E7"/>
      <c r="F7"/>
    </row>
    <row r="8" spans="1:6" ht="28.5" customHeight="1">
      <c r="A8" s="7">
        <v>6</v>
      </c>
      <c r="B8" s="11" t="s">
        <v>8</v>
      </c>
      <c r="C8" s="9"/>
      <c r="D8"/>
      <c r="E8"/>
      <c r="F8"/>
    </row>
    <row r="9" spans="1:6" ht="28.5" customHeight="1">
      <c r="A9" s="7">
        <v>7</v>
      </c>
      <c r="B9" s="11" t="s">
        <v>9</v>
      </c>
      <c r="C9" s="9"/>
      <c r="D9"/>
      <c r="E9"/>
      <c r="F9"/>
    </row>
  </sheetData>
  <sheetProtection algorithmName="SHA-512" hashValue="SC2pGKveoDbEhMnIzVP5YIbk6FNoaM3VxdEDmBFYNiYUL/XnnmTNXEgiVFImf46irokABULu1QaFm0sMCWwEvQ==" saltValue="VMAd1yJ0mWEabOiiPHigGA==" spinCount="100000" sheet="1" objects="1" scenarios="1"/>
  <mergeCells count="1">
    <mergeCell ref="A1:B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3636A0-99BA-485F-B00F-E7900CF96AFB}">
  <sheetPr>
    <tabColor theme="7" tint="0.59999389629810485"/>
  </sheetPr>
  <dimension ref="A1:L30"/>
  <sheetViews>
    <sheetView tabSelected="1" zoomScale="112" zoomScaleNormal="115" workbookViewId="0">
      <selection activeCell="K13" sqref="K13"/>
    </sheetView>
  </sheetViews>
  <sheetFormatPr defaultRowHeight="15"/>
  <cols>
    <col min="1" max="1" width="38.7109375" customWidth="1"/>
    <col min="2" max="2" width="13.140625" customWidth="1"/>
    <col min="3" max="3" width="15.7109375" customWidth="1"/>
    <col min="4" max="4" width="15.42578125" customWidth="1"/>
    <col min="5" max="5" width="20.42578125" customWidth="1"/>
    <col min="6" max="6" width="15.85546875" customWidth="1"/>
    <col min="7" max="7" width="12" customWidth="1"/>
    <col min="8" max="8" width="11" customWidth="1"/>
    <col min="9" max="9" width="12.5703125" customWidth="1"/>
  </cols>
  <sheetData>
    <row r="1" spans="1:10" s="3" customFormat="1">
      <c r="A1" s="12" t="s">
        <v>10</v>
      </c>
      <c r="B1" s="16" t="str">
        <f>Inschrijvers!A1</f>
        <v>Aanbesteding: ‘Levering (houtige) biomassa ten behoeve van de bio energiecentrale(s) Eindhoven’</v>
      </c>
      <c r="C1" s="18"/>
      <c r="D1" s="20"/>
      <c r="E1" s="20"/>
      <c r="F1"/>
      <c r="G1" s="20"/>
      <c r="H1" s="20"/>
      <c r="I1" s="13"/>
      <c r="J1" s="4"/>
    </row>
    <row r="2" spans="1:10" ht="26.25">
      <c r="A2" s="14" t="s">
        <v>11</v>
      </c>
      <c r="B2" s="17" t="s">
        <v>12</v>
      </c>
      <c r="C2" s="19" t="s">
        <v>13</v>
      </c>
      <c r="D2" s="19" t="s">
        <v>14</v>
      </c>
      <c r="E2" s="19" t="s">
        <v>15</v>
      </c>
      <c r="F2" s="19" t="s">
        <v>16</v>
      </c>
      <c r="G2" s="19" t="s">
        <v>17</v>
      </c>
      <c r="H2" s="82" t="s">
        <v>18</v>
      </c>
      <c r="I2" s="83" t="s">
        <v>19</v>
      </c>
    </row>
    <row r="3" spans="1:10">
      <c r="A3" s="61" t="str">
        <f>Inschrijvers!B4</f>
        <v>[ondernemer 2]</v>
      </c>
      <c r="B3" s="67">
        <v>3500</v>
      </c>
      <c r="C3" s="68">
        <v>2500</v>
      </c>
      <c r="D3" s="69">
        <v>50</v>
      </c>
      <c r="E3" s="62">
        <f>MIN((Tabel13[[#This Row],[Leverprognose 
(voor 1 jaar)]]-OndergrensBandbreedteLeverprognose)/(BovengrensBandbreedteLeverprognose-OndergrensBandbreedteLeverprognose)*MaximaleScoreLeverprognose,MaximaleScoreLeverprognose)</f>
        <v>7.2727272727272734</v>
      </c>
      <c r="F3" s="63">
        <f>(MIN((MIN(Tabel13[[#This Row],[Kwartaal 
tonnage ]],(Tabel13[[#This Row],[Leverprognose 
(voor 1 jaar)]]/2)))/BovengrensBandbreedteKwartaalTonnage,1)*MaximaleScoreKwartaalTonnage)</f>
        <v>25</v>
      </c>
      <c r="G3" s="42">
        <f>(HoogsteTonnagePrijsInschrijvers-Tabel13[[#This Row],[Prijs per kwartaal
(per ton, excl. btw)]])*MaximaleScorePrijs/(HoogsteTonnagePrijsInschrijvers-LaagsteTonnagePrijsInschrijvers)</f>
        <v>30</v>
      </c>
      <c r="H3" s="63">
        <f>ROUND(Tabel13[[#This Row],[Score
Kwartaal tonnage]]+Tabel13[[#This Row],[Score Prijs
(kwartaal tarief)]]+E3,1)</f>
        <v>62.3</v>
      </c>
      <c r="I3" s="68" t="s">
        <v>20</v>
      </c>
    </row>
    <row r="4" spans="1:10">
      <c r="A4" s="61" t="str">
        <f>Inschrijvers!B6</f>
        <v>[ondernemer 4]</v>
      </c>
      <c r="B4" s="67">
        <v>6500</v>
      </c>
      <c r="C4" s="68">
        <v>600</v>
      </c>
      <c r="D4" s="69">
        <v>53</v>
      </c>
      <c r="E4" s="63">
        <f>MIN((Tabel13[[#This Row],[Leverprognose 
(voor 1 jaar)]]-OndergrensBandbreedteLeverprognose)/(BovengrensBandbreedteLeverprognose-OndergrensBandbreedteLeverprognose)*MaximaleScoreLeverprognose,MaximaleScoreLeverprognose)</f>
        <v>18.18181818181818</v>
      </c>
      <c r="F4" s="63">
        <f>(MIN((MIN(Tabel13[[#This Row],[Kwartaal 
tonnage ]],(Tabel13[[#This Row],[Leverprognose 
(voor 1 jaar)]]/2)))/BovengrensBandbreedteKwartaalTonnage,1)*MaximaleScoreKwartaalTonnage)</f>
        <v>8.5714285714285712</v>
      </c>
      <c r="G4" s="21">
        <f>(HoogsteTonnagePrijsInschrijvers-Tabel13[[#This Row],[Prijs per kwartaal
(per ton, excl. btw)]])*MaximaleScorePrijs/(HoogsteTonnagePrijsInschrijvers-LaagsteTonnagePrijsInschrijvers)</f>
        <v>28.2</v>
      </c>
      <c r="H4" s="63">
        <f>ROUND(Tabel13[[#This Row],[Score
Kwartaal tonnage]]+Tabel13[[#This Row],[Score Prijs
(kwartaal tarief)]]+E4,1)</f>
        <v>55</v>
      </c>
      <c r="I4" s="68" t="s">
        <v>20</v>
      </c>
    </row>
    <row r="5" spans="1:10">
      <c r="A5" s="61" t="str">
        <f>Inschrijvers!B3</f>
        <v>[ondernemer 1]</v>
      </c>
      <c r="B5" s="67">
        <v>7500</v>
      </c>
      <c r="C5" s="68">
        <v>1900</v>
      </c>
      <c r="D5" s="69">
        <v>57.5</v>
      </c>
      <c r="E5" s="64">
        <f>MIN((Tabel13[[#This Row],[Leverprognose 
(voor 1 jaar)]]-OndergrensBandbreedteLeverprognose)/(BovengrensBandbreedteLeverprognose-OndergrensBandbreedteLeverprognose)*MaximaleScoreLeverprognose,MaximaleScoreLeverprognose)</f>
        <v>20</v>
      </c>
      <c r="F5" s="63">
        <f>(MIN((MIN(Tabel13[[#This Row],[Kwartaal 
tonnage ]],(Tabel13[[#This Row],[Leverprognose 
(voor 1 jaar)]]/2)))/BovengrensBandbreedteKwartaalTonnage,1)*MaximaleScoreKwartaalTonnage)</f>
        <v>27.142857142857142</v>
      </c>
      <c r="G5" s="21">
        <f>(HoogsteTonnagePrijsInschrijvers-Tabel13[[#This Row],[Prijs per kwartaal
(per ton, excl. btw)]])*MaximaleScorePrijs/(HoogsteTonnagePrijsInschrijvers-LaagsteTonnagePrijsInschrijvers)</f>
        <v>25.5</v>
      </c>
      <c r="H5" s="63">
        <f>ROUND(Tabel13[[#This Row],[Score
Kwartaal tonnage]]+Tabel13[[#This Row],[Score Prijs
(kwartaal tarief)]],1)</f>
        <v>52.6</v>
      </c>
      <c r="I5" s="68" t="s">
        <v>20</v>
      </c>
    </row>
    <row r="6" spans="1:10">
      <c r="A6" s="61" t="str">
        <f>Inschrijvers!B8</f>
        <v>[ondernemer 6]</v>
      </c>
      <c r="B6" s="67">
        <v>3500</v>
      </c>
      <c r="C6" s="68">
        <v>500</v>
      </c>
      <c r="D6" s="69">
        <v>50</v>
      </c>
      <c r="E6" s="63">
        <f>MIN((Tabel13[[#This Row],[Leverprognose 
(voor 1 jaar)]]-OndergrensBandbreedteLeverprognose)/(BovengrensBandbreedteLeverprognose-OndergrensBandbreedteLeverprognose)*MaximaleScoreLeverprognose,MaximaleScoreLeverprognose)</f>
        <v>7.2727272727272734</v>
      </c>
      <c r="F6" s="63">
        <f>(MIN((MIN(Tabel13[[#This Row],[Kwartaal 
tonnage ]],(Tabel13[[#This Row],[Leverprognose 
(voor 1 jaar)]]/2)))/BovengrensBandbreedteKwartaalTonnage,1)*MaximaleScoreKwartaalTonnage)</f>
        <v>7.1428571428571423</v>
      </c>
      <c r="G6" s="21">
        <f>(HoogsteTonnagePrijsInschrijvers-Tabel13[[#This Row],[Prijs per kwartaal
(per ton, excl. btw)]])*MaximaleScorePrijs/(HoogsteTonnagePrijsInschrijvers-LaagsteTonnagePrijsInschrijvers)</f>
        <v>30</v>
      </c>
      <c r="H6" s="63">
        <f>ROUND(Tabel13[[#This Row],[Score
Kwartaal tonnage]]+Tabel13[[#This Row],[Score Prijs
(kwartaal tarief)]]+E6,1)</f>
        <v>44.4</v>
      </c>
      <c r="I6" s="68" t="s">
        <v>20</v>
      </c>
    </row>
    <row r="7" spans="1:10">
      <c r="A7" s="61" t="str">
        <f>Inschrijvers!B5</f>
        <v>[ondernemer 3]</v>
      </c>
      <c r="B7" s="67">
        <v>2500</v>
      </c>
      <c r="C7" s="68">
        <v>500</v>
      </c>
      <c r="D7" s="69">
        <v>52.5</v>
      </c>
      <c r="E7" s="63">
        <f>MIN((Tabel13[[#This Row],[Leverprognose 
(voor 1 jaar)]]-OndergrensBandbreedteLeverprognose)/(BovengrensBandbreedteLeverprognose-OndergrensBandbreedteLeverprognose)*MaximaleScoreLeverprognose,MaximaleScoreLeverprognose)</f>
        <v>3.6363636363636367</v>
      </c>
      <c r="F7" s="63">
        <f>(MIN((MIN(Tabel13[[#This Row],[Kwartaal 
tonnage ]],(Tabel13[[#This Row],[Leverprognose 
(voor 1 jaar)]]/2)))/BovengrensBandbreedteKwartaalTonnage,1)*MaximaleScoreKwartaalTonnage)</f>
        <v>7.1428571428571423</v>
      </c>
      <c r="G7" s="21">
        <f>(HoogsteTonnagePrijsInschrijvers-Tabel13[[#This Row],[Prijs per kwartaal
(per ton, excl. btw)]])*MaximaleScorePrijs/(HoogsteTonnagePrijsInschrijvers-LaagsteTonnagePrijsInschrijvers)</f>
        <v>28.5</v>
      </c>
      <c r="H7" s="63">
        <f>ROUND(Tabel13[[#This Row],[Score
Kwartaal tonnage]]+Tabel13[[#This Row],[Score Prijs
(kwartaal tarief)]]+E7,1)</f>
        <v>39.299999999999997</v>
      </c>
      <c r="I7" s="68" t="s">
        <v>21</v>
      </c>
    </row>
    <row r="8" spans="1:10">
      <c r="A8" s="61" t="str">
        <f>Inschrijvers!B9</f>
        <v>[ondernemer 7]</v>
      </c>
      <c r="B8" s="67">
        <v>2000</v>
      </c>
      <c r="C8" s="68">
        <v>500</v>
      </c>
      <c r="D8" s="69">
        <v>100</v>
      </c>
      <c r="E8" s="63">
        <f>MIN((Tabel13[[#This Row],[Leverprognose 
(voor 1 jaar)]]-OndergrensBandbreedteLeverprognose)/(BovengrensBandbreedteLeverprognose-OndergrensBandbreedteLeverprognose)*MaximaleScoreLeverprognose,MaximaleScoreLeverprognose)</f>
        <v>1.8181818181818183</v>
      </c>
      <c r="F8" s="63">
        <f>(MIN((MIN(Tabel13[[#This Row],[Kwartaal 
tonnage ]],(Tabel13[[#This Row],[Leverprognose 
(voor 1 jaar)]]/2)))/BovengrensBandbreedteKwartaalTonnage,1)*MaximaleScoreKwartaalTonnage)</f>
        <v>7.1428571428571423</v>
      </c>
      <c r="G8" s="21">
        <f>(HoogsteTonnagePrijsInschrijvers-Tabel13[[#This Row],[Prijs per kwartaal
(per ton, excl. btw)]])*MaximaleScorePrijs/(HoogsteTonnagePrijsInschrijvers-LaagsteTonnagePrijsInschrijvers)</f>
        <v>0</v>
      </c>
      <c r="H8" s="63">
        <f>ROUND(Tabel13[[#This Row],[Score
Kwartaal tonnage]]+Tabel13[[#This Row],[Score Prijs
(kwartaal tarief)]]+E8,1)</f>
        <v>9</v>
      </c>
      <c r="I8" s="68" t="s">
        <v>21</v>
      </c>
    </row>
    <row r="9" spans="1:10">
      <c r="A9" s="61" t="str">
        <f>Inschrijvers!B7</f>
        <v>[ondernemer 5]</v>
      </c>
      <c r="B9" s="67">
        <v>1500</v>
      </c>
      <c r="C9" s="68">
        <v>0</v>
      </c>
      <c r="D9" s="69">
        <v>96</v>
      </c>
      <c r="E9" s="63">
        <f>MIN((Tabel13[[#This Row],[Leverprognose 
(voor 1 jaar)]]-OndergrensBandbreedteLeverprognose)/(BovengrensBandbreedteLeverprognose-OndergrensBandbreedteLeverprognose)*MaximaleScoreLeverprognose,MaximaleScoreLeverprognose)</f>
        <v>0</v>
      </c>
      <c r="F9" s="63">
        <f>(MIN((MIN(Tabel13[[#This Row],[Kwartaal 
tonnage ]],(Tabel13[[#This Row],[Leverprognose 
(voor 1 jaar)]]/2)))/BovengrensBandbreedteKwartaalTonnage,1)*MaximaleScoreKwartaalTonnage)</f>
        <v>0</v>
      </c>
      <c r="G9" s="21">
        <f>(HoogsteTonnagePrijsInschrijvers-Tabel13[[#This Row],[Prijs per kwartaal
(per ton, excl. btw)]])*MaximaleScorePrijs/(HoogsteTonnagePrijsInschrijvers-LaagsteTonnagePrijsInschrijvers)</f>
        <v>2.4</v>
      </c>
      <c r="H9" s="63">
        <f>ROUND(Tabel13[[#This Row],[Score
Kwartaal tonnage]]+Tabel13[[#This Row],[Score Prijs
(kwartaal tarief)]]+E9,1)</f>
        <v>2.4</v>
      </c>
      <c r="I9" s="68" t="s">
        <v>21</v>
      </c>
    </row>
    <row r="10" spans="1:10">
      <c r="A10" s="15" t="s">
        <v>22</v>
      </c>
      <c r="B10" s="38" t="str">
        <f>"Totaal "&amp;(SUBTOTAL(109,Tabel13[Leverprognose 
(voor 1 jaar)])) &amp;" ton"</f>
        <v>Totaal 27000 ton</v>
      </c>
      <c r="C10" s="37" t="str">
        <f>"Totaal "&amp;(SUBTOTAL(109,Tabel13[Kwartaal 
tonnage ])) &amp;" ton"</f>
        <v>Totaal 6500 ton</v>
      </c>
      <c r="D10" s="39" t="str">
        <f>"gem. "&amp;ROUND(SUBTOTAL(101,Tabel13[Prijs per kwartaal
(per ton, excl. btw)]),1)</f>
        <v>gem. 65,6</v>
      </c>
      <c r="E10" s="65">
        <f>SUBTOTAL(101,Tabel13[Score 
leverprognose])</f>
        <v>8.3116883116883109</v>
      </c>
      <c r="F10" s="66" t="str">
        <f>"gem. "&amp;ROUND(SUBTOTAL(101,Tabel13[Score
Kwartaal tonnage]),1)</f>
        <v>gem. 11,7</v>
      </c>
      <c r="G10" s="65" t="str">
        <f>"gem. "&amp;ROUND(SUBTOTAL(101,Tabel13[Score Prijs
(kwartaal tarief)]),1)</f>
        <v>gem. 20,7</v>
      </c>
      <c r="H10" s="65" t="str">
        <f>"gem. "&amp;ROUND(SUBTOTAL(101,Tabel13[Totale Score
(rangorde)]),1)</f>
        <v>gem. 37,9</v>
      </c>
      <c r="I10" s="66" t="str">
        <f>"Totaal "&amp;(SUMIF(Tabel13[Gekozen
(ja/nee)],"Ja",Tabel13[Kwartaal 
tonnage ]))&amp;" ton"</f>
        <v>Totaal 5500 ton</v>
      </c>
    </row>
    <row r="11" spans="1:10">
      <c r="A11" s="22"/>
      <c r="B11" s="22"/>
      <c r="C11" s="22"/>
      <c r="D11" s="23"/>
      <c r="E11" s="24"/>
      <c r="F11" s="22"/>
      <c r="G11" s="24"/>
      <c r="H11" s="24"/>
      <c r="I11" s="22"/>
    </row>
    <row r="12" spans="1:10">
      <c r="A12" s="33"/>
      <c r="B12" s="34"/>
      <c r="C12" s="47" t="s">
        <v>23</v>
      </c>
      <c r="E12" s="55" t="s">
        <v>24</v>
      </c>
      <c r="F12" s="56"/>
      <c r="G12" s="56"/>
      <c r="H12" s="56"/>
      <c r="I12" s="57"/>
    </row>
    <row r="13" spans="1:10">
      <c r="A13" s="46" t="s">
        <v>25</v>
      </c>
      <c r="B13" s="48">
        <v>7000</v>
      </c>
      <c r="C13" s="32"/>
      <c r="E13" s="58"/>
      <c r="F13" s="59"/>
      <c r="G13" s="59"/>
      <c r="H13" s="59"/>
      <c r="I13" s="60"/>
    </row>
    <row r="14" spans="1:10">
      <c r="A14" s="46" t="s">
        <v>26</v>
      </c>
      <c r="B14" s="48">
        <v>20</v>
      </c>
      <c r="C14" s="32"/>
    </row>
    <row r="15" spans="1:10" ht="15" customHeight="1">
      <c r="A15" s="46" t="s">
        <v>33</v>
      </c>
      <c r="B15" s="48">
        <v>1500</v>
      </c>
      <c r="C15" s="32"/>
      <c r="E15" s="70" t="s">
        <v>35</v>
      </c>
      <c r="F15" s="71"/>
      <c r="G15" s="71"/>
      <c r="H15" s="71"/>
      <c r="I15" s="72"/>
    </row>
    <row r="16" spans="1:10" ht="15" customHeight="1">
      <c r="A16" s="35"/>
      <c r="B16" s="36"/>
      <c r="C16" s="32"/>
      <c r="E16" s="73"/>
      <c r="F16" s="74"/>
      <c r="G16" s="74"/>
      <c r="H16" s="74"/>
      <c r="I16" s="75"/>
    </row>
    <row r="17" spans="1:12">
      <c r="A17" s="46" t="s">
        <v>27</v>
      </c>
      <c r="B17" s="48">
        <v>3500</v>
      </c>
      <c r="C17" s="32"/>
      <c r="E17" s="73"/>
      <c r="F17" s="76"/>
      <c r="G17" s="76"/>
      <c r="H17" s="76"/>
      <c r="I17" s="75"/>
    </row>
    <row r="18" spans="1:12">
      <c r="A18" s="46" t="s">
        <v>28</v>
      </c>
      <c r="B18" s="48">
        <v>50</v>
      </c>
      <c r="C18" s="32"/>
      <c r="E18" s="73"/>
      <c r="F18" s="76"/>
      <c r="G18" s="76"/>
      <c r="H18" s="76"/>
      <c r="I18" s="75"/>
    </row>
    <row r="19" spans="1:12">
      <c r="A19" s="35"/>
      <c r="B19" s="36"/>
      <c r="C19" s="32"/>
      <c r="E19" s="77"/>
      <c r="F19" s="78"/>
      <c r="G19" s="78"/>
      <c r="H19" s="78"/>
      <c r="I19" s="79"/>
    </row>
    <row r="20" spans="1:12">
      <c r="A20" s="46" t="s">
        <v>29</v>
      </c>
      <c r="B20" s="49">
        <f>MIN(D3:D9)</f>
        <v>50</v>
      </c>
      <c r="C20" s="32"/>
      <c r="D20" s="1"/>
      <c r="E20" s="1"/>
    </row>
    <row r="21" spans="1:12">
      <c r="A21" s="46" t="s">
        <v>30</v>
      </c>
      <c r="B21" s="49">
        <f>MAX(D3:D9)</f>
        <v>100</v>
      </c>
      <c r="C21" s="32"/>
      <c r="D21" s="1"/>
      <c r="E21" s="80"/>
      <c r="F21" s="81"/>
      <c r="G21" s="81"/>
      <c r="H21" s="81"/>
      <c r="I21" s="81"/>
    </row>
    <row r="22" spans="1:12">
      <c r="A22" s="46" t="s">
        <v>31</v>
      </c>
      <c r="B22" s="48">
        <v>30</v>
      </c>
      <c r="C22" s="32"/>
    </row>
    <row r="23" spans="1:12">
      <c r="A23" s="35"/>
      <c r="B23" s="36"/>
      <c r="C23" s="32"/>
    </row>
    <row r="24" spans="1:12">
      <c r="A24" s="50" t="s">
        <v>32</v>
      </c>
      <c r="B24" s="30"/>
      <c r="C24" s="51">
        <f>B14+B18+B22</f>
        <v>100</v>
      </c>
    </row>
    <row r="25" spans="1:12">
      <c r="A25" s="2"/>
      <c r="B25" s="2"/>
      <c r="L25" s="43"/>
    </row>
    <row r="26" spans="1:12">
      <c r="A26" s="44"/>
      <c r="B26" s="44"/>
      <c r="C26" s="44"/>
      <c r="D26" s="44"/>
      <c r="E26" s="44"/>
      <c r="F26" s="44"/>
      <c r="L26" s="43"/>
    </row>
    <row r="27" spans="1:12">
      <c r="A27" s="44"/>
      <c r="B27" s="44"/>
      <c r="C27" s="44"/>
      <c r="D27" s="44"/>
      <c r="E27" s="44"/>
      <c r="F27" s="44"/>
    </row>
    <row r="28" spans="1:12">
      <c r="A28" s="44"/>
      <c r="B28" s="44"/>
      <c r="C28" s="45"/>
      <c r="D28" s="45"/>
      <c r="E28" s="45"/>
      <c r="F28" s="45"/>
    </row>
    <row r="29" spans="1:12">
      <c r="A29" s="44"/>
      <c r="B29" s="44"/>
      <c r="C29" s="45"/>
      <c r="D29" s="45"/>
      <c r="E29" s="45"/>
      <c r="F29" s="45"/>
    </row>
    <row r="30" spans="1:12">
      <c r="A30" s="44"/>
      <c r="B30" s="44"/>
      <c r="C30" s="45"/>
      <c r="D30" s="45"/>
      <c r="E30" s="45"/>
      <c r="F30" s="45"/>
    </row>
  </sheetData>
  <sheetProtection algorithmName="SHA-512" hashValue="+fd1Laj6TdU57nznBM4JMKckjfQ+ksWO+V7TRrBuSx/TsG3BByFaB+xtQ14vXsqrQFbbFGGhsO9B6bTnGbc0mA==" saltValue="jSWWNUXZNdHGyBPNrGKEIg==" spinCount="100000" sheet="1" objects="1" scenarios="1"/>
  <mergeCells count="2">
    <mergeCell ref="E12:I13"/>
    <mergeCell ref="E15:I19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AD589-5C4D-4907-8628-5FA8FA5E9E0E}">
  <sheetPr>
    <tabColor theme="4" tint="0.39997558519241921"/>
  </sheetPr>
  <dimension ref="A1:L30"/>
  <sheetViews>
    <sheetView zoomScale="115" zoomScaleNormal="115" workbookViewId="0">
      <selection activeCell="D15" sqref="D15"/>
    </sheetView>
  </sheetViews>
  <sheetFormatPr defaultRowHeight="15"/>
  <cols>
    <col min="1" max="1" width="38.7109375" customWidth="1"/>
    <col min="2" max="2" width="13.140625" customWidth="1"/>
    <col min="3" max="3" width="15.7109375" customWidth="1"/>
    <col min="4" max="4" width="15.42578125" customWidth="1"/>
    <col min="5" max="5" width="20.42578125" customWidth="1"/>
    <col min="6" max="6" width="15.85546875" customWidth="1"/>
    <col min="7" max="7" width="12" customWidth="1"/>
    <col min="8" max="8" width="11" customWidth="1"/>
    <col min="9" max="9" width="12.5703125" customWidth="1"/>
  </cols>
  <sheetData>
    <row r="1" spans="1:10" s="3" customFormat="1" ht="15.75" thickBot="1">
      <c r="A1" s="12" t="s">
        <v>10</v>
      </c>
      <c r="B1" s="16" t="str">
        <f>Inschrijvers!A1</f>
        <v>Aanbesteding: ‘Levering (houtige) biomassa ten behoeve van de bio energiecentrale(s) Eindhoven’</v>
      </c>
      <c r="C1" s="18"/>
      <c r="D1" s="20"/>
      <c r="E1" s="20"/>
      <c r="F1"/>
      <c r="G1" s="20"/>
      <c r="H1" s="20"/>
      <c r="I1" s="13"/>
      <c r="J1" s="4"/>
    </row>
    <row r="2" spans="1:10" ht="26.25">
      <c r="A2" s="14" t="s">
        <v>11</v>
      </c>
      <c r="B2" s="17" t="s">
        <v>12</v>
      </c>
      <c r="C2" s="19" t="s">
        <v>13</v>
      </c>
      <c r="D2" s="19" t="s">
        <v>14</v>
      </c>
      <c r="E2" s="19" t="s">
        <v>15</v>
      </c>
      <c r="F2" s="19" t="s">
        <v>16</v>
      </c>
      <c r="G2" s="19" t="s">
        <v>17</v>
      </c>
      <c r="H2" s="82" t="s">
        <v>18</v>
      </c>
      <c r="I2" s="83" t="s">
        <v>19</v>
      </c>
    </row>
    <row r="3" spans="1:10">
      <c r="A3" s="15" t="str">
        <f>Inschrijvers!B6</f>
        <v>[ondernemer 4]</v>
      </c>
      <c r="B3" s="67">
        <v>2000</v>
      </c>
      <c r="C3" s="68">
        <v>1250</v>
      </c>
      <c r="D3" s="69">
        <v>53</v>
      </c>
      <c r="E3" s="41">
        <f>MIN((Tabel134[[#This Row],[Leverprognose 
(voor 1 jaar)]]-OndergrensBandbreedteLeverprognose)/(BovengrensBandbreedteLeverprognose-OndergrensBandbreedteLeverprognose)*MaximaleScoreLeverprognose,MaximaleScoreLeverprognose)</f>
        <v>20</v>
      </c>
      <c r="F3" s="21">
        <f>(MIN((MIN(Tabel134[[#This Row],[Kwartaal 
tonnage ]],(Tabel134[[#This Row],[Leverprognose 
(voor 1 jaar)]]/2)))/BovengrensBandbreedteKwartaalTonnage,1)*MaximaleScoreKwartaalTonnage)</f>
        <v>50</v>
      </c>
      <c r="G3" s="21">
        <f>(HoogsteTonnagePrijsInschrijvers-Tabel134[[#This Row],[Prijs per kwartaal
(per ton, excl. btw)]])*MaximaleScorePrijs/(HoogsteTonnagePrijsInschrijvers-LaagsteTonnagePrijsInschrijvers)</f>
        <v>28.2</v>
      </c>
      <c r="H3" s="21">
        <f>ROUND(Tabel134[[#This Row],[Score
Kwartaal tonnage]]+Tabel134[[#This Row],[Score Prijs
(kwartaal tarief)]]+E3,1)</f>
        <v>98.2</v>
      </c>
      <c r="I3" s="68" t="s">
        <v>20</v>
      </c>
    </row>
    <row r="4" spans="1:10">
      <c r="A4" s="15" t="str">
        <f>Inschrijvers!B7</f>
        <v>[ondernemer 5]</v>
      </c>
      <c r="B4" s="67">
        <v>1500</v>
      </c>
      <c r="C4" s="68">
        <v>750</v>
      </c>
      <c r="D4" s="69">
        <v>96</v>
      </c>
      <c r="E4" s="21">
        <f>MIN((Tabel134[[#This Row],[Leverprognose 
(voor 1 jaar)]]-OndergrensBandbreedteLeverprognose)/(BovengrensBandbreedteLeverprognose-OndergrensBandbreedteLeverprognose)*MaximaleScoreLeverprognose,MaximaleScoreLeverprognose)</f>
        <v>20</v>
      </c>
      <c r="F4" s="21">
        <f>(MIN((MIN(Tabel134[[#This Row],[Kwartaal 
tonnage ]],(Tabel134[[#This Row],[Leverprognose 
(voor 1 jaar)]]/2)))/BovengrensBandbreedteKwartaalTonnage,1)*MaximaleScoreKwartaalTonnage)</f>
        <v>50</v>
      </c>
      <c r="G4" s="21">
        <f>(HoogsteTonnagePrijsInschrijvers-Tabel134[[#This Row],[Prijs per kwartaal
(per ton, excl. btw)]])*MaximaleScorePrijs/(HoogsteTonnagePrijsInschrijvers-LaagsteTonnagePrijsInschrijvers)</f>
        <v>2.4</v>
      </c>
      <c r="H4" s="21">
        <f>ROUND(Tabel134[[#This Row],[Score
Kwartaal tonnage]]+Tabel134[[#This Row],[Score Prijs
(kwartaal tarief)]]+E4,1)</f>
        <v>72.400000000000006</v>
      </c>
      <c r="I4" s="68" t="s">
        <v>21</v>
      </c>
    </row>
    <row r="5" spans="1:10">
      <c r="A5" s="15" t="str">
        <f>Inschrijvers!B4</f>
        <v>[ondernemer 2]</v>
      </c>
      <c r="B5" s="67">
        <v>750</v>
      </c>
      <c r="C5" s="68">
        <v>400</v>
      </c>
      <c r="D5" s="69">
        <v>50</v>
      </c>
      <c r="E5" s="21">
        <f>MIN((Tabel134[[#This Row],[Leverprognose 
(voor 1 jaar)]]-OndergrensBandbreedteLeverprognose)/(BovengrensBandbreedteLeverprognose-OndergrensBandbreedteLeverprognose)*MaximaleScoreLeverprognose,MaximaleScoreLeverprognose)</f>
        <v>5</v>
      </c>
      <c r="F5" s="21">
        <f>(MIN((MIN(Tabel134[[#This Row],[Kwartaal 
tonnage ]],(Tabel134[[#This Row],[Leverprognose 
(voor 1 jaar)]]/2)))/BovengrensBandbreedteKwartaalTonnage,1)*MaximaleScoreKwartaalTonnage)</f>
        <v>25</v>
      </c>
      <c r="G5" s="42">
        <f>(HoogsteTonnagePrijsInschrijvers-Tabel134[[#This Row],[Prijs per kwartaal
(per ton, excl. btw)]])*MaximaleScorePrijs/(HoogsteTonnagePrijsInschrijvers-LaagsteTonnagePrijsInschrijvers)</f>
        <v>30</v>
      </c>
      <c r="H5" s="21">
        <f>ROUND(Tabel134[[#This Row],[Score
Kwartaal tonnage]]+Tabel134[[#This Row],[Score Prijs
(kwartaal tarief)]]+E5,1)</f>
        <v>60</v>
      </c>
      <c r="I5" s="68" t="s">
        <v>21</v>
      </c>
    </row>
    <row r="6" spans="1:10">
      <c r="A6" s="15" t="str">
        <f>Inschrijvers!B8</f>
        <v>[ondernemer 6]</v>
      </c>
      <c r="B6" s="67">
        <v>1200</v>
      </c>
      <c r="C6" s="68">
        <v>25</v>
      </c>
      <c r="D6" s="69">
        <v>50</v>
      </c>
      <c r="E6" s="21">
        <f>MIN((Tabel134[[#This Row],[Leverprognose 
(voor 1 jaar)]]-OndergrensBandbreedteLeverprognose)/(BovengrensBandbreedteLeverprognose-OndergrensBandbreedteLeverprognose)*MaximaleScoreLeverprognose,MaximaleScoreLeverprognose)</f>
        <v>14</v>
      </c>
      <c r="F6" s="21">
        <f>(MIN((MIN(Tabel134[[#This Row],[Kwartaal 
tonnage ]],(Tabel134[[#This Row],[Leverprognose 
(voor 1 jaar)]]/2)))/BovengrensBandbreedteKwartaalTonnage,1)*MaximaleScoreKwartaalTonnage)</f>
        <v>1.6666666666666667</v>
      </c>
      <c r="G6" s="21">
        <f>(HoogsteTonnagePrijsInschrijvers-Tabel134[[#This Row],[Prijs per kwartaal
(per ton, excl. btw)]])*MaximaleScorePrijs/(HoogsteTonnagePrijsInschrijvers-LaagsteTonnagePrijsInschrijvers)</f>
        <v>30</v>
      </c>
      <c r="H6" s="21">
        <f>ROUND(Tabel134[[#This Row],[Score
Kwartaal tonnage]]+Tabel134[[#This Row],[Score Prijs
(kwartaal tarief)]]+E6,1)</f>
        <v>45.7</v>
      </c>
      <c r="I6" s="68" t="s">
        <v>21</v>
      </c>
    </row>
    <row r="7" spans="1:10">
      <c r="A7" s="15" t="str">
        <f>Inschrijvers!B5</f>
        <v>[ondernemer 3]</v>
      </c>
      <c r="B7" s="67">
        <v>600</v>
      </c>
      <c r="C7" s="68">
        <v>200</v>
      </c>
      <c r="D7" s="69">
        <v>52.5</v>
      </c>
      <c r="E7" s="21">
        <f>MIN((Tabel134[[#This Row],[Leverprognose 
(voor 1 jaar)]]-OndergrensBandbreedteLeverprognose)/(BovengrensBandbreedteLeverprognose-OndergrensBandbreedteLeverprognose)*MaximaleScoreLeverprognose,MaximaleScoreLeverprognose)</f>
        <v>2</v>
      </c>
      <c r="F7" s="21">
        <f>(MIN((MIN(Tabel134[[#This Row],[Kwartaal 
tonnage ]],(Tabel134[[#This Row],[Leverprognose 
(voor 1 jaar)]]/2)))/BovengrensBandbreedteKwartaalTonnage,1)*MaximaleScoreKwartaalTonnage)</f>
        <v>13.333333333333334</v>
      </c>
      <c r="G7" s="21">
        <f>(HoogsteTonnagePrijsInschrijvers-Tabel134[[#This Row],[Prijs per kwartaal
(per ton, excl. btw)]])*MaximaleScorePrijs/(HoogsteTonnagePrijsInschrijvers-LaagsteTonnagePrijsInschrijvers)</f>
        <v>28.5</v>
      </c>
      <c r="H7" s="21">
        <f>ROUND(Tabel134[[#This Row],[Score
Kwartaal tonnage]]+Tabel134[[#This Row],[Score Prijs
(kwartaal tarief)]]+E7,1)</f>
        <v>43.8</v>
      </c>
      <c r="I7" s="68" t="s">
        <v>21</v>
      </c>
    </row>
    <row r="8" spans="1:10">
      <c r="A8" s="15" t="str">
        <f>Inschrijvers!B3</f>
        <v>[ondernemer 1]</v>
      </c>
      <c r="B8" s="67">
        <v>500</v>
      </c>
      <c r="C8" s="68">
        <v>125</v>
      </c>
      <c r="D8" s="69">
        <v>57.5</v>
      </c>
      <c r="E8" s="52">
        <f>MIN((Tabel134[[#This Row],[Leverprognose 
(voor 1 jaar)]]-OndergrensBandbreedteLeverprognose)/(BovengrensBandbreedteLeverprognose-OndergrensBandbreedteLeverprognose)*MaximaleScoreLeverprognose,MaximaleScoreLeverprognose)</f>
        <v>0</v>
      </c>
      <c r="F8" s="21">
        <f>(MIN((MIN(Tabel134[[#This Row],[Kwartaal 
tonnage ]],(Tabel134[[#This Row],[Leverprognose 
(voor 1 jaar)]]/2)))/BovengrensBandbreedteKwartaalTonnage,1)*MaximaleScoreKwartaalTonnage)</f>
        <v>8.3333333333333321</v>
      </c>
      <c r="G8" s="21">
        <f>(HoogsteTonnagePrijsInschrijvers-Tabel134[[#This Row],[Prijs per kwartaal
(per ton, excl. btw)]])*MaximaleScorePrijs/(HoogsteTonnagePrijsInschrijvers-LaagsteTonnagePrijsInschrijvers)</f>
        <v>25.5</v>
      </c>
      <c r="H8" s="21">
        <f>ROUND(Tabel134[[#This Row],[Score
Kwartaal tonnage]]+Tabel134[[#This Row],[Score Prijs
(kwartaal tarief)]],1)</f>
        <v>33.799999999999997</v>
      </c>
      <c r="I8" s="68" t="s">
        <v>21</v>
      </c>
    </row>
    <row r="9" spans="1:10">
      <c r="A9" s="15" t="str">
        <f>Inschrijvers!B9</f>
        <v>[ondernemer 7]</v>
      </c>
      <c r="B9" s="67">
        <v>600</v>
      </c>
      <c r="C9" s="68">
        <v>0</v>
      </c>
      <c r="D9" s="69">
        <v>100</v>
      </c>
      <c r="E9" s="21">
        <f>MIN((Tabel134[[#This Row],[Leverprognose 
(voor 1 jaar)]]-OndergrensBandbreedteLeverprognose)/(BovengrensBandbreedteLeverprognose-OndergrensBandbreedteLeverprognose)*MaximaleScoreLeverprognose,MaximaleScoreLeverprognose)</f>
        <v>2</v>
      </c>
      <c r="F9" s="21">
        <f>(MIN((MIN(Tabel134[[#This Row],[Kwartaal 
tonnage ]],(Tabel134[[#This Row],[Leverprognose 
(voor 1 jaar)]]/2)))/BovengrensBandbreedteKwartaalTonnage,1)*MaximaleScoreKwartaalTonnage)</f>
        <v>0</v>
      </c>
      <c r="G9" s="21">
        <f>(HoogsteTonnagePrijsInschrijvers-Tabel134[[#This Row],[Prijs per kwartaal
(per ton, excl. btw)]])*MaximaleScorePrijs/(HoogsteTonnagePrijsInschrijvers-LaagsteTonnagePrijsInschrijvers)</f>
        <v>0</v>
      </c>
      <c r="H9" s="21">
        <f>ROUND(Tabel134[[#This Row],[Score
Kwartaal tonnage]]+Tabel134[[#This Row],[Score Prijs
(kwartaal tarief)]]+E9,1)</f>
        <v>2</v>
      </c>
      <c r="I9" s="68" t="s">
        <v>21</v>
      </c>
    </row>
    <row r="10" spans="1:10">
      <c r="A10" s="15" t="s">
        <v>22</v>
      </c>
      <c r="B10" s="38" t="str">
        <f>"Totaal "&amp;(SUBTOTAL(109,Tabel134[Leverprognose 
(voor 1 jaar)])) &amp;" ton"</f>
        <v>Totaal 7150 ton</v>
      </c>
      <c r="C10" s="37" t="str">
        <f>"Totaal "&amp;(SUBTOTAL(109,Tabel134[Kwartaal 
tonnage ])) &amp;" ton"</f>
        <v>Totaal 2750 ton</v>
      </c>
      <c r="D10" s="39" t="str">
        <f>"gem. "&amp;ROUND(SUBTOTAL(101,Tabel134[Prijs per kwartaal
(per ton, excl. btw)]),1)</f>
        <v>gem. 65,6</v>
      </c>
      <c r="E10" s="40">
        <f>SUBTOTAL(101,Tabel134[Score 
leverprognose])</f>
        <v>9</v>
      </c>
      <c r="F10" s="37" t="str">
        <f>"gem. "&amp;ROUND(SUBTOTAL(101,Tabel134[Score
Kwartaal tonnage]),1)</f>
        <v>gem. 21,2</v>
      </c>
      <c r="G10" s="40" t="str">
        <f>"gem. "&amp;ROUND(SUBTOTAL(101,Tabel134[Score Prijs
(kwartaal tarief)]),1)</f>
        <v>gem. 20,7</v>
      </c>
      <c r="H10" s="40" t="str">
        <f>"gem. "&amp;ROUND(SUBTOTAL(101,Tabel134[Totale Score
(rangorde)]),1)</f>
        <v>gem. 50,8</v>
      </c>
      <c r="I10" s="37" t="str">
        <f>"Totaal "&amp;(SUMIF(Tabel134[Gekozen
(ja/nee)],"Ja",Tabel134[Kwartaal 
tonnage ]))&amp;" ton"</f>
        <v>Totaal 1250 ton</v>
      </c>
    </row>
    <row r="11" spans="1:10" ht="15.75" thickBot="1">
      <c r="A11" s="22"/>
      <c r="B11" s="22"/>
      <c r="C11" s="22"/>
      <c r="D11" s="23"/>
      <c r="E11" s="24"/>
      <c r="F11" s="22"/>
      <c r="G11" s="24"/>
      <c r="H11" s="24"/>
      <c r="I11" s="22"/>
    </row>
    <row r="12" spans="1:10">
      <c r="A12" s="33"/>
      <c r="B12" s="34"/>
      <c r="C12" s="25" t="s">
        <v>23</v>
      </c>
      <c r="E12" s="55" t="s">
        <v>34</v>
      </c>
      <c r="F12" s="56"/>
      <c r="G12" s="56"/>
      <c r="H12" s="56"/>
      <c r="I12" s="57"/>
    </row>
    <row r="13" spans="1:10" ht="15.75" thickBot="1">
      <c r="A13" s="26" t="s">
        <v>25</v>
      </c>
      <c r="B13" s="27">
        <v>1500</v>
      </c>
      <c r="C13" s="32"/>
      <c r="E13" s="58"/>
      <c r="F13" s="59"/>
      <c r="G13" s="59"/>
      <c r="H13" s="59"/>
      <c r="I13" s="60"/>
    </row>
    <row r="14" spans="1:10" ht="15.75" thickBot="1">
      <c r="A14" s="26" t="s">
        <v>26</v>
      </c>
      <c r="B14" s="27">
        <v>20</v>
      </c>
      <c r="C14" s="32"/>
    </row>
    <row r="15" spans="1:10" ht="15" customHeight="1">
      <c r="A15" s="26" t="s">
        <v>33</v>
      </c>
      <c r="B15" s="27">
        <v>500</v>
      </c>
      <c r="C15" s="32"/>
      <c r="E15" s="70" t="s">
        <v>35</v>
      </c>
      <c r="F15" s="71"/>
      <c r="G15" s="71"/>
      <c r="H15" s="71"/>
      <c r="I15" s="72"/>
    </row>
    <row r="16" spans="1:10" ht="15" customHeight="1">
      <c r="A16" s="35"/>
      <c r="B16" s="36"/>
      <c r="C16" s="32"/>
      <c r="E16" s="73"/>
      <c r="F16" s="74"/>
      <c r="G16" s="74"/>
      <c r="H16" s="74"/>
      <c r="I16" s="75"/>
    </row>
    <row r="17" spans="1:12">
      <c r="A17" s="26" t="s">
        <v>27</v>
      </c>
      <c r="B17" s="27">
        <v>750</v>
      </c>
      <c r="C17" s="32"/>
      <c r="E17" s="73"/>
      <c r="F17" s="76"/>
      <c r="G17" s="76"/>
      <c r="H17" s="76"/>
      <c r="I17" s="75"/>
    </row>
    <row r="18" spans="1:12">
      <c r="A18" s="26" t="s">
        <v>28</v>
      </c>
      <c r="B18" s="27">
        <v>50</v>
      </c>
      <c r="C18" s="32"/>
      <c r="E18" s="73"/>
      <c r="F18" s="76"/>
      <c r="G18" s="76"/>
      <c r="H18" s="76"/>
      <c r="I18" s="75"/>
    </row>
    <row r="19" spans="1:12" ht="15.75" thickBot="1">
      <c r="A19" s="35"/>
      <c r="B19" s="36"/>
      <c r="C19" s="32"/>
      <c r="E19" s="77"/>
      <c r="F19" s="78"/>
      <c r="G19" s="78"/>
      <c r="H19" s="78"/>
      <c r="I19" s="79"/>
    </row>
    <row r="20" spans="1:12">
      <c r="A20" s="26" t="s">
        <v>29</v>
      </c>
      <c r="B20" s="28">
        <f>MIN(D3:D9)</f>
        <v>50</v>
      </c>
      <c r="C20" s="32"/>
      <c r="D20" s="1"/>
      <c r="E20" s="1"/>
    </row>
    <row r="21" spans="1:12">
      <c r="A21" s="26" t="s">
        <v>30</v>
      </c>
      <c r="B21" s="28">
        <f>MAX(D3:D9)</f>
        <v>100</v>
      </c>
      <c r="C21" s="32"/>
      <c r="D21" s="1"/>
      <c r="E21" s="1"/>
    </row>
    <row r="22" spans="1:12">
      <c r="A22" s="26" t="s">
        <v>31</v>
      </c>
      <c r="B22" s="27">
        <v>30</v>
      </c>
      <c r="C22" s="32"/>
    </row>
    <row r="23" spans="1:12">
      <c r="A23" s="35"/>
      <c r="B23" s="36"/>
      <c r="C23" s="32"/>
    </row>
    <row r="24" spans="1:12" ht="15.75" thickBot="1">
      <c r="A24" s="29" t="s">
        <v>32</v>
      </c>
      <c r="B24" s="30"/>
      <c r="C24" s="31">
        <f>B14+B18+B22</f>
        <v>100</v>
      </c>
    </row>
    <row r="25" spans="1:12">
      <c r="A25" s="2"/>
      <c r="B25" s="2"/>
      <c r="L25" s="43"/>
    </row>
    <row r="26" spans="1:12">
      <c r="A26" s="44"/>
      <c r="B26" s="44"/>
      <c r="C26" s="44"/>
      <c r="D26" s="44"/>
      <c r="E26" s="44"/>
      <c r="F26" s="44"/>
      <c r="L26" s="43"/>
    </row>
    <row r="27" spans="1:12">
      <c r="A27" s="44"/>
      <c r="B27" s="44"/>
      <c r="C27" s="44"/>
      <c r="D27" s="44"/>
      <c r="E27" s="44"/>
      <c r="F27" s="44"/>
    </row>
    <row r="28" spans="1:12">
      <c r="A28" s="44"/>
      <c r="B28" s="44"/>
      <c r="C28" s="45"/>
      <c r="D28" s="45"/>
      <c r="E28" s="45"/>
      <c r="F28" s="45"/>
    </row>
    <row r="29" spans="1:12">
      <c r="A29" s="44"/>
      <c r="B29" s="44"/>
      <c r="C29" s="45"/>
      <c r="D29" s="45"/>
      <c r="E29" s="45"/>
      <c r="F29" s="45"/>
    </row>
    <row r="30" spans="1:12">
      <c r="A30" s="44"/>
      <c r="B30" s="44"/>
      <c r="C30" s="45"/>
      <c r="D30" s="45"/>
      <c r="E30" s="45"/>
      <c r="F30" s="45"/>
    </row>
  </sheetData>
  <sheetProtection algorithmName="SHA-512" hashValue="TpHuEjn0We2WHmEaybJCWKkdpZ2coXumBm+81vxpecwYJ98qkw0/Es0xbZyEIKaISbC83+9paYUg/syQhCNUUA==" saltValue="Ji9YXrs2fYqgsbXIZl/IGQ==" spinCount="100000" sheet="1" objects="1" scenarios="1"/>
  <mergeCells count="2">
    <mergeCell ref="E12:I13"/>
    <mergeCell ref="E15:I19"/>
  </mergeCell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16</vt:i4>
      </vt:variant>
    </vt:vector>
  </HeadingPairs>
  <TitlesOfParts>
    <vt:vector size="19" baseType="lpstr">
      <vt:lpstr>Inschrijvers</vt:lpstr>
      <vt:lpstr>Beoordeling BEC Meerhoven</vt:lpstr>
      <vt:lpstr>Beoordeling BEC ir. Ottenbad</vt:lpstr>
      <vt:lpstr>'Beoordeling BEC ir. Ottenbad'!BovengrensBandbreedteKwartaalTonnage</vt:lpstr>
      <vt:lpstr>BovengrensBandbreedteKwartaalTonnage</vt:lpstr>
      <vt:lpstr>'Beoordeling BEC ir. Ottenbad'!BovengrensBandbreedteLeverprognose</vt:lpstr>
      <vt:lpstr>BovengrensBandbreedteLeverprognose</vt:lpstr>
      <vt:lpstr>'Beoordeling BEC ir. Ottenbad'!HoogsteTonnagePrijsInschrijvers</vt:lpstr>
      <vt:lpstr>HoogsteTonnagePrijsInschrijvers</vt:lpstr>
      <vt:lpstr>'Beoordeling BEC ir. Ottenbad'!LaagsteTonnagePrijsInschrijvers</vt:lpstr>
      <vt:lpstr>LaagsteTonnagePrijsInschrijvers</vt:lpstr>
      <vt:lpstr>'Beoordeling BEC ir. Ottenbad'!MaximaleScoreKwartaalTonnage</vt:lpstr>
      <vt:lpstr>MaximaleScoreKwartaalTonnage</vt:lpstr>
      <vt:lpstr>'Beoordeling BEC ir. Ottenbad'!MaximaleScoreLeverprognose</vt:lpstr>
      <vt:lpstr>MaximaleScoreLeverprognose</vt:lpstr>
      <vt:lpstr>'Beoordeling BEC ir. Ottenbad'!MaximaleScorePrijs</vt:lpstr>
      <vt:lpstr>MaximaleScorePrijs</vt:lpstr>
      <vt:lpstr>'Beoordeling BEC ir. Ottenbad'!OndergrensBandbreedteLeverprognose</vt:lpstr>
      <vt:lpstr>OndergrensBandbreedteLeverprognose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Barry Verbeek</dc:creator>
  <cp:keywords/>
  <dc:description/>
  <cp:lastModifiedBy>Barry Verbeek</cp:lastModifiedBy>
  <cp:revision/>
  <dcterms:created xsi:type="dcterms:W3CDTF">2022-08-30T14:45:27Z</dcterms:created>
  <dcterms:modified xsi:type="dcterms:W3CDTF">2022-10-14T09:25:33Z</dcterms:modified>
  <cp:category/>
  <cp:contentStatus/>
</cp:coreProperties>
</file>