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fileSharing readOnlyRecommended="1"/>
  <workbookPr/>
  <mc:AlternateContent xmlns:mc="http://schemas.openxmlformats.org/markup-compatibility/2006">
    <mc:Choice Requires="x15">
      <x15ac:absPath xmlns:x15ac="http://schemas.microsoft.com/office/spreadsheetml/2010/11/ac" url="Y:\Inkoopprojecten\Infra &amp; Facilitair\2022-42a Schoonmaak Veren (heraanbesteding)\10. Productie aanbestedingsleidraad en bijlagen\"/>
    </mc:Choice>
  </mc:AlternateContent>
  <xr:revisionPtr revIDLastSave="0" documentId="8_{EF774521-2324-4C55-AA68-53D2E6295D4A}" xr6:coauthVersionLast="45" xr6:coauthVersionMax="45" xr10:uidLastSave="{00000000-0000-0000-0000-000000000000}"/>
  <bookViews>
    <workbookView xWindow="-120" yWindow="-120" windowWidth="29040" windowHeight="15840" tabRatio="927" activeTab="1" xr2:uid="{00000000-000D-0000-FFFF-FFFF00000000}"/>
  </bookViews>
  <sheets>
    <sheet name="Info blad" sheetId="11" r:id="rId1"/>
    <sheet name="1-Contractblad totaal" sheetId="32" r:id="rId2"/>
    <sheet name="2-Kosten per type werkzaamheden" sheetId="37" r:id="rId3"/>
    <sheet name="3-Productie normen" sheetId="28" r:id="rId4"/>
    <sheet name="4-Basis ruimtestaat Kantoren" sheetId="2" r:id="rId5"/>
    <sheet name="4b- Kantoren extra werk" sheetId="42" r:id="rId6"/>
    <sheet name="4c- Noordzeekanaal" sheetId="40" r:id="rId7"/>
    <sheet name="4d-IJ Veren" sheetId="39" r:id="rId8"/>
    <sheet name="4e-IJ aanlegpunten" sheetId="44" r:id="rId9"/>
    <sheet name="4f-Specialistische werkz." sheetId="31" r:id="rId10"/>
    <sheet name="4g-Evenementen Schoonmaak" sheetId="45" r:id="rId11"/>
    <sheet name="5-Premies en opslagen" sheetId="17" r:id="rId12"/>
    <sheet name="6a-Opbouw uurtarief productie" sheetId="18" r:id="rId13"/>
    <sheet name="6b-Opbouw uurtarief specialist" sheetId="47" r:id="rId14"/>
    <sheet name="7-Opbouw uurtarief toezicht" sheetId="38" r:id="rId15"/>
    <sheet name="8-Afroepprijs" sheetId="5" r:id="rId16"/>
    <sheet name="9-Glasbewassing" sheetId="35" r:id="rId17"/>
    <sheet name="10-Machinekosten" sheetId="34" r:id="rId18"/>
    <sheet name="11-Sanitaire artikelen" sheetId="36" r:id="rId19"/>
    <sheet name="12-Afval en logistiek" sheetId="46"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_1F" hidden="1">[1]Psychiatrie!#REF!</definedName>
    <definedName name="__2_0_F" hidden="1">[1]Psychiatrie!#REF!</definedName>
    <definedName name="_1_________F" hidden="1">[1]Psychiatrie!#REF!</definedName>
    <definedName name="_1F" localSheetId="19"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7" hidden="1">'[2]#REF'!#REF!</definedName>
    <definedName name="_Fill" localSheetId="18" hidden="1">'[2]#REF'!#REF!</definedName>
    <definedName name="_Fill" localSheetId="19" hidden="1">'[3]#REF'!#REF!</definedName>
    <definedName name="_Fill" localSheetId="1" hidden="1">'[2]#REF'!#REF!</definedName>
    <definedName name="_Fill" localSheetId="2" hidden="1">'[3]#REF'!#REF!</definedName>
    <definedName name="_Fill" localSheetId="16" hidden="1">'[4]#REF'!#REF!</definedName>
    <definedName name="_Fill" localSheetId="0" hidden="1">'[3]#REF'!#REF!</definedName>
    <definedName name="_Fill" hidden="1">'[3]#REF'!#REF!</definedName>
    <definedName name="_filll" hidden="1">'[5]#REF'!#REF!</definedName>
    <definedName name="_xlnm._FilterDatabase" localSheetId="19" hidden="1">'12-Afval en logistiek'!#REF!</definedName>
    <definedName name="_xlnm._FilterDatabase" localSheetId="2" hidden="1">'2-Kosten per type werkzaamheden'!$A$11:$D$13</definedName>
    <definedName name="_xlnm._FilterDatabase" localSheetId="4" hidden="1">'4-Basis ruimtestaat Kantoren'!$B$9:$AC$95</definedName>
    <definedName name="_xlnm._FilterDatabase" localSheetId="8" hidden="1">'4e-IJ aanlegpunten'!$A$12:$L$40</definedName>
    <definedName name="_xlnm._FilterDatabase" localSheetId="16" hidden="1">'9-Glasbewassing'!$A$12:$AC$17</definedName>
    <definedName name="_Key1" localSheetId="17" hidden="1">'[2]#REF'!#REF!</definedName>
    <definedName name="_Key1" localSheetId="18" hidden="1">'[2]#REF'!#REF!</definedName>
    <definedName name="_Key1" localSheetId="19" hidden="1">'[3]#REF'!#REF!</definedName>
    <definedName name="_Key1" localSheetId="1" hidden="1">'[2]#REF'!#REF!</definedName>
    <definedName name="_Key1" localSheetId="2" hidden="1">'[3]#REF'!#REF!</definedName>
    <definedName name="_Key1" localSheetId="16" hidden="1">'[4]#REF'!#REF!</definedName>
    <definedName name="_Key1" localSheetId="0" hidden="1">'[3]#REF'!#REF!</definedName>
    <definedName name="_Key1" hidden="1">'[3]#REF'!#REF!</definedName>
    <definedName name="_Key2" localSheetId="18" hidden="1">#REF!</definedName>
    <definedName name="_Key2" localSheetId="19" hidden="1">#REF!</definedName>
    <definedName name="_Key2" localSheetId="2" hidden="1">#REF!</definedName>
    <definedName name="_Key2" hidden="1">#REF!</definedName>
    <definedName name="_Order1" hidden="1">255</definedName>
    <definedName name="_Order2" hidden="1">255</definedName>
    <definedName name="_Sort" localSheetId="18" hidden="1">#REF!</definedName>
    <definedName name="_Sort" localSheetId="19"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8">'11-Sanitaire artikelen'!$A$3:$F$17</definedName>
    <definedName name="_xlnm.Print_Area" localSheetId="19">'12-Afval en logistiek'!$A$3:$G$9</definedName>
    <definedName name="_xlnm.Print_Area" localSheetId="1">'1-Contractblad totaal'!$A$1:$H$62</definedName>
    <definedName name="_xlnm.Print_Area" localSheetId="2">'2-Kosten per type werkzaamheden'!$A$3:$F$12</definedName>
    <definedName name="_xlnm.Print_Area" localSheetId="4">'4-Basis ruimtestaat Kantoren'!$B$3:$AC$95</definedName>
    <definedName name="_xlnm.Print_Area" localSheetId="11">'5-Premies en opslagen'!$A$3:$E$53</definedName>
    <definedName name="_xlnm.Print_Area" localSheetId="12">'6a-Opbouw uurtarief productie'!$A$1:$R$61</definedName>
    <definedName name="_xlnm.Print_Area" localSheetId="13">'6b-Opbouw uurtarief specialist'!$A$1:$R$61</definedName>
    <definedName name="_xlnm.Print_Area" localSheetId="15">'8-Afroepprijs'!$A$3:$F$53</definedName>
    <definedName name="_xlnm.Print_Area" localSheetId="0">'Info blad'!$A$1:$F$20</definedName>
    <definedName name="_xlnm.Print_Titles" localSheetId="19">'12-Afval en logistiek'!#REF!</definedName>
    <definedName name="_xlnm.Print_Titles" localSheetId="2">'2-Kosten per type werkzaamheden'!$11:$11</definedName>
    <definedName name="_xlnm.Print_Titles" localSheetId="4">'4-Basis ruimtestaat Kantoren'!$9:$9</definedName>
    <definedName name="_xlnm.Print_Titles" localSheetId="12">'6a-Opbouw uurtarief productie'!$A:$C</definedName>
    <definedName name="_xlnm.Print_Titles" localSheetId="13">'6b-Opbouw uurtarief specialist'!$A:$C</definedName>
    <definedName name="_xlnm.Print_Titles" localSheetId="15">'8-Afroepprijs'!$6:$10</definedName>
    <definedName name="_xlnm.Print_Titles" localSheetId="16">'9-Glasbewassing'!$12:$12</definedName>
    <definedName name="berichtok" localSheetId="19">'12-Afval en logistiek'!berichtok</definedName>
    <definedName name="berichtok" localSheetId="2">'2-Kosten per type werkzaamheden'!berichtok</definedName>
    <definedName name="berichtok">'2-Kosten per type werkzaamheden'!berichtok</definedName>
    <definedName name="berichtoke" localSheetId="19">'12-Afval en logistiek'!berichtoke</definedName>
    <definedName name="berichtoke" localSheetId="2">'2-Kosten per type werkzaamheden'!berichtoke</definedName>
    <definedName name="berichtoke">'2-Kosten per type werkzaamheden'!berichtoke</definedName>
    <definedName name="berichtoke1" localSheetId="19">'12-Afval en logistiek'!berichtoke1</definedName>
    <definedName name="berichtoke1" localSheetId="2">'2-Kosten per type werkzaamheden'!berichtoke1</definedName>
    <definedName name="berichtoke1">'2-Kosten per type werkzaamheden'!berichtoke1</definedName>
    <definedName name="Berkt" localSheetId="19">'12-Afval en logistiek'!Berkt</definedName>
    <definedName name="Berkt" localSheetId="2">'2-Kosten per type werkzaamheden'!Berkt</definedName>
    <definedName name="Berkt">'2-Kosten per type werkzaamheden'!Berkt</definedName>
    <definedName name="dffdf" localSheetId="18" hidden="1">'[6]#REF'!#REF!</definedName>
    <definedName name="dffdf" hidden="1">'[6]#REF'!#REF!</definedName>
    <definedName name="einde" localSheetId="19">'12-Afval en logistiek'!einde</definedName>
    <definedName name="einde" localSheetId="2">'2-Kosten per type werkzaamheden'!einde</definedName>
    <definedName name="einde">'2-Kosten per type werkzaamheden'!einde</definedName>
    <definedName name="fghf" hidden="1">'[2]#REF'!#REF!</definedName>
    <definedName name="Gan_R" localSheetId="19">'12-Afval en logistiek'!Gan_R</definedName>
    <definedName name="Gan_R" localSheetId="2">'2-Kosten per type werkzaamheden'!Gan_R</definedName>
    <definedName name="Gan_R">'2-Kosten per type werkzaamheden'!Gan_R</definedName>
    <definedName name="gebouw" localSheetId="19">'12-Afval en logistiek'!$A:$A</definedName>
    <definedName name="gebouw" localSheetId="2">'2-Kosten per type werkzaamheden'!$A:$A</definedName>
    <definedName name="gebouw">'4-Basis ruimtestaat Kantoren'!$B:$B</definedName>
    <definedName name="glas" localSheetId="19">'12-Afval en logistiek'!glas</definedName>
    <definedName name="glas" localSheetId="2">'2-Kosten per type werkzaamheden'!glas</definedName>
    <definedName name="glas">'2-Kosten per type werkzaamheden'!glas</definedName>
    <definedName name="glassoort">'[7]10-Glasstaat'!$I$2:$J$14</definedName>
    <definedName name="Glassoort2">'[8]10-Glasstaat'!$I$2:$J$14</definedName>
    <definedName name="gs" hidden="1">'[6]#REF'!#REF!</definedName>
    <definedName name="han" localSheetId="17" hidden="1">'[2]#REF'!#REF!</definedName>
    <definedName name="han" localSheetId="18" hidden="1">'[2]#REF'!#REF!</definedName>
    <definedName name="han" localSheetId="19" hidden="1">'[3]#REF'!#REF!</definedName>
    <definedName name="han" localSheetId="1" hidden="1">'[2]#REF'!#REF!</definedName>
    <definedName name="han" localSheetId="2" hidden="1">'[3]#REF'!#REF!</definedName>
    <definedName name="han" localSheetId="16" hidden="1">'[4]#REF'!#REF!</definedName>
    <definedName name="han" hidden="1">'[3]#REF'!#REF!</definedName>
    <definedName name="hjkjhkj">[9]Totaaloverzicht!$A$10:$L$37</definedName>
    <definedName name="HTML_CodePage" hidden="1">1252</definedName>
    <definedName name="HTML_Control" localSheetId="18" hidden="1">{"'ma_vr'!$A$1:$AA$42"}</definedName>
    <definedName name="HTML_Control" localSheetId="19" hidden="1">{"'ma_vr'!$A$1:$AA$42"}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'[2]#REF'!#REF!</definedName>
    <definedName name="Lijn">'[10]3-Basis ruimtestaat'!$C:$C</definedName>
    <definedName name="lll">'[12]3-Basis ruimtestaat'!$O:$O</definedName>
    <definedName name="mavr">'[13]3-Basis ruimtestaat'!$M:$M</definedName>
    <definedName name="Mutatiederdekwartaal" localSheetId="19" hidden="1">{"'ma_vr'!$A$1:$AA$42"}</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 Kantoren'!$R:$R</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0" i="39" l="1"/>
  <c r="I50" i="39" s="1"/>
  <c r="H49" i="39"/>
  <c r="I49" i="39" s="1"/>
  <c r="H48" i="39"/>
  <c r="I48" i="39" s="1"/>
  <c r="H47" i="39"/>
  <c r="I47" i="39" s="1"/>
  <c r="H46" i="39"/>
  <c r="I46" i="39" s="1"/>
  <c r="H44" i="39"/>
  <c r="I44" i="39" s="1"/>
  <c r="H43" i="39"/>
  <c r="I43" i="39" s="1"/>
  <c r="H42" i="39"/>
  <c r="I42" i="39" s="1"/>
  <c r="H41" i="39"/>
  <c r="I41" i="39" s="1"/>
  <c r="H40" i="39"/>
  <c r="I40" i="39" s="1"/>
  <c r="H38" i="39"/>
  <c r="I38" i="39" s="1"/>
  <c r="H37" i="39"/>
  <c r="I37" i="39" s="1"/>
  <c r="H36" i="39"/>
  <c r="I36" i="39" s="1"/>
  <c r="H35" i="39"/>
  <c r="I35" i="39" s="1"/>
  <c r="H34" i="39"/>
  <c r="N42" i="47"/>
  <c r="M42" i="47"/>
  <c r="L42" i="47"/>
  <c r="K42" i="47"/>
  <c r="J42" i="47"/>
  <c r="I42" i="47"/>
  <c r="N41" i="47"/>
  <c r="M41" i="47"/>
  <c r="L41" i="47"/>
  <c r="K41" i="47"/>
  <c r="J41" i="47"/>
  <c r="I41" i="47"/>
  <c r="N40" i="47"/>
  <c r="M40" i="47"/>
  <c r="L40" i="47"/>
  <c r="K40" i="47"/>
  <c r="J40" i="47"/>
  <c r="I40" i="47"/>
  <c r="N39" i="47"/>
  <c r="M39" i="47"/>
  <c r="L39" i="47"/>
  <c r="K39" i="47"/>
  <c r="J39" i="47"/>
  <c r="I39" i="47"/>
  <c r="N38" i="47"/>
  <c r="M38" i="47"/>
  <c r="L38" i="47"/>
  <c r="K38" i="47"/>
  <c r="J38" i="47"/>
  <c r="I38" i="47"/>
  <c r="N37" i="47"/>
  <c r="M37" i="47"/>
  <c r="L37" i="47"/>
  <c r="K37" i="47"/>
  <c r="J37" i="47"/>
  <c r="I37" i="47"/>
  <c r="N36" i="47"/>
  <c r="M36" i="47"/>
  <c r="L36" i="47"/>
  <c r="K36" i="47"/>
  <c r="J36" i="47"/>
  <c r="I36" i="47"/>
  <c r="N35" i="47"/>
  <c r="M35" i="47"/>
  <c r="L35" i="47"/>
  <c r="K35" i="47"/>
  <c r="J35" i="47"/>
  <c r="I35" i="47"/>
  <c r="N31" i="47"/>
  <c r="M31" i="47"/>
  <c r="L31" i="47"/>
  <c r="K31" i="47"/>
  <c r="J31" i="47"/>
  <c r="I31" i="47"/>
  <c r="B8" i="47"/>
  <c r="A8" i="47"/>
  <c r="B7" i="47"/>
  <c r="A7" i="47"/>
  <c r="B6" i="47"/>
  <c r="A6" i="47"/>
  <c r="B5" i="47"/>
  <c r="A5" i="47"/>
  <c r="B4" i="47"/>
  <c r="A4" i="47"/>
  <c r="B3" i="47"/>
  <c r="A3" i="47"/>
  <c r="H52" i="39" l="1"/>
  <c r="D23" i="37" s="1"/>
  <c r="I34" i="39"/>
  <c r="I52" i="39" s="1"/>
  <c r="E23" i="37" s="1"/>
  <c r="L43" i="47"/>
  <c r="M43" i="47"/>
  <c r="N43" i="47"/>
  <c r="J43" i="47"/>
  <c r="K43" i="47"/>
  <c r="I43" i="47"/>
  <c r="O31" i="47"/>
  <c r="E12" i="47" l="1"/>
  <c r="E15" i="47" s="1"/>
  <c r="H14" i="45"/>
  <c r="I14" i="45"/>
  <c r="H15" i="45"/>
  <c r="I15" i="45"/>
  <c r="H16" i="45"/>
  <c r="I16" i="45"/>
  <c r="H17" i="45"/>
  <c r="I17" i="45"/>
  <c r="H18" i="45"/>
  <c r="I18" i="45"/>
  <c r="I13" i="45"/>
  <c r="H13" i="45"/>
  <c r="I13" i="44"/>
  <c r="H13" i="44"/>
  <c r="H25" i="39"/>
  <c r="H13" i="39"/>
  <c r="H19" i="39"/>
  <c r="E17" i="47" l="1"/>
  <c r="E18" i="47"/>
  <c r="H20" i="45"/>
  <c r="I20" i="45"/>
  <c r="I13" i="40"/>
  <c r="H16" i="44"/>
  <c r="G20" i="31"/>
  <c r="G19" i="31"/>
  <c r="H29" i="39"/>
  <c r="H14" i="39"/>
  <c r="J14" i="40"/>
  <c r="I15" i="40"/>
  <c r="E19" i="47" l="1"/>
  <c r="E21" i="47" s="1"/>
  <c r="B35" i="37"/>
  <c r="E24" i="46" l="1"/>
  <c r="E25" i="46"/>
  <c r="E19" i="46"/>
  <c r="E18" i="46"/>
  <c r="E17" i="46"/>
  <c r="E16" i="46"/>
  <c r="E12" i="46"/>
  <c r="B8" i="46"/>
  <c r="A8" i="46"/>
  <c r="B7" i="46"/>
  <c r="A7" i="46"/>
  <c r="B6" i="46"/>
  <c r="A6" i="46"/>
  <c r="B5" i="46"/>
  <c r="A5" i="46"/>
  <c r="B4" i="46"/>
  <c r="A4" i="46"/>
  <c r="B3" i="46"/>
  <c r="A3" i="46"/>
  <c r="H23" i="39"/>
  <c r="H17" i="39"/>
  <c r="H15" i="39"/>
  <c r="F11" i="42"/>
  <c r="D12" i="42"/>
  <c r="E13" i="46" l="1"/>
  <c r="E26" i="46"/>
  <c r="E20" i="46"/>
  <c r="G13" i="31" l="1"/>
  <c r="I40" i="44"/>
  <c r="H40" i="44"/>
  <c r="I39" i="44"/>
  <c r="H39" i="44"/>
  <c r="F12" i="42"/>
  <c r="B3" i="44"/>
  <c r="G18" i="31"/>
  <c r="G16" i="31"/>
  <c r="G17" i="31"/>
  <c r="G15" i="31"/>
  <c r="G14" i="31"/>
  <c r="G22" i="31" l="1"/>
  <c r="F14" i="42"/>
  <c r="B8" i="45"/>
  <c r="A8" i="45"/>
  <c r="B7" i="45"/>
  <c r="A7" i="45"/>
  <c r="B6" i="45"/>
  <c r="A6" i="45"/>
  <c r="B5" i="45"/>
  <c r="A5" i="45"/>
  <c r="B4" i="45"/>
  <c r="A4" i="45"/>
  <c r="B3" i="45"/>
  <c r="A3" i="45"/>
  <c r="L13" i="34"/>
  <c r="K13" i="34"/>
  <c r="J13" i="34"/>
  <c r="I13" i="34"/>
  <c r="F13" i="34"/>
  <c r="L26" i="34"/>
  <c r="K26" i="34"/>
  <c r="J26" i="34"/>
  <c r="I26" i="34"/>
  <c r="F26" i="34"/>
  <c r="L24" i="34"/>
  <c r="K24" i="34"/>
  <c r="J24" i="34"/>
  <c r="I24" i="34"/>
  <c r="F24" i="34"/>
  <c r="L22" i="34"/>
  <c r="K22" i="34"/>
  <c r="J22" i="34"/>
  <c r="I22" i="34"/>
  <c r="F22" i="34"/>
  <c r="F27" i="40"/>
  <c r="F26" i="40"/>
  <c r="F25" i="40"/>
  <c r="B18" i="37" s="1"/>
  <c r="N22" i="34" l="1"/>
  <c r="Q22" i="34" s="1"/>
  <c r="N24" i="34"/>
  <c r="Q24" i="34" s="1"/>
  <c r="N13" i="34"/>
  <c r="Q13" i="34" s="1"/>
  <c r="N26" i="34"/>
  <c r="Q26" i="34" s="1"/>
  <c r="F29" i="40"/>
  <c r="B4" i="37" l="1"/>
  <c r="H38" i="44" l="1"/>
  <c r="I38" i="44"/>
  <c r="H37" i="44"/>
  <c r="I37" i="44"/>
  <c r="H36" i="44"/>
  <c r="I36" i="44"/>
  <c r="H35" i="44"/>
  <c r="I35" i="44"/>
  <c r="H34" i="44"/>
  <c r="I34" i="44"/>
  <c r="H33" i="44"/>
  <c r="I33" i="44"/>
  <c r="H32" i="44"/>
  <c r="I32" i="44"/>
  <c r="H31" i="44"/>
  <c r="I31" i="44"/>
  <c r="H30" i="44"/>
  <c r="I30" i="44"/>
  <c r="H29" i="44"/>
  <c r="I29" i="44"/>
  <c r="H28" i="44"/>
  <c r="I28" i="44"/>
  <c r="H27" i="44"/>
  <c r="I27" i="44"/>
  <c r="H26" i="44"/>
  <c r="I26" i="44"/>
  <c r="H25" i="44"/>
  <c r="I25" i="44"/>
  <c r="H24" i="44"/>
  <c r="I24" i="44"/>
  <c r="H23" i="44"/>
  <c r="I23" i="44"/>
  <c r="H22" i="44"/>
  <c r="I22" i="44"/>
  <c r="H21" i="44"/>
  <c r="I21" i="44"/>
  <c r="H20" i="44"/>
  <c r="I20" i="44"/>
  <c r="H19" i="44"/>
  <c r="I19" i="44"/>
  <c r="H18" i="44"/>
  <c r="I18" i="44"/>
  <c r="H17" i="44"/>
  <c r="I17" i="44"/>
  <c r="I16" i="44"/>
  <c r="H15" i="44"/>
  <c r="I15" i="44"/>
  <c r="H14" i="44"/>
  <c r="I14" i="44"/>
  <c r="B8" i="44"/>
  <c r="A8" i="44"/>
  <c r="B7" i="44"/>
  <c r="A7" i="44"/>
  <c r="B6" i="44"/>
  <c r="A6" i="44"/>
  <c r="B5" i="44"/>
  <c r="A5" i="44"/>
  <c r="B4" i="44"/>
  <c r="A4" i="44"/>
  <c r="A3" i="44"/>
  <c r="H16" i="39"/>
  <c r="H20" i="39"/>
  <c r="H21" i="39"/>
  <c r="H22" i="39"/>
  <c r="H26" i="39"/>
  <c r="H27" i="39"/>
  <c r="H28" i="39"/>
  <c r="J15" i="40"/>
  <c r="J13" i="40"/>
  <c r="H20" i="40"/>
  <c r="H21" i="40"/>
  <c r="H19" i="40"/>
  <c r="I14" i="40"/>
  <c r="B17" i="37" l="1"/>
  <c r="H31" i="39"/>
  <c r="B23" i="37"/>
  <c r="H42" i="44"/>
  <c r="I42" i="44"/>
  <c r="B31" i="37"/>
  <c r="B16" i="37"/>
  <c r="I16" i="40"/>
  <c r="H22" i="40"/>
  <c r="J16" i="40"/>
  <c r="L19" i="28"/>
  <c r="L13" i="28"/>
  <c r="L14" i="28"/>
  <c r="L15" i="28"/>
  <c r="L16" i="28"/>
  <c r="L17" i="28"/>
  <c r="L18" i="28"/>
  <c r="B8" i="42"/>
  <c r="A8" i="42"/>
  <c r="B7" i="42"/>
  <c r="A7" i="42"/>
  <c r="B6" i="42"/>
  <c r="A6" i="42"/>
  <c r="B5" i="42"/>
  <c r="A5" i="42"/>
  <c r="B4" i="42"/>
  <c r="A43" i="32" s="1"/>
  <c r="A4" i="42"/>
  <c r="B3" i="42"/>
  <c r="A3" i="42"/>
  <c r="B8" i="40"/>
  <c r="A8" i="40"/>
  <c r="B7" i="40"/>
  <c r="A7" i="40"/>
  <c r="B6" i="40"/>
  <c r="A6" i="40"/>
  <c r="B5" i="40"/>
  <c r="A5" i="40"/>
  <c r="B4" i="40"/>
  <c r="A4" i="40"/>
  <c r="B3" i="40"/>
  <c r="A3" i="40"/>
  <c r="B8" i="39"/>
  <c r="A8" i="39"/>
  <c r="B7" i="39"/>
  <c r="A7" i="39"/>
  <c r="B6" i="39"/>
  <c r="A6" i="39"/>
  <c r="B5" i="39"/>
  <c r="A5" i="39"/>
  <c r="B4" i="39"/>
  <c r="A29" i="32" s="1"/>
  <c r="A4" i="39"/>
  <c r="B3" i="39"/>
  <c r="A3" i="39"/>
  <c r="A6" i="28"/>
  <c r="A5" i="28"/>
  <c r="A3" i="28"/>
  <c r="B27" i="37" l="1"/>
  <c r="F19" i="37"/>
  <c r="A27" i="32"/>
  <c r="B19"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D19" i="37" l="1"/>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R33" i="2"/>
  <c r="R34" i="2"/>
  <c r="R35" i="2"/>
  <c r="R40" i="2"/>
  <c r="R43" i="2"/>
  <c r="R47" i="2"/>
  <c r="R53" i="2"/>
  <c r="R54" i="2"/>
  <c r="R58" i="2"/>
  <c r="R59" i="2"/>
  <c r="R60" i="2"/>
  <c r="R61" i="2"/>
  <c r="R62" i="2"/>
  <c r="R63" i="2"/>
  <c r="R64" i="2"/>
  <c r="R65" i="2"/>
  <c r="R66" i="2"/>
  <c r="R67" i="2"/>
  <c r="R68" i="2"/>
  <c r="R69" i="2"/>
  <c r="R70" i="2"/>
  <c r="R71" i="2"/>
  <c r="R72" i="2"/>
  <c r="R73" i="2"/>
  <c r="R74" i="2"/>
  <c r="R75" i="2"/>
  <c r="R76" i="2"/>
  <c r="R77" i="2"/>
  <c r="R78" i="2"/>
  <c r="R79" i="2"/>
  <c r="Y14" i="2" l="1"/>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45" i="2"/>
  <c r="Y46" i="2"/>
  <c r="Y47" i="2"/>
  <c r="Y48" i="2"/>
  <c r="Y49" i="2"/>
  <c r="Y50" i="2"/>
  <c r="Y51" i="2"/>
  <c r="Y52" i="2"/>
  <c r="Y53" i="2"/>
  <c r="Y54" i="2"/>
  <c r="Y55" i="2"/>
  <c r="Y56" i="2"/>
  <c r="Y57" i="2"/>
  <c r="Y58" i="2"/>
  <c r="Y59" i="2"/>
  <c r="Y60" i="2"/>
  <c r="Y61" i="2"/>
  <c r="Y62" i="2"/>
  <c r="Y63" i="2"/>
  <c r="Y64" i="2"/>
  <c r="Y65" i="2"/>
  <c r="Y66" i="2"/>
  <c r="Y67" i="2"/>
  <c r="Y68" i="2"/>
  <c r="Y69" i="2"/>
  <c r="Y70" i="2"/>
  <c r="Y71" i="2"/>
  <c r="Y72" i="2"/>
  <c r="Y73" i="2"/>
  <c r="Y74" i="2"/>
  <c r="Y75" i="2"/>
  <c r="Y76" i="2"/>
  <c r="Y77" i="2"/>
  <c r="Y78" i="2"/>
  <c r="Y79" i="2"/>
  <c r="Y80" i="2"/>
  <c r="Y81" i="2"/>
  <c r="Y82" i="2"/>
  <c r="Y83" i="2"/>
  <c r="Y84" i="2"/>
  <c r="Y85" i="2"/>
  <c r="Y86" i="2"/>
  <c r="Y87" i="2"/>
  <c r="Y88" i="2"/>
  <c r="Y89" i="2"/>
  <c r="Y90" i="2"/>
  <c r="Y91" i="2"/>
  <c r="Y92" i="2"/>
  <c r="Y93" i="2"/>
  <c r="Y94" i="2"/>
  <c r="Y95" i="2"/>
  <c r="Y8" i="2"/>
  <c r="C16" i="17" l="1"/>
  <c r="N43" i="18" l="1"/>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7" i="18"/>
  <c r="M37" i="18"/>
  <c r="L37" i="18"/>
  <c r="K37" i="18"/>
  <c r="J37" i="18"/>
  <c r="I37" i="18"/>
  <c r="N36" i="18"/>
  <c r="M36" i="18"/>
  <c r="L36" i="18"/>
  <c r="K36" i="18"/>
  <c r="J36" i="18"/>
  <c r="I36" i="18"/>
  <c r="N35" i="18"/>
  <c r="M35" i="18"/>
  <c r="L35" i="18"/>
  <c r="K35" i="18"/>
  <c r="J35" i="18"/>
  <c r="I35" i="18"/>
  <c r="N33" i="38"/>
  <c r="M33" i="38"/>
  <c r="L33" i="38"/>
  <c r="K33" i="38"/>
  <c r="J33" i="38"/>
  <c r="V15" i="2" l="1"/>
  <c r="R15" i="2" s="1"/>
  <c r="W15" i="2"/>
  <c r="V14" i="2"/>
  <c r="R14" i="2" s="1"/>
  <c r="V16" i="2"/>
  <c r="R16" i="2" s="1"/>
  <c r="V17" i="2"/>
  <c r="R17" i="2" s="1"/>
  <c r="V18" i="2"/>
  <c r="R18" i="2" s="1"/>
  <c r="V19" i="2"/>
  <c r="R19" i="2" s="1"/>
  <c r="V20" i="2"/>
  <c r="R20" i="2" s="1"/>
  <c r="V21" i="2"/>
  <c r="R21" i="2" s="1"/>
  <c r="V22" i="2"/>
  <c r="R22" i="2" s="1"/>
  <c r="V23" i="2"/>
  <c r="R23" i="2" s="1"/>
  <c r="V24" i="2"/>
  <c r="R24" i="2" s="1"/>
  <c r="V25" i="2"/>
  <c r="R25" i="2" s="1"/>
  <c r="V26" i="2"/>
  <c r="R26" i="2" s="1"/>
  <c r="V27" i="2"/>
  <c r="R27" i="2" s="1"/>
  <c r="V28" i="2"/>
  <c r="R28" i="2" s="1"/>
  <c r="V29" i="2"/>
  <c r="R29" i="2" s="1"/>
  <c r="V30" i="2"/>
  <c r="R30" i="2" s="1"/>
  <c r="V31" i="2"/>
  <c r="R31" i="2" s="1"/>
  <c r="V32" i="2"/>
  <c r="R32" i="2" s="1"/>
  <c r="V33" i="2"/>
  <c r="V34" i="2"/>
  <c r="V35" i="2"/>
  <c r="V36" i="2"/>
  <c r="R36" i="2" s="1"/>
  <c r="V37" i="2"/>
  <c r="R37" i="2" s="1"/>
  <c r="V38" i="2"/>
  <c r="R38" i="2" s="1"/>
  <c r="V39" i="2"/>
  <c r="R39" i="2" s="1"/>
  <c r="V40" i="2"/>
  <c r="V41" i="2"/>
  <c r="R41" i="2" s="1"/>
  <c r="V42" i="2"/>
  <c r="R42" i="2" s="1"/>
  <c r="V43" i="2"/>
  <c r="V44" i="2"/>
  <c r="R44" i="2" s="1"/>
  <c r="V45" i="2"/>
  <c r="R45" i="2" s="1"/>
  <c r="V46" i="2"/>
  <c r="R46" i="2" s="1"/>
  <c r="V47" i="2"/>
  <c r="V48" i="2"/>
  <c r="R48" i="2" s="1"/>
  <c r="V49" i="2"/>
  <c r="R49" i="2" s="1"/>
  <c r="V50" i="2"/>
  <c r="R50" i="2" s="1"/>
  <c r="V51" i="2"/>
  <c r="R51" i="2" s="1"/>
  <c r="V52" i="2"/>
  <c r="R52" i="2" s="1"/>
  <c r="V53" i="2"/>
  <c r="V54" i="2"/>
  <c r="V55" i="2"/>
  <c r="R55" i="2" s="1"/>
  <c r="V56" i="2"/>
  <c r="R56" i="2" s="1"/>
  <c r="V57" i="2"/>
  <c r="R57" i="2" s="1"/>
  <c r="V58" i="2"/>
  <c r="V59" i="2"/>
  <c r="V60" i="2"/>
  <c r="V61" i="2"/>
  <c r="V62" i="2"/>
  <c r="V63" i="2"/>
  <c r="V64" i="2"/>
  <c r="V65" i="2"/>
  <c r="V66" i="2"/>
  <c r="V67" i="2"/>
  <c r="V68" i="2"/>
  <c r="V69" i="2"/>
  <c r="V70" i="2"/>
  <c r="V71" i="2"/>
  <c r="V72" i="2"/>
  <c r="V73" i="2"/>
  <c r="V74" i="2"/>
  <c r="V75" i="2"/>
  <c r="V76" i="2"/>
  <c r="V77" i="2"/>
  <c r="V78" i="2"/>
  <c r="V79" i="2"/>
  <c r="V80" i="2"/>
  <c r="R80" i="2" s="1"/>
  <c r="V81" i="2"/>
  <c r="R81" i="2" s="1"/>
  <c r="V82" i="2"/>
  <c r="R82" i="2" s="1"/>
  <c r="V83" i="2"/>
  <c r="R83" i="2" s="1"/>
  <c r="V84" i="2"/>
  <c r="R84" i="2" s="1"/>
  <c r="V85" i="2"/>
  <c r="R85" i="2" s="1"/>
  <c r="V86" i="2"/>
  <c r="R86" i="2" s="1"/>
  <c r="V87" i="2"/>
  <c r="R87" i="2" s="1"/>
  <c r="V88" i="2"/>
  <c r="R88" i="2" s="1"/>
  <c r="V89" i="2"/>
  <c r="R89" i="2" s="1"/>
  <c r="V90" i="2"/>
  <c r="R90" i="2" s="1"/>
  <c r="V91" i="2"/>
  <c r="R91" i="2" s="1"/>
  <c r="V92" i="2"/>
  <c r="R92" i="2" s="1"/>
  <c r="V93" i="2"/>
  <c r="R93" i="2" s="1"/>
  <c r="V94" i="2"/>
  <c r="R94" i="2" s="1"/>
  <c r="V95" i="2"/>
  <c r="R95" i="2" s="1"/>
  <c r="V10" i="2"/>
  <c r="R10" i="2" s="1"/>
  <c r="J34" i="38"/>
  <c r="I34" i="38"/>
  <c r="M34" i="38"/>
  <c r="L34" i="38"/>
  <c r="I44" i="18"/>
  <c r="N44" i="18"/>
  <c r="M44" i="18"/>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10" i="2"/>
  <c r="L12" i="28"/>
  <c r="L20" i="28" s="1"/>
  <c r="N25" i="38"/>
  <c r="M25" i="38"/>
  <c r="L25" i="38"/>
  <c r="K25" i="38"/>
  <c r="J25" i="38"/>
  <c r="I25" i="38"/>
  <c r="B8" i="38"/>
  <c r="A8" i="38"/>
  <c r="B7" i="38"/>
  <c r="A7" i="38"/>
  <c r="B6" i="38"/>
  <c r="A6" i="38"/>
  <c r="B5" i="38"/>
  <c r="A5" i="38"/>
  <c r="B4" i="38"/>
  <c r="A4" i="38"/>
  <c r="B3" i="38"/>
  <c r="A3" i="38"/>
  <c r="G14" i="35"/>
  <c r="E14" i="35" s="1"/>
  <c r="H14" i="35" s="1"/>
  <c r="J14" i="35" s="1"/>
  <c r="G15" i="35"/>
  <c r="E15" i="35" s="1"/>
  <c r="H15" i="35" s="1"/>
  <c r="J15" i="35" s="1"/>
  <c r="G13" i="35"/>
  <c r="E13" i="35" s="1"/>
  <c r="H13" i="35" s="1"/>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8" i="2"/>
  <c r="W8" i="2"/>
  <c r="C7" i="2"/>
  <c r="C6" i="2"/>
  <c r="C5" i="2"/>
  <c r="C3" i="2"/>
  <c r="B4" i="2"/>
  <c r="B5" i="2"/>
  <c r="B6" i="2"/>
  <c r="B7" i="2"/>
  <c r="B3" i="2"/>
  <c r="AC95" i="2"/>
  <c r="W95" i="2"/>
  <c r="AC94" i="2"/>
  <c r="W94" i="2"/>
  <c r="AC93" i="2"/>
  <c r="W93" i="2"/>
  <c r="AC92" i="2"/>
  <c r="W92" i="2"/>
  <c r="AC91" i="2"/>
  <c r="W91" i="2"/>
  <c r="AC90" i="2"/>
  <c r="W90" i="2"/>
  <c r="AC89" i="2"/>
  <c r="W89" i="2"/>
  <c r="AC88" i="2"/>
  <c r="W88" i="2"/>
  <c r="AC87" i="2"/>
  <c r="W87" i="2"/>
  <c r="AC86" i="2"/>
  <c r="W86" i="2"/>
  <c r="AC85" i="2"/>
  <c r="W85" i="2"/>
  <c r="AC84" i="2"/>
  <c r="W84" i="2"/>
  <c r="AC83" i="2"/>
  <c r="W83" i="2"/>
  <c r="AC82" i="2"/>
  <c r="W82" i="2"/>
  <c r="AC81" i="2"/>
  <c r="W81" i="2"/>
  <c r="AC80" i="2"/>
  <c r="W80" i="2"/>
  <c r="AC79" i="2"/>
  <c r="W79" i="2"/>
  <c r="AC78" i="2"/>
  <c r="W78" i="2"/>
  <c r="AC77" i="2"/>
  <c r="W77" i="2"/>
  <c r="AC76" i="2"/>
  <c r="W76" i="2"/>
  <c r="AC75" i="2"/>
  <c r="W75" i="2"/>
  <c r="AC74" i="2"/>
  <c r="W74" i="2"/>
  <c r="AC73" i="2"/>
  <c r="W73" i="2"/>
  <c r="AC72" i="2"/>
  <c r="W72" i="2"/>
  <c r="AC71" i="2"/>
  <c r="W71" i="2"/>
  <c r="AC70" i="2"/>
  <c r="W70" i="2"/>
  <c r="AC69" i="2"/>
  <c r="W69" i="2"/>
  <c r="AC68" i="2"/>
  <c r="W68" i="2"/>
  <c r="AC67" i="2"/>
  <c r="W67" i="2"/>
  <c r="AC66" i="2"/>
  <c r="W66" i="2"/>
  <c r="AC65" i="2"/>
  <c r="W65" i="2"/>
  <c r="AC64" i="2"/>
  <c r="W64" i="2"/>
  <c r="AC63" i="2"/>
  <c r="W63" i="2"/>
  <c r="AC62" i="2"/>
  <c r="W62" i="2"/>
  <c r="AC61" i="2"/>
  <c r="W61" i="2"/>
  <c r="AC60" i="2"/>
  <c r="W60" i="2"/>
  <c r="AC59" i="2"/>
  <c r="W59" i="2"/>
  <c r="AC58" i="2"/>
  <c r="W58" i="2"/>
  <c r="AC57" i="2"/>
  <c r="W57" i="2"/>
  <c r="AC56" i="2"/>
  <c r="W56" i="2"/>
  <c r="AC55" i="2"/>
  <c r="W55" i="2"/>
  <c r="AC54" i="2"/>
  <c r="W54" i="2"/>
  <c r="AC53" i="2"/>
  <c r="W53" i="2"/>
  <c r="AC52" i="2"/>
  <c r="W52" i="2"/>
  <c r="AC51" i="2"/>
  <c r="W51" i="2"/>
  <c r="AC50" i="2"/>
  <c r="W50" i="2"/>
  <c r="AC49" i="2"/>
  <c r="W49" i="2"/>
  <c r="AC48" i="2"/>
  <c r="W48" i="2"/>
  <c r="AC47" i="2"/>
  <c r="W47" i="2"/>
  <c r="AC46" i="2"/>
  <c r="W46" i="2"/>
  <c r="AC45" i="2"/>
  <c r="W45" i="2"/>
  <c r="AC44" i="2"/>
  <c r="W44" i="2"/>
  <c r="AC43" i="2"/>
  <c r="W43" i="2"/>
  <c r="AC42" i="2"/>
  <c r="W42" i="2"/>
  <c r="AC41" i="2"/>
  <c r="W41" i="2"/>
  <c r="AC40" i="2"/>
  <c r="W40" i="2"/>
  <c r="AC39" i="2"/>
  <c r="W39" i="2"/>
  <c r="AC38" i="2"/>
  <c r="W38" i="2"/>
  <c r="AC37" i="2"/>
  <c r="W37" i="2"/>
  <c r="AC36" i="2"/>
  <c r="W36" i="2"/>
  <c r="AC35" i="2"/>
  <c r="W35" i="2"/>
  <c r="AC34" i="2"/>
  <c r="W34" i="2"/>
  <c r="AC33" i="2"/>
  <c r="W33" i="2"/>
  <c r="AC32" i="2"/>
  <c r="W32" i="2"/>
  <c r="AC31" i="2"/>
  <c r="W31" i="2"/>
  <c r="AC30" i="2"/>
  <c r="W30" i="2"/>
  <c r="AC29" i="2"/>
  <c r="W29" i="2"/>
  <c r="AC28" i="2"/>
  <c r="W28" i="2"/>
  <c r="AC27" i="2"/>
  <c r="W27" i="2"/>
  <c r="AC26" i="2"/>
  <c r="W26" i="2"/>
  <c r="AC25" i="2"/>
  <c r="W25" i="2"/>
  <c r="AC24" i="2"/>
  <c r="W24" i="2"/>
  <c r="AC23" i="2"/>
  <c r="W23" i="2"/>
  <c r="AC22" i="2"/>
  <c r="W22" i="2"/>
  <c r="AC21" i="2"/>
  <c r="W21" i="2"/>
  <c r="AC20" i="2"/>
  <c r="W20" i="2"/>
  <c r="AC19" i="2"/>
  <c r="W19" i="2"/>
  <c r="AC18" i="2"/>
  <c r="W18" i="2"/>
  <c r="AC17" i="2"/>
  <c r="W17" i="2"/>
  <c r="AC16" i="2"/>
  <c r="W16" i="2"/>
  <c r="AC15" i="2"/>
  <c r="AC11" i="2"/>
  <c r="AC12" i="2"/>
  <c r="AC13" i="2"/>
  <c r="AC14" i="2"/>
  <c r="AC10" i="2"/>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B4" i="31"/>
  <c r="B8" i="31"/>
  <c r="B7" i="31"/>
  <c r="B6" i="31"/>
  <c r="B5" i="31"/>
  <c r="B3" i="31"/>
  <c r="B4" i="35"/>
  <c r="A45" i="32" s="1"/>
  <c r="B4" i="32"/>
  <c r="B8" i="35"/>
  <c r="B7" i="35"/>
  <c r="B6" i="35"/>
  <c r="B5" i="35"/>
  <c r="B3" i="35"/>
  <c r="I17" i="35"/>
  <c r="D17" i="35"/>
  <c r="L31" i="34"/>
  <c r="K31" i="34"/>
  <c r="J31" i="34"/>
  <c r="I31" i="34"/>
  <c r="F31" i="34"/>
  <c r="L30" i="34"/>
  <c r="K30" i="34"/>
  <c r="J30" i="34"/>
  <c r="I30" i="34"/>
  <c r="F30" i="34"/>
  <c r="L29" i="34"/>
  <c r="K29" i="34"/>
  <c r="J29" i="34"/>
  <c r="I29" i="34"/>
  <c r="F29" i="34"/>
  <c r="L28" i="34"/>
  <c r="K28" i="34"/>
  <c r="J28" i="34"/>
  <c r="I28" i="34"/>
  <c r="F28" i="34"/>
  <c r="L27" i="34"/>
  <c r="K27" i="34"/>
  <c r="J27" i="34"/>
  <c r="I27" i="34"/>
  <c r="F27" i="34"/>
  <c r="L25" i="34"/>
  <c r="K25" i="34"/>
  <c r="J25" i="34"/>
  <c r="I25" i="34"/>
  <c r="F25" i="34"/>
  <c r="L23" i="34"/>
  <c r="K23" i="34"/>
  <c r="J23" i="34"/>
  <c r="I23" i="34"/>
  <c r="F23" i="34"/>
  <c r="L21" i="34"/>
  <c r="K21" i="34"/>
  <c r="J21" i="34"/>
  <c r="I21" i="34"/>
  <c r="F21" i="34"/>
  <c r="L20" i="34"/>
  <c r="K20" i="34"/>
  <c r="J20" i="34"/>
  <c r="I20" i="34"/>
  <c r="F20" i="34"/>
  <c r="L19" i="34"/>
  <c r="K19" i="34"/>
  <c r="J19" i="34"/>
  <c r="I19" i="34"/>
  <c r="F19" i="34"/>
  <c r="L18" i="34"/>
  <c r="K18" i="34"/>
  <c r="J18" i="34"/>
  <c r="I18" i="34"/>
  <c r="F18" i="34"/>
  <c r="B7" i="34"/>
  <c r="B6" i="34"/>
  <c r="B5" i="34"/>
  <c r="B4" i="34"/>
  <c r="B3" i="34"/>
  <c r="A47" i="32" s="1"/>
  <c r="B2" i="34"/>
  <c r="P33" i="34"/>
  <c r="L17" i="34"/>
  <c r="K17" i="34"/>
  <c r="J17" i="34"/>
  <c r="I17" i="34"/>
  <c r="F17" i="34"/>
  <c r="L16" i="34"/>
  <c r="K16" i="34"/>
  <c r="J16" i="34"/>
  <c r="I16" i="34"/>
  <c r="F16" i="34"/>
  <c r="L15" i="34"/>
  <c r="K15" i="34"/>
  <c r="J15" i="34"/>
  <c r="I15" i="34"/>
  <c r="F15" i="34"/>
  <c r="L14" i="34"/>
  <c r="K14" i="34"/>
  <c r="J14" i="34"/>
  <c r="I14" i="34"/>
  <c r="F14" i="34"/>
  <c r="L12" i="34"/>
  <c r="K12" i="34"/>
  <c r="J12" i="34"/>
  <c r="F12" i="34"/>
  <c r="I12" i="34" s="1"/>
  <c r="B8" i="17"/>
  <c r="B7" i="17"/>
  <c r="B6" i="17"/>
  <c r="B5" i="17"/>
  <c r="B3" i="17"/>
  <c r="B7" i="18"/>
  <c r="B6" i="18"/>
  <c r="B5" i="18"/>
  <c r="B3" i="18"/>
  <c r="N31" i="18"/>
  <c r="M31" i="18"/>
  <c r="L31" i="18"/>
  <c r="K31" i="18"/>
  <c r="J31" i="18"/>
  <c r="I31" i="18"/>
  <c r="B8" i="18"/>
  <c r="B4" i="28"/>
  <c r="V11" i="2"/>
  <c r="R11" i="2" s="1"/>
  <c r="V13" i="2"/>
  <c r="R13" i="2" s="1"/>
  <c r="X14" i="2"/>
  <c r="W14" i="2"/>
  <c r="C4" i="2"/>
  <c r="B4" i="18"/>
  <c r="B4" i="17"/>
  <c r="B41" i="17"/>
  <c r="B47" i="17" s="1"/>
  <c r="B51" i="17" s="1"/>
  <c r="B52" i="17"/>
  <c r="N27" i="34" l="1"/>
  <c r="Q27" i="34" s="1"/>
  <c r="N12" i="34"/>
  <c r="N14" i="34"/>
  <c r="Q14" i="34" s="1"/>
  <c r="N28" i="34"/>
  <c r="Q28" i="34" s="1"/>
  <c r="C12" i="37"/>
  <c r="N23" i="34"/>
  <c r="Q23" i="34" s="1"/>
  <c r="N25" i="34"/>
  <c r="Q25" i="34" s="1"/>
  <c r="N18" i="34"/>
  <c r="Q18" i="34" s="1"/>
  <c r="N19" i="34"/>
  <c r="Q19" i="34" s="1"/>
  <c r="N20" i="34"/>
  <c r="Q20" i="34" s="1"/>
  <c r="N15" i="34"/>
  <c r="Q15" i="34" s="1"/>
  <c r="N30" i="34"/>
  <c r="Q30" i="34" s="1"/>
  <c r="Y10" i="2"/>
  <c r="U10" i="2" s="1"/>
  <c r="Y11" i="2"/>
  <c r="U11" i="2" s="1"/>
  <c r="Y13" i="2"/>
  <c r="U13" i="2" s="1"/>
  <c r="N31" i="34"/>
  <c r="Q31" i="34" s="1"/>
  <c r="O31" i="18"/>
  <c r="N16" i="34"/>
  <c r="Q16" i="34" s="1"/>
  <c r="N29" i="34"/>
  <c r="Q29" i="34" s="1"/>
  <c r="N21" i="34"/>
  <c r="Q21" i="34" s="1"/>
  <c r="N17" i="34"/>
  <c r="Q17" i="34" s="1"/>
  <c r="B49" i="17"/>
  <c r="B50" i="17"/>
  <c r="X13" i="2"/>
  <c r="T13" i="2" s="1"/>
  <c r="O25" i="38"/>
  <c r="K34" i="38"/>
  <c r="J44" i="18"/>
  <c r="N34" i="38"/>
  <c r="L44" i="18"/>
  <c r="K44" i="18"/>
  <c r="J13" i="35"/>
  <c r="W10" i="2"/>
  <c r="S10" i="2" s="1"/>
  <c r="X11" i="2"/>
  <c r="T11" i="2" s="1"/>
  <c r="V12" i="2"/>
  <c r="R12" i="2" s="1"/>
  <c r="D12" i="37" s="1"/>
  <c r="W13" i="2"/>
  <c r="S13" i="2" s="1"/>
  <c r="X10" i="2"/>
  <c r="T10" i="2" s="1"/>
  <c r="W11" i="2"/>
  <c r="S11" i="2" s="1"/>
  <c r="F16" i="32" l="1"/>
  <c r="H47" i="32"/>
  <c r="E12" i="18"/>
  <c r="E15" i="18" s="1"/>
  <c r="E18" i="18" s="1"/>
  <c r="Q12" i="34"/>
  <c r="Q33" i="34" s="1"/>
  <c r="H17" i="35"/>
  <c r="J17" i="35"/>
  <c r="Y12" i="2"/>
  <c r="B53" i="17"/>
  <c r="E12" i="38"/>
  <c r="E15" i="38" s="1"/>
  <c r="E17" i="38" s="1"/>
  <c r="X12" i="2"/>
  <c r="T12" i="2" s="1"/>
  <c r="W12" i="2"/>
  <c r="S12" i="2" s="1"/>
  <c r="F14" i="32" s="1"/>
  <c r="E16" i="32" l="1"/>
  <c r="H45" i="32"/>
  <c r="J12" i="37"/>
  <c r="U12" i="2"/>
  <c r="E18" i="38"/>
  <c r="E19" i="38" s="1"/>
  <c r="E21" i="38" s="1"/>
  <c r="E17" i="18"/>
  <c r="E19" i="18" s="1"/>
  <c r="E21" i="18" s="1"/>
  <c r="I8" i="28" l="1"/>
  <c r="C29" i="17"/>
  <c r="C31" i="17" s="1"/>
  <c r="C34" i="17" s="1"/>
  <c r="C21" i="17" s="1"/>
  <c r="C24" i="17" s="1"/>
  <c r="E22" i="38" l="1"/>
  <c r="E23" i="38" s="1"/>
  <c r="E25" i="38" s="1"/>
  <c r="E26" i="38" s="1"/>
  <c r="E22" i="47"/>
  <c r="E23" i="47" s="1"/>
  <c r="E25" i="47" s="1"/>
  <c r="E26" i="47" s="1"/>
  <c r="E32" i="47" s="1"/>
  <c r="E43" i="47" s="1"/>
  <c r="E22" i="18"/>
  <c r="E23" i="18" s="1"/>
  <c r="E47" i="47" l="1"/>
  <c r="E25" i="18"/>
  <c r="E26" i="18" s="1"/>
  <c r="E32" i="38"/>
  <c r="E43" i="38" s="1"/>
  <c r="F43" i="47" l="1"/>
  <c r="F30" i="47"/>
  <c r="F28" i="47"/>
  <c r="F29" i="47"/>
  <c r="F45" i="47"/>
  <c r="F32" i="47"/>
  <c r="E51" i="47"/>
  <c r="E53" i="47"/>
  <c r="F26" i="47"/>
  <c r="F36" i="47"/>
  <c r="F23" i="47"/>
  <c r="F19" i="47"/>
  <c r="F41" i="47"/>
  <c r="F42" i="47"/>
  <c r="F35" i="47"/>
  <c r="F34" i="47"/>
  <c r="F37" i="47"/>
  <c r="F39" i="47"/>
  <c r="F38" i="47"/>
  <c r="F40" i="47"/>
  <c r="E49" i="47"/>
  <c r="I19" i="31"/>
  <c r="E47" i="38"/>
  <c r="E16" i="37" s="1"/>
  <c r="E32" i="18"/>
  <c r="F47" i="47" l="1"/>
  <c r="E27" i="37"/>
  <c r="E18" i="37"/>
  <c r="E17" i="37"/>
  <c r="E19" i="37"/>
  <c r="F35" i="38"/>
  <c r="F36" i="38"/>
  <c r="F37" i="38"/>
  <c r="F38" i="38"/>
  <c r="F39" i="38"/>
  <c r="F40" i="38"/>
  <c r="F41" i="38"/>
  <c r="E49" i="38"/>
  <c r="F34" i="38"/>
  <c r="E53" i="38"/>
  <c r="F19" i="38"/>
  <c r="F45" i="38"/>
  <c r="F26" i="38"/>
  <c r="E51" i="38"/>
  <c r="G16" i="32"/>
  <c r="E35" i="37" s="1"/>
  <c r="F23" i="38"/>
  <c r="F32" i="38"/>
  <c r="F43" i="38"/>
  <c r="E43" i="18"/>
  <c r="E31" i="37" l="1"/>
  <c r="H16" i="32"/>
  <c r="G12" i="37"/>
  <c r="F47" i="38"/>
  <c r="E47" i="18" l="1"/>
  <c r="F30" i="18" l="1"/>
  <c r="F28" i="18"/>
  <c r="F29" i="18"/>
  <c r="H11" i="42"/>
  <c r="I20" i="31"/>
  <c r="F45" i="18"/>
  <c r="E51" i="18"/>
  <c r="I28" i="39" s="1"/>
  <c r="F39" i="18"/>
  <c r="F38" i="18"/>
  <c r="F36" i="18"/>
  <c r="F35" i="18"/>
  <c r="G25" i="40"/>
  <c r="I13" i="31"/>
  <c r="L13" i="40"/>
  <c r="I19" i="40"/>
  <c r="I20" i="40"/>
  <c r="G27" i="40"/>
  <c r="K18" i="45"/>
  <c r="K16" i="45"/>
  <c r="K14" i="45"/>
  <c r="E49" i="18"/>
  <c r="I14" i="39" s="1"/>
  <c r="I15" i="39"/>
  <c r="F43" i="18"/>
  <c r="F47" i="18" s="1"/>
  <c r="F32" i="18"/>
  <c r="I27" i="39"/>
  <c r="F26" i="18"/>
  <c r="G14" i="32"/>
  <c r="E12" i="37" s="1"/>
  <c r="F19" i="18"/>
  <c r="F40" i="18"/>
  <c r="F37" i="18"/>
  <c r="H12" i="42"/>
  <c r="H14" i="42" s="1"/>
  <c r="H43" i="32" s="1"/>
  <c r="H49" i="32" s="1"/>
  <c r="I21" i="40"/>
  <c r="G26" i="40"/>
  <c r="K14" i="40"/>
  <c r="K17" i="45"/>
  <c r="K13" i="45"/>
  <c r="K15" i="45"/>
  <c r="J40" i="44"/>
  <c r="E53" i="18"/>
  <c r="F23" i="18"/>
  <c r="F42" i="18"/>
  <c r="I21" i="39"/>
  <c r="F34" i="18"/>
  <c r="F41" i="18"/>
  <c r="I17" i="39"/>
  <c r="J39" i="44"/>
  <c r="I23" i="39"/>
  <c r="I29" i="39"/>
  <c r="I22" i="39"/>
  <c r="I19" i="39"/>
  <c r="I13" i="39"/>
  <c r="I25" i="39"/>
  <c r="I16" i="39"/>
  <c r="I18" i="31"/>
  <c r="I16" i="31"/>
  <c r="I15" i="31"/>
  <c r="I17" i="31"/>
  <c r="I14" i="31"/>
  <c r="K20" i="45" l="1"/>
  <c r="K13" i="40"/>
  <c r="M13" i="40" s="1"/>
  <c r="I22" i="31"/>
  <c r="I26" i="39"/>
  <c r="I20" i="39"/>
  <c r="I31" i="39" s="1"/>
  <c r="C23" i="37" s="1"/>
  <c r="G23" i="37" s="1"/>
  <c r="I22" i="40"/>
  <c r="H14" i="32"/>
  <c r="K40" i="44"/>
  <c r="L40" i="44" s="1"/>
  <c r="G29" i="40"/>
  <c r="C18" i="37" s="1"/>
  <c r="G18" i="37" s="1"/>
  <c r="K39" i="44"/>
  <c r="L39" i="44" s="1"/>
  <c r="K13" i="44"/>
  <c r="J13" i="44"/>
  <c r="H12" i="37"/>
  <c r="K12" i="37" s="1"/>
  <c r="J35" i="44"/>
  <c r="K35" i="44"/>
  <c r="K16" i="44"/>
  <c r="J16" i="44"/>
  <c r="J29" i="44"/>
  <c r="K29" i="44"/>
  <c r="J36" i="44"/>
  <c r="K36" i="44"/>
  <c r="K21" i="44"/>
  <c r="J21" i="44"/>
  <c r="K37" i="44"/>
  <c r="J37" i="44"/>
  <c r="J26" i="44"/>
  <c r="K26" i="44"/>
  <c r="K34" i="44"/>
  <c r="J34" i="44"/>
  <c r="J14" i="44"/>
  <c r="K14" i="44"/>
  <c r="K15" i="40"/>
  <c r="L15" i="40"/>
  <c r="J20" i="44"/>
  <c r="K20" i="44"/>
  <c r="K19" i="44"/>
  <c r="J19" i="44"/>
  <c r="K30" i="44"/>
  <c r="J30" i="44"/>
  <c r="K38" i="44"/>
  <c r="J38" i="44"/>
  <c r="J31" i="44"/>
  <c r="K31" i="44"/>
  <c r="K17" i="44"/>
  <c r="J17" i="44"/>
  <c r="J33" i="44"/>
  <c r="K33" i="44"/>
  <c r="J32" i="44"/>
  <c r="K32" i="44"/>
  <c r="K28" i="44"/>
  <c r="J28" i="44"/>
  <c r="K22" i="44"/>
  <c r="J22" i="44"/>
  <c r="L14" i="40"/>
  <c r="M14" i="40" s="1"/>
  <c r="K18" i="44"/>
  <c r="J18" i="44"/>
  <c r="J15" i="44"/>
  <c r="K15" i="44"/>
  <c r="K27" i="44"/>
  <c r="J27" i="44"/>
  <c r="K25" i="44"/>
  <c r="J25" i="44"/>
  <c r="K23" i="44"/>
  <c r="J23" i="44"/>
  <c r="J24" i="44"/>
  <c r="K24" i="44"/>
  <c r="K16" i="40" l="1"/>
  <c r="H21" i="32"/>
  <c r="G19" i="32"/>
  <c r="L16" i="40"/>
  <c r="M16" i="40" s="1"/>
  <c r="J42" i="44"/>
  <c r="K42" i="44"/>
  <c r="H23" i="37"/>
  <c r="H29" i="32"/>
  <c r="C17" i="37"/>
  <c r="G17" i="37" s="1"/>
  <c r="H17" i="37" s="1"/>
  <c r="M15" i="40"/>
  <c r="L17" i="44"/>
  <c r="C35" i="37"/>
  <c r="G35" i="37" s="1"/>
  <c r="L13" i="44"/>
  <c r="C31" i="37"/>
  <c r="G31" i="37" s="1"/>
  <c r="L23" i="44"/>
  <c r="L19" i="44"/>
  <c r="L28" i="44"/>
  <c r="L37" i="44"/>
  <c r="L14" i="44"/>
  <c r="L25" i="44"/>
  <c r="L21" i="44"/>
  <c r="L16" i="44"/>
  <c r="L22" i="44"/>
  <c r="L33" i="44"/>
  <c r="L30" i="44"/>
  <c r="L20" i="44"/>
  <c r="L18" i="44"/>
  <c r="L27" i="44"/>
  <c r="L26" i="44"/>
  <c r="L36" i="44"/>
  <c r="L15" i="44"/>
  <c r="L24" i="44"/>
  <c r="L29" i="44"/>
  <c r="L31" i="44"/>
  <c r="L32" i="44"/>
  <c r="L34" i="44"/>
  <c r="L38" i="44"/>
  <c r="L35" i="44"/>
  <c r="L42" i="44" l="1"/>
  <c r="H35" i="37"/>
  <c r="H18" i="37"/>
  <c r="H33" i="32"/>
  <c r="H22" i="32"/>
  <c r="H23" i="32" s="1"/>
  <c r="L12" i="37"/>
  <c r="C16" i="37"/>
  <c r="H35" i="32" l="1"/>
  <c r="H31" i="37"/>
  <c r="C27" i="37"/>
  <c r="G27" i="37" s="1"/>
  <c r="H50" i="32"/>
  <c r="H51" i="32" s="1"/>
  <c r="G16" i="37" l="1"/>
  <c r="G19" i="37" s="1"/>
  <c r="C19" i="37"/>
  <c r="H31" i="32"/>
  <c r="A39" i="37" l="1"/>
  <c r="B39" i="37" s="1"/>
  <c r="H16" i="37"/>
  <c r="H19" i="37" s="1"/>
  <c r="H27" i="37"/>
  <c r="H27" i="32" l="1"/>
  <c r="H37" i="32" s="1"/>
  <c r="H53" i="32" l="1"/>
  <c r="H38" i="32"/>
  <c r="H39" i="32" s="1"/>
  <c r="H54" i="32" l="1"/>
  <c r="H55" i="32" s="1"/>
</calcChain>
</file>

<file path=xl/sharedStrings.xml><?xml version="1.0" encoding="utf-8"?>
<sst xmlns="http://schemas.openxmlformats.org/spreadsheetml/2006/main" count="1591" uniqueCount="541">
  <si>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</si>
  <si>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</si>
  <si>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</si>
  <si>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</si>
  <si>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</si>
  <si>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</si>
  <si>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</si>
  <si>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</si>
  <si>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</si>
  <si>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</si>
  <si>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</si>
  <si>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</si>
  <si>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</si>
  <si>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</si>
  <si>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</si>
  <si>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</si>
  <si>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</si>
  <si>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</si>
  <si>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Methode en eindresultaat omschrijven.</t>
  </si>
  <si>
    <t>invoerveld</t>
  </si>
  <si>
    <t>Vakantiedagen</t>
  </si>
  <si>
    <t>SV uurloon inclusief toeslagen</t>
  </si>
  <si>
    <t>Instructies voor het invullen van het calculatie model</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</si>
  <si>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</si>
  <si>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</si>
  <si>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</si>
  <si>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</si>
  <si>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</si>
  <si>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</si>
  <si>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</si>
  <si>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</si>
  <si>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</si>
  <si>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</si>
  <si>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</si>
  <si>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</si>
  <si>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</si>
  <si>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</si>
  <si>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</si>
  <si>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</si>
  <si>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</si>
  <si>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</si>
  <si>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</si>
  <si>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</si>
  <si>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</si>
  <si>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</si>
  <si>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</si>
  <si>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</si>
  <si>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</si>
  <si>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</si>
  <si>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</si>
  <si>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</si>
  <si>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</si>
  <si>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</si>
  <si>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</si>
  <si>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</si>
  <si>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</si>
  <si>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</si>
  <si>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</si>
  <si>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</si>
  <si>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</si>
  <si>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</si>
  <si>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</si>
  <si>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</si>
  <si>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</si>
  <si>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</si>
  <si>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</si>
  <si>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</si>
  <si>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</si>
  <si>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</si>
  <si>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</si>
  <si>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</si>
  <si>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</si>
  <si>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</si>
  <si>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</si>
  <si>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</si>
  <si>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</si>
  <si>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</si>
  <si>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</si>
  <si>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</si>
  <si>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</si>
  <si>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</si>
  <si>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</si>
  <si>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</si>
  <si>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</si>
  <si>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</si>
  <si>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</si>
  <si>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</si>
  <si>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</si>
  <si>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</si>
  <si>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</si>
  <si>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</si>
  <si>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</si>
  <si>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</si>
  <si>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</si>
  <si>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</si>
  <si>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</si>
  <si>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</si>
  <si>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</si>
  <si>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</si>
  <si>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</si>
  <si>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</si>
  <si>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</si>
  <si>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</si>
  <si>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</si>
  <si>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</si>
  <si>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Locatie</t>
  </si>
  <si>
    <t>frequentie per jaar</t>
  </si>
  <si>
    <t>Kosten per beurt</t>
  </si>
  <si>
    <t>Totaal kosten per jaar</t>
  </si>
  <si>
    <t>Adres</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</si>
  <si>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</si>
  <si>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</si>
  <si>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</si>
  <si>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</si>
  <si>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</si>
  <si>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</si>
  <si>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</si>
  <si>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</si>
  <si>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</si>
  <si>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</si>
  <si>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</si>
  <si>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</si>
  <si>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</si>
  <si>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</si>
  <si>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</si>
  <si>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</si>
  <si>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</si>
  <si>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</si>
  <si>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</si>
  <si>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</si>
  <si>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</si>
  <si>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</si>
  <si>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</si>
  <si>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</si>
  <si>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</si>
  <si>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</si>
  <si>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</si>
  <si>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</si>
  <si>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EINDTOTAAL KOSTEN PER JAAR  EXCLUSIEF BTW</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</si>
  <si>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</si>
  <si>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</si>
  <si>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</si>
  <si>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</si>
  <si>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</si>
  <si>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</si>
  <si>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</si>
  <si>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</si>
  <si>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</si>
  <si>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</si>
  <si>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</si>
  <si>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</si>
  <si>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</si>
  <si>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</si>
  <si>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</si>
  <si>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</si>
  <si>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</si>
  <si>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</si>
  <si>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</si>
  <si>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</si>
  <si>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</si>
  <si>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</si>
  <si>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</si>
  <si>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</si>
  <si>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</si>
  <si>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</si>
  <si>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</si>
  <si>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</si>
  <si>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</si>
  <si>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4</t>
  </si>
  <si>
    <t>uren per jaar</t>
  </si>
  <si>
    <t>kosten per jaar</t>
  </si>
  <si>
    <t>Omschrijving werkzaamheden</t>
  </si>
  <si>
    <t>Aantal</t>
  </si>
  <si>
    <t>Vloerenonderhoud  (inclusief uit-/inruimen van het meubilair)</t>
  </si>
  <si>
    <t>Reinigen raambekleding</t>
  </si>
  <si>
    <t>Verticale lamellen stof</t>
  </si>
  <si>
    <t>Verticale lamellen metaal/kunsstof</t>
  </si>
  <si>
    <t>Regietarieven</t>
  </si>
  <si>
    <t>Schoonmaakonderhoud</t>
  </si>
  <si>
    <t>Mits anders aangegeven is de uitvoering op reguliere werktijden: maandag t/m vrijdag [06.00 en 21.30 uur]</t>
  </si>
  <si>
    <t>Totaal m2</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</si>
  <si>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</si>
  <si>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</si>
  <si>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</si>
  <si>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</si>
  <si>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</si>
  <si>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</si>
  <si>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</si>
  <si>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</si>
  <si>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</si>
  <si>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</si>
  <si>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</si>
  <si>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</si>
  <si>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</si>
  <si>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</si>
  <si>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</si>
  <si>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</si>
  <si>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</si>
  <si>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</si>
  <si>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</si>
  <si>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</si>
  <si>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</si>
  <si>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</si>
  <si>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</si>
  <si>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</si>
  <si>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</si>
  <si>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</si>
  <si>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</si>
  <si>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</si>
  <si>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</si>
  <si>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</si>
  <si>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</si>
  <si>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RAS premie</t>
  </si>
  <si>
    <t>Frequentie verklaring</t>
  </si>
  <si>
    <t>5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</si>
  <si>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</si>
  <si>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</si>
  <si>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</si>
  <si>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</si>
  <si>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</si>
  <si>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</si>
  <si>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</si>
  <si>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</si>
  <si>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</si>
  <si>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</si>
  <si>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</si>
  <si>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</si>
  <si>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</si>
  <si>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GVB Veren</t>
  </si>
  <si>
    <t>Amsterdam</t>
  </si>
  <si>
    <t>Kantoren</t>
  </si>
  <si>
    <t>Aambeeldstraat 8</t>
  </si>
  <si>
    <t>Jaarprijs regulier schoonmaakonderhoud Kantoren</t>
  </si>
  <si>
    <t>BG</t>
  </si>
  <si>
    <t>Kantine</t>
  </si>
  <si>
    <t>Keuken</t>
  </si>
  <si>
    <t>Magazijn</t>
  </si>
  <si>
    <t>Verkeersruimte</t>
  </si>
  <si>
    <t>Sanitair</t>
  </si>
  <si>
    <t>007a</t>
  </si>
  <si>
    <t>007b</t>
  </si>
  <si>
    <t>Technische ruimte</t>
  </si>
  <si>
    <t>Kantoor</t>
  </si>
  <si>
    <t>Werkplaats</t>
  </si>
  <si>
    <t>Berging</t>
  </si>
  <si>
    <t>Vergaderruimte</t>
  </si>
  <si>
    <t>1e verd</t>
  </si>
  <si>
    <t>Trap</t>
  </si>
  <si>
    <t>Fietsenstalling</t>
  </si>
  <si>
    <t>Portiersloge</t>
  </si>
  <si>
    <t>OKB1</t>
  </si>
  <si>
    <t>Kraambaan</t>
  </si>
  <si>
    <t>OWO1</t>
  </si>
  <si>
    <t>OWO2</t>
  </si>
  <si>
    <t>OWO3</t>
  </si>
  <si>
    <t>OWO4</t>
  </si>
  <si>
    <t>OWO4a</t>
  </si>
  <si>
    <t>OWO5</t>
  </si>
  <si>
    <t>Meating point-hal</t>
  </si>
  <si>
    <t>Meating point-pantry</t>
  </si>
  <si>
    <t>Meating point-gang</t>
  </si>
  <si>
    <t>Meating point-vergaderkamer</t>
  </si>
  <si>
    <t>OWO5a</t>
  </si>
  <si>
    <t>Meating point-trap</t>
  </si>
  <si>
    <t>Meating point-toilet</t>
  </si>
  <si>
    <t xml:space="preserve">Kantine </t>
  </si>
  <si>
    <t>Bureaukamer</t>
  </si>
  <si>
    <t>Niet in onderhoud</t>
  </si>
  <si>
    <t>nio</t>
  </si>
  <si>
    <t>Trappenhuizen</t>
  </si>
  <si>
    <t>Verkeersruimten</t>
  </si>
  <si>
    <t>Reinigen en bijvullen koffieautomaat</t>
  </si>
  <si>
    <t>Omschrijving Ponten</t>
  </si>
  <si>
    <t>Uren schoonmaak per beurt</t>
  </si>
  <si>
    <t>Uren reistijd per beurt</t>
  </si>
  <si>
    <t>Uren per jaar schoonmaak</t>
  </si>
  <si>
    <t>Buitenhuizerpont</t>
  </si>
  <si>
    <t>Schoonmaakonderhoud conform opleverstaat</t>
  </si>
  <si>
    <t>Hempont</t>
  </si>
  <si>
    <t>Velserpont</t>
  </si>
  <si>
    <t>Subtotaal schoonmaak Veren</t>
  </si>
  <si>
    <t>Oppervlakte m2</t>
  </si>
  <si>
    <t>Wachthuis Buitenhuizerpont</t>
  </si>
  <si>
    <t>Wachthuis Hempont</t>
  </si>
  <si>
    <t>Wachthuis Velserpont</t>
  </si>
  <si>
    <t>Subtotaal schoonmaak Wachthuizen</t>
  </si>
  <si>
    <t>Subtotaal afvalcontainer kliko formaat</t>
  </si>
  <si>
    <t>Frequentie per jaar</t>
  </si>
  <si>
    <t>Subtotaal hekwerken en PID-palen</t>
  </si>
  <si>
    <t>Totaaloverzicht Noordzeekanaal</t>
  </si>
  <si>
    <t>KOSTEN NOORDZEEKANAAL PONTEN</t>
  </si>
  <si>
    <t>KOSTEN IJ-VEREN</t>
  </si>
  <si>
    <t>Omschrijving IJ-Veren</t>
  </si>
  <si>
    <t>Tijdvak uitvoering</t>
  </si>
  <si>
    <t>Uren schoonmaak per veer</t>
  </si>
  <si>
    <t>Conform opleverstaat</t>
  </si>
  <si>
    <t>Type 50 feestdag</t>
  </si>
  <si>
    <t>Type 30 feestdag</t>
  </si>
  <si>
    <t>Subtotaal schoonmaak IJ-Veren</t>
  </si>
  <si>
    <t>Omschrijving aanlegpunten</t>
  </si>
  <si>
    <t>NDSM-terrein ma t/m vrij</t>
  </si>
  <si>
    <t>NDSM-terrein zat en zon</t>
  </si>
  <si>
    <t>NDSM-terrein feestdag</t>
  </si>
  <si>
    <t>Distelweg ma t/m vrij</t>
  </si>
  <si>
    <t>Distelweg zat en zon</t>
  </si>
  <si>
    <t>Distelweg feestdag</t>
  </si>
  <si>
    <t>Buiksloterweg ma t/m vrij</t>
  </si>
  <si>
    <t>Buiksloterweg zat en zon</t>
  </si>
  <si>
    <t>Buiksloterweg feestdag</t>
  </si>
  <si>
    <t>IJplein ma t/m vrij</t>
  </si>
  <si>
    <t>IJplein zat en zon</t>
  </si>
  <si>
    <t>De Ruyterkade(-IJplein) ma t/m vrij</t>
  </si>
  <si>
    <t>De Ruyterkade(-IJplein) zat en zon</t>
  </si>
  <si>
    <t>De Ruyterkade(-IJplein) feestdag</t>
  </si>
  <si>
    <t>De Ruyterkade(-Buiksloterweg) ma t/m vrij</t>
  </si>
  <si>
    <t>De Ruyterkade(-Buiksloterweg) zat en zon</t>
  </si>
  <si>
    <t>De Ruyterkade(-Buiksloterweg) feestdag</t>
  </si>
  <si>
    <t>Azartplein ma t/m vrij</t>
  </si>
  <si>
    <t>Azartplein zat en zon</t>
  </si>
  <si>
    <t>Azartplein feestdag</t>
  </si>
  <si>
    <t>Zamenhofstraat ma t/m vrij</t>
  </si>
  <si>
    <t>Zamenhofstraat zat en zon</t>
  </si>
  <si>
    <t>Zamenhofstraat feestdag</t>
  </si>
  <si>
    <t>Subtotaal schoonmaak aanlegpunten</t>
  </si>
  <si>
    <t>KOSTEN IJ-AANLEGPUNTEN</t>
  </si>
  <si>
    <t>KOSTEN SPECIALISTISCH WERK</t>
  </si>
  <si>
    <t>Uren per jaar</t>
  </si>
  <si>
    <t>Subtotaal specialistisch werk</t>
  </si>
  <si>
    <t>Jaarprijs overige werkzaamheden</t>
  </si>
  <si>
    <t>TOTAAL KOSTEN PER JAAR EXCLUSIEF BTW (SCHEPEN)</t>
  </si>
  <si>
    <t>TOTAAL KOSTEN PER JAAR EXCLUSIEF BTW (OVERIGE WERKZAAMHEDEN)</t>
  </si>
  <si>
    <t>Prijs per 1000 stuks</t>
  </si>
  <si>
    <t xml:space="preserve">Afvalzakken t.b.v. prullenbakken dek veren </t>
  </si>
  <si>
    <t xml:space="preserve">Levering t.b.v. de voorraad (op NZK-ponten decentrale levering in de wachthuizen), bemanning verzorgt wisselen </t>
  </si>
  <si>
    <t>Afvoeren divers grofvuil</t>
  </si>
  <si>
    <t>Hout afvoeren</t>
  </si>
  <si>
    <t>Ophalen, verwerken en overhandigen stortingsrapport</t>
  </si>
  <si>
    <t>Oud ijzer afvoeren</t>
  </si>
  <si>
    <t>Papiervernietiging</t>
  </si>
  <si>
    <t>Ophalen, verwerken en overhandigen bewijs van vernietiging</t>
  </si>
  <si>
    <t>Archiefvernietiging</t>
  </si>
  <si>
    <t>Verhuizingen</t>
  </si>
  <si>
    <t>Prijs per km</t>
  </si>
  <si>
    <t>Uitvoeren verhuisbewegingen</t>
  </si>
  <si>
    <t>nvt</t>
  </si>
  <si>
    <t>NDSM-terrrein</t>
  </si>
  <si>
    <t>Distelweg</t>
  </si>
  <si>
    <t>Buiksloterweg</t>
  </si>
  <si>
    <t>IJplein</t>
  </si>
  <si>
    <t>De Ruyterkade - IJplein</t>
  </si>
  <si>
    <t>De Ruyterkade - Buiksloterweg</t>
  </si>
  <si>
    <t>Westerdoksdijk</t>
  </si>
  <si>
    <t>Azartplein</t>
  </si>
  <si>
    <t>Zamenhofstraat</t>
  </si>
  <si>
    <t>Aambeeldstraat</t>
  </si>
  <si>
    <t>Gladheidsbestrijding</t>
  </si>
  <si>
    <t>Artikel</t>
  </si>
  <si>
    <t>0-100 stuks</t>
  </si>
  <si>
    <t>101-500 stuks</t>
  </si>
  <si>
    <t>501-1000 stuks</t>
  </si>
  <si>
    <t>&gt; 1000 stuks</t>
  </si>
  <si>
    <t>Toiletpapier</t>
  </si>
  <si>
    <t>2-laags gerecycled tissue</t>
  </si>
  <si>
    <t>Zeepflacon</t>
  </si>
  <si>
    <t>250 ml</t>
  </si>
  <si>
    <t>Zeepvulling tbv automaten</t>
  </si>
  <si>
    <t>Prijs per liter</t>
  </si>
  <si>
    <t>Papieren handdoekjes</t>
  </si>
  <si>
    <t>2-laags gerecycled tissue c-vouw</t>
  </si>
  <si>
    <t>NOORDZEEKANAAL</t>
  </si>
  <si>
    <t>IJ-VEREN</t>
  </si>
  <si>
    <t>SPECIALISTISCHE WERKZAAMHEDEN</t>
  </si>
  <si>
    <t>KANTOREN</t>
  </si>
  <si>
    <t>TOTAAL KOSTEN PER JAAR EXCLUSIEF BTW (REGULIER ONDERHOUD KANTOREN)</t>
  </si>
  <si>
    <t>Totaal kosten per jaar 
excl. btw</t>
  </si>
  <si>
    <t>Productie kosten per jaar
ma t/m vr</t>
  </si>
  <si>
    <t>Totaaloverzicht IJ-Veren</t>
  </si>
  <si>
    <t>Kosten glasbewassing 
per jaar</t>
  </si>
  <si>
    <t>Uren schoonmaak
per jaar</t>
  </si>
  <si>
    <t>Kosten schoonmaak  per jaar</t>
  </si>
  <si>
    <t xml:space="preserve">Kosten reistijd
per jaar </t>
  </si>
  <si>
    <t xml:space="preserve">Uren reistijd 
per jaar </t>
  </si>
  <si>
    <t xml:space="preserve">Uren schoonmaak per jaar </t>
  </si>
  <si>
    <t xml:space="preserve">Prijs per container 
per maand </t>
  </si>
  <si>
    <t xml:space="preserve">Aantal containers </t>
  </si>
  <si>
    <t>Uren 
per beurt</t>
  </si>
  <si>
    <t>Omschrijving buitengebied afvalcontainers</t>
  </si>
  <si>
    <t>Omschrijving buitengebied Kliko's</t>
  </si>
  <si>
    <t xml:space="preserve">Uren schoonmaak 
per jaar </t>
  </si>
  <si>
    <t xml:space="preserve">Kosten reistijd per jaar </t>
  </si>
  <si>
    <t>IJ-VEREN AANLEGPUNTEN</t>
  </si>
  <si>
    <t>Totaaloverzicht IJ-Veren Aanlegpunten</t>
  </si>
  <si>
    <t>Totaaloverzicht Specialistische werkzaamheden</t>
  </si>
  <si>
    <t>Wachthuizen</t>
  </si>
  <si>
    <t>Hekwerken en PID-palen</t>
  </si>
  <si>
    <t>IJ-Veren</t>
  </si>
  <si>
    <t xml:space="preserve">IJ-veren aanlegpunten </t>
  </si>
  <si>
    <t>Specialistische werkzaamheden</t>
  </si>
  <si>
    <t xml:space="preserve">Kosten schoonmaak per jaar </t>
  </si>
  <si>
    <t>Aantal uren per dag / beurt</t>
  </si>
  <si>
    <t>4g-Evenementen Schoonmaak</t>
  </si>
  <si>
    <t>Omschrijving Wachthuizen (wh)</t>
  </si>
  <si>
    <t>Ponten Noordzaakanaal</t>
  </si>
  <si>
    <t xml:space="preserve">Aantal m2 </t>
  </si>
  <si>
    <t>Reinigen dekken en leuningen Veerponten NZK</t>
  </si>
  <si>
    <t xml:space="preserve">tussen 10.00 uur en 15.00 </t>
  </si>
  <si>
    <t>tussen 10.00 uur en 15.00 uur</t>
  </si>
  <si>
    <t>07.00  uur  tot 15.30 uur</t>
  </si>
  <si>
    <t>Maandag t/m vrijdag</t>
  </si>
  <si>
    <t xml:space="preserve">KOSTEN EVENEMENTEN </t>
  </si>
  <si>
    <t>Maandag t/m vrijdag IJ-Veren</t>
  </si>
  <si>
    <t>Weekend IJ-Veren</t>
  </si>
  <si>
    <t>Feestdagen IJ-Veren</t>
  </si>
  <si>
    <t>Maandag t/m zondag incl. Feestdagen  IJ-Veren</t>
  </si>
  <si>
    <t>Maandag t/m vrijdag NZK-Veren</t>
  </si>
  <si>
    <t>Weekend  NZK-Veren</t>
  </si>
  <si>
    <t>Feestdagen  NZK-Veren</t>
  </si>
  <si>
    <t>Maandag t/m zondag incl. Feestdagen  NZK-Veren</t>
  </si>
  <si>
    <t>Aantal nalooprondes per dag</t>
  </si>
  <si>
    <t>Evenementen Schoonmaak</t>
  </si>
  <si>
    <t>Totaaloverzicht kantoren</t>
  </si>
  <si>
    <t>Aantal uren  per ronde</t>
  </si>
  <si>
    <t>4e-IJ aanlegpunten</t>
  </si>
  <si>
    <t>Toezicht uren per jaar  ma-vrij</t>
  </si>
  <si>
    <t>Kosten toezicht per jaar</t>
  </si>
  <si>
    <t>Jaarprijswerkzaamheden Veren</t>
  </si>
  <si>
    <t>4f-Specialistische werkzaamheden</t>
  </si>
  <si>
    <t>uren per stuk /beurt</t>
  </si>
  <si>
    <t>Linoleum</t>
  </si>
  <si>
    <t>Tapijt</t>
  </si>
  <si>
    <t>PVC</t>
  </si>
  <si>
    <t>Het geheel nat reinigen en drogen incl. Reinigen RVS Reiniger van de PID-paal</t>
  </si>
  <si>
    <t>Hekwerken noord en zuid zijde incl. 4 PID-palen Velserpont</t>
  </si>
  <si>
    <t>Hekwerken noord en zuid zijde incl. 2 PID-palen Hempont</t>
  </si>
  <si>
    <t>Hekwerken noord en zuid zijde incl. 2 PID-palen Buitenhuizerpont</t>
  </si>
  <si>
    <t>Type 60 feestdag</t>
  </si>
  <si>
    <t>Pontstijger ma t/m vrij</t>
  </si>
  <si>
    <t>Pontstijger zat en zon</t>
  </si>
  <si>
    <t>Pontstijger feestdag</t>
  </si>
  <si>
    <t>Reinigen van technische ruimten in het onderdek Mk 33</t>
  </si>
  <si>
    <t>Reinigen van technische ruimten in het onderdek MK 50</t>
  </si>
  <si>
    <t>Reinigen van technische ruimten in het onderdek MK 60</t>
  </si>
  <si>
    <t>Reinigen van technische ruimten in het onderdek MK 100</t>
  </si>
  <si>
    <t xml:space="preserve">* Werkzaamheden worden op afroep uitgevoerd. </t>
  </si>
  <si>
    <t xml:space="preserve">Leveren 12 extra afvalbakken </t>
  </si>
  <si>
    <t xml:space="preserve">4 schepen, tijdens de vaart </t>
  </si>
  <si>
    <t>1 schip tijdens de vaart</t>
  </si>
  <si>
    <t>Zeeburger eiland</t>
  </si>
  <si>
    <t>Reinigen van technische ruimten in het onderdek 34</t>
  </si>
  <si>
    <t>Afvalcontainer locatie Buitenhuizerpont (kliko 240 liter)</t>
  </si>
  <si>
    <t>Afvalcontainer locatie Buitenhuizerpont (kliko 240 liter) EXTRA lediging april t/m oktober</t>
  </si>
  <si>
    <t>Afvalcontainer locatie Hempont (kliko 240 liter)</t>
  </si>
  <si>
    <t>Afvalcontainer locatie Velserpont (kliko 240 liter)</t>
  </si>
  <si>
    <t>Afvalcontainer locatie Velserpont (770 liter)</t>
  </si>
  <si>
    <t>1x 46m2</t>
  </si>
  <si>
    <t>1x 56m2</t>
  </si>
  <si>
    <t>7 x 96m2</t>
  </si>
  <si>
    <t>7 x 140m2</t>
  </si>
  <si>
    <t>5x 220m2</t>
  </si>
  <si>
    <t>500m2</t>
  </si>
  <si>
    <t>Soort gladheidsbestrijding*</t>
  </si>
  <si>
    <t xml:space="preserve">*Gemiddeld aantal m2 van de aanlandingen is 200m2 </t>
  </si>
  <si>
    <t>Beurt gladheidsbestrijding maandag - vrijdag</t>
  </si>
  <si>
    <t>Beurt sneeuwruimten maandag - vrijdag</t>
  </si>
  <si>
    <t>Beurt gladheidsbestrijding feestdag</t>
  </si>
  <si>
    <t>Beurt sneeuwruimten feestdag</t>
  </si>
  <si>
    <t>Beurt sneeuwruimten zaterdag / zondag</t>
  </si>
  <si>
    <t>Beurt gladheidsbestrijding zaterdag / zondag</t>
  </si>
  <si>
    <t>Kosten Kantoren extra werk</t>
  </si>
  <si>
    <r>
      <t xml:space="preserve">Machine kosten 
per jaar </t>
    </r>
    <r>
      <rPr>
        <sz val="12"/>
        <color theme="0"/>
        <rFont val="Century Gothic"/>
        <family val="2"/>
      </rPr>
      <t>*</t>
    </r>
  </si>
  <si>
    <t>Type 50 maandag t/m vrijdag</t>
  </si>
  <si>
    <t>03.30 - 06.00 uur</t>
  </si>
  <si>
    <t>06.00 - 07.00 uur</t>
  </si>
  <si>
    <t>Type 50 zaterdag / zondag</t>
  </si>
  <si>
    <t>Type 30 maandag t/m vrijdag</t>
  </si>
  <si>
    <t>Type 30  zaterdag / zondag</t>
  </si>
  <si>
    <t>Type 60 maandag t/m vrijdag</t>
  </si>
  <si>
    <t>Type 60 zaterdag / zondag</t>
  </si>
  <si>
    <t>Aantal afvalbakken</t>
  </si>
  <si>
    <t>Evenementen</t>
  </si>
  <si>
    <t>Prijs per afvalbak 
per dag</t>
  </si>
  <si>
    <t>Totaalkosten per dag</t>
  </si>
  <si>
    <t>In overleg</t>
  </si>
  <si>
    <t>Productie kosten per jaar</t>
  </si>
  <si>
    <t xml:space="preserve">Toezicht uren per jaar </t>
  </si>
  <si>
    <t xml:space="preserve">Subtotaal evenementen </t>
  </si>
  <si>
    <t>Totaaloverzicht Evenementen Schoonmaak</t>
  </si>
  <si>
    <t>Reinigen van technische ruimten, inclusief trap en pontwachtersruimte</t>
  </si>
  <si>
    <t>1x 20 + 4m2</t>
  </si>
  <si>
    <t xml:space="preserve">Aantal </t>
  </si>
  <si>
    <t>Type 50 maandag</t>
  </si>
  <si>
    <t>Type 50 dinsag t/m vrijdag</t>
  </si>
  <si>
    <t>Type 30 maandag</t>
  </si>
  <si>
    <t>Type 30 dinsdag t/m vrijdag</t>
  </si>
  <si>
    <t>03.30 - 07.00 uur</t>
  </si>
  <si>
    <t>Type 60 maandag</t>
  </si>
  <si>
    <t>Type 60 dinsdag t/m vrijdag</t>
  </si>
  <si>
    <t>Uren per jaar  Reistijd</t>
  </si>
  <si>
    <t>Uren per jaar  schoonmaak</t>
  </si>
  <si>
    <t>Uren reistijd  per jaar per ronde</t>
  </si>
  <si>
    <t xml:space="preserve">Aan de aantallen en omzet van dit tabblad kunnen geen rechten ontleent worden. </t>
  </si>
  <si>
    <t>Kosten per container op afroep</t>
  </si>
  <si>
    <t xml:space="preserve">Leveren afvalzakken </t>
  </si>
  <si>
    <t xml:space="preserve">Glas </t>
  </si>
  <si>
    <t xml:space="preserve">Electrische apparaten, kabels en accu's </t>
  </si>
  <si>
    <t>Prijs per stuk excl. btw</t>
  </si>
  <si>
    <t>Subtotaal afvalcontainer 770 liter</t>
  </si>
  <si>
    <t>Integraal uurtarief excl. BTW*</t>
  </si>
  <si>
    <t xml:space="preserve">* Dit betreft een interaal uurtareif, zonder gebruik van hulpmiddelen </t>
  </si>
  <si>
    <t>Incl. minivrachtwagen tot 3.500kg</t>
  </si>
  <si>
    <t>Excl. minivrachtwagen tot 3.500kg</t>
  </si>
  <si>
    <t>Leveren, ledigen (1 x p wk) en reinigen (indien noodzakelijk)</t>
  </si>
  <si>
    <t>Ledigen (1 x p wk) en reinigen (indien noodzakelijk)</t>
  </si>
  <si>
    <t>Het geheel nat reinigen en drogen incl. reinigen met RVS reiniger</t>
  </si>
  <si>
    <t xml:space="preserve">Reingen PID-palen bij de aanlegpunten (totaal 11 stuks) </t>
  </si>
  <si>
    <t xml:space="preserve">Dagelijks opwarmen van blikken soep in een pan voor ca 10 personen. van oktober t/m april </t>
  </si>
  <si>
    <t>* Het dek is beschermd met een ruwe beschermlaag die beschadigd kan worden door reiniging met machines. Andere methoden dan handmatig zijn niet toegestaan.</t>
  </si>
  <si>
    <t>Het inzetten van dekken met daartoe geeigend product, handmatig schrobben*, afzuigen en conform wetgeving afvoeren van het afvalwater</t>
  </si>
  <si>
    <t>Toegevoegd nav NvI 1</t>
  </si>
  <si>
    <t>Omschrijving buitengebied 
PID-palen</t>
  </si>
  <si>
    <t>IJplein feestdag</t>
  </si>
  <si>
    <t xml:space="preserve">** Frequenties zijn een indicatie, hieraan kunnen geen rechten worden ontleend. </t>
  </si>
  <si>
    <t>Zie bijlage 1a activiteitenoverzicht specialistische werkzaamheden, tabblad  Verenponten en werkplaats</t>
  </si>
  <si>
    <t>Zie bijlage 1a activiteitenoverzicht specialistische werkzaamheden, tabblad technische ruimten</t>
  </si>
  <si>
    <t>Uurlonen per 1 april 2023</t>
  </si>
  <si>
    <t>Prijs per KG excl. BTW</t>
  </si>
  <si>
    <t>Prijs per rit excl. BTW</t>
  </si>
  <si>
    <t>Specificatie</t>
  </si>
  <si>
    <t>Verpakkings eenheid</t>
  </si>
  <si>
    <t>Zeepflacon foam</t>
  </si>
  <si>
    <t>PH-neutraal en 100% biologisch afbreekbaar. Licht geparfumeerd</t>
  </si>
  <si>
    <t>Papieren handdoekjes circa 23 x 23 cm</t>
  </si>
  <si>
    <t>Chloorvrij geproduceerd</t>
  </si>
  <si>
    <t>Rollengte minimaal 100 meter, vellengte minimaal 12 cm, chloorvrij geproduceerd</t>
  </si>
  <si>
    <t>Uurtarief*</t>
  </si>
  <si>
    <t>uurtarief*</t>
  </si>
  <si>
    <t>2021-42a</t>
  </si>
  <si>
    <t>Uren toezicht</t>
  </si>
  <si>
    <t>Subtotaal toezicht IJ-Veren</t>
  </si>
  <si>
    <t xml:space="preserve">Uren toezicht
per jaar </t>
  </si>
  <si>
    <t>Versie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</si>
</sst>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s>
  <fonts count="112">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b/>
      <sz val="10"/>
      <color rgb="FF000090"/>
      <name val="Century Gothic"/>
      <family val="2"/>
    </font>
    <font>
      <sz val="10"/>
      <color rgb="FF000000"/>
      <name val="Century Gothic"/>
      <family val="2"/>
    </font>
    <font>
      <sz val="8"/>
      <name val="MS Sans Serif"/>
    </font>
    <font>
      <sz val="12"/>
      <color theme="0"/>
      <name val="Century Gothic"/>
      <family val="2"/>
    </font>
    <font>
      <sz val="10"/>
      <color indexed="23"/>
      <name val="Century Gothic"/>
      <family val="2"/>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00B0F0"/>
        <bgColor indexed="64"/>
      </patternFill>
    </fill>
    <fill>
      <patternFill patternType="solid">
        <fgColor rgb="FF0AAAFF"/>
        <bgColor rgb="FF000000"/>
      </patternFill>
    </fill>
    <fill>
      <patternFill patternType="solid">
        <fgColor theme="2" tint="-0.249977111117893"/>
        <bgColor rgb="FF000000"/>
      </patternFill>
    </fill>
    <fill>
      <patternFill patternType="solid">
        <fgColor theme="0" tint="-0.14999847407452621"/>
        <bgColor indexed="64"/>
      </patternFill>
    </fill>
    <fill>
      <patternFill patternType="solid">
        <fgColor rgb="FF92D05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AAAFF"/>
      </left>
      <right/>
      <top style="medium">
        <color rgb="FF0AAAFF"/>
      </top>
      <bottom/>
      <diagonal/>
    </border>
    <border>
      <left/>
      <right/>
      <top style="medium">
        <color rgb="FF0AAAFF"/>
      </top>
      <bottom/>
      <diagonal/>
    </border>
    <border>
      <left style="medium">
        <color rgb="FF0AAAFF"/>
      </left>
      <right/>
      <top/>
      <bottom/>
      <diagonal/>
    </border>
    <border>
      <left style="medium">
        <color rgb="FF0AAAFF"/>
      </left>
      <right/>
      <top/>
      <bottom style="medium">
        <color rgb="FF0AAAFF"/>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734">
    <xf numFmtId="0" fontId="0" fillId="0" borderId="0" xfId="0"/>
    <xf numFmtId="0" fontId="64" fillId="0" borderId="0" xfId="0" applyFont="1"/>
    <xf numFmtId="0" fontId="66" fillId="0" borderId="0" xfId="14" applyFont="1" applyProtection="1">
      <protection hidden="1"/>
    </xf>
    <xf numFmtId="0" fontId="66" fillId="0" borderId="0" xfId="0" applyFont="1"/>
    <xf numFmtId="2" fontId="66" fillId="0" borderId="0" xfId="12" applyNumberFormat="1" applyFont="1" applyProtection="1">
      <protection hidden="1"/>
    </xf>
    <xf numFmtId="0" fontId="66" fillId="0" borderId="0" xfId="14" applyFont="1" applyAlignment="1" applyProtection="1">
      <alignment vertical="center"/>
      <protection hidden="1"/>
    </xf>
    <xf numFmtId="0" fontId="67" fillId="0" borderId="0" xfId="14" applyFont="1" applyAlignment="1" applyProtection="1">
      <alignment horizontal="center" vertical="center"/>
      <protection hidden="1"/>
    </xf>
    <xf numFmtId="0" fontId="67" fillId="0" borderId="0" xfId="14" applyFont="1" applyAlignment="1" applyProtection="1">
      <alignment horizontal="right" vertical="center"/>
      <protection hidden="1"/>
    </xf>
    <xf numFmtId="177" fontId="66" fillId="0" borderId="0" xfId="12" applyNumberFormat="1" applyFont="1" applyAlignment="1" applyProtection="1">
      <alignment vertical="center"/>
      <protection hidden="1"/>
    </xf>
    <xf numFmtId="176" fontId="70" fillId="0" borderId="0" xfId="14" applyNumberFormat="1" applyFont="1" applyAlignment="1" applyProtection="1">
      <alignment vertical="center"/>
      <protection hidden="1"/>
    </xf>
    <xf numFmtId="176" fontId="66" fillId="0" borderId="0" xfId="14" applyNumberFormat="1" applyFont="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Alignment="1" applyProtection="1">
      <alignment horizontal="center" vertical="center"/>
      <protection hidden="1"/>
    </xf>
    <xf numFmtId="177" fontId="66" fillId="0" borderId="0" xfId="12" applyNumberFormat="1" applyFont="1" applyAlignment="1" applyProtection="1">
      <alignment horizontal="right" vertical="center"/>
      <protection hidden="1"/>
    </xf>
    <xf numFmtId="9" fontId="71" fillId="0" borderId="0" xfId="12" applyNumberFormat="1" applyFont="1" applyAlignment="1" applyProtection="1">
      <alignment horizontal="center" vertical="center"/>
      <protection hidden="1"/>
    </xf>
    <xf numFmtId="177" fontId="71" fillId="0" borderId="0" xfId="12" applyNumberFormat="1" applyFont="1" applyAlignment="1" applyProtection="1">
      <alignment vertical="center"/>
      <protection hidden="1"/>
    </xf>
    <xf numFmtId="0" fontId="65" fillId="0" borderId="0" xfId="14" applyFont="1" applyAlignment="1" applyProtection="1">
      <alignment horizontal="left" vertical="center"/>
      <protection hidden="1"/>
    </xf>
    <xf numFmtId="0" fontId="70" fillId="0" borderId="0" xfId="14" applyFont="1" applyAlignment="1" applyProtection="1">
      <alignment vertical="center"/>
      <protection hidden="1"/>
    </xf>
    <xf numFmtId="0" fontId="70" fillId="0" borderId="0" xfId="14" applyFont="1" applyAlignment="1" applyProtection="1">
      <alignment horizontal="left" vertical="center"/>
      <protection hidden="1"/>
    </xf>
    <xf numFmtId="2" fontId="70" fillId="0" borderId="0" xfId="14" applyNumberFormat="1" applyFont="1" applyAlignment="1" applyProtection="1">
      <alignment horizontal="right" vertical="center"/>
      <protection hidden="1"/>
    </xf>
    <xf numFmtId="2" fontId="66" fillId="0" borderId="0" xfId="0" applyNumberFormat="1" applyFont="1" applyAlignment="1">
      <alignment vertical="center"/>
    </xf>
    <xf numFmtId="176" fontId="70" fillId="0" borderId="0" xfId="14" applyNumberFormat="1" applyFont="1" applyAlignment="1" applyProtection="1">
      <alignment vertical="center"/>
      <protection locked="0"/>
    </xf>
    <xf numFmtId="176" fontId="72" fillId="0" borderId="0" xfId="14" applyNumberFormat="1" applyFont="1" applyAlignment="1" applyProtection="1">
      <alignment vertical="center"/>
      <protection hidden="1"/>
    </xf>
    <xf numFmtId="0" fontId="65" fillId="0" borderId="0" xfId="14" applyFont="1" applyAlignment="1" applyProtection="1">
      <alignment vertical="center"/>
      <protection hidden="1"/>
    </xf>
    <xf numFmtId="2" fontId="65" fillId="0" borderId="0" xfId="14" applyNumberFormat="1" applyFont="1" applyAlignment="1" applyProtection="1">
      <alignment vertical="center"/>
      <protection hidden="1"/>
    </xf>
    <xf numFmtId="0" fontId="66" fillId="0" borderId="0" xfId="0" applyFont="1" applyAlignment="1">
      <alignment vertical="center"/>
    </xf>
    <xf numFmtId="0" fontId="73" fillId="0" borderId="0" xfId="14" applyFont="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xf numFmtId="0" fontId="66" fillId="0" borderId="0" xfId="14" applyFont="1" applyAlignment="1" applyProtection="1">
      <alignment horizontal="right" vertical="center"/>
      <protection hidden="1"/>
    </xf>
    <xf numFmtId="0" fontId="71" fillId="0" borderId="0" xfId="14" applyFont="1" applyAlignment="1" applyProtection="1">
      <alignment vertical="center"/>
      <protection hidden="1"/>
    </xf>
    <xf numFmtId="177" fontId="65" fillId="0" borderId="0" xfId="14" applyNumberFormat="1" applyFont="1" applyAlignment="1" applyProtection="1">
      <alignment vertical="center"/>
      <protection hidden="1"/>
    </xf>
    <xf numFmtId="10" fontId="65" fillId="0" borderId="0" xfId="0" applyNumberFormat="1" applyFont="1"/>
    <xf numFmtId="0" fontId="74" fillId="0" borderId="0" xfId="14" applyFont="1" applyProtection="1">
      <protection hidden="1"/>
    </xf>
    <xf numFmtId="0" fontId="68" fillId="0" borderId="0" xfId="14" applyFont="1" applyProtection="1">
      <protection hidden="1"/>
    </xf>
    <xf numFmtId="2" fontId="75" fillId="0" borderId="0" xfId="0" applyNumberFormat="1" applyFont="1"/>
    <xf numFmtId="0" fontId="74" fillId="0" borderId="0" xfId="64" applyFont="1"/>
    <xf numFmtId="0" fontId="66" fillId="0" borderId="0" xfId="64" applyFont="1"/>
    <xf numFmtId="49" fontId="76" fillId="0" borderId="0" xfId="63" applyNumberFormat="1" applyFont="1" applyAlignment="1" applyProtection="1">
      <alignment horizontal="left" vertical="top"/>
      <protection hidden="1"/>
    </xf>
    <xf numFmtId="2" fontId="78" fillId="0" borderId="0" xfId="64" applyNumberFormat="1" applyFont="1"/>
    <xf numFmtId="0" fontId="78" fillId="0" borderId="0" xfId="64" applyFont="1"/>
    <xf numFmtId="2" fontId="78" fillId="0" borderId="0" xfId="64" applyNumberFormat="1" applyFont="1" applyAlignment="1">
      <alignment horizontal="left"/>
    </xf>
    <xf numFmtId="49" fontId="78" fillId="0" borderId="0" xfId="64" applyNumberFormat="1" applyFont="1"/>
    <xf numFmtId="0" fontId="78" fillId="0" borderId="0" xfId="64" applyFont="1" applyAlignment="1">
      <alignment horizontal="left"/>
    </xf>
    <xf numFmtId="0" fontId="80" fillId="61" borderId="5" xfId="64" applyFont="1" applyFill="1" applyBorder="1"/>
    <xf numFmtId="0" fontId="77" fillId="61" borderId="6" xfId="64" applyFont="1" applyFill="1" applyBorder="1"/>
    <xf numFmtId="0" fontId="77" fillId="61" borderId="6" xfId="64" applyFont="1" applyFill="1" applyBorder="1" applyAlignment="1">
      <alignment horizontal="left"/>
    </xf>
    <xf numFmtId="0" fontId="78" fillId="61" borderId="7" xfId="64" applyFont="1" applyFill="1" applyBorder="1" applyAlignment="1">
      <alignment horizontal="left"/>
    </xf>
    <xf numFmtId="0" fontId="66" fillId="0" borderId="0" xfId="64" applyFont="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43" fontId="66" fillId="2" borderId="0" xfId="64" applyNumberFormat="1" applyFont="1" applyFill="1"/>
    <xf numFmtId="0" fontId="66" fillId="0" borderId="6" xfId="64" applyFont="1" applyBorder="1"/>
    <xf numFmtId="166" fontId="66" fillId="0" borderId="1" xfId="19" applyFont="1" applyFill="1" applyBorder="1" applyAlignment="1" applyProtection="1">
      <alignment horizontal="center" vertical="center"/>
      <protection hidden="1"/>
    </xf>
    <xf numFmtId="0" fontId="71" fillId="0" borderId="0" xfId="63" applyFont="1" applyAlignment="1" applyProtection="1">
      <alignment horizontal="left"/>
      <protection hidden="1"/>
    </xf>
    <xf numFmtId="0" fontId="65" fillId="0" borderId="0" xfId="63" applyFont="1" applyAlignment="1" applyProtection="1">
      <alignment horizontal="left"/>
      <protection hidden="1"/>
    </xf>
    <xf numFmtId="49" fontId="66" fillId="0" borderId="0" xfId="64" applyNumberFormat="1" applyFont="1"/>
    <xf numFmtId="10" fontId="66" fillId="0" borderId="0" xfId="64" applyNumberFormat="1" applyFont="1" applyAlignment="1">
      <alignment horizontal="left"/>
    </xf>
    <xf numFmtId="178" fontId="66" fillId="0" borderId="2" xfId="7" applyNumberFormat="1" applyFont="1" applyFill="1" applyBorder="1" applyAlignment="1">
      <alignment horizontal="left"/>
    </xf>
    <xf numFmtId="0" fontId="66" fillId="2" borderId="0" xfId="64" applyFont="1" applyFill="1"/>
    <xf numFmtId="44" fontId="66" fillId="2" borderId="0" xfId="64" applyNumberFormat="1" applyFont="1" applyFill="1"/>
    <xf numFmtId="44" fontId="66" fillId="0" borderId="0" xfId="64" applyNumberFormat="1" applyFont="1"/>
    <xf numFmtId="49" fontId="81" fillId="61" borderId="5" xfId="64" applyNumberFormat="1" applyFont="1" applyFill="1" applyBorder="1"/>
    <xf numFmtId="0" fontId="81" fillId="61" borderId="6" xfId="64" applyFont="1" applyFill="1" applyBorder="1"/>
    <xf numFmtId="9" fontId="81" fillId="61" borderId="6" xfId="17" applyFont="1" applyFill="1" applyBorder="1" applyAlignment="1">
      <alignment horizontal="center"/>
    </xf>
    <xf numFmtId="44" fontId="81" fillId="61" borderId="7" xfId="64" applyNumberFormat="1" applyFont="1" applyFill="1" applyBorder="1"/>
    <xf numFmtId="49" fontId="82" fillId="0" borderId="0" xfId="64" applyNumberFormat="1" applyFont="1"/>
    <xf numFmtId="2" fontId="83" fillId="0" borderId="0" xfId="64" applyNumberFormat="1" applyFont="1"/>
    <xf numFmtId="1" fontId="82" fillId="0" borderId="0" xfId="64" applyNumberFormat="1" applyFont="1" applyAlignment="1">
      <alignment horizontal="left"/>
    </xf>
    <xf numFmtId="49" fontId="66" fillId="0" borderId="0" xfId="63" applyNumberFormat="1" applyFont="1" applyAlignment="1" applyProtection="1">
      <alignment horizontal="left" vertical="top"/>
      <protection hidden="1"/>
    </xf>
    <xf numFmtId="0" fontId="66" fillId="0" borderId="0" xfId="63" applyFont="1" applyAlignment="1" applyProtection="1">
      <alignment horizontal="center" vertical="justify"/>
      <protection hidden="1"/>
    </xf>
    <xf numFmtId="0" fontId="66" fillId="0" borderId="0" xfId="63" applyFont="1" applyAlignment="1" applyProtection="1">
      <alignment horizontal="left" vertical="justify"/>
      <protection hidden="1"/>
    </xf>
    <xf numFmtId="0" fontId="83" fillId="0" borderId="0" xfId="64" applyFont="1"/>
    <xf numFmtId="49" fontId="66" fillId="0" borderId="0" xfId="63" applyNumberFormat="1" applyFont="1" applyAlignment="1" applyProtection="1">
      <alignment horizontal="left"/>
      <protection hidden="1"/>
    </xf>
    <xf numFmtId="0" fontId="71" fillId="0" borderId="0" xfId="63" applyFont="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Border="1" applyAlignment="1" applyProtection="1">
      <alignment horizontal="left"/>
      <protection hidden="1"/>
    </xf>
    <xf numFmtId="49" fontId="66" fillId="2" borderId="0" xfId="63" applyNumberFormat="1" applyFont="1" applyFill="1" applyAlignment="1" applyProtection="1">
      <alignment horizontal="left"/>
      <protection hidden="1"/>
    </xf>
    <xf numFmtId="49" fontId="71" fillId="0" borderId="0" xfId="63" applyNumberFormat="1" applyFont="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49" fontId="71" fillId="0" borderId="0" xfId="64" applyNumberFormat="1" applyFont="1"/>
    <xf numFmtId="179" fontId="71" fillId="0" borderId="0" xfId="63" applyNumberFormat="1" applyFont="1" applyAlignment="1" applyProtection="1">
      <alignment horizontal="left"/>
      <protection hidden="1"/>
    </xf>
    <xf numFmtId="49" fontId="71" fillId="0" borderId="5" xfId="64" applyNumberFormat="1" applyFont="1" applyBorder="1"/>
    <xf numFmtId="49" fontId="71" fillId="0" borderId="6" xfId="64" applyNumberFormat="1" applyFont="1" applyBorder="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0" fontId="68" fillId="0" borderId="0" xfId="90" applyFont="1"/>
    <xf numFmtId="167" fontId="66" fillId="0" borderId="0" xfId="9" applyFont="1"/>
    <xf numFmtId="2" fontId="82" fillId="0" borderId="0" xfId="13" applyNumberFormat="1" applyFont="1"/>
    <xf numFmtId="188" fontId="84" fillId="0" borderId="0" xfId="64" applyNumberFormat="1" applyFont="1" applyAlignment="1">
      <alignment horizontal="left"/>
    </xf>
    <xf numFmtId="0" fontId="66" fillId="0" borderId="0" xfId="0" applyFont="1" applyAlignment="1">
      <alignment horizontal="center" vertical="center"/>
    </xf>
    <xf numFmtId="0" fontId="66" fillId="0" borderId="0" xfId="18" applyFont="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xf numFmtId="3" fontId="72" fillId="0" borderId="0" xfId="13" applyNumberFormat="1" applyFont="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66" fillId="0" borderId="0" xfId="18" applyFont="1" applyAlignment="1">
      <alignment horizontal="center" vertical="center"/>
    </xf>
    <xf numFmtId="0" fontId="70" fillId="0" borderId="0" xfId="18" applyFont="1"/>
    <xf numFmtId="0" fontId="66" fillId="0" borderId="1" xfId="0" applyFont="1" applyBorder="1" applyAlignment="1">
      <alignment vertical="center"/>
    </xf>
    <xf numFmtId="0" fontId="66" fillId="0" borderId="1" xfId="0" applyFont="1" applyBorder="1" applyAlignment="1">
      <alignment horizontal="center" vertical="center"/>
    </xf>
    <xf numFmtId="49" fontId="66" fillId="0" borderId="1" xfId="0" applyNumberFormat="1" applyFont="1" applyBorder="1" applyAlignment="1">
      <alignment horizontal="center"/>
    </xf>
    <xf numFmtId="0" fontId="66" fillId="0" borderId="1" xfId="0" applyFont="1" applyBorder="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49" fontId="75" fillId="0" borderId="1" xfId="18" applyNumberFormat="1" applyFont="1" applyBorder="1" applyAlignment="1">
      <alignment horizontal="center"/>
    </xf>
    <xf numFmtId="0" fontId="75" fillId="0" borderId="1" xfId="18" applyFont="1" applyBorder="1" applyAlignment="1">
      <alignment horizontal="left"/>
    </xf>
    <xf numFmtId="1" fontId="66" fillId="0" borderId="1" xfId="0" applyNumberFormat="1" applyFont="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Border="1" applyAlignment="1">
      <alignment horizontal="center" vertical="center" wrapText="1"/>
    </xf>
    <xf numFmtId="1" fontId="75" fillId="0" borderId="6" xfId="0" applyNumberFormat="1" applyFont="1" applyBorder="1" applyAlignment="1">
      <alignment horizontal="center" vertical="center" wrapText="1"/>
    </xf>
    <xf numFmtId="1" fontId="75" fillId="0" borderId="7" xfId="0" applyNumberFormat="1" applyFont="1" applyBorder="1" applyAlignment="1">
      <alignment horizontal="center" vertical="center" wrapText="1"/>
    </xf>
    <xf numFmtId="49" fontId="82" fillId="0" borderId="0" xfId="13" applyNumberFormat="1" applyFont="1"/>
    <xf numFmtId="2" fontId="83" fillId="0" borderId="0" xfId="13" applyNumberFormat="1" applyFont="1"/>
    <xf numFmtId="0" fontId="81" fillId="61" borderId="1" xfId="0" applyFont="1" applyFill="1" applyBorder="1" applyAlignment="1">
      <alignment wrapText="1"/>
    </xf>
    <xf numFmtId="0" fontId="81" fillId="61" borderId="1" xfId="0" applyFont="1" applyFill="1" applyBorder="1"/>
    <xf numFmtId="1" fontId="75" fillId="0" borderId="1" xfId="62" applyNumberFormat="1" applyFont="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xf numFmtId="167" fontId="71" fillId="0" borderId="0" xfId="9" applyFont="1"/>
    <xf numFmtId="2" fontId="82" fillId="0" borderId="0" xfId="0" applyNumberFormat="1" applyFont="1" applyAlignment="1">
      <alignment horizontal="left"/>
    </xf>
    <xf numFmtId="2" fontId="77" fillId="0" borderId="0" xfId="13" applyNumberFormat="1" applyFont="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Border="1"/>
    <xf numFmtId="174" fontId="66" fillId="0" borderId="1" xfId="0" applyNumberFormat="1" applyFont="1" applyBorder="1" applyAlignment="1">
      <alignment horizontal="left"/>
    </xf>
    <xf numFmtId="2" fontId="66" fillId="0" borderId="1" xfId="0" applyNumberFormat="1" applyFont="1" applyBorder="1" applyAlignment="1">
      <alignment horizontal="right"/>
    </xf>
    <xf numFmtId="1" fontId="86" fillId="0" borderId="1" xfId="0" applyNumberFormat="1" applyFont="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Border="1"/>
    <xf numFmtId="0" fontId="66" fillId="0" borderId="7" xfId="0" applyFont="1" applyBorder="1"/>
    <xf numFmtId="174" fontId="66" fillId="0" borderId="10" xfId="0" applyNumberFormat="1" applyFont="1" applyBorder="1" applyAlignment="1">
      <alignment horizontal="left"/>
    </xf>
    <xf numFmtId="0" fontId="66" fillId="0" borderId="10" xfId="0" applyFont="1" applyBorder="1"/>
    <xf numFmtId="1" fontId="66" fillId="0" borderId="1" xfId="0" applyNumberFormat="1" applyFont="1" applyBorder="1" applyAlignment="1">
      <alignment horizontal="right"/>
    </xf>
    <xf numFmtId="1" fontId="66" fillId="0" borderId="10" xfId="0" applyNumberFormat="1" applyFont="1" applyBorder="1" applyAlignment="1">
      <alignment horizontal="center"/>
    </xf>
    <xf numFmtId="2" fontId="66" fillId="0" borderId="8" xfId="0" applyNumberFormat="1" applyFont="1" applyBorder="1"/>
    <xf numFmtId="1" fontId="66" fillId="0" borderId="8" xfId="0" applyNumberFormat="1" applyFont="1" applyBorder="1" applyAlignment="1">
      <alignment horizontal="center"/>
    </xf>
    <xf numFmtId="174" fontId="66" fillId="0" borderId="8" xfId="0" applyNumberFormat="1" applyFont="1" applyBorder="1" applyAlignment="1">
      <alignment horizontal="left"/>
    </xf>
    <xf numFmtId="0" fontId="66" fillId="0" borderId="8" xfId="9" applyNumberFormat="1" applyFont="1" applyFill="1" applyBorder="1" applyAlignment="1"/>
    <xf numFmtId="0" fontId="66" fillId="0" borderId="8" xfId="0" applyFont="1" applyBorder="1"/>
    <xf numFmtId="2" fontId="66" fillId="0" borderId="8" xfId="0" applyNumberFormat="1" applyFont="1" applyBorder="1" applyAlignment="1">
      <alignment horizontal="right"/>
    </xf>
    <xf numFmtId="1" fontId="86" fillId="0" borderId="8" xfId="0" applyNumberFormat="1" applyFont="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xf numFmtId="1" fontId="66" fillId="0" borderId="0" xfId="0" applyNumberFormat="1" applyFont="1" applyAlignment="1">
      <alignment horizontal="center"/>
    </xf>
    <xf numFmtId="174" fontId="66" fillId="0" borderId="0" xfId="0" applyNumberFormat="1" applyFont="1" applyAlignment="1">
      <alignment horizontal="left"/>
    </xf>
    <xf numFmtId="0" fontId="66" fillId="0" borderId="0" xfId="9" applyNumberFormat="1" applyFont="1" applyFill="1" applyBorder="1" applyAlignment="1"/>
    <xf numFmtId="2" fontId="66" fillId="0" borderId="0" xfId="0" applyNumberFormat="1" applyFont="1" applyAlignment="1">
      <alignment horizontal="right"/>
    </xf>
    <xf numFmtId="1" fontId="86" fillId="0" borderId="0" xfId="0" applyNumberFormat="1" applyFont="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86" fillId="0" borderId="0" xfId="0" applyFont="1"/>
    <xf numFmtId="0" fontId="71" fillId="0" borderId="0" xfId="0" applyFont="1" applyAlignment="1">
      <alignment horizontal="center"/>
    </xf>
    <xf numFmtId="2" fontId="66" fillId="0" borderId="0" xfId="14" applyNumberFormat="1" applyFont="1" applyAlignment="1" applyProtection="1">
      <alignment vertical="center"/>
      <protection hidden="1"/>
    </xf>
    <xf numFmtId="2" fontId="77" fillId="0" borderId="0" xfId="14" applyNumberFormat="1" applyFont="1" applyAlignment="1" applyProtection="1">
      <alignment vertical="center"/>
      <protection locked="0"/>
    </xf>
    <xf numFmtId="2" fontId="66" fillId="0" borderId="3" xfId="12" applyNumberFormat="1" applyFont="1" applyBorder="1" applyProtection="1">
      <protection hidden="1"/>
    </xf>
    <xf numFmtId="2" fontId="66" fillId="0" borderId="5" xfId="12" applyNumberFormat="1" applyFont="1" applyBorder="1" applyProtection="1">
      <protection hidden="1"/>
    </xf>
    <xf numFmtId="2" fontId="66" fillId="0" borderId="7" xfId="12" applyNumberFormat="1" applyFont="1" applyBorder="1" applyProtection="1">
      <protection hidden="1"/>
    </xf>
    <xf numFmtId="0" fontId="66" fillId="0" borderId="5" xfId="0" applyFont="1" applyBorder="1"/>
    <xf numFmtId="177" fontId="66" fillId="2" borderId="0" xfId="12" applyNumberFormat="1" applyFont="1" applyFill="1" applyAlignment="1" applyProtection="1">
      <alignment vertical="center"/>
      <protection hidden="1"/>
    </xf>
    <xf numFmtId="0" fontId="71" fillId="0" borderId="5" xfId="0" applyFont="1" applyBorder="1"/>
    <xf numFmtId="0" fontId="71" fillId="0" borderId="7" xfId="0" applyFont="1" applyBorder="1"/>
    <xf numFmtId="177" fontId="71" fillId="0" borderId="1" xfId="12" applyNumberFormat="1" applyFont="1" applyBorder="1" applyAlignment="1" applyProtection="1">
      <alignment vertical="center"/>
      <protection hidden="1"/>
    </xf>
    <xf numFmtId="177" fontId="66" fillId="0" borderId="1" xfId="12" applyNumberFormat="1" applyFont="1" applyBorder="1" applyAlignment="1" applyProtection="1">
      <alignment vertical="center"/>
      <protection hidden="1"/>
    </xf>
    <xf numFmtId="10" fontId="71" fillId="0" borderId="7" xfId="0" applyNumberFormat="1" applyFont="1" applyBorder="1"/>
    <xf numFmtId="0" fontId="65" fillId="0" borderId="3" xfId="14" applyFont="1" applyBorder="1" applyAlignment="1" applyProtection="1">
      <alignment horizontal="left" vertical="center"/>
      <protection hidden="1"/>
    </xf>
    <xf numFmtId="2" fontId="71" fillId="0" borderId="1" xfId="12" applyNumberFormat="1" applyFont="1" applyBorder="1" applyAlignment="1" applyProtection="1">
      <alignment horizontal="center"/>
      <protection hidden="1"/>
    </xf>
    <xf numFmtId="179" fontId="70" fillId="0" borderId="1" xfId="14" applyNumberFormat="1" applyFont="1" applyBorder="1" applyAlignment="1" applyProtection="1">
      <alignment horizontal="left" vertical="center"/>
      <protection hidden="1"/>
    </xf>
    <xf numFmtId="179" fontId="70" fillId="0" borderId="12" xfId="14" applyNumberFormat="1" applyFont="1" applyBorder="1" applyAlignment="1" applyProtection="1">
      <alignment horizontal="left" vertical="center"/>
      <protection hidden="1"/>
    </xf>
    <xf numFmtId="0" fontId="66" fillId="0" borderId="5" xfId="12" applyFont="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Protection="1">
      <protection hidden="1"/>
    </xf>
    <xf numFmtId="10" fontId="65" fillId="0" borderId="0" xfId="17" applyNumberFormat="1" applyFont="1" applyFill="1" applyBorder="1" applyAlignment="1"/>
    <xf numFmtId="179" fontId="66" fillId="0" borderId="0" xfId="14" applyNumberFormat="1" applyFont="1" applyAlignment="1" applyProtection="1">
      <alignment vertical="center"/>
      <protection hidden="1"/>
    </xf>
    <xf numFmtId="0" fontId="70" fillId="0" borderId="1" xfId="14" applyFont="1" applyBorder="1" applyAlignment="1" applyProtection="1">
      <alignment horizontal="left" vertical="center"/>
      <protection hidden="1"/>
    </xf>
    <xf numFmtId="0" fontId="65" fillId="0" borderId="1" xfId="14" applyFont="1" applyBorder="1" applyAlignment="1" applyProtection="1">
      <alignment vertical="center"/>
      <protection hidden="1"/>
    </xf>
    <xf numFmtId="0" fontId="73" fillId="0" borderId="1" xfId="14" applyFont="1" applyBorder="1" applyAlignment="1" applyProtection="1">
      <alignment vertical="center"/>
      <protection hidden="1"/>
    </xf>
    <xf numFmtId="0" fontId="66" fillId="0" borderId="1" xfId="14" applyFont="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Alignment="1">
      <alignment horizontal="left" indent="3"/>
    </xf>
    <xf numFmtId="0" fontId="64" fillId="0" borderId="0" xfId="0" applyFont="1" applyAlignment="1">
      <alignment horizontal="left" indent="1"/>
    </xf>
    <xf numFmtId="180" fontId="64" fillId="0" borderId="0" xfId="0" applyNumberFormat="1" applyFont="1"/>
    <xf numFmtId="179" fontId="64" fillId="0" borderId="0" xfId="0" applyNumberFormat="1" applyFont="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Protection="1">
      <protection hidden="1"/>
    </xf>
    <xf numFmtId="0" fontId="90" fillId="0" borderId="0" xfId="14" applyFont="1" applyAlignment="1" applyProtection="1">
      <alignment horizontal="center"/>
      <protection hidden="1"/>
    </xf>
    <xf numFmtId="0" fontId="90" fillId="0" borderId="0" xfId="14" applyFont="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xf numFmtId="0" fontId="91" fillId="0" borderId="0" xfId="0" applyFont="1" applyAlignment="1">
      <alignment horizontal="center" vertical="center"/>
    </xf>
    <xf numFmtId="175" fontId="91" fillId="0" borderId="0" xfId="0" applyNumberFormat="1" applyFont="1" applyAlignment="1">
      <alignment horizontal="center" vertical="center"/>
    </xf>
    <xf numFmtId="1" fontId="78" fillId="0" borderId="0" xfId="0" applyNumberFormat="1" applyFont="1" applyAlignment="1">
      <alignment horizontal="left"/>
    </xf>
    <xf numFmtId="2" fontId="92" fillId="0" borderId="0" xfId="14" applyNumberFormat="1" applyFont="1" applyAlignment="1" applyProtection="1">
      <alignment horizontal="right"/>
      <protection hidden="1"/>
    </xf>
    <xf numFmtId="2" fontId="92" fillId="0" borderId="0" xfId="14" applyNumberFormat="1" applyFont="1" applyAlignment="1" applyProtection="1">
      <alignment horizontal="center"/>
      <protection hidden="1"/>
    </xf>
    <xf numFmtId="0" fontId="66" fillId="0" borderId="0" xfId="0" applyFont="1" applyAlignment="1">
      <alignment vertical="top" wrapText="1"/>
    </xf>
    <xf numFmtId="2" fontId="72" fillId="0" borderId="0" xfId="0" applyNumberFormat="1" applyFont="1" applyAlignment="1">
      <alignment horizontal="center" vertical="center"/>
    </xf>
    <xf numFmtId="175" fontId="72" fillId="0" borderId="0" xfId="0" applyNumberFormat="1" applyFont="1" applyAlignment="1">
      <alignment horizontal="center" vertical="center"/>
    </xf>
    <xf numFmtId="2" fontId="92" fillId="0" borderId="0" xfId="14" applyNumberFormat="1" applyFont="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Border="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2" fontId="70" fillId="0" borderId="1" xfId="4" applyNumberFormat="1" applyFont="1" applyFill="1" applyBorder="1" applyAlignment="1" applyProtection="1">
      <protection hidden="1"/>
    </xf>
    <xf numFmtId="175" fontId="72" fillId="0" borderId="9" xfId="0" applyNumberFormat="1" applyFont="1" applyBorder="1" applyAlignment="1">
      <alignment horizontal="center" vertical="center"/>
    </xf>
    <xf numFmtId="1" fontId="71" fillId="0" borderId="1" xfId="14" applyNumberFormat="1" applyFont="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69" fontId="70" fillId="35" borderId="1" xfId="4" applyFont="1" applyFill="1" applyBorder="1" applyAlignment="1" applyProtection="1">
      <protection locked="0"/>
    </xf>
    <xf numFmtId="175" fontId="72" fillId="0" borderId="11" xfId="0" applyNumberFormat="1" applyFont="1" applyBorder="1" applyAlignment="1">
      <alignment horizontal="center" vertical="center"/>
    </xf>
    <xf numFmtId="2" fontId="95" fillId="0" borderId="6" xfId="14" applyNumberFormat="1" applyFont="1" applyBorder="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Border="1" applyProtection="1">
      <protection hidden="1"/>
    </xf>
    <xf numFmtId="0" fontId="95" fillId="0" borderId="6" xfId="14" applyFont="1" applyBorder="1" applyProtection="1">
      <protection hidden="1"/>
    </xf>
    <xf numFmtId="0" fontId="95" fillId="0" borderId="7" xfId="14" applyFont="1" applyBorder="1" applyAlignment="1" applyProtection="1">
      <alignment horizontal="right"/>
      <protection hidden="1"/>
    </xf>
    <xf numFmtId="169" fontId="70" fillId="0" borderId="1" xfId="4" applyFont="1" applyFill="1" applyBorder="1" applyAlignment="1" applyProtection="1">
      <protection locked="0"/>
    </xf>
    <xf numFmtId="0" fontId="96" fillId="0" borderId="6" xfId="14" applyFont="1" applyBorder="1" applyAlignment="1" applyProtection="1">
      <alignment horizontal="right"/>
      <protection hidden="1"/>
    </xf>
    <xf numFmtId="0" fontId="96" fillId="0" borderId="7" xfId="14" applyFont="1" applyBorder="1" applyAlignment="1" applyProtection="1">
      <alignment horizontal="right"/>
      <protection hidden="1"/>
    </xf>
    <xf numFmtId="169" fontId="70" fillId="0" borderId="1" xfId="4" applyFont="1" applyFill="1" applyBorder="1" applyAlignment="1" applyProtection="1">
      <protection hidden="1"/>
    </xf>
    <xf numFmtId="0" fontId="70" fillId="0" borderId="5" xfId="14" applyFont="1" applyBorder="1" applyProtection="1">
      <protection hidden="1"/>
    </xf>
    <xf numFmtId="10" fontId="96" fillId="0" borderId="6" xfId="14" applyNumberFormat="1" applyFont="1" applyBorder="1" applyAlignment="1" applyProtection="1">
      <alignment horizontal="right"/>
      <protection hidden="1"/>
    </xf>
    <xf numFmtId="0" fontId="95" fillId="0" borderId="6" xfId="14" applyFont="1" applyBorder="1" applyAlignment="1" applyProtection="1">
      <alignment horizontal="center"/>
      <protection hidden="1"/>
    </xf>
    <xf numFmtId="0" fontId="97" fillId="0" borderId="5" xfId="14" applyFont="1" applyBorder="1" applyProtection="1">
      <protection hidden="1"/>
    </xf>
    <xf numFmtId="2" fontId="98" fillId="0" borderId="0" xfId="14" applyNumberFormat="1" applyFont="1" applyAlignment="1" applyProtection="1">
      <alignment horizontal="center"/>
      <protection hidden="1"/>
    </xf>
    <xf numFmtId="175" fontId="68" fillId="0" borderId="11" xfId="0" applyNumberFormat="1" applyFont="1" applyBorder="1" applyAlignment="1">
      <alignment horizontal="center" vertical="center"/>
    </xf>
    <xf numFmtId="175" fontId="95" fillId="0" borderId="7" xfId="17" applyNumberFormat="1" applyFont="1" applyFill="1" applyBorder="1" applyAlignment="1" applyProtection="1">
      <alignment horizontal="right"/>
      <protection hidden="1"/>
    </xf>
    <xf numFmtId="169" fontId="95" fillId="0" borderId="6" xfId="14" applyNumberFormat="1" applyFont="1" applyBorder="1" applyAlignment="1" applyProtection="1">
      <alignment horizontal="center"/>
      <protection hidden="1"/>
    </xf>
    <xf numFmtId="165" fontId="95" fillId="0" borderId="6" xfId="14" applyNumberFormat="1" applyFont="1" applyBorder="1" applyAlignment="1" applyProtection="1">
      <alignment horizontal="center"/>
      <protection hidden="1"/>
    </xf>
    <xf numFmtId="2" fontId="70" fillId="0" borderId="1" xfId="4" applyNumberFormat="1" applyFont="1" applyFill="1" applyBorder="1" applyAlignment="1" applyProtection="1">
      <alignment horizontal="right"/>
      <protection locked="0"/>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Border="1" applyAlignment="1" applyProtection="1">
      <alignment horizontal="right"/>
      <protection hidden="1"/>
    </xf>
    <xf numFmtId="0" fontId="99" fillId="0" borderId="0" xfId="0" applyFont="1"/>
    <xf numFmtId="0" fontId="99" fillId="0" borderId="9" xfId="0" applyFont="1" applyBorder="1" applyAlignment="1">
      <alignment horizontal="right"/>
    </xf>
    <xf numFmtId="175" fontId="66" fillId="0" borderId="0" xfId="0" applyNumberFormat="1" applyFont="1"/>
    <xf numFmtId="0" fontId="74" fillId="0" borderId="5" xfId="14" applyFont="1" applyBorder="1" applyProtection="1">
      <protection hidden="1"/>
    </xf>
    <xf numFmtId="169" fontId="96" fillId="0" borderId="6" xfId="14" applyNumberFormat="1" applyFont="1" applyBorder="1" applyProtection="1">
      <protection hidden="1"/>
    </xf>
    <xf numFmtId="169" fontId="96" fillId="0" borderId="7" xfId="14" applyNumberFormat="1" applyFont="1" applyBorder="1" applyAlignment="1" applyProtection="1">
      <alignment horizontal="right"/>
      <protection hidden="1"/>
    </xf>
    <xf numFmtId="179" fontId="74" fillId="0" borderId="1" xfId="6" applyNumberFormat="1" applyFont="1" applyFill="1" applyBorder="1" applyAlignment="1" applyProtection="1">
      <protection hidden="1"/>
    </xf>
    <xf numFmtId="179" fontId="68" fillId="0" borderId="0" xfId="0" applyNumberFormat="1" applyFont="1"/>
    <xf numFmtId="0" fontId="96" fillId="0" borderId="0" xfId="0" applyFont="1"/>
    <xf numFmtId="0" fontId="96" fillId="0" borderId="11" xfId="0" applyFont="1" applyBorder="1" applyAlignment="1">
      <alignment horizontal="right"/>
    </xf>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xf numFmtId="2" fontId="83" fillId="0" borderId="0" xfId="0" applyNumberFormat="1" applyFont="1"/>
    <xf numFmtId="0" fontId="100" fillId="0" borderId="0" xfId="14" applyFont="1" applyAlignment="1" applyProtection="1">
      <alignment horizontal="right"/>
      <protection hidden="1"/>
    </xf>
    <xf numFmtId="1" fontId="83" fillId="0" borderId="0" xfId="0" applyNumberFormat="1" applyFont="1" applyAlignment="1">
      <alignment horizontal="left"/>
    </xf>
    <xf numFmtId="2" fontId="100" fillId="0" borderId="0" xfId="14" applyNumberFormat="1" applyFont="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1" fillId="61" borderId="6" xfId="14" applyNumberFormat="1" applyFont="1" applyFill="1" applyBorder="1" applyAlignment="1" applyProtection="1">
      <alignment horizontal="center" wrapText="1"/>
      <protection hidden="1"/>
    </xf>
    <xf numFmtId="2" fontId="101" fillId="61" borderId="7" xfId="14" applyNumberFormat="1" applyFont="1" applyFill="1" applyBorder="1" applyAlignment="1" applyProtection="1">
      <alignment horizontal="right" wrapText="1"/>
      <protection hidden="1"/>
    </xf>
    <xf numFmtId="2" fontId="101" fillId="61" borderId="5" xfId="14" applyNumberFormat="1" applyFont="1" applyFill="1" applyBorder="1" applyAlignment="1" applyProtection="1">
      <alignment horizontal="left" vertical="center" wrapText="1"/>
      <protection hidden="1"/>
    </xf>
    <xf numFmtId="0" fontId="102" fillId="0" borderId="6" xfId="14" applyFont="1" applyBorder="1" applyAlignment="1" applyProtection="1">
      <alignment horizontal="center"/>
      <protection hidden="1"/>
    </xf>
    <xf numFmtId="9" fontId="71" fillId="61" borderId="1" xfId="66" applyFont="1" applyFill="1" applyBorder="1" applyAlignment="1">
      <alignment horizontal="center"/>
    </xf>
    <xf numFmtId="169" fontId="102" fillId="0" borderId="6" xfId="14" applyNumberFormat="1" applyFont="1" applyBorder="1" applyProtection="1">
      <protection hidden="1"/>
    </xf>
    <xf numFmtId="0" fontId="69" fillId="0" borderId="0" xfId="0" applyFont="1"/>
    <xf numFmtId="0" fontId="69" fillId="0" borderId="0" xfId="0" applyFont="1" applyAlignment="1">
      <alignment wrapText="1"/>
    </xf>
    <xf numFmtId="0" fontId="86" fillId="0" borderId="1" xfId="0" applyFont="1" applyBorder="1"/>
    <xf numFmtId="0" fontId="66" fillId="0" borderId="1" xfId="0" applyFont="1" applyBorder="1" applyAlignment="1">
      <alignment horizontal="center"/>
    </xf>
    <xf numFmtId="0" fontId="71" fillId="0" borderId="6" xfId="0" applyFont="1" applyBorder="1"/>
    <xf numFmtId="0" fontId="81" fillId="61" borderId="1" xfId="60" applyFont="1" applyFill="1" applyBorder="1" applyAlignment="1">
      <alignment horizontal="left" vertical="top" wrapText="1"/>
    </xf>
    <xf numFmtId="0" fontId="72" fillId="0" borderId="0" xfId="15" applyFont="1"/>
    <xf numFmtId="2" fontId="72" fillId="0" borderId="0" xfId="15" applyNumberFormat="1" applyFont="1"/>
    <xf numFmtId="0" fontId="66" fillId="0" borderId="1" xfId="11" applyFont="1" applyBorder="1"/>
    <xf numFmtId="0" fontId="66" fillId="0" borderId="0" xfId="11" applyFont="1"/>
    <xf numFmtId="0" fontId="66" fillId="0" borderId="6" xfId="11" applyFont="1" applyBorder="1"/>
    <xf numFmtId="0" fontId="66" fillId="0" borderId="2" xfId="11" applyFont="1" applyBorder="1"/>
    <xf numFmtId="0" fontId="66" fillId="0" borderId="0" xfId="0" applyFont="1" applyAlignment="1">
      <alignment horizontal="left" vertical="center" indent="6"/>
    </xf>
    <xf numFmtId="0" fontId="66" fillId="0" borderId="5" xfId="10" applyFont="1" applyBorder="1" applyAlignment="1" applyProtection="1">
      <alignment horizontal="left"/>
      <protection hidden="1"/>
    </xf>
    <xf numFmtId="0" fontId="66" fillId="0" borderId="7" xfId="10" applyFont="1" applyBorder="1" applyAlignment="1" applyProtection="1">
      <alignment horizontal="left"/>
      <protection hidden="1"/>
    </xf>
    <xf numFmtId="0" fontId="66" fillId="0" borderId="1" xfId="10" applyFont="1" applyBorder="1" applyAlignment="1" applyProtection="1">
      <alignment horizontal="left"/>
      <protection hidden="1"/>
    </xf>
    <xf numFmtId="0" fontId="66" fillId="0" borderId="1" xfId="10" applyFont="1" applyBorder="1" applyAlignment="1" applyProtection="1">
      <alignment horizontal="center"/>
      <protection hidden="1"/>
    </xf>
    <xf numFmtId="0" fontId="71" fillId="0" borderId="0" xfId="10" applyFont="1" applyAlignment="1" applyProtection="1">
      <alignment horizontal="left" vertical="center"/>
      <protection hidden="1"/>
    </xf>
    <xf numFmtId="0" fontId="66" fillId="0" borderId="6" xfId="10" applyFont="1" applyBorder="1" applyAlignment="1" applyProtection="1">
      <alignment horizontal="left" vertical="top"/>
      <protection hidden="1"/>
    </xf>
    <xf numFmtId="0" fontId="66" fillId="0" borderId="7" xfId="10" applyFont="1" applyBorder="1" applyAlignment="1" applyProtection="1">
      <alignment horizontal="center" vertical="top"/>
      <protection hidden="1"/>
    </xf>
    <xf numFmtId="0" fontId="66" fillId="0" borderId="1" xfId="10" applyFont="1" applyBorder="1" applyAlignment="1" applyProtection="1">
      <alignment horizontal="left" vertical="center"/>
      <protection hidden="1"/>
    </xf>
    <xf numFmtId="0" fontId="66" fillId="0" borderId="1" xfId="10" applyFont="1" applyBorder="1" applyAlignment="1" applyProtection="1">
      <alignment horizontal="left" wrapText="1"/>
      <protection hidden="1"/>
    </xf>
    <xf numFmtId="0" fontId="66" fillId="0" borderId="7" xfId="10" applyFont="1" applyBorder="1" applyAlignment="1" applyProtection="1">
      <alignment horizontal="left" wrapText="1"/>
      <protection hidden="1"/>
    </xf>
    <xf numFmtId="0" fontId="66" fillId="0" borderId="1" xfId="10" applyFont="1" applyBorder="1" applyAlignment="1" applyProtection="1">
      <alignment horizontal="right"/>
      <protection hidden="1"/>
    </xf>
    <xf numFmtId="0" fontId="85" fillId="61" borderId="6" xfId="11" applyFont="1" applyFill="1" applyBorder="1"/>
    <xf numFmtId="0" fontId="85" fillId="61" borderId="7" xfId="11" applyFont="1" applyFill="1" applyBorder="1"/>
    <xf numFmtId="0" fontId="68" fillId="0" borderId="0" xfId="14" applyFont="1" applyAlignment="1" applyProtection="1">
      <alignment horizontal="center"/>
      <protection hidden="1"/>
    </xf>
    <xf numFmtId="173" fontId="66" fillId="0" borderId="0" xfId="9" applyNumberFormat="1" applyFont="1" applyFill="1" applyAlignment="1" applyProtection="1">
      <protection hidden="1"/>
    </xf>
    <xf numFmtId="0" fontId="66" fillId="0" borderId="0" xfId="85" applyFont="1"/>
    <xf numFmtId="0" fontId="67" fillId="0" borderId="0" xfId="14" applyFont="1" applyProtection="1">
      <protection hidden="1"/>
    </xf>
    <xf numFmtId="0" fontId="66" fillId="0" borderId="1" xfId="104" applyFont="1" applyBorder="1" applyAlignment="1">
      <alignment vertical="top" wrapText="1"/>
    </xf>
    <xf numFmtId="175" fontId="67" fillId="0" borderId="0" xfId="4" applyNumberFormat="1" applyFont="1" applyFill="1" applyBorder="1" applyAlignment="1" applyProtection="1">
      <alignment horizontal="center"/>
      <protection hidden="1"/>
    </xf>
    <xf numFmtId="169" fontId="67" fillId="0" borderId="0" xfId="4" applyFont="1" applyFill="1" applyBorder="1" applyAlignment="1" applyProtection="1">
      <alignment horizontal="center"/>
      <protection hidden="1"/>
    </xf>
    <xf numFmtId="0" fontId="67" fillId="0" borderId="0" xfId="14" applyFont="1" applyAlignment="1" applyProtection="1">
      <alignment horizontal="center"/>
      <protection hidden="1"/>
    </xf>
    <xf numFmtId="0" fontId="66" fillId="0" borderId="0" xfId="85" applyFont="1" applyAlignment="1">
      <alignment horizontal="center" vertical="center"/>
    </xf>
    <xf numFmtId="175" fontId="66" fillId="0" borderId="0" xfId="85" applyNumberFormat="1" applyFont="1" applyAlignment="1">
      <alignment horizontal="center" vertical="center"/>
    </xf>
    <xf numFmtId="2" fontId="77" fillId="0" borderId="0" xfId="85" applyNumberFormat="1" applyFont="1"/>
    <xf numFmtId="173" fontId="67" fillId="0" borderId="0" xfId="9" applyNumberFormat="1" applyFont="1" applyFill="1" applyBorder="1" applyAlignment="1" applyProtection="1">
      <alignment horizontal="center"/>
      <protection hidden="1"/>
    </xf>
    <xf numFmtId="0" fontId="66" fillId="0" borderId="0" xfId="104" applyFont="1"/>
    <xf numFmtId="2" fontId="66" fillId="0" borderId="1" xfId="85" applyNumberFormat="1" applyFont="1" applyBorder="1"/>
    <xf numFmtId="44" fontId="66" fillId="0" borderId="1" xfId="67" applyFont="1" applyBorder="1" applyAlignment="1">
      <alignment vertical="top" wrapText="1"/>
    </xf>
    <xf numFmtId="49" fontId="66" fillId="0" borderId="1" xfId="104" applyNumberFormat="1" applyFont="1" applyBorder="1" applyAlignment="1">
      <alignment horizontal="center" vertical="top" wrapText="1"/>
    </xf>
    <xf numFmtId="166" fontId="66" fillId="0" borderId="1" xfId="105" applyFont="1" applyBorder="1" applyAlignment="1">
      <alignment vertical="top" wrapText="1"/>
    </xf>
    <xf numFmtId="0" fontId="66" fillId="0" borderId="1" xfId="104" applyFont="1" applyBorder="1" applyAlignment="1">
      <alignment vertical="top"/>
    </xf>
    <xf numFmtId="0" fontId="66" fillId="0" borderId="0" xfId="104" applyFont="1" applyAlignment="1">
      <alignment horizontal="center"/>
    </xf>
    <xf numFmtId="173" fontId="66" fillId="0" borderId="0" xfId="9" applyNumberFormat="1" applyFont="1"/>
    <xf numFmtId="167" fontId="66" fillId="0" borderId="0" xfId="106" applyFont="1"/>
    <xf numFmtId="0" fontId="71" fillId="0" borderId="0" xfId="14" applyFont="1" applyAlignment="1" applyProtection="1">
      <alignment horizontal="right"/>
      <protection hidden="1"/>
    </xf>
    <xf numFmtId="2" fontId="66" fillId="0" borderId="0" xfId="14" applyNumberFormat="1" applyFont="1" applyAlignment="1" applyProtection="1">
      <alignment horizontal="right"/>
      <protection hidden="1"/>
    </xf>
    <xf numFmtId="2" fontId="71" fillId="0" borderId="0" xfId="14" applyNumberFormat="1" applyFont="1" applyAlignment="1" applyProtection="1">
      <alignment horizontal="right"/>
      <protection hidden="1"/>
    </xf>
    <xf numFmtId="173" fontId="81" fillId="61" borderId="4" xfId="9" applyNumberFormat="1" applyFont="1" applyFill="1" applyBorder="1" applyAlignment="1">
      <alignment vertical="top" wrapText="1"/>
    </xf>
    <xf numFmtId="0" fontId="66" fillId="0" borderId="0" xfId="98" applyFont="1"/>
    <xf numFmtId="2" fontId="77" fillId="0" borderId="0" xfId="64" applyNumberFormat="1" applyFont="1"/>
    <xf numFmtId="190" fontId="79" fillId="0" borderId="0" xfId="64" applyNumberFormat="1" applyFont="1" applyAlignment="1">
      <alignment horizontal="left"/>
    </xf>
    <xf numFmtId="0" fontId="66" fillId="0" borderId="0" xfId="85" applyFont="1" applyAlignment="1">
      <alignment wrapText="1"/>
    </xf>
    <xf numFmtId="0" fontId="70" fillId="0" borderId="4" xfId="63" applyFont="1" applyBorder="1" applyAlignment="1" applyProtection="1">
      <alignment horizontal="left" textRotation="90"/>
      <protection hidden="1"/>
    </xf>
    <xf numFmtId="0" fontId="70" fillId="0" borderId="0" xfId="63" applyFont="1" applyAlignment="1" applyProtection="1">
      <alignment horizontal="left" textRotation="90"/>
      <protection hidden="1"/>
    </xf>
    <xf numFmtId="0" fontId="65" fillId="0" borderId="0" xfId="63" applyFont="1" applyAlignment="1" applyProtection="1">
      <alignment horizontal="left" textRotation="90"/>
      <protection hidden="1"/>
    </xf>
    <xf numFmtId="179" fontId="70" fillId="0" borderId="1" xfId="63" applyNumberFormat="1" applyFont="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0" fontId="71" fillId="0" borderId="5" xfId="85" applyFont="1" applyBorder="1"/>
    <xf numFmtId="0" fontId="71" fillId="0" borderId="6" xfId="85" applyFont="1" applyBorder="1"/>
    <xf numFmtId="0" fontId="71" fillId="0" borderId="7" xfId="85"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xf numFmtId="2" fontId="83" fillId="0" borderId="0" xfId="64" applyNumberFormat="1" applyFont="1" applyAlignment="1">
      <alignment horizontal="left"/>
    </xf>
    <xf numFmtId="0" fontId="71" fillId="0" borderId="5" xfId="14" applyFont="1" applyBorder="1" applyAlignment="1" applyProtection="1">
      <alignment vertical="center"/>
      <protection hidden="1"/>
    </xf>
    <xf numFmtId="10" fontId="71" fillId="0" borderId="1" xfId="17" applyNumberFormat="1" applyFont="1" applyFill="1" applyBorder="1" applyAlignment="1"/>
    <xf numFmtId="0" fontId="71" fillId="0" borderId="1" xfId="14" applyFont="1" applyBorder="1" applyAlignment="1" applyProtection="1">
      <alignment vertical="center"/>
      <protection hidden="1"/>
    </xf>
    <xf numFmtId="2" fontId="71" fillId="0" borderId="1" xfId="14" applyNumberFormat="1" applyFont="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Border="1" applyProtection="1">
      <protection hidden="1"/>
    </xf>
    <xf numFmtId="0" fontId="99" fillId="0" borderId="6" xfId="14" applyFont="1" applyBorder="1" applyProtection="1">
      <protection hidden="1"/>
    </xf>
    <xf numFmtId="0" fontId="99" fillId="0" borderId="7" xfId="14" applyFont="1" applyBorder="1" applyAlignment="1" applyProtection="1">
      <alignment horizontal="right"/>
      <protection hidden="1"/>
    </xf>
    <xf numFmtId="2" fontId="100" fillId="0" borderId="0" xfId="14" applyNumberFormat="1" applyFont="1" applyAlignment="1" applyProtection="1">
      <alignment horizontal="center"/>
      <protection hidden="1"/>
    </xf>
    <xf numFmtId="179" fontId="71" fillId="0" borderId="1" xfId="4" applyNumberFormat="1" applyFont="1" applyFill="1" applyBorder="1" applyAlignment="1" applyProtection="1">
      <protection hidden="1"/>
    </xf>
    <xf numFmtId="169" fontId="99" fillId="0" borderId="6" xfId="14" applyNumberFormat="1" applyFont="1" applyBorder="1" applyProtection="1">
      <protection hidden="1"/>
    </xf>
    <xf numFmtId="175" fontId="66" fillId="0" borderId="12" xfId="0" applyNumberFormat="1" applyFont="1" applyBorder="1" applyAlignment="1">
      <alignment horizontal="center" vertical="center"/>
    </xf>
    <xf numFmtId="0" fontId="68" fillId="0" borderId="5" xfId="14" applyFont="1" applyBorder="1" applyProtection="1">
      <protection hidden="1"/>
    </xf>
    <xf numFmtId="0" fontId="66" fillId="0" borderId="41" xfId="18" applyFont="1" applyBorder="1"/>
    <xf numFmtId="0" fontId="66" fillId="0" borderId="41" xfId="0" applyFont="1" applyBorder="1"/>
    <xf numFmtId="0" fontId="66" fillId="0" borderId="42" xfId="0" applyFont="1" applyBorder="1"/>
    <xf numFmtId="0" fontId="66" fillId="0" borderId="43" xfId="0" applyFont="1" applyBorder="1"/>
    <xf numFmtId="0" fontId="66" fillId="0" borderId="44"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81" fillId="61" borderId="1" xfId="0"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0" xfId="18" applyFont="1"/>
    <xf numFmtId="0" fontId="71" fillId="0" borderId="1" xfId="0" applyFont="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Border="1" applyAlignment="1">
      <alignment horizontal="left" vertical="center"/>
    </xf>
    <xf numFmtId="1" fontId="75" fillId="0" borderId="6" xfId="0" applyNumberFormat="1" applyFont="1" applyBorder="1" applyAlignment="1">
      <alignment horizontal="left" vertical="center"/>
    </xf>
    <xf numFmtId="2" fontId="103" fillId="0" borderId="0" xfId="13" applyNumberFormat="1" applyFont="1"/>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xf numFmtId="2" fontId="88" fillId="61" borderId="4" xfId="0" applyNumberFormat="1" applyFont="1" applyFill="1" applyBorder="1" applyAlignment="1">
      <alignment horizontal="center" vertical="top" wrapText="1"/>
    </xf>
    <xf numFmtId="180" fontId="66" fillId="62" borderId="1" xfId="66" applyNumberFormat="1" applyFont="1" applyFill="1" applyBorder="1" applyAlignment="1">
      <alignment horizontal="center"/>
    </xf>
    <xf numFmtId="0" fontId="68" fillId="62" borderId="1" xfId="14" applyFont="1" applyFill="1" applyBorder="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69" fontId="70" fillId="63" borderId="1" xfId="4" applyFont="1" applyFill="1" applyBorder="1" applyAlignment="1" applyProtection="1">
      <protection locked="0"/>
    </xf>
    <xf numFmtId="10" fontId="95" fillId="62" borderId="1" xfId="17" applyNumberFormat="1" applyFont="1" applyFill="1" applyBorder="1" applyAlignment="1" applyProtection="1">
      <alignment horizontal="right"/>
      <protection hidden="1"/>
    </xf>
    <xf numFmtId="0" fontId="66" fillId="62" borderId="5" xfId="14" applyFont="1" applyFill="1" applyBorder="1" applyProtection="1">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44" fontId="70" fillId="63" borderId="1" xfId="67" applyFont="1" applyFill="1" applyBorder="1" applyAlignment="1" applyProtection="1">
      <protection locked="0"/>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44" fontId="66" fillId="63" borderId="1" xfId="67" applyFont="1" applyFill="1" applyBorder="1" applyAlignment="1" applyProtection="1">
      <protection locked="0"/>
    </xf>
    <xf numFmtId="0" fontId="66" fillId="62" borderId="1" xfId="11" applyFont="1" applyFill="1" applyBorder="1"/>
    <xf numFmtId="0" fontId="66" fillId="62" borderId="6" xfId="11" applyFont="1" applyFill="1" applyBorder="1"/>
    <xf numFmtId="0" fontId="66" fillId="62" borderId="5" xfId="11" applyFont="1" applyFill="1" applyBorder="1"/>
    <xf numFmtId="3" fontId="66" fillId="0" borderId="1" xfId="9" applyNumberFormat="1" applyFont="1" applyFill="1" applyBorder="1" applyAlignment="1">
      <alignment horizontal="center" vertical="top" wrapText="1"/>
    </xf>
    <xf numFmtId="175" fontId="70" fillId="62" borderId="4" xfId="66" applyNumberFormat="1" applyFont="1" applyFill="1" applyBorder="1" applyAlignment="1" applyProtection="1">
      <alignment horizontal="center"/>
      <protection hidden="1"/>
    </xf>
    <xf numFmtId="180" fontId="71" fillId="2" borderId="1" xfId="85" applyNumberFormat="1" applyFont="1" applyFill="1" applyBorder="1" applyAlignment="1">
      <alignment vertical="top" wrapText="1"/>
    </xf>
    <xf numFmtId="2" fontId="71" fillId="2" borderId="5" xfId="85" applyNumberFormat="1" applyFont="1" applyFill="1" applyBorder="1" applyAlignment="1">
      <alignment vertical="top" wrapText="1"/>
    </xf>
    <xf numFmtId="2" fontId="71" fillId="2" borderId="7" xfId="85" applyNumberFormat="1" applyFont="1" applyFill="1" applyBorder="1" applyAlignment="1">
      <alignment vertical="top" wrapText="1"/>
    </xf>
    <xf numFmtId="3" fontId="71" fillId="2" borderId="6" xfId="9" applyNumberFormat="1" applyFont="1" applyFill="1" applyBorder="1" applyAlignment="1">
      <alignment horizontal="center" vertical="top" wrapText="1"/>
    </xf>
    <xf numFmtId="180" fontId="71" fillId="2" borderId="7" xfId="85" applyNumberFormat="1" applyFont="1" applyFill="1" applyBorder="1" applyAlignment="1">
      <alignment vertical="top" wrapText="1"/>
    </xf>
    <xf numFmtId="180" fontId="71" fillId="2" borderId="5" xfId="85" applyNumberFormat="1" applyFont="1" applyFill="1" applyBorder="1" applyAlignment="1">
      <alignment vertical="top" wrapText="1"/>
    </xf>
    <xf numFmtId="2" fontId="71" fillId="2" borderId="6" xfId="85" applyNumberFormat="1" applyFont="1" applyFill="1" applyBorder="1" applyAlignment="1">
      <alignment vertical="top" wrapText="1"/>
    </xf>
    <xf numFmtId="2" fontId="66" fillId="0" borderId="0" xfId="14" applyNumberFormat="1" applyFont="1" applyProtection="1">
      <protection hidden="1"/>
    </xf>
    <xf numFmtId="166" fontId="66" fillId="0" borderId="0" xfId="19" applyFont="1" applyFill="1" applyBorder="1" applyAlignment="1" applyProtection="1">
      <protection hidden="1"/>
    </xf>
    <xf numFmtId="2" fontId="66" fillId="0" borderId="5" xfId="14" applyNumberFormat="1" applyFont="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66" fontId="66" fillId="0" borderId="1" xfId="19" applyFont="1" applyBorder="1" applyAlignment="1">
      <alignment horizontal="center" vertical="top" wrapText="1"/>
    </xf>
    <xf numFmtId="2" fontId="81" fillId="61" borderId="4" xfId="85" applyNumberFormat="1" applyFont="1" applyFill="1" applyBorder="1" applyAlignment="1">
      <alignment horizontal="left" vertical="top" wrapText="1"/>
    </xf>
    <xf numFmtId="2" fontId="81" fillId="61" borderId="4" xfId="85" applyNumberFormat="1" applyFont="1" applyFill="1" applyBorder="1" applyAlignment="1">
      <alignment vertical="top" wrapText="1"/>
    </xf>
    <xf numFmtId="0" fontId="71" fillId="0" borderId="0" xfId="104" applyFont="1"/>
    <xf numFmtId="2" fontId="81" fillId="64" borderId="4" xfId="85" applyNumberFormat="1" applyFont="1" applyFill="1" applyBorder="1" applyAlignment="1">
      <alignment vertical="top" wrapText="1"/>
    </xf>
    <xf numFmtId="198" fontId="66" fillId="62" borderId="1" xfId="9" applyNumberFormat="1" applyFont="1" applyFill="1" applyBorder="1" applyAlignment="1">
      <alignment horizontal="center"/>
    </xf>
    <xf numFmtId="2" fontId="84" fillId="0" borderId="0" xfId="64" applyNumberFormat="1" applyFont="1"/>
    <xf numFmtId="0" fontId="69" fillId="0" borderId="45" xfId="0" applyFont="1" applyBorder="1"/>
    <xf numFmtId="2" fontId="101" fillId="61" borderId="46" xfId="14" applyNumberFormat="1" applyFont="1" applyFill="1" applyBorder="1" applyAlignment="1" applyProtection="1">
      <alignment horizontal="left" vertical="center" wrapText="1"/>
      <protection hidden="1"/>
    </xf>
    <xf numFmtId="2" fontId="66" fillId="0" borderId="46" xfId="14" applyNumberFormat="1" applyFont="1" applyBorder="1" applyProtection="1">
      <protection hidden="1"/>
    </xf>
    <xf numFmtId="1" fontId="71" fillId="0" borderId="47" xfId="14" applyNumberFormat="1" applyFont="1" applyBorder="1" applyAlignment="1" applyProtection="1">
      <alignment horizontal="center"/>
      <protection hidden="1"/>
    </xf>
    <xf numFmtId="166" fontId="66" fillId="0" borderId="46" xfId="19" applyFont="1" applyFill="1" applyBorder="1" applyAlignment="1" applyProtection="1">
      <protection hidden="1"/>
    </xf>
    <xf numFmtId="166" fontId="66" fillId="0" borderId="47" xfId="19" applyFont="1" applyFill="1" applyBorder="1" applyAlignment="1" applyProtection="1">
      <protection hidden="1"/>
    </xf>
    <xf numFmtId="0" fontId="71" fillId="0" borderId="47" xfId="0" applyFont="1" applyBorder="1"/>
    <xf numFmtId="166" fontId="71" fillId="0" borderId="47" xfId="19" applyFont="1" applyBorder="1"/>
    <xf numFmtId="2" fontId="88" fillId="61" borderId="38"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9" fontId="66" fillId="2" borderId="1" xfId="66" applyFont="1" applyFill="1" applyBorder="1" applyAlignment="1">
      <alignment horizontal="center"/>
    </xf>
    <xf numFmtId="0" fontId="105" fillId="0" borderId="0" xfId="64" applyFont="1"/>
    <xf numFmtId="0" fontId="69" fillId="0" borderId="0" xfId="64" applyFont="1"/>
    <xf numFmtId="0" fontId="88" fillId="2" borderId="0" xfId="0" applyFont="1" applyFill="1" applyAlignment="1">
      <alignment horizontal="center"/>
    </xf>
    <xf numFmtId="0" fontId="88" fillId="0" borderId="0" xfId="14" applyFont="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Alignment="1" applyProtection="1">
      <alignment horizontal="right" vertical="center"/>
      <protection hidden="1"/>
    </xf>
    <xf numFmtId="2" fontId="88" fillId="0" borderId="0" xfId="14" applyNumberFormat="1" applyFont="1" applyAlignment="1" applyProtection="1">
      <alignment vertical="center"/>
      <protection hidden="1"/>
    </xf>
    <xf numFmtId="0" fontId="88" fillId="0" borderId="0" xfId="14" applyFont="1" applyAlignment="1" applyProtection="1">
      <alignment vertical="center"/>
      <protection hidden="1"/>
    </xf>
    <xf numFmtId="0" fontId="88" fillId="0" borderId="0" xfId="0" applyFont="1"/>
    <xf numFmtId="0" fontId="66" fillId="0" borderId="52" xfId="0" applyFont="1" applyBorder="1"/>
    <xf numFmtId="0" fontId="81" fillId="61" borderId="53" xfId="0" applyFont="1" applyFill="1" applyBorder="1" applyAlignment="1">
      <alignment wrapText="1"/>
    </xf>
    <xf numFmtId="0" fontId="66" fillId="0" borderId="54" xfId="0" applyFont="1" applyBorder="1"/>
    <xf numFmtId="0" fontId="66" fillId="0" borderId="55" xfId="0" applyFont="1" applyBorder="1"/>
    <xf numFmtId="0" fontId="66" fillId="2" borderId="0" xfId="18" applyFont="1" applyFill="1"/>
    <xf numFmtId="0" fontId="66" fillId="0" borderId="45" xfId="0" applyFont="1" applyBorder="1" applyAlignment="1">
      <alignment horizontal="left"/>
    </xf>
    <xf numFmtId="0" fontId="66" fillId="0" borderId="46" xfId="0" applyFont="1" applyBorder="1"/>
    <xf numFmtId="169" fontId="97" fillId="2" borderId="1" xfId="4" applyFont="1" applyFill="1" applyBorder="1" applyAlignment="1" applyProtection="1">
      <alignment horizontal="right"/>
      <protection locked="0"/>
    </xf>
    <xf numFmtId="175" fontId="106" fillId="0" borderId="11" xfId="0" applyNumberFormat="1" applyFont="1" applyBorder="1" applyAlignment="1">
      <alignment horizontal="center" vertical="center"/>
    </xf>
    <xf numFmtId="0" fontId="82" fillId="0" borderId="0" xfId="13" applyFont="1"/>
    <xf numFmtId="1" fontId="71" fillId="0" borderId="47"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0" fontId="66" fillId="0" borderId="5" xfId="10" applyFont="1" applyBorder="1" applyAlignment="1" applyProtection="1">
      <alignment horizontal="left" vertical="center"/>
      <protection hidden="1"/>
    </xf>
    <xf numFmtId="0" fontId="66" fillId="0" borderId="0" xfId="13" applyFont="1"/>
    <xf numFmtId="178" fontId="66" fillId="0" borderId="0" xfId="13" applyNumberFormat="1" applyFont="1" applyAlignment="1">
      <alignment horizontal="right"/>
    </xf>
    <xf numFmtId="2" fontId="66" fillId="0" borderId="0" xfId="13" applyNumberFormat="1" applyFont="1"/>
    <xf numFmtId="188" fontId="88" fillId="0" borderId="0" xfId="64" applyNumberFormat="1" applyFont="1" applyAlignment="1">
      <alignment horizontal="left"/>
    </xf>
    <xf numFmtId="0" fontId="81" fillId="65" borderId="46" xfId="13" applyFont="1" applyFill="1" applyBorder="1"/>
    <xf numFmtId="0" fontId="81" fillId="65" borderId="48" xfId="13" applyFont="1" applyFill="1" applyBorder="1"/>
    <xf numFmtId="0" fontId="81" fillId="65" borderId="48" xfId="13" applyFont="1" applyFill="1" applyBorder="1" applyAlignment="1">
      <alignment horizontal="left"/>
    </xf>
    <xf numFmtId="0" fontId="85" fillId="65" borderId="45" xfId="13" applyFont="1" applyFill="1" applyBorder="1" applyAlignment="1">
      <alignment horizontal="left"/>
    </xf>
    <xf numFmtId="0" fontId="66" fillId="0" borderId="0" xfId="0" applyFont="1" applyAlignment="1">
      <alignment vertical="top"/>
    </xf>
    <xf numFmtId="166" fontId="66" fillId="0" borderId="0" xfId="13" applyNumberFormat="1" applyFont="1"/>
    <xf numFmtId="0" fontId="81" fillId="61" borderId="48" xfId="13" applyFont="1" applyFill="1" applyBorder="1"/>
    <xf numFmtId="0" fontId="81" fillId="61" borderId="45" xfId="13" applyFont="1" applyFill="1" applyBorder="1"/>
    <xf numFmtId="0" fontId="81" fillId="65" borderId="45" xfId="13" applyFont="1" applyFill="1" applyBorder="1"/>
    <xf numFmtId="0" fontId="81" fillId="65" borderId="45" xfId="13" applyFont="1" applyFill="1" applyBorder="1" applyAlignment="1">
      <alignment horizontal="left"/>
    </xf>
    <xf numFmtId="2" fontId="66" fillId="0" borderId="0" xfId="64" applyNumberFormat="1" applyFont="1"/>
    <xf numFmtId="2" fontId="66" fillId="0" borderId="0" xfId="9" applyNumberFormat="1" applyFont="1" applyFill="1" applyBorder="1" applyAlignment="1" applyProtection="1">
      <alignment horizontal="left"/>
      <protection hidden="1"/>
    </xf>
    <xf numFmtId="2" fontId="66" fillId="2" borderId="0" xfId="64" applyNumberFormat="1" applyFont="1" applyFill="1"/>
    <xf numFmtId="2" fontId="66" fillId="0" borderId="0" xfId="63" applyNumberFormat="1" applyFont="1" applyAlignment="1" applyProtection="1">
      <alignment horizontal="left"/>
      <protection hidden="1"/>
    </xf>
    <xf numFmtId="0" fontId="107" fillId="0" borderId="0" xfId="10" applyFont="1" applyAlignment="1" applyProtection="1">
      <alignment horizontal="left" vertical="center"/>
      <protection hidden="1"/>
    </xf>
    <xf numFmtId="0" fontId="66" fillId="0" borderId="1" xfId="11" applyFont="1" applyBorder="1" applyAlignment="1">
      <alignment wrapText="1"/>
    </xf>
    <xf numFmtId="0" fontId="66" fillId="0" borderId="0" xfId="11" applyFont="1" applyAlignment="1">
      <alignment wrapText="1"/>
    </xf>
    <xf numFmtId="0" fontId="66" fillId="0" borderId="0" xfId="11" applyFont="1" applyAlignment="1">
      <alignment horizontal="left" wrapText="1"/>
    </xf>
    <xf numFmtId="179" fontId="66" fillId="0" borderId="0" xfId="11" applyNumberFormat="1" applyFont="1"/>
    <xf numFmtId="2" fontId="71" fillId="0" borderId="0" xfId="13" applyNumberFormat="1" applyFont="1"/>
    <xf numFmtId="2" fontId="66" fillId="0" borderId="0" xfId="11" applyNumberFormat="1" applyFont="1"/>
    <xf numFmtId="2" fontId="65" fillId="0" borderId="0" xfId="11" applyNumberFormat="1" applyFont="1" applyAlignment="1">
      <alignment vertical="center"/>
    </xf>
    <xf numFmtId="2" fontId="65" fillId="0" borderId="0" xfId="11" applyNumberFormat="1" applyFont="1" applyAlignment="1">
      <alignment horizontal="right" vertical="center"/>
    </xf>
    <xf numFmtId="2" fontId="65" fillId="0" borderId="0" xfId="13" applyNumberFormat="1" applyFont="1"/>
    <xf numFmtId="2" fontId="72" fillId="0" borderId="0" xfId="11" applyNumberFormat="1" applyFont="1" applyAlignment="1">
      <alignment vertical="center"/>
    </xf>
    <xf numFmtId="0" fontId="81" fillId="61" borderId="5" xfId="10" applyFont="1" applyFill="1" applyBorder="1" applyAlignment="1" applyProtection="1">
      <alignment horizontal="left" vertical="center"/>
      <protection hidden="1"/>
    </xf>
    <xf numFmtId="179" fontId="66" fillId="62" borderId="1" xfId="11" applyNumberFormat="1" applyFont="1" applyFill="1" applyBorder="1"/>
    <xf numFmtId="0" fontId="75" fillId="0" borderId="0" xfId="10" applyFont="1" applyAlignment="1" applyProtection="1">
      <alignment horizontal="left" vertical="center"/>
      <protection hidden="1"/>
    </xf>
    <xf numFmtId="179" fontId="66" fillId="66" borderId="1" xfId="11" applyNumberFormat="1" applyFont="1" applyFill="1" applyBorder="1"/>
    <xf numFmtId="0" fontId="85" fillId="61" borderId="48" xfId="11" applyFont="1" applyFill="1" applyBorder="1"/>
    <xf numFmtId="0" fontId="66" fillId="0" borderId="1" xfId="98" applyFont="1" applyBorder="1"/>
    <xf numFmtId="0" fontId="81" fillId="61" borderId="46" xfId="10" applyFont="1" applyFill="1" applyBorder="1" applyAlignment="1" applyProtection="1">
      <alignment vertical="center"/>
      <protection hidden="1"/>
    </xf>
    <xf numFmtId="0" fontId="81" fillId="61" borderId="48" xfId="10" applyFont="1" applyFill="1" applyBorder="1" applyAlignment="1" applyProtection="1">
      <alignment vertical="center"/>
      <protection hidden="1"/>
    </xf>
    <xf numFmtId="0" fontId="81" fillId="61" borderId="45" xfId="10" applyFont="1" applyFill="1" applyBorder="1" applyAlignment="1" applyProtection="1">
      <alignment vertical="center"/>
      <protection hidden="1"/>
    </xf>
    <xf numFmtId="0" fontId="108" fillId="0" borderId="1" xfId="10" applyFont="1" applyBorder="1" applyAlignment="1" applyProtection="1">
      <alignment horizontal="left"/>
      <protection hidden="1"/>
    </xf>
    <xf numFmtId="0" fontId="81" fillId="61" borderId="1" xfId="10" applyFont="1" applyFill="1" applyBorder="1" applyAlignment="1" applyProtection="1">
      <alignment horizontal="left"/>
      <protection hidden="1"/>
    </xf>
    <xf numFmtId="0" fontId="81" fillId="61" borderId="1" xfId="10" applyFont="1" applyFill="1" applyBorder="1" applyAlignment="1" applyProtection="1">
      <alignment horizontal="center"/>
      <protection hidden="1"/>
    </xf>
    <xf numFmtId="0" fontId="81" fillId="61" borderId="1" xfId="0" applyFont="1" applyFill="1" applyBorder="1" applyAlignment="1">
      <alignment horizontal="center"/>
    </xf>
    <xf numFmtId="0" fontId="66" fillId="0" borderId="46" xfId="10" applyFont="1" applyBorder="1" applyAlignment="1" applyProtection="1">
      <alignment horizontal="left"/>
      <protection hidden="1"/>
    </xf>
    <xf numFmtId="0" fontId="66" fillId="0" borderId="45" xfId="10" applyFont="1" applyBorder="1" applyAlignment="1" applyProtection="1">
      <alignment horizontal="left"/>
      <protection hidden="1"/>
    </xf>
    <xf numFmtId="0" fontId="66" fillId="0" borderId="0" xfId="11" applyFont="1" applyAlignment="1">
      <alignment horizontal="center"/>
    </xf>
    <xf numFmtId="0" fontId="72" fillId="0" borderId="0" xfId="64" applyFont="1" applyAlignment="1">
      <alignment horizontal="center"/>
    </xf>
    <xf numFmtId="2" fontId="66" fillId="0" borderId="0" xfId="64" applyNumberFormat="1" applyFont="1" applyAlignment="1">
      <alignment horizontal="left"/>
    </xf>
    <xf numFmtId="2" fontId="65" fillId="0" borderId="0" xfId="64" applyNumberFormat="1" applyFont="1"/>
    <xf numFmtId="0" fontId="72" fillId="0" borderId="0" xfId="11" applyFont="1" applyAlignment="1">
      <alignment horizontal="center" vertical="center"/>
    </xf>
    <xf numFmtId="2" fontId="65" fillId="0" borderId="0" xfId="11" applyNumberFormat="1" applyFont="1" applyAlignment="1">
      <alignment vertical="center" wrapText="1"/>
    </xf>
    <xf numFmtId="166" fontId="66" fillId="0" borderId="0" xfId="19" applyFont="1" applyFill="1" applyAlignment="1"/>
    <xf numFmtId="166" fontId="66" fillId="2" borderId="0" xfId="19" applyFont="1" applyFill="1" applyAlignment="1"/>
    <xf numFmtId="44" fontId="71" fillId="0" borderId="0" xfId="64" applyNumberFormat="1" applyFont="1"/>
    <xf numFmtId="2" fontId="66" fillId="0" borderId="0" xfId="13" applyNumberFormat="1" applyFont="1" applyAlignment="1">
      <alignment horizontal="left"/>
    </xf>
    <xf numFmtId="0" fontId="66" fillId="0" borderId="59" xfId="18" applyFont="1" applyBorder="1"/>
    <xf numFmtId="0" fontId="66" fillId="0" borderId="60" xfId="18" applyFont="1" applyBorder="1"/>
    <xf numFmtId="0" fontId="66" fillId="0" borderId="61" xfId="0" applyFont="1" applyBorder="1"/>
    <xf numFmtId="0" fontId="66" fillId="0" borderId="62" xfId="0" applyFont="1" applyBorder="1"/>
    <xf numFmtId="0" fontId="66" fillId="0" borderId="0" xfId="0" applyFont="1" applyAlignment="1">
      <alignment horizontal="center" vertical="top"/>
    </xf>
    <xf numFmtId="0" fontId="66" fillId="0" borderId="0" xfId="13" applyFont="1" applyAlignment="1">
      <alignment horizontal="center" vertical="top"/>
    </xf>
    <xf numFmtId="0" fontId="71" fillId="0" borderId="0" xfId="0" applyFont="1" applyAlignment="1">
      <alignment horizontal="center" vertical="top"/>
    </xf>
    <xf numFmtId="0" fontId="66" fillId="0" borderId="1" xfId="13" applyFont="1" applyBorder="1" applyAlignment="1">
      <alignment horizontal="center" vertical="center"/>
    </xf>
    <xf numFmtId="166" fontId="66" fillId="66" borderId="1" xfId="19" applyFont="1" applyFill="1" applyBorder="1" applyAlignment="1">
      <alignment horizontal="center" vertical="center"/>
    </xf>
    <xf numFmtId="166" fontId="66" fillId="0" borderId="1" xfId="19" applyFont="1" applyFill="1" applyBorder="1" applyAlignment="1">
      <alignment horizontal="center" vertical="center"/>
    </xf>
    <xf numFmtId="198" fontId="66" fillId="66" borderId="1" xfId="19" applyNumberFormat="1" applyFont="1" applyFill="1" applyBorder="1" applyAlignment="1">
      <alignment horizontal="center" vertical="center"/>
    </xf>
    <xf numFmtId="166" fontId="66" fillId="62" borderId="1" xfId="19" applyFont="1" applyFill="1" applyBorder="1" applyAlignment="1">
      <alignment horizontal="center" vertical="center"/>
    </xf>
    <xf numFmtId="4" fontId="66" fillId="0" borderId="1" xfId="0" applyNumberFormat="1" applyFont="1" applyBorder="1" applyAlignment="1">
      <alignment horizontal="center" vertical="center"/>
    </xf>
    <xf numFmtId="2" fontId="66" fillId="66" borderId="1" xfId="13" applyNumberFormat="1" applyFont="1" applyFill="1" applyBorder="1" applyAlignment="1">
      <alignment horizontal="center" vertical="center"/>
    </xf>
    <xf numFmtId="2" fontId="66" fillId="66" borderId="1" xfId="0" applyNumberFormat="1" applyFont="1" applyFill="1" applyBorder="1" applyAlignment="1">
      <alignment horizontal="center" vertical="center"/>
    </xf>
    <xf numFmtId="0" fontId="71" fillId="0" borderId="48" xfId="13" applyFont="1" applyBorder="1" applyAlignment="1">
      <alignment horizontal="center" vertical="center"/>
    </xf>
    <xf numFmtId="4" fontId="71" fillId="0" borderId="1" xfId="13" applyNumberFormat="1" applyFont="1" applyBorder="1" applyAlignment="1">
      <alignment horizontal="center" vertical="center"/>
    </xf>
    <xf numFmtId="166" fontId="71" fillId="0" borderId="1" xfId="19" applyFont="1" applyBorder="1" applyAlignment="1">
      <alignment horizontal="center" vertical="center"/>
    </xf>
    <xf numFmtId="166" fontId="71" fillId="0" borderId="1" xfId="19" applyFont="1" applyFill="1" applyBorder="1" applyAlignment="1">
      <alignment horizontal="center" vertical="center"/>
    </xf>
    <xf numFmtId="0" fontId="66" fillId="0" borderId="0" xfId="13" applyFont="1" applyAlignment="1">
      <alignment horizontal="center" vertical="center"/>
    </xf>
    <xf numFmtId="0" fontId="66" fillId="0" borderId="48" xfId="13" applyFont="1" applyBorder="1" applyAlignment="1">
      <alignment horizontal="center" vertical="center"/>
    </xf>
    <xf numFmtId="0" fontId="66" fillId="0" borderId="45" xfId="13" applyFont="1" applyBorder="1" applyAlignment="1">
      <alignment horizontal="center" vertical="center"/>
    </xf>
    <xf numFmtId="166" fontId="71" fillId="0" borderId="1" xfId="13" applyNumberFormat="1" applyFont="1" applyBorder="1" applyAlignment="1">
      <alignment horizontal="center" vertical="center"/>
    </xf>
    <xf numFmtId="0" fontId="81" fillId="65" borderId="46" xfId="13" applyFont="1" applyFill="1" applyBorder="1" applyAlignment="1">
      <alignment horizontal="left" vertical="center"/>
    </xf>
    <xf numFmtId="0" fontId="81" fillId="65" borderId="48" xfId="13" applyFont="1" applyFill="1" applyBorder="1" applyAlignment="1">
      <alignment horizontal="left" vertical="center"/>
    </xf>
    <xf numFmtId="0" fontId="66" fillId="0" borderId="0" xfId="13" applyFont="1" applyAlignment="1">
      <alignment horizontal="left" vertical="center"/>
    </xf>
    <xf numFmtId="0" fontId="81" fillId="61" borderId="1" xfId="13" applyFont="1" applyFill="1" applyBorder="1" applyAlignment="1">
      <alignment horizontal="left" vertical="center" wrapText="1"/>
    </xf>
    <xf numFmtId="0" fontId="66" fillId="0" borderId="1" xfId="13" applyFont="1" applyBorder="1" applyAlignment="1">
      <alignment horizontal="left" vertical="center"/>
    </xf>
    <xf numFmtId="0" fontId="71" fillId="0" borderId="46" xfId="13" applyFont="1" applyBorder="1" applyAlignment="1">
      <alignment horizontal="left" vertical="center"/>
    </xf>
    <xf numFmtId="0" fontId="66" fillId="0" borderId="48" xfId="13" applyFont="1" applyBorder="1" applyAlignment="1">
      <alignment horizontal="left" vertical="center"/>
    </xf>
    <xf numFmtId="0" fontId="81" fillId="61" borderId="1" xfId="13" applyFont="1" applyFill="1" applyBorder="1" applyAlignment="1">
      <alignment horizontal="center" vertical="center" wrapText="1"/>
    </xf>
    <xf numFmtId="0" fontId="66" fillId="0" borderId="0" xfId="13" applyFont="1" applyAlignment="1">
      <alignment horizontal="right" vertical="center"/>
    </xf>
    <xf numFmtId="0" fontId="66" fillId="0" borderId="48" xfId="13" applyFont="1" applyBorder="1" applyAlignment="1">
      <alignment horizontal="right" vertical="center"/>
    </xf>
    <xf numFmtId="0" fontId="66" fillId="0" borderId="45" xfId="13" applyFont="1" applyBorder="1" applyAlignment="1">
      <alignment horizontal="right" vertical="center"/>
    </xf>
    <xf numFmtId="166" fontId="71" fillId="0" borderId="1" xfId="13" applyNumberFormat="1" applyFont="1" applyBorder="1" applyAlignment="1">
      <alignment horizontal="right" vertical="center"/>
    </xf>
    <xf numFmtId="2" fontId="66" fillId="0" borderId="1" xfId="13" applyNumberFormat="1" applyFont="1" applyBorder="1" applyAlignment="1">
      <alignment horizontal="center" vertical="center"/>
    </xf>
    <xf numFmtId="2" fontId="66" fillId="62" borderId="1" xfId="13" applyNumberFormat="1" applyFont="1" applyFill="1" applyBorder="1" applyAlignment="1">
      <alignment horizontal="center" vertical="center"/>
    </xf>
    <xf numFmtId="0" fontId="71" fillId="0" borderId="1" xfId="13" applyFont="1" applyBorder="1" applyAlignment="1">
      <alignment horizontal="center" vertical="center"/>
    </xf>
    <xf numFmtId="0" fontId="81" fillId="65" borderId="45" xfId="13" applyFont="1" applyFill="1" applyBorder="1" applyAlignment="1">
      <alignment horizontal="left" vertical="center"/>
    </xf>
    <xf numFmtId="0" fontId="66" fillId="0" borderId="1" xfId="13" applyFont="1" applyBorder="1" applyAlignment="1">
      <alignment horizontal="left" vertical="center" wrapText="1"/>
    </xf>
    <xf numFmtId="2" fontId="71" fillId="0" borderId="1" xfId="13" applyNumberFormat="1" applyFont="1" applyBorder="1" applyAlignment="1">
      <alignment horizontal="right" vertical="center"/>
    </xf>
    <xf numFmtId="0" fontId="71" fillId="0" borderId="1" xfId="13" applyFont="1" applyBorder="1" applyAlignment="1">
      <alignment horizontal="right" vertical="center"/>
    </xf>
    <xf numFmtId="0" fontId="66" fillId="0" borderId="0" xfId="0" applyFont="1" applyAlignment="1">
      <alignment horizontal="right"/>
    </xf>
    <xf numFmtId="0" fontId="71" fillId="0" borderId="48" xfId="13" applyFont="1" applyBorder="1" applyAlignment="1">
      <alignment vertical="center"/>
    </xf>
    <xf numFmtId="0" fontId="66" fillId="67" borderId="57" xfId="90" applyFont="1" applyFill="1" applyBorder="1" applyAlignment="1">
      <alignment vertical="center"/>
    </xf>
    <xf numFmtId="0" fontId="66" fillId="67" borderId="58" xfId="90" applyFont="1" applyFill="1" applyBorder="1" applyAlignment="1">
      <alignment vertical="center"/>
    </xf>
    <xf numFmtId="173" fontId="81" fillId="61" borderId="1" xfId="9" applyNumberFormat="1" applyFont="1" applyFill="1" applyBorder="1" applyAlignment="1">
      <alignment horizontal="center" vertical="center" wrapText="1"/>
    </xf>
    <xf numFmtId="167" fontId="81" fillId="61" borderId="1" xfId="9" applyFont="1" applyFill="1" applyBorder="1" applyAlignment="1">
      <alignment horizontal="center" vertical="center" wrapText="1"/>
    </xf>
    <xf numFmtId="3" fontId="66" fillId="2" borderId="1" xfId="9" applyNumberFormat="1" applyFont="1" applyFill="1" applyBorder="1" applyAlignment="1">
      <alignment horizontal="center" vertical="center"/>
    </xf>
    <xf numFmtId="166" fontId="66" fillId="2" borderId="1" xfId="19" applyFont="1" applyFill="1" applyBorder="1" applyAlignment="1">
      <alignment horizontal="center" vertical="center"/>
    </xf>
    <xf numFmtId="0" fontId="68" fillId="0" borderId="0" xfId="90" applyFont="1" applyAlignment="1">
      <alignment vertical="center"/>
    </xf>
    <xf numFmtId="0" fontId="66" fillId="0" borderId="0" xfId="90" applyFont="1" applyAlignment="1">
      <alignment vertical="center"/>
    </xf>
    <xf numFmtId="0" fontId="81" fillId="61" borderId="10" xfId="13" applyFont="1" applyFill="1" applyBorder="1" applyAlignment="1">
      <alignment horizontal="center" vertical="center" wrapText="1"/>
    </xf>
    <xf numFmtId="167" fontId="81" fillId="61" borderId="10" xfId="9" applyFont="1" applyFill="1" applyBorder="1" applyAlignment="1">
      <alignment horizontal="center" vertical="center" wrapText="1"/>
    </xf>
    <xf numFmtId="166" fontId="66" fillId="0" borderId="1" xfId="13" applyNumberFormat="1" applyFont="1" applyBorder="1" applyAlignment="1">
      <alignment horizontal="center" vertical="center"/>
    </xf>
    <xf numFmtId="2" fontId="82" fillId="0" borderId="0" xfId="13" applyNumberFormat="1" applyFont="1" applyAlignment="1">
      <alignment horizontal="left" vertical="center"/>
    </xf>
    <xf numFmtId="166" fontId="82" fillId="0" borderId="0" xfId="19" applyFont="1" applyFill="1" applyBorder="1" applyAlignment="1">
      <alignment horizontal="left" vertical="center"/>
    </xf>
    <xf numFmtId="166" fontId="66" fillId="62" borderId="1" xfId="13" applyNumberFormat="1" applyFont="1" applyFill="1" applyBorder="1" applyAlignment="1">
      <alignment horizontal="center" vertical="center"/>
    </xf>
    <xf numFmtId="4" fontId="66" fillId="2" borderId="1" xfId="9" applyNumberFormat="1" applyFont="1" applyFill="1" applyBorder="1" applyAlignment="1">
      <alignment horizontal="center" vertical="center"/>
    </xf>
    <xf numFmtId="166" fontId="66" fillId="0" borderId="1" xfId="19" applyFont="1" applyBorder="1" applyAlignment="1">
      <alignment horizontal="center" vertical="center"/>
    </xf>
    <xf numFmtId="167" fontId="66" fillId="0" borderId="0" xfId="9" applyFont="1" applyAlignment="1">
      <alignment vertical="center"/>
    </xf>
    <xf numFmtId="0" fontId="81" fillId="61" borderId="10" xfId="13" applyFont="1" applyFill="1" applyBorder="1" applyAlignment="1">
      <alignment horizontal="left" vertical="center" wrapText="1"/>
    </xf>
    <xf numFmtId="2" fontId="66" fillId="0" borderId="0" xfId="90" applyNumberFormat="1" applyFont="1" applyAlignment="1">
      <alignment vertical="center"/>
    </xf>
    <xf numFmtId="166" fontId="66" fillId="0" borderId="0" xfId="19" applyFont="1" applyBorder="1" applyAlignment="1">
      <alignment vertical="center"/>
    </xf>
    <xf numFmtId="0" fontId="66" fillId="2" borderId="0" xfId="64" applyFont="1" applyFill="1" applyAlignment="1">
      <alignment horizontal="right"/>
    </xf>
    <xf numFmtId="49" fontId="66" fillId="0" borderId="0" xfId="63" applyNumberFormat="1" applyFont="1" applyAlignment="1" applyProtection="1">
      <alignment horizontal="right"/>
      <protection hidden="1"/>
    </xf>
    <xf numFmtId="2" fontId="82" fillId="67" borderId="56" xfId="13" applyNumberFormat="1" applyFont="1" applyFill="1" applyBorder="1" applyAlignment="1">
      <alignment vertical="center"/>
    </xf>
    <xf numFmtId="2" fontId="82" fillId="67" borderId="57" xfId="13" applyNumberFormat="1" applyFont="1" applyFill="1" applyBorder="1" applyAlignment="1">
      <alignment vertical="center"/>
    </xf>
    <xf numFmtId="2" fontId="82" fillId="67" borderId="58" xfId="13" applyNumberFormat="1" applyFont="1" applyFill="1" applyBorder="1" applyAlignment="1">
      <alignment vertical="center"/>
    </xf>
    <xf numFmtId="4" fontId="66" fillId="62" borderId="1" xfId="9" applyNumberFormat="1" applyFont="1" applyFill="1" applyBorder="1" applyAlignment="1">
      <alignment horizontal="center" vertical="center"/>
    </xf>
    <xf numFmtId="2" fontId="82" fillId="67" borderId="56" xfId="13" applyNumberFormat="1" applyFont="1" applyFill="1" applyBorder="1" applyAlignment="1">
      <alignment horizontal="left" vertical="center"/>
    </xf>
    <xf numFmtId="2" fontId="69" fillId="0" borderId="1" xfId="13" applyNumberFormat="1" applyFont="1" applyBorder="1" applyAlignment="1">
      <alignment horizontal="center" vertical="center"/>
    </xf>
    <xf numFmtId="179" fontId="66" fillId="62" borderId="1" xfId="11" applyNumberFormat="1" applyFont="1" applyFill="1" applyBorder="1" applyAlignment="1">
      <alignment horizontal="center"/>
    </xf>
    <xf numFmtId="0" fontId="66" fillId="0" borderId="1" xfId="10" applyFont="1" applyBorder="1" applyAlignment="1" applyProtection="1">
      <alignment vertical="center"/>
      <protection hidden="1"/>
    </xf>
    <xf numFmtId="0" fontId="66" fillId="0" borderId="1" xfId="10" applyFont="1" applyBorder="1" applyAlignment="1" applyProtection="1">
      <alignment horizontal="center" vertical="center"/>
      <protection hidden="1"/>
    </xf>
    <xf numFmtId="0" fontId="66" fillId="0" borderId="1" xfId="10" applyFont="1" applyBorder="1" applyAlignment="1" applyProtection="1">
      <alignment horizontal="center" wrapText="1"/>
      <protection hidden="1"/>
    </xf>
    <xf numFmtId="173" fontId="66" fillId="2" borderId="1" xfId="9" applyNumberFormat="1" applyFont="1" applyFill="1" applyBorder="1" applyAlignment="1">
      <alignment horizontal="center" vertical="center"/>
    </xf>
    <xf numFmtId="0" fontId="81" fillId="61" borderId="63" xfId="13" applyFont="1" applyFill="1" applyBorder="1" applyAlignment="1">
      <alignment horizontal="center" vertical="center" wrapText="1"/>
    </xf>
    <xf numFmtId="2" fontId="81" fillId="61" borderId="1" xfId="90" applyNumberFormat="1" applyFont="1" applyFill="1" applyBorder="1" applyAlignment="1">
      <alignment horizontal="left" vertical="center" wrapText="1"/>
    </xf>
    <xf numFmtId="2" fontId="66" fillId="0" borderId="1" xfId="90" applyNumberFormat="1" applyFont="1" applyBorder="1" applyAlignment="1">
      <alignment horizontal="left" vertical="center"/>
    </xf>
    <xf numFmtId="0" fontId="68" fillId="0" borderId="0" xfId="90" applyFont="1" applyAlignment="1">
      <alignment horizontal="left" vertical="center"/>
    </xf>
    <xf numFmtId="0" fontId="81" fillId="61" borderId="10" xfId="13" applyFont="1" applyFill="1" applyBorder="1" applyAlignment="1">
      <alignment horizontal="left" vertical="center"/>
    </xf>
    <xf numFmtId="0" fontId="71" fillId="0" borderId="1" xfId="13" applyFont="1" applyBorder="1" applyAlignment="1">
      <alignment horizontal="left" vertical="center"/>
    </xf>
    <xf numFmtId="0" fontId="71" fillId="0" borderId="48" xfId="13" applyFont="1" applyBorder="1" applyAlignment="1">
      <alignment horizontal="left" vertical="center"/>
    </xf>
    <xf numFmtId="166" fontId="71" fillId="2" borderId="1" xfId="19" applyFont="1" applyFill="1" applyBorder="1" applyAlignment="1">
      <alignment horizontal="center" vertical="center"/>
    </xf>
    <xf numFmtId="198" fontId="66" fillId="2" borderId="1" xfId="9" applyNumberFormat="1" applyFont="1" applyFill="1" applyBorder="1" applyAlignment="1">
      <alignment horizontal="center" vertical="center"/>
    </xf>
    <xf numFmtId="44" fontId="66" fillId="2" borderId="1" xfId="19" applyNumberFormat="1" applyFont="1" applyFill="1" applyBorder="1" applyAlignment="1">
      <alignment horizontal="center" vertical="center"/>
    </xf>
    <xf numFmtId="4" fontId="71" fillId="2" borderId="1" xfId="9" applyNumberFormat="1" applyFont="1" applyFill="1" applyBorder="1" applyAlignment="1">
      <alignment horizontal="center" vertical="center"/>
    </xf>
    <xf numFmtId="4" fontId="82" fillId="0" borderId="0" xfId="13" applyNumberFormat="1" applyFont="1" applyAlignment="1">
      <alignment horizontal="left" vertical="center"/>
    </xf>
    <xf numFmtId="166" fontId="66" fillId="0" borderId="0" xfId="19" applyFont="1" applyAlignment="1">
      <alignment horizontal="center" vertical="center"/>
    </xf>
    <xf numFmtId="2" fontId="83" fillId="0" borderId="0" xfId="0" applyNumberFormat="1" applyFont="1" applyAlignment="1">
      <alignment horizontal="left"/>
    </xf>
    <xf numFmtId="199" fontId="71" fillId="62" borderId="1" xfId="9" applyNumberFormat="1" applyFont="1" applyFill="1" applyBorder="1" applyAlignment="1">
      <alignment horizontal="center" vertical="center"/>
    </xf>
    <xf numFmtId="167" fontId="66" fillId="0" borderId="0" xfId="9" applyFont="1" applyFill="1"/>
    <xf numFmtId="9" fontId="70" fillId="62" borderId="1" xfId="17" applyFont="1" applyFill="1" applyBorder="1" applyAlignment="1" applyProtection="1">
      <alignment horizontal="center"/>
      <protection hidden="1"/>
    </xf>
    <xf numFmtId="4" fontId="66" fillId="0" borderId="1" xfId="9" applyNumberFormat="1" applyFont="1" applyBorder="1" applyAlignment="1">
      <alignment horizontal="center" vertical="center"/>
    </xf>
    <xf numFmtId="4" fontId="66" fillId="0" borderId="1" xfId="13" applyNumberFormat="1" applyFont="1" applyBorder="1" applyAlignment="1">
      <alignment horizontal="center" vertical="center"/>
    </xf>
    <xf numFmtId="4" fontId="66" fillId="0" borderId="0" xfId="13" applyNumberFormat="1" applyFont="1" applyAlignment="1">
      <alignment horizontal="center" vertical="center"/>
    </xf>
    <xf numFmtId="175" fontId="66" fillId="2" borderId="1" xfId="17" applyNumberFormat="1" applyFont="1" applyFill="1" applyBorder="1" applyAlignment="1">
      <alignment horizontal="center"/>
    </xf>
    <xf numFmtId="180" fontId="81" fillId="61" borderId="10" xfId="19" applyNumberFormat="1" applyFont="1" applyFill="1" applyBorder="1" applyAlignment="1">
      <alignment horizontal="center" vertical="center" wrapText="1"/>
    </xf>
    <xf numFmtId="180" fontId="71" fillId="0" borderId="1" xfId="19" applyNumberFormat="1" applyFont="1" applyBorder="1" applyAlignment="1">
      <alignment horizontal="center" vertical="center"/>
    </xf>
    <xf numFmtId="180" fontId="71" fillId="2" borderId="1" xfId="19" applyNumberFormat="1" applyFont="1" applyFill="1" applyBorder="1" applyAlignment="1">
      <alignment horizontal="center" vertical="center"/>
    </xf>
    <xf numFmtId="198" fontId="71" fillId="2" borderId="1" xfId="9" applyNumberFormat="1" applyFont="1" applyFill="1" applyBorder="1" applyAlignment="1">
      <alignment horizontal="center" vertical="center"/>
    </xf>
    <xf numFmtId="4" fontId="66" fillId="0" borderId="0" xfId="13" applyNumberFormat="1" applyFont="1"/>
    <xf numFmtId="2" fontId="105" fillId="0" borderId="0" xfId="13" applyNumberFormat="1" applyFont="1"/>
    <xf numFmtId="0" fontId="69" fillId="0" borderId="0" xfId="90" applyFont="1"/>
    <xf numFmtId="0" fontId="66" fillId="0" borderId="46" xfId="11" applyFont="1" applyBorder="1" applyAlignment="1">
      <alignment horizontal="left" wrapText="1"/>
    </xf>
    <xf numFmtId="0" fontId="81" fillId="61" borderId="1" xfId="60" applyFont="1" applyFill="1" applyBorder="1" applyAlignment="1">
      <alignment horizontal="center" vertical="top" wrapText="1"/>
    </xf>
    <xf numFmtId="0" fontId="66" fillId="0" borderId="1" xfId="0" applyFont="1" applyBorder="1" applyAlignment="1">
      <alignment horizontal="center" vertical="top"/>
    </xf>
    <xf numFmtId="167" fontId="66" fillId="0" borderId="1" xfId="9" applyFont="1" applyBorder="1" applyAlignment="1">
      <alignment horizontal="center" vertical="top"/>
    </xf>
    <xf numFmtId="44" fontId="70" fillId="63" borderId="1" xfId="67" applyFont="1" applyFill="1" applyBorder="1" applyAlignment="1" applyProtection="1">
      <alignment horizontal="center" vertical="top"/>
      <protection locked="0"/>
    </xf>
    <xf numFmtId="166" fontId="66" fillId="0" borderId="1" xfId="19" applyFont="1" applyBorder="1" applyAlignment="1">
      <alignment horizontal="center" vertical="top"/>
    </xf>
    <xf numFmtId="0" fontId="71" fillId="0" borderId="6" xfId="0" applyFont="1" applyBorder="1" applyAlignment="1">
      <alignment horizontal="center" vertical="top"/>
    </xf>
    <xf numFmtId="167" fontId="71" fillId="0" borderId="1" xfId="9" applyFont="1" applyBorder="1" applyAlignment="1">
      <alignment horizontal="center" vertical="top"/>
    </xf>
    <xf numFmtId="166" fontId="71" fillId="0" borderId="1" xfId="19" applyFont="1" applyBorder="1" applyAlignment="1">
      <alignment horizontal="center" vertical="top"/>
    </xf>
    <xf numFmtId="198" fontId="70" fillId="62" borderId="1" xfId="9" applyNumberFormat="1" applyFont="1" applyFill="1" applyBorder="1" applyAlignment="1" applyProtection="1">
      <alignment horizontal="center" vertical="top"/>
      <protection hidden="1"/>
    </xf>
    <xf numFmtId="44" fontId="66" fillId="0" borderId="0" xfId="0" applyNumberFormat="1" applyFont="1" applyAlignment="1">
      <alignment horizontal="center" vertical="center"/>
    </xf>
    <xf numFmtId="2" fontId="82" fillId="67" borderId="64" xfId="13" applyNumberFormat="1" applyFont="1" applyFill="1" applyBorder="1" applyAlignment="1">
      <alignment vertical="center"/>
    </xf>
    <xf numFmtId="179" fontId="66" fillId="66" borderId="1" xfId="11" applyNumberFormat="1" applyFont="1" applyFill="1" applyBorder="1" applyAlignment="1">
      <alignment horizontal="center" vertical="center"/>
    </xf>
    <xf numFmtId="0" fontId="66" fillId="0" borderId="1" xfId="11" applyFont="1" applyBorder="1" applyAlignment="1">
      <alignment vertical="center" wrapText="1"/>
    </xf>
    <xf numFmtId="0" fontId="86" fillId="0" borderId="1" xfId="13" applyFont="1" applyBorder="1" applyAlignment="1">
      <alignment horizontal="center" vertical="center"/>
    </xf>
    <xf numFmtId="0" fontId="66" fillId="68" borderId="0" xfId="0" applyFont="1" applyFill="1"/>
    <xf numFmtId="180" fontId="66" fillId="0" borderId="0" xfId="90" applyNumberFormat="1" applyFont="1"/>
    <xf numFmtId="43" fontId="66" fillId="0" borderId="0" xfId="90" applyNumberFormat="1" applyFont="1"/>
    <xf numFmtId="179" fontId="71" fillId="0" borderId="10" xfId="6" applyNumberFormat="1" applyFont="1" applyFill="1" applyBorder="1" applyAlignment="1" applyProtection="1">
      <protection hidden="1"/>
    </xf>
    <xf numFmtId="0" fontId="81" fillId="61" borderId="1" xfId="10" applyFont="1" applyFill="1" applyBorder="1" applyAlignment="1" applyProtection="1">
      <alignment horizontal="left" vertical="center"/>
      <protection hidden="1"/>
    </xf>
    <xf numFmtId="0" fontId="81" fillId="61" borderId="5" xfId="10" applyFont="1" applyFill="1" applyBorder="1" applyAlignment="1" applyProtection="1">
      <alignment vertical="center"/>
      <protection hidden="1"/>
    </xf>
    <xf numFmtId="0" fontId="81" fillId="61" borderId="7" xfId="10" applyFont="1" applyFill="1" applyBorder="1" applyAlignment="1" applyProtection="1">
      <alignment horizontal="left" wrapText="1"/>
      <protection hidden="1"/>
    </xf>
    <xf numFmtId="0" fontId="66" fillId="0" borderId="9" xfId="10" applyFont="1" applyBorder="1" applyAlignment="1" applyProtection="1">
      <alignment horizontal="left" wrapText="1"/>
      <protection hidden="1"/>
    </xf>
    <xf numFmtId="0" fontId="81" fillId="61" borderId="46" xfId="10" applyFont="1" applyFill="1" applyBorder="1" applyAlignment="1" applyProtection="1">
      <alignment horizontal="left" vertical="center"/>
      <protection hidden="1"/>
    </xf>
    <xf numFmtId="0" fontId="81" fillId="61" borderId="1" xfId="10" applyFont="1" applyFill="1" applyBorder="1" applyAlignment="1" applyProtection="1">
      <alignment horizontal="left" vertical="top" wrapText="1"/>
      <protection hidden="1"/>
    </xf>
    <xf numFmtId="0" fontId="81" fillId="61" borderId="7" xfId="10" applyFont="1" applyFill="1" applyBorder="1" applyAlignment="1" applyProtection="1">
      <alignment horizontal="left" vertical="top" wrapText="1"/>
      <protection hidden="1"/>
    </xf>
    <xf numFmtId="0" fontId="69" fillId="2" borderId="0" xfId="90" applyFont="1" applyFill="1"/>
    <xf numFmtId="167" fontId="69" fillId="2" borderId="0" xfId="9" applyFont="1" applyFill="1"/>
    <xf numFmtId="0" fontId="81" fillId="61" borderId="5" xfId="10" applyFont="1" applyFill="1" applyBorder="1" applyAlignment="1" applyProtection="1">
      <alignment horizontal="left"/>
      <protection hidden="1"/>
    </xf>
    <xf numFmtId="0" fontId="108" fillId="62" borderId="5" xfId="10" applyFont="1" applyFill="1" applyBorder="1" applyAlignment="1" applyProtection="1">
      <alignment horizontal="left"/>
      <protection hidden="1"/>
    </xf>
    <xf numFmtId="169" fontId="70" fillId="62" borderId="1" xfId="4" applyFont="1" applyFill="1" applyBorder="1" applyAlignment="1" applyProtection="1">
      <protection locked="0"/>
    </xf>
    <xf numFmtId="175" fontId="111" fillId="0" borderId="1" xfId="17" applyNumberFormat="1" applyFont="1" applyFill="1" applyBorder="1" applyAlignment="1" applyProtection="1">
      <alignment horizontal="center"/>
      <protection hidden="1"/>
    </xf>
    <xf numFmtId="9" fontId="111" fillId="0" borderId="1" xfId="17" applyFont="1" applyFill="1" applyBorder="1" applyAlignment="1" applyProtection="1">
      <alignment horizontal="center"/>
      <protection hidden="1"/>
    </xf>
    <xf numFmtId="166" fontId="66" fillId="2" borderId="46" xfId="19" applyFont="1" applyFill="1" applyBorder="1" applyAlignment="1" applyProtection="1">
      <alignment vertical="center"/>
      <protection hidden="1"/>
    </xf>
    <xf numFmtId="166" fontId="66" fillId="2" borderId="1" xfId="19" applyFont="1" applyFill="1" applyBorder="1" applyAlignment="1" applyProtection="1">
      <alignment vertical="center"/>
      <protection hidden="1"/>
    </xf>
    <xf numFmtId="44" fontId="81" fillId="61" borderId="7" xfId="64" applyNumberFormat="1" applyFont="1" applyFill="1" applyBorder="1" applyAlignment="1">
      <alignment horizontal="right"/>
    </xf>
    <xf numFmtId="0" fontId="66" fillId="0" borderId="0" xfId="0" applyFont="1" applyAlignment="1">
      <alignment horizontal="left" vertical="top" wrapText="1"/>
    </xf>
    <xf numFmtId="0" fontId="69" fillId="0" borderId="0" xfId="14" applyFont="1" applyAlignment="1" applyProtection="1">
      <alignment horizontal="left" vertical="top" wrapText="1"/>
      <protection hidden="1"/>
    </xf>
    <xf numFmtId="2" fontId="83" fillId="62" borderId="0" xfId="64" applyNumberFormat="1" applyFont="1" applyFill="1"/>
    <xf numFmtId="0" fontId="66" fillId="62" borderId="0" xfId="65" applyFont="1" applyFill="1"/>
    <xf numFmtId="49" fontId="80" fillId="61" borderId="39" xfId="64" applyNumberFormat="1" applyFont="1" applyFill="1" applyBorder="1" applyAlignment="1">
      <alignment horizontal="left" vertical="top" wrapText="1"/>
    </xf>
    <xf numFmtId="49" fontId="80" fillId="61" borderId="49"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51" xfId="64" applyNumberFormat="1" applyFont="1" applyFill="1" applyBorder="1" applyAlignment="1">
      <alignment horizontal="left" vertical="top" wrapText="1"/>
    </xf>
    <xf numFmtId="49" fontId="80" fillId="61" borderId="0" xfId="64" applyNumberFormat="1" applyFont="1" applyFill="1" applyAlignment="1">
      <alignment horizontal="left" vertical="top" wrapText="1"/>
    </xf>
    <xf numFmtId="49" fontId="80" fillId="61" borderId="11" xfId="64" applyNumberFormat="1" applyFont="1" applyFill="1" applyBorder="1" applyAlignment="1">
      <alignment horizontal="left" vertical="top" wrapText="1"/>
    </xf>
    <xf numFmtId="49" fontId="80" fillId="61" borderId="40"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2" fontId="82" fillId="67" borderId="56" xfId="13" applyNumberFormat="1" applyFont="1" applyFill="1" applyBorder="1" applyAlignment="1">
      <alignment horizontal="left" vertical="center"/>
    </xf>
    <xf numFmtId="2" fontId="82" fillId="67" borderId="58" xfId="13" applyNumberFormat="1" applyFont="1" applyFill="1" applyBorder="1" applyAlignment="1">
      <alignment horizontal="left" vertical="center"/>
    </xf>
    <xf numFmtId="2" fontId="81" fillId="61" borderId="5" xfId="0" applyNumberFormat="1" applyFont="1" applyFill="1" applyBorder="1" applyAlignment="1">
      <alignment horizontal="center" vertical="center" wrapText="1"/>
    </xf>
    <xf numFmtId="2" fontId="81" fillId="61" borderId="6" xfId="0" applyNumberFormat="1" applyFont="1" applyFill="1" applyBorder="1" applyAlignment="1">
      <alignment horizontal="center" vertical="center" wrapText="1"/>
    </xf>
    <xf numFmtId="2" fontId="81" fillId="61" borderId="7" xfId="0" applyNumberFormat="1" applyFont="1" applyFill="1" applyBorder="1" applyAlignment="1">
      <alignment horizontal="center" vertical="center" wrapText="1"/>
    </xf>
    <xf numFmtId="167" fontId="88" fillId="61" borderId="39" xfId="9" applyFont="1" applyFill="1" applyBorder="1" applyAlignment="1">
      <alignment horizontal="center" vertical="top" wrapText="1"/>
    </xf>
    <xf numFmtId="167" fontId="88" fillId="61" borderId="49" xfId="9" applyFont="1" applyFill="1" applyBorder="1" applyAlignment="1">
      <alignment horizontal="center" vertical="top" wrapText="1"/>
    </xf>
    <xf numFmtId="167" fontId="88" fillId="61" borderId="50" xfId="9" applyFont="1" applyFill="1" applyBorder="1" applyAlignment="1">
      <alignment horizontal="center" vertical="top" wrapText="1"/>
    </xf>
    <xf numFmtId="167" fontId="88" fillId="61" borderId="40"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0" fontId="66" fillId="0" borderId="5" xfId="13" applyFont="1" applyBorder="1" applyAlignment="1">
      <alignment horizontal="left" vertical="center" wrapText="1"/>
    </xf>
    <xf numFmtId="0" fontId="66" fillId="0" borderId="7" xfId="13" applyFont="1" applyBorder="1" applyAlignment="1">
      <alignment horizontal="left" vertical="center" wrapText="1"/>
    </xf>
    <xf numFmtId="0" fontId="66" fillId="0" borderId="5" xfId="0" applyFont="1" applyBorder="1" applyAlignment="1">
      <alignment horizontal="left"/>
    </xf>
    <xf numFmtId="0" fontId="66" fillId="0" borderId="7" xfId="0" applyFont="1" applyBorder="1" applyAlignment="1">
      <alignment horizontal="left"/>
    </xf>
    <xf numFmtId="0" fontId="71" fillId="0" borderId="5" xfId="14" applyFont="1" applyBorder="1" applyAlignment="1" applyProtection="1">
      <alignment horizontal="left" vertical="center"/>
      <protection hidden="1"/>
    </xf>
    <xf numFmtId="0" fontId="71" fillId="0" borderId="7" xfId="14" applyFont="1" applyBorder="1" applyAlignment="1" applyProtection="1">
      <alignment horizontal="left" vertical="center"/>
      <protection hidden="1"/>
    </xf>
    <xf numFmtId="2" fontId="101" fillId="61" borderId="47" xfId="14" applyNumberFormat="1" applyFont="1" applyFill="1" applyBorder="1" applyAlignment="1" applyProtection="1">
      <alignment horizontal="center" vertical="center" wrapText="1"/>
      <protection hidden="1"/>
    </xf>
    <xf numFmtId="2" fontId="101"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2" fontId="101" fillId="61" borderId="46" xfId="14" applyNumberFormat="1" applyFont="1" applyFill="1" applyBorder="1" applyAlignment="1" applyProtection="1">
      <alignment horizontal="center" vertical="center" wrapText="1"/>
      <protection hidden="1"/>
    </xf>
    <xf numFmtId="2" fontId="101" fillId="61" borderId="48" xfId="14" applyNumberFormat="1" applyFont="1" applyFill="1" applyBorder="1" applyAlignment="1" applyProtection="1">
      <alignment horizontal="center" vertical="center" wrapText="1"/>
      <protection hidden="1"/>
    </xf>
    <xf numFmtId="2" fontId="101" fillId="61" borderId="45"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6" fillId="0" borderId="5" xfId="10" applyFont="1" applyBorder="1" applyAlignment="1" applyProtection="1">
      <alignment horizontal="center"/>
      <protection hidden="1"/>
    </xf>
    <xf numFmtId="0" fontId="66" fillId="0" borderId="6" xfId="10" applyFont="1" applyBorder="1" applyAlignment="1" applyProtection="1">
      <alignment horizontal="center"/>
      <protection hidden="1"/>
    </xf>
    <xf numFmtId="0" fontId="66" fillId="0" borderId="7" xfId="10" applyFont="1" applyBorder="1" applyAlignment="1" applyProtection="1">
      <alignment horizontal="center"/>
      <protection hidden="1"/>
    </xf>
    <xf numFmtId="0" fontId="66" fillId="0" borderId="46" xfId="11" applyFont="1" applyBorder="1" applyAlignment="1">
      <alignment horizontal="left" vertical="center" wrapText="1"/>
    </xf>
    <xf numFmtId="0" fontId="66" fillId="0" borderId="48" xfId="11" applyFont="1" applyBorder="1" applyAlignment="1">
      <alignment horizontal="left" vertical="center" wrapText="1"/>
    </xf>
    <xf numFmtId="0" fontId="66" fillId="0" borderId="45" xfId="11" applyFont="1" applyBorder="1" applyAlignment="1">
      <alignment horizontal="left" vertical="center" wrapText="1"/>
    </xf>
    <xf numFmtId="0" fontId="66" fillId="0" borderId="46" xfId="10" applyFont="1" applyBorder="1" applyAlignment="1" applyProtection="1">
      <alignment horizontal="left" vertical="center"/>
      <protection hidden="1"/>
    </xf>
    <xf numFmtId="0" fontId="66" fillId="0" borderId="48" xfId="10" applyFont="1" applyBorder="1" applyAlignment="1" applyProtection="1">
      <alignment horizontal="left" vertical="center"/>
      <protection hidden="1"/>
    </xf>
    <xf numFmtId="0" fontId="66" fillId="0" borderId="45" xfId="10" applyFont="1" applyBorder="1" applyAlignment="1" applyProtection="1">
      <alignment horizontal="left" vertical="center"/>
      <protection hidden="1"/>
    </xf>
    <xf numFmtId="0" fontId="66" fillId="2" borderId="1" xfId="11" applyFont="1" applyFill="1" applyBorder="1" applyAlignment="1">
      <alignment horizontal="left" wrapText="1"/>
    </xf>
    <xf numFmtId="0" fontId="66" fillId="0" borderId="46" xfId="10" applyFont="1" applyBorder="1" applyAlignment="1" applyProtection="1">
      <alignment horizontal="center"/>
      <protection hidden="1"/>
    </xf>
    <xf numFmtId="0" fontId="66" fillId="0" borderId="48" xfId="10" applyFont="1" applyBorder="1" applyAlignment="1" applyProtection="1">
      <alignment horizontal="center"/>
      <protection hidden="1"/>
    </xf>
    <xf numFmtId="0" fontId="66" fillId="0" borderId="45" xfId="10" applyFont="1" applyBorder="1" applyAlignment="1" applyProtection="1">
      <alignment horizontal="center"/>
      <protection hidden="1"/>
    </xf>
    <xf numFmtId="0" fontId="81" fillId="61" borderId="1" xfId="10" applyFont="1" applyFill="1" applyBorder="1" applyAlignment="1" applyProtection="1">
      <alignment horizontal="left" vertical="center"/>
      <protection hidden="1"/>
    </xf>
    <xf numFmtId="2" fontId="82" fillId="67" borderId="5" xfId="13" applyNumberFormat="1" applyFont="1" applyFill="1" applyBorder="1" applyAlignment="1">
      <alignment horizontal="left" vertical="center"/>
    </xf>
    <xf numFmtId="2" fontId="82" fillId="67" borderId="6" xfId="13" applyNumberFormat="1" applyFont="1" applyFill="1" applyBorder="1" applyAlignment="1">
      <alignment horizontal="left" vertical="center"/>
    </xf>
    <xf numFmtId="2" fontId="82" fillId="67" borderId="7" xfId="13" applyNumberFormat="1" applyFont="1" applyFill="1" applyBorder="1" applyAlignment="1">
      <alignment horizontal="left" vertical="center"/>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33">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rgb="FFC0C0C0"/>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C0C0C0"/>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sharedStrings" Target="sharedStrings.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13111</xdr:colOff>
      <xdr:row>3</xdr:row>
      <xdr:rowOff>31714</xdr:rowOff>
    </xdr:from>
    <xdr:to>
      <xdr:col>8</xdr:col>
      <xdr:colOff>315445</xdr:colOff>
      <xdr:row>5</xdr:row>
      <xdr:rowOff>123266</xdr:rowOff>
    </xdr:to>
    <xdr:sp macro="" textlink="">
      <xdr:nvSpPr>
        <xdr:cNvPr id="2" name="Tekstvak 1">
          <a:extLst>
            <a:ext uri="{FF2B5EF4-FFF2-40B4-BE49-F238E27FC236}">
              <a16:creationId xmlns:a16="http://schemas.microsoft.com/office/drawing/2014/main" id="{E4AF501F-3A80-4492-B6B8-B8DDF80F0C24}"/>
            </a:ext>
          </a:extLst>
        </xdr:cNvPr>
        <xdr:cNvSpPr txBox="1"/>
      </xdr:nvSpPr>
      <xdr:spPr>
        <a:xfrm>
          <a:off x="7498640" y="535979"/>
          <a:ext cx="4336452" cy="427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 Het totaal van deze machinekosten moet gelijk zijn aan het totaal van tabblad10-Machinekosten.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D5608327-3641-4C25-8B21-2155F71D30C7}"/>
            </a:ext>
          </a:extLst>
        </xdr:cNvPr>
        <xdr:cNvSpPr txBox="1"/>
      </xdr:nvSpPr>
      <xdr:spPr>
        <a:xfrm>
          <a:off x="7203016" y="63501"/>
          <a:ext cx="6431492" cy="1152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33424</xdr:colOff>
      <xdr:row>28</xdr:row>
      <xdr:rowOff>101845</xdr:rowOff>
    </xdr:from>
    <xdr:to>
      <xdr:col>9</xdr:col>
      <xdr:colOff>397083</xdr:colOff>
      <xdr:row>37</xdr:row>
      <xdr:rowOff>34970</xdr:rowOff>
    </xdr:to>
    <xdr:pic>
      <xdr:nvPicPr>
        <xdr:cNvPr id="2" name="Afbeelding 1">
          <a:extLst>
            <a:ext uri="{FF2B5EF4-FFF2-40B4-BE49-F238E27FC236}">
              <a16:creationId xmlns:a16="http://schemas.microsoft.com/office/drawing/2014/main" id="{ADA6CCC6-2150-49D6-BACC-89F3AB89B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0067" y="8306952"/>
          <a:ext cx="2968610" cy="1688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184785</xdr:colOff>
      <xdr:row>22</xdr:row>
      <xdr:rowOff>152400</xdr:rowOff>
    </xdr:from>
    <xdr:to>
      <xdr:col>20</xdr:col>
      <xdr:colOff>325755</xdr:colOff>
      <xdr:row>32</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10304145" y="4015740"/>
          <a:ext cx="3120390" cy="15335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134470</xdr:colOff>
      <xdr:row>4</xdr:row>
      <xdr:rowOff>134471</xdr:rowOff>
    </xdr:from>
    <xdr:to>
      <xdr:col>7</xdr:col>
      <xdr:colOff>761999</xdr:colOff>
      <xdr:row>7</xdr:row>
      <xdr:rowOff>140186</xdr:rowOff>
    </xdr:to>
    <xdr:sp macro="" textlink="">
      <xdr:nvSpPr>
        <xdr:cNvPr id="2" name="Tekstvak 1">
          <a:extLst>
            <a:ext uri="{FF2B5EF4-FFF2-40B4-BE49-F238E27FC236}">
              <a16:creationId xmlns:a16="http://schemas.microsoft.com/office/drawing/2014/main" id="{C77AE44F-E48E-49E3-8152-93C7018623EE}"/>
            </a:ext>
          </a:extLst>
        </xdr:cNvPr>
        <xdr:cNvSpPr txBox="1"/>
      </xdr:nvSpPr>
      <xdr:spPr>
        <a:xfrm>
          <a:off x="8057029" y="851647"/>
          <a:ext cx="4437529" cy="577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of tabblad 6b-Opbouw uurtarief specialist.</a:t>
          </a:r>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5</xdr:row>
      <xdr:rowOff>0</xdr:rowOff>
    </xdr:from>
    <xdr:to>
      <xdr:col>10</xdr:col>
      <xdr:colOff>702160</xdr:colOff>
      <xdr:row>8</xdr:row>
      <xdr:rowOff>48633</xdr:rowOff>
    </xdr:to>
    <xdr:sp macro="" textlink="">
      <xdr:nvSpPr>
        <xdr:cNvPr id="2" name="Tekstvak 1">
          <a:extLst>
            <a:ext uri="{FF2B5EF4-FFF2-40B4-BE49-F238E27FC236}">
              <a16:creationId xmlns:a16="http://schemas.microsoft.com/office/drawing/2014/main" id="{7713F894-5027-4EAE-BA53-B76C6263E167}"/>
            </a:ext>
          </a:extLst>
        </xdr:cNvPr>
        <xdr:cNvSpPr txBox="1"/>
      </xdr:nvSpPr>
      <xdr:spPr>
        <a:xfrm>
          <a:off x="12629029" y="840441"/>
          <a:ext cx="4433719" cy="575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of tabblad 6b-Opbouw uurtarief specialist.</a:t>
          </a:r>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168089</xdr:colOff>
      <xdr:row>4</xdr:row>
      <xdr:rowOff>78441</xdr:rowOff>
    </xdr:from>
    <xdr:to>
      <xdr:col>9</xdr:col>
      <xdr:colOff>27903</xdr:colOff>
      <xdr:row>7</xdr:row>
      <xdr:rowOff>128980</xdr:rowOff>
    </xdr:to>
    <xdr:sp macro="" textlink="">
      <xdr:nvSpPr>
        <xdr:cNvPr id="2" name="Tekstvak 1">
          <a:extLst>
            <a:ext uri="{FF2B5EF4-FFF2-40B4-BE49-F238E27FC236}">
              <a16:creationId xmlns:a16="http://schemas.microsoft.com/office/drawing/2014/main" id="{50572303-61DE-426B-A754-9E3B739B7058}"/>
            </a:ext>
          </a:extLst>
        </xdr:cNvPr>
        <xdr:cNvSpPr txBox="1"/>
      </xdr:nvSpPr>
      <xdr:spPr>
        <a:xfrm>
          <a:off x="5446060" y="750794"/>
          <a:ext cx="4431814" cy="577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tabblad 6b-Opbouw uurtarief specialist of 7-Opbouw uurtarief toezicht.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3810</xdr:colOff>
      <xdr:row>5</xdr:row>
      <xdr:rowOff>11205</xdr:rowOff>
    </xdr:from>
    <xdr:to>
      <xdr:col>9</xdr:col>
      <xdr:colOff>1262455</xdr:colOff>
      <xdr:row>8</xdr:row>
      <xdr:rowOff>65553</xdr:rowOff>
    </xdr:to>
    <xdr:sp macro="" textlink="">
      <xdr:nvSpPr>
        <xdr:cNvPr id="2" name="Tekstvak 1">
          <a:extLst>
            <a:ext uri="{FF2B5EF4-FFF2-40B4-BE49-F238E27FC236}">
              <a16:creationId xmlns:a16="http://schemas.microsoft.com/office/drawing/2014/main" id="{FD29EB6E-C197-4C3F-AF15-E8C3F459A576}"/>
            </a:ext>
          </a:extLst>
        </xdr:cNvPr>
        <xdr:cNvSpPr txBox="1"/>
      </xdr:nvSpPr>
      <xdr:spPr>
        <a:xfrm>
          <a:off x="10044281" y="851646"/>
          <a:ext cx="4340262" cy="581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of tabblad 6b-Opbouw uurtarief specialist.</a:t>
          </a:r>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466725</xdr:colOff>
      <xdr:row>4</xdr:row>
      <xdr:rowOff>76200</xdr:rowOff>
    </xdr:from>
    <xdr:to>
      <xdr:col>8</xdr:col>
      <xdr:colOff>993289</xdr:colOff>
      <xdr:row>7</xdr:row>
      <xdr:rowOff>120015</xdr:rowOff>
    </xdr:to>
    <xdr:sp macro="" textlink="">
      <xdr:nvSpPr>
        <xdr:cNvPr id="2" name="Tekstvak 1">
          <a:extLst>
            <a:ext uri="{FF2B5EF4-FFF2-40B4-BE49-F238E27FC236}">
              <a16:creationId xmlns:a16="http://schemas.microsoft.com/office/drawing/2014/main" id="{73D2C028-0A52-4079-9772-A4B6067D1A84}"/>
            </a:ext>
          </a:extLst>
        </xdr:cNvPr>
        <xdr:cNvSpPr txBox="1"/>
      </xdr:nvSpPr>
      <xdr:spPr>
        <a:xfrm>
          <a:off x="7953375" y="762000"/>
          <a:ext cx="4431814" cy="577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of tabblad 6b-Opbouw uurtarief specialist.</a:t>
          </a:r>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810633</xdr:colOff>
      <xdr:row>3</xdr:row>
      <xdr:rowOff>18602</xdr:rowOff>
    </xdr:from>
    <xdr:to>
      <xdr:col>10</xdr:col>
      <xdr:colOff>1006623</xdr:colOff>
      <xdr:row>6</xdr:row>
      <xdr:rowOff>89648</xdr:rowOff>
    </xdr:to>
    <xdr:sp macro="" textlink="">
      <xdr:nvSpPr>
        <xdr:cNvPr id="2" name="Tekstvak 1">
          <a:extLst>
            <a:ext uri="{FF2B5EF4-FFF2-40B4-BE49-F238E27FC236}">
              <a16:creationId xmlns:a16="http://schemas.microsoft.com/office/drawing/2014/main" id="{89CCD0AB-F112-4088-833E-119877FF0E60}"/>
            </a:ext>
          </a:extLst>
        </xdr:cNvPr>
        <xdr:cNvSpPr txBox="1"/>
      </xdr:nvSpPr>
      <xdr:spPr>
        <a:xfrm>
          <a:off x="9181427" y="522867"/>
          <a:ext cx="4431814" cy="575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in te vullen uurtarief dient overeen te komen met de tarieven die</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zijn gehanteerd in tabblad 6a-Opbouw uurtarief productie of tabblad 6b-Opbouw uurtarief specialist.</a:t>
          </a:r>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 val="2a-Kosten_per_locatie1"/>
      <sheetName val="2b-Splitsing_technisch-Comfort1"/>
      <sheetName val="5-Schrobben_vloeren1"/>
      <sheetName val="7-Ballastbed_1"/>
      <sheetName val="8-Sanitaire_voorzieningen1"/>
      <sheetName val="9-Geveldelen__en_wanden1"/>
      <sheetName val="10-Glas_kosten_totaal1"/>
      <sheetName val="13a-_Afroepprijs1"/>
      <sheetName val="13b-Afroep_RVS_kraaiennest1"/>
      <sheetName val="13c-Afroep_Kap_Bijlmer1"/>
      <sheetName val="15-Periodieke_beurt1"/>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4"/>
  <sheetViews>
    <sheetView showGridLines="0" showZeros="0" showOutlineSymbols="0" zoomScaleNormal="100" workbookViewId="0">
      <pane ySplit="5" topLeftCell="A6" activePane="bottomLeft" state="frozen"/>
      <selection activeCell="D33" sqref="D33"/>
      <selection pane="bottomLeft" activeCell="A6" sqref="A6:F6"/>
    </sheetView>
  </sheetViews>
  <sheetFormatPr defaultColWidth="9.28515625" defaultRowHeight="13.5"/>
  <cols>
    <col min="1" max="1" width="36.7109375" style="3" bestFit="1" customWidth="1"/>
    <col min="2" max="4" width="15.7109375" style="3" customWidth="1"/>
    <col min="5" max="5" width="9.7109375" style="3" customWidth="1"/>
    <col min="6" max="6" width="13.85546875" style="3" customWidth="1"/>
    <col min="7" max="7" width="3.140625" style="3" customWidth="1"/>
    <col min="8" max="8" width="7.85546875" style="3" customWidth="1"/>
    <col min="9" max="9" width="27" style="3" bestFit="1" customWidth="1"/>
    <col min="10" max="16384" width="9.28515625" style="3"/>
  </cols>
  <sheetData>
    <row r="1" spans="1:8">
      <c r="A1" s="40" t="s">
        <v>64</v>
      </c>
      <c r="B1" s="2"/>
      <c r="C1" s="2"/>
      <c r="D1" s="2"/>
      <c r="E1" s="2"/>
      <c r="F1" s="2"/>
      <c r="G1" s="2"/>
      <c r="H1" s="2"/>
    </row>
    <row r="2" spans="1:8" ht="26.1" customHeight="1">
      <c r="A2" s="40" t="s">
        <v>22</v>
      </c>
      <c r="B2" s="4"/>
      <c r="C2" s="4"/>
      <c r="D2" s="4"/>
      <c r="E2" s="4"/>
      <c r="F2" s="5"/>
      <c r="G2" s="5"/>
      <c r="H2" s="5"/>
    </row>
    <row r="3" spans="1:8">
      <c r="A3" s="4"/>
      <c r="B3" s="4"/>
      <c r="C3" s="4"/>
      <c r="D3" s="4"/>
      <c r="E3" s="4"/>
      <c r="F3" s="6"/>
      <c r="G3" s="7"/>
      <c r="H3" s="5"/>
    </row>
    <row r="4" spans="1:8" ht="17.25" customHeight="1">
      <c r="A4" s="3" t="s">
        <v>198</v>
      </c>
      <c r="B4" s="8"/>
      <c r="C4" s="8"/>
      <c r="F4" s="463" t="s">
        <v>19</v>
      </c>
      <c r="H4" s="5"/>
    </row>
    <row r="5" spans="1:8" ht="33.75" customHeight="1">
      <c r="A5" s="680" t="s">
        <v>132</v>
      </c>
      <c r="B5" s="680"/>
      <c r="C5" s="680"/>
      <c r="D5" s="680"/>
      <c r="E5" s="680"/>
      <c r="F5" s="680"/>
      <c r="G5" s="7"/>
      <c r="H5" s="5"/>
    </row>
    <row r="6" spans="1:8" ht="18" customHeight="1">
      <c r="A6" s="681"/>
      <c r="B6" s="681"/>
      <c r="C6" s="681"/>
      <c r="D6" s="681"/>
      <c r="E6" s="681"/>
      <c r="F6" s="681"/>
      <c r="G6" s="9"/>
      <c r="H6" s="10"/>
    </row>
    <row r="7" spans="1:8">
      <c r="B7" s="11"/>
      <c r="C7" s="11"/>
      <c r="D7" s="11"/>
      <c r="E7" s="11"/>
      <c r="F7" s="6"/>
      <c r="G7" s="7"/>
      <c r="H7" s="5"/>
    </row>
    <row r="8" spans="1:8">
      <c r="B8" s="11"/>
      <c r="C8" s="11"/>
      <c r="D8" s="11"/>
      <c r="E8" s="11"/>
      <c r="F8" s="6"/>
      <c r="G8" s="7"/>
      <c r="H8" s="5"/>
    </row>
    <row r="9" spans="1:8">
      <c r="B9" s="11"/>
      <c r="C9" s="11"/>
      <c r="D9" s="11"/>
      <c r="E9" s="11"/>
      <c r="F9" s="6"/>
      <c r="G9" s="7"/>
      <c r="H9" s="5"/>
    </row>
    <row r="10" spans="1:8">
      <c r="B10" s="8"/>
      <c r="C10" s="8"/>
      <c r="D10" s="8"/>
      <c r="E10" s="8"/>
      <c r="F10" s="6"/>
      <c r="G10" s="7"/>
      <c r="H10" s="5"/>
    </row>
    <row r="11" spans="1:8">
      <c r="B11" s="8"/>
      <c r="C11" s="8"/>
      <c r="D11" s="8"/>
      <c r="E11" s="8"/>
      <c r="F11" s="6"/>
      <c r="G11" s="7"/>
      <c r="H11" s="5"/>
    </row>
    <row r="12" spans="1:8">
      <c r="B12" s="8"/>
      <c r="C12" s="8"/>
      <c r="D12" s="8"/>
      <c r="E12" s="8"/>
      <c r="F12" s="6"/>
      <c r="G12" s="7"/>
      <c r="H12" s="5"/>
    </row>
    <row r="13" spans="1:8">
      <c r="B13" s="8"/>
      <c r="C13" s="8"/>
      <c r="D13" s="8"/>
      <c r="E13" s="8"/>
      <c r="F13" s="6"/>
      <c r="G13" s="7"/>
      <c r="H13" s="5"/>
    </row>
    <row r="14" spans="1:8">
      <c r="B14" s="11"/>
      <c r="C14" s="11"/>
      <c r="D14" s="11"/>
      <c r="E14" s="11"/>
      <c r="F14" s="6"/>
      <c r="G14" s="7"/>
      <c r="H14" s="5"/>
    </row>
    <row r="15" spans="1:8">
      <c r="B15" s="8"/>
      <c r="C15" s="8"/>
      <c r="D15" s="12"/>
      <c r="E15" s="13"/>
      <c r="F15" s="6"/>
      <c r="G15" s="7"/>
      <c r="H15" s="5"/>
    </row>
    <row r="16" spans="1:8">
      <c r="B16" s="8"/>
      <c r="C16" s="8"/>
      <c r="D16" s="14"/>
      <c r="E16" s="15"/>
      <c r="F16" s="6"/>
      <c r="G16" s="7"/>
      <c r="H16" s="5"/>
    </row>
    <row r="17" spans="1:8">
      <c r="A17" s="5"/>
      <c r="B17" s="5"/>
      <c r="C17" s="5"/>
      <c r="D17" s="5"/>
      <c r="E17" s="5"/>
      <c r="F17" s="5"/>
      <c r="G17" s="5"/>
      <c r="H17" s="5"/>
    </row>
    <row r="18" spans="1:8">
      <c r="B18" s="16"/>
      <c r="C18" s="400"/>
      <c r="D18" s="16"/>
      <c r="E18" s="16"/>
      <c r="F18" s="17"/>
      <c r="G18" s="9"/>
      <c r="H18" s="5"/>
    </row>
    <row r="19" spans="1:8">
      <c r="A19" s="18"/>
      <c r="B19" s="19"/>
      <c r="C19" s="20"/>
      <c r="D19" s="19"/>
      <c r="E19" s="20"/>
      <c r="F19" s="21"/>
      <c r="G19" s="9"/>
      <c r="H19" s="22"/>
    </row>
    <row r="20" spans="1:8">
      <c r="B20" s="19"/>
      <c r="C20" s="20"/>
      <c r="D20" s="19"/>
      <c r="E20" s="20"/>
      <c r="F20" s="21"/>
      <c r="G20" s="9"/>
      <c r="H20" s="22"/>
    </row>
    <row r="21" spans="1:8">
      <c r="A21" s="23"/>
      <c r="B21" s="20"/>
      <c r="C21" s="24"/>
      <c r="D21" s="20"/>
      <c r="E21" s="24"/>
      <c r="F21" s="9"/>
      <c r="G21" s="9"/>
      <c r="H21" s="10"/>
    </row>
    <row r="22" spans="1:8">
      <c r="B22" s="25"/>
      <c r="C22" s="26"/>
      <c r="D22" s="25"/>
      <c r="E22" s="26"/>
      <c r="F22" s="9"/>
      <c r="G22" s="9"/>
      <c r="H22" s="10"/>
    </row>
    <row r="23" spans="1:8">
      <c r="A23" s="5"/>
      <c r="B23" s="27"/>
      <c r="C23" s="25"/>
      <c r="D23" s="27"/>
      <c r="E23" s="25"/>
      <c r="F23" s="9"/>
      <c r="G23" s="9"/>
      <c r="H23" s="10"/>
    </row>
    <row r="24" spans="1:8">
      <c r="B24" s="27"/>
      <c r="C24" s="25"/>
      <c r="D24" s="27"/>
      <c r="E24" s="25"/>
      <c r="F24" s="9"/>
      <c r="G24" s="9"/>
      <c r="H24" s="10"/>
    </row>
    <row r="25" spans="1:8">
      <c r="A25" s="5"/>
      <c r="B25" s="27"/>
      <c r="C25" s="25"/>
      <c r="D25" s="27"/>
      <c r="E25" s="25"/>
      <c r="F25" s="9"/>
      <c r="G25" s="9"/>
      <c r="H25" s="10"/>
    </row>
    <row r="26" spans="1:8">
      <c r="A26" s="5"/>
      <c r="B26" s="27"/>
      <c r="C26" s="25"/>
      <c r="D26" s="27"/>
      <c r="E26" s="25"/>
      <c r="F26" s="28"/>
      <c r="G26" s="29"/>
      <c r="H26" s="30"/>
    </row>
    <row r="27" spans="1:8">
      <c r="A27" s="5"/>
      <c r="B27" s="27"/>
      <c r="C27" s="25"/>
      <c r="D27" s="27"/>
      <c r="E27" s="25"/>
      <c r="F27" s="28"/>
      <c r="G27" s="29"/>
      <c r="H27" s="31"/>
    </row>
    <row r="28" spans="1:8">
      <c r="A28" s="23"/>
      <c r="B28" s="25"/>
      <c r="C28" s="32"/>
      <c r="D28" s="25"/>
      <c r="E28" s="32"/>
      <c r="F28" s="33"/>
      <c r="G28" s="29"/>
      <c r="H28" s="34"/>
    </row>
    <row r="29" spans="1:8">
      <c r="A29" s="35"/>
      <c r="B29" s="25"/>
      <c r="C29" s="35"/>
      <c r="D29" s="25"/>
      <c r="E29" s="35"/>
      <c r="F29" s="36"/>
      <c r="G29" s="29"/>
      <c r="H29" s="34"/>
    </row>
    <row r="30" spans="1:8">
      <c r="A30" s="23"/>
      <c r="B30" s="27"/>
      <c r="C30" s="37"/>
      <c r="D30" s="25"/>
      <c r="E30" s="37"/>
      <c r="F30" s="33"/>
      <c r="G30" s="29"/>
      <c r="H30" s="34"/>
    </row>
    <row r="31" spans="1:8">
      <c r="A31" s="23"/>
      <c r="B31" s="27"/>
      <c r="C31" s="37"/>
      <c r="D31" s="25"/>
      <c r="E31" s="37"/>
      <c r="F31" s="33"/>
      <c r="G31" s="29"/>
      <c r="H31" s="34"/>
    </row>
    <row r="32" spans="1:8">
      <c r="A32" s="38"/>
      <c r="B32" s="38"/>
      <c r="C32" s="38"/>
      <c r="D32" s="38"/>
      <c r="E32" s="38"/>
      <c r="F32" s="38"/>
      <c r="G32" s="2"/>
      <c r="H32" s="2"/>
    </row>
    <row r="33" spans="1:8">
      <c r="A33" s="39"/>
      <c r="B33" s="39"/>
      <c r="C33" s="2"/>
      <c r="D33" s="2"/>
      <c r="E33" s="2"/>
      <c r="F33" s="2"/>
      <c r="G33" s="2"/>
      <c r="H33" s="2"/>
    </row>
    <row r="34" spans="1:8">
      <c r="D34" s="2"/>
      <c r="E34" s="2"/>
      <c r="F34" s="2"/>
      <c r="G34" s="2"/>
      <c r="H34" s="2"/>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24"/>
  <sheetViews>
    <sheetView showGridLines="0" zoomScaleNormal="100" workbookViewId="0">
      <pane ySplit="10" topLeftCell="A11" activePane="bottomLeft" state="frozen"/>
      <selection activeCell="A11" sqref="A11"/>
      <selection pane="bottomLeft" activeCell="E14" sqref="E14"/>
    </sheetView>
  </sheetViews>
  <sheetFormatPr defaultColWidth="9.140625" defaultRowHeight="13.5"/>
  <cols>
    <col min="1" max="1" width="30" style="3" customWidth="1"/>
    <col min="2" max="2" width="25.5703125" style="3" customWidth="1"/>
    <col min="3" max="3" width="53.7109375" style="3" customWidth="1"/>
    <col min="4" max="5" width="11.42578125" style="3" bestFit="1" customWidth="1"/>
    <col min="6" max="6" width="11.28515625" style="3" customWidth="1"/>
    <col min="7" max="7" width="12.5703125" style="3" bestFit="1" customWidth="1"/>
    <col min="8" max="8" width="10.28515625" style="3" customWidth="1"/>
    <col min="9" max="9" width="14.7109375" style="3" customWidth="1"/>
    <col min="10" max="10" width="9.42578125" style="3" customWidth="1"/>
    <col min="11" max="16384" width="9.140625" style="3"/>
  </cols>
  <sheetData>
    <row r="1" spans="1:10">
      <c r="A1" s="416" t="s">
        <v>25</v>
      </c>
    </row>
    <row r="3" spans="1:10">
      <c r="A3" s="90" t="str">
        <f>'1-Contractblad totaal'!A3</f>
        <v>Naam opdrachtgever</v>
      </c>
      <c r="B3" s="487" t="str">
        <f>'1-Contractblad totaal'!B3</f>
        <v>GVB Veren</v>
      </c>
      <c r="J3" s="300"/>
    </row>
    <row r="4" spans="1:10">
      <c r="A4" s="90" t="str">
        <f>'1-Contractblad totaal'!A4</f>
        <v>Calculatie onderdeel</v>
      </c>
      <c r="B4" s="487" t="str">
        <f ca="1">MID(CELL("bestandsnaam",$E$9),SEARCH("]",CELL("bestandsnaam",$E$9),1)+1,256)</f>
        <v>4f-Specialistische werkz.</v>
      </c>
    </row>
    <row r="5" spans="1:10">
      <c r="A5" s="90" t="str">
        <f>'1-Contractblad totaal'!A5</f>
        <v>Gebouw/plaats</v>
      </c>
      <c r="B5" s="487" t="str">
        <f>'1-Contractblad totaal'!B5</f>
        <v>Amsterdam</v>
      </c>
    </row>
    <row r="6" spans="1:10">
      <c r="A6" s="90" t="str">
        <f>'1-Contractblad totaal'!A6</f>
        <v>Referentie nummer</v>
      </c>
      <c r="B6" s="538" t="str">
        <f>'1-Contractblad totaal'!B6</f>
        <v>2021-42a</v>
      </c>
      <c r="F6" s="299"/>
    </row>
    <row r="7" spans="1:10" ht="15" customHeight="1">
      <c r="A7" s="90" t="str">
        <f>'1-Contractblad totaal'!A8</f>
        <v>Naam dienstverlener</v>
      </c>
      <c r="B7" s="538">
        <f>'1-Contractblad totaal'!B8</f>
        <v>0</v>
      </c>
      <c r="F7" s="300"/>
      <c r="H7" s="300"/>
      <c r="I7" s="300"/>
      <c r="J7" s="300"/>
    </row>
    <row r="8" spans="1:10">
      <c r="A8" s="90" t="str">
        <f>'1-Contractblad totaal'!A9</f>
        <v>Prijspeil</v>
      </c>
      <c r="B8" s="488">
        <f>'1-Contractblad totaal'!B9</f>
        <v>45017</v>
      </c>
      <c r="F8" s="300"/>
      <c r="H8" s="300"/>
      <c r="I8" s="300"/>
      <c r="J8" s="300"/>
    </row>
    <row r="10" spans="1:10">
      <c r="A10" s="489" t="s">
        <v>325</v>
      </c>
      <c r="B10" s="490"/>
      <c r="C10" s="490"/>
      <c r="D10" s="490"/>
      <c r="E10" s="490"/>
      <c r="F10" s="490"/>
      <c r="G10" s="490"/>
      <c r="H10" s="490"/>
      <c r="I10" s="497"/>
    </row>
    <row r="11" spans="1:10">
      <c r="A11" s="485"/>
      <c r="B11" s="485"/>
      <c r="C11" s="485"/>
      <c r="D11" s="485"/>
      <c r="E11" s="485"/>
      <c r="F11" s="485"/>
      <c r="G11" s="485"/>
      <c r="H11" s="485"/>
      <c r="I11" s="485"/>
    </row>
    <row r="12" spans="1:10" ht="51">
      <c r="A12" s="565" t="s">
        <v>87</v>
      </c>
      <c r="B12" s="565" t="s">
        <v>293</v>
      </c>
      <c r="C12" s="565" t="s">
        <v>55</v>
      </c>
      <c r="D12" s="569" t="s">
        <v>403</v>
      </c>
      <c r="E12" s="569" t="s">
        <v>399</v>
      </c>
      <c r="F12" s="569" t="s">
        <v>287</v>
      </c>
      <c r="G12" s="569" t="s">
        <v>326</v>
      </c>
      <c r="H12" s="569" t="s">
        <v>534</v>
      </c>
      <c r="I12" s="569" t="s">
        <v>398</v>
      </c>
      <c r="J12" s="300"/>
    </row>
    <row r="13" spans="1:10" ht="27">
      <c r="A13" s="566" t="s">
        <v>408</v>
      </c>
      <c r="B13" s="578" t="s">
        <v>407</v>
      </c>
      <c r="C13" s="578" t="s">
        <v>522</v>
      </c>
      <c r="D13" s="574" t="s">
        <v>344</v>
      </c>
      <c r="E13" s="574">
        <v>7.6</v>
      </c>
      <c r="F13" s="546">
        <v>255</v>
      </c>
      <c r="G13" s="633">
        <f>E13*F13</f>
        <v>1938</v>
      </c>
      <c r="H13" s="550"/>
      <c r="I13" s="548">
        <f>G13*H13</f>
        <v>0</v>
      </c>
      <c r="J13" s="300"/>
    </row>
    <row r="14" spans="1:10" ht="34.15" customHeight="1">
      <c r="A14" s="578" t="s">
        <v>439</v>
      </c>
      <c r="B14" s="578" t="s">
        <v>482</v>
      </c>
      <c r="C14" s="578" t="s">
        <v>523</v>
      </c>
      <c r="D14" s="574" t="s">
        <v>454</v>
      </c>
      <c r="E14" s="575"/>
      <c r="F14" s="546">
        <v>2</v>
      </c>
      <c r="G14" s="634">
        <f>+E14*F14</f>
        <v>0</v>
      </c>
      <c r="H14" s="550"/>
      <c r="I14" s="548">
        <f>G14*H14</f>
        <v>0</v>
      </c>
    </row>
    <row r="15" spans="1:10" ht="34.15" customHeight="1">
      <c r="A15" s="578" t="s">
        <v>448</v>
      </c>
      <c r="B15" s="578" t="s">
        <v>482</v>
      </c>
      <c r="C15" s="578" t="s">
        <v>523</v>
      </c>
      <c r="D15" s="574" t="s">
        <v>455</v>
      </c>
      <c r="E15" s="575"/>
      <c r="F15" s="546">
        <v>2</v>
      </c>
      <c r="G15" s="634">
        <f t="shared" ref="G15:G19" si="0">+E15*F15</f>
        <v>0</v>
      </c>
      <c r="H15" s="550"/>
      <c r="I15" s="548">
        <f t="shared" ref="I15" si="1">G15*H15</f>
        <v>0</v>
      </c>
    </row>
    <row r="16" spans="1:10" ht="34.15" customHeight="1">
      <c r="A16" s="578" t="s">
        <v>440</v>
      </c>
      <c r="B16" s="578" t="s">
        <v>482</v>
      </c>
      <c r="C16" s="578" t="s">
        <v>523</v>
      </c>
      <c r="D16" s="574" t="s">
        <v>456</v>
      </c>
      <c r="E16" s="575"/>
      <c r="F16" s="546">
        <v>2</v>
      </c>
      <c r="G16" s="634">
        <f t="shared" si="0"/>
        <v>0</v>
      </c>
      <c r="H16" s="550"/>
      <c r="I16" s="548">
        <f t="shared" ref="I16:I20" si="2">G16*H16</f>
        <v>0</v>
      </c>
    </row>
    <row r="17" spans="1:9" ht="34.15" customHeight="1">
      <c r="A17" s="578" t="s">
        <v>441</v>
      </c>
      <c r="B17" s="578" t="s">
        <v>482</v>
      </c>
      <c r="C17" s="578" t="s">
        <v>523</v>
      </c>
      <c r="D17" s="574" t="s">
        <v>457</v>
      </c>
      <c r="E17" s="575"/>
      <c r="F17" s="546">
        <v>2</v>
      </c>
      <c r="G17" s="634">
        <f t="shared" si="0"/>
        <v>0</v>
      </c>
      <c r="H17" s="550"/>
      <c r="I17" s="548">
        <f t="shared" ref="I17:I18" si="3">G17*H17</f>
        <v>0</v>
      </c>
    </row>
    <row r="18" spans="1:9" ht="34.15" customHeight="1">
      <c r="A18" s="578" t="s">
        <v>442</v>
      </c>
      <c r="B18" s="578" t="s">
        <v>482</v>
      </c>
      <c r="C18" s="578" t="s">
        <v>523</v>
      </c>
      <c r="D18" s="574" t="s">
        <v>458</v>
      </c>
      <c r="E18" s="575"/>
      <c r="F18" s="546">
        <v>2</v>
      </c>
      <c r="G18" s="634">
        <f t="shared" si="0"/>
        <v>0</v>
      </c>
      <c r="H18" s="550"/>
      <c r="I18" s="548">
        <f t="shared" si="3"/>
        <v>0</v>
      </c>
    </row>
    <row r="19" spans="1:9" ht="40.5">
      <c r="A19" s="578" t="s">
        <v>487</v>
      </c>
      <c r="B19" s="578" t="s">
        <v>482</v>
      </c>
      <c r="C19" s="578" t="s">
        <v>523</v>
      </c>
      <c r="D19" s="574" t="s">
        <v>488</v>
      </c>
      <c r="E19" s="575"/>
      <c r="F19" s="658">
        <v>156</v>
      </c>
      <c r="G19" s="634">
        <f t="shared" si="0"/>
        <v>0</v>
      </c>
      <c r="H19" s="550"/>
      <c r="I19" s="548">
        <f t="shared" ref="I19" si="4">G19*H19</f>
        <v>0</v>
      </c>
    </row>
    <row r="20" spans="1:9" ht="40.5">
      <c r="A20" s="578" t="s">
        <v>404</v>
      </c>
      <c r="B20" s="578" t="s">
        <v>482</v>
      </c>
      <c r="C20" s="578" t="s">
        <v>517</v>
      </c>
      <c r="D20" s="574" t="s">
        <v>459</v>
      </c>
      <c r="E20" s="575"/>
      <c r="F20" s="658">
        <v>52</v>
      </c>
      <c r="G20" s="634">
        <f>+E20*F20</f>
        <v>0</v>
      </c>
      <c r="H20" s="550"/>
      <c r="I20" s="548">
        <f t="shared" si="2"/>
        <v>0</v>
      </c>
    </row>
    <row r="21" spans="1:9">
      <c r="A21" s="564"/>
      <c r="B21" s="564"/>
      <c r="C21" s="564"/>
      <c r="D21" s="558"/>
      <c r="E21" s="558"/>
      <c r="F21" s="558"/>
      <c r="G21" s="635"/>
      <c r="H21" s="558"/>
      <c r="I21" s="558"/>
    </row>
    <row r="22" spans="1:9">
      <c r="A22" s="567" t="s">
        <v>327</v>
      </c>
      <c r="B22" s="568"/>
      <c r="C22" s="568"/>
      <c r="D22" s="559"/>
      <c r="E22" s="559"/>
      <c r="F22" s="560"/>
      <c r="G22" s="555">
        <f>SUM(G13:G21)</f>
        <v>1938</v>
      </c>
      <c r="H22" s="576"/>
      <c r="I22" s="561">
        <f>SUM(I13:I21)</f>
        <v>0</v>
      </c>
    </row>
    <row r="24" spans="1:9">
      <c r="A24" s="659" t="s">
        <v>516</v>
      </c>
      <c r="B24" s="659"/>
      <c r="C24" s="659"/>
      <c r="D24" s="659"/>
      <c r="E24" s="659"/>
      <c r="F24" s="659"/>
      <c r="G24" s="659"/>
    </row>
  </sheetData>
  <pageMargins left="0.59375" right="0.7" top="0.75" bottom="0.75" header="0.3" footer="0.3"/>
  <pageSetup paperSize="9" scale="73" fitToHeight="0" orientation="landscape" r:id="rId1"/>
  <headerFooter>
    <oddFooter>&amp;L&amp;F-&amp;A
Atir b.v. ©&amp;Rprintversie &amp;D</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8E52-B433-4A90-83AC-D65FB167A1BA}">
  <sheetPr>
    <tabColor theme="0" tint="-0.14999847407452621"/>
    <pageSetUpPr fitToPage="1"/>
  </sheetPr>
  <dimension ref="A1:L24"/>
  <sheetViews>
    <sheetView showGridLines="0" zoomScale="85" zoomScaleNormal="85" workbookViewId="0">
      <pane ySplit="10" topLeftCell="A11" activePane="bottomLeft" state="frozen"/>
      <selection activeCell="D5" sqref="C5:D5"/>
      <selection pane="bottomLeft" activeCell="J26" sqref="J26"/>
    </sheetView>
  </sheetViews>
  <sheetFormatPr defaultColWidth="9.140625" defaultRowHeight="13.5"/>
  <cols>
    <col min="1" max="1" width="33.140625" style="3" customWidth="1"/>
    <col min="2" max="3" width="32" style="3" customWidth="1"/>
    <col min="4" max="4" width="12" style="3" bestFit="1" customWidth="1"/>
    <col min="5" max="5" width="13.140625" style="3" customWidth="1"/>
    <col min="6" max="6" width="14" style="3" bestFit="1" customWidth="1"/>
    <col min="7" max="7" width="11.28515625" style="3" customWidth="1"/>
    <col min="8" max="8" width="14.28515625" style="3" customWidth="1"/>
    <col min="9" max="9" width="11.5703125" style="3" customWidth="1"/>
    <col min="10" max="10" width="10.28515625" style="3" customWidth="1"/>
    <col min="11" max="11" width="14.7109375" style="3" customWidth="1"/>
    <col min="12" max="12" width="19.85546875" style="3" customWidth="1"/>
    <col min="13" max="16384" width="9.140625" style="3"/>
  </cols>
  <sheetData>
    <row r="1" spans="1:12">
      <c r="A1" s="416" t="s">
        <v>25</v>
      </c>
    </row>
    <row r="3" spans="1:12">
      <c r="A3" s="90" t="str">
        <f>'1-Contractblad totaal'!A3</f>
        <v>Naam opdrachtgever</v>
      </c>
      <c r="B3" s="538" t="str">
        <f>'1-Contractblad totaal'!B3</f>
        <v>GVB Veren</v>
      </c>
    </row>
    <row r="4" spans="1:12">
      <c r="A4" s="90" t="str">
        <f>'1-Contractblad totaal'!A4</f>
        <v>Calculatie onderdeel</v>
      </c>
      <c r="B4" s="538" t="str">
        <f ca="1">MID(CELL("bestandsnaam",$F$9),SEARCH("]",CELL("bestandsnaam",$F$9),1)+1,256)</f>
        <v>4g-Evenementen Schoonmaak</v>
      </c>
    </row>
    <row r="5" spans="1:12">
      <c r="A5" s="90" t="str">
        <f>'1-Contractblad totaal'!A5</f>
        <v>Gebouw/plaats</v>
      </c>
      <c r="B5" s="538" t="str">
        <f>'1-Contractblad totaal'!B5</f>
        <v>Amsterdam</v>
      </c>
    </row>
    <row r="6" spans="1:12">
      <c r="A6" s="90" t="str">
        <f>'1-Contractblad totaal'!A6</f>
        <v>Referentie nummer</v>
      </c>
      <c r="B6" s="538" t="str">
        <f>'1-Contractblad totaal'!B6</f>
        <v>2021-42a</v>
      </c>
    </row>
    <row r="7" spans="1:12" ht="15" customHeight="1">
      <c r="A7" s="90" t="str">
        <f>'1-Contractblad totaal'!A8</f>
        <v>Naam dienstverlener</v>
      </c>
      <c r="B7" s="538">
        <f>'1-Contractblad totaal'!B8</f>
        <v>0</v>
      </c>
      <c r="E7" s="300"/>
      <c r="G7" s="300"/>
      <c r="H7" s="300"/>
      <c r="I7" s="300"/>
      <c r="J7" s="300"/>
      <c r="K7" s="300"/>
      <c r="L7" s="300"/>
    </row>
    <row r="8" spans="1:12">
      <c r="A8" s="90" t="str">
        <f>'1-Contractblad totaal'!A9</f>
        <v>Prijspeil</v>
      </c>
      <c r="B8" s="488">
        <f>'1-Contractblad totaal'!B9</f>
        <v>45017</v>
      </c>
      <c r="E8" s="300"/>
      <c r="G8" s="300"/>
      <c r="H8" s="300"/>
      <c r="I8" s="300"/>
      <c r="J8" s="300"/>
      <c r="K8" s="300"/>
      <c r="L8" s="300"/>
    </row>
    <row r="10" spans="1:12">
      <c r="A10" s="562" t="s">
        <v>409</v>
      </c>
      <c r="B10" s="563"/>
      <c r="C10" s="563"/>
      <c r="D10" s="563"/>
      <c r="E10" s="563"/>
      <c r="F10" s="563"/>
      <c r="G10" s="563"/>
      <c r="H10" s="563"/>
      <c r="I10" s="563"/>
      <c r="J10" s="563"/>
      <c r="K10" s="577"/>
    </row>
    <row r="11" spans="1:12">
      <c r="A11" s="564"/>
      <c r="B11" s="564"/>
      <c r="C11" s="564"/>
      <c r="D11" s="564"/>
      <c r="E11" s="564"/>
      <c r="F11" s="564"/>
      <c r="G11" s="564"/>
      <c r="H11" s="564"/>
      <c r="I11" s="564"/>
      <c r="J11" s="564"/>
      <c r="K11" s="564"/>
    </row>
    <row r="12" spans="1:12" ht="46.15" customHeight="1">
      <c r="A12" s="565" t="s">
        <v>87</v>
      </c>
      <c r="B12" s="565" t="s">
        <v>293</v>
      </c>
      <c r="C12" s="565" t="s">
        <v>55</v>
      </c>
      <c r="D12" s="569" t="s">
        <v>421</v>
      </c>
      <c r="E12" s="569" t="s">
        <v>499</v>
      </c>
      <c r="F12" s="569" t="s">
        <v>418</v>
      </c>
      <c r="G12" s="569" t="s">
        <v>287</v>
      </c>
      <c r="H12" s="569" t="s">
        <v>498</v>
      </c>
      <c r="I12" s="569" t="s">
        <v>497</v>
      </c>
      <c r="J12" s="569" t="s">
        <v>534</v>
      </c>
      <c r="K12" s="569" t="s">
        <v>398</v>
      </c>
    </row>
    <row r="13" spans="1:12" ht="30.75" customHeight="1">
      <c r="A13" s="566" t="s">
        <v>410</v>
      </c>
      <c r="B13" s="578" t="s">
        <v>445</v>
      </c>
      <c r="C13" s="578" t="s">
        <v>295</v>
      </c>
      <c r="D13" s="574">
        <v>1</v>
      </c>
      <c r="E13" s="574">
        <v>0.25</v>
      </c>
      <c r="F13" s="546">
        <v>2</v>
      </c>
      <c r="G13" s="546">
        <v>4</v>
      </c>
      <c r="H13" s="574">
        <f>+D13*F13*G13</f>
        <v>8</v>
      </c>
      <c r="I13" s="574">
        <f>+E13*F13*G13</f>
        <v>2</v>
      </c>
      <c r="J13" s="550"/>
      <c r="K13" s="548">
        <f>+(H13+I13)*J13</f>
        <v>0</v>
      </c>
    </row>
    <row r="14" spans="1:12" ht="30.75" customHeight="1">
      <c r="A14" s="566" t="s">
        <v>411</v>
      </c>
      <c r="B14" s="578" t="s">
        <v>445</v>
      </c>
      <c r="C14" s="578" t="s">
        <v>295</v>
      </c>
      <c r="D14" s="574">
        <v>1</v>
      </c>
      <c r="E14" s="574">
        <v>0.25</v>
      </c>
      <c r="F14" s="546">
        <v>2</v>
      </c>
      <c r="G14" s="546">
        <v>12</v>
      </c>
      <c r="H14" s="574">
        <f t="shared" ref="H14:H18" si="0">+D14*F14*G14</f>
        <v>24</v>
      </c>
      <c r="I14" s="574">
        <f t="shared" ref="I14:I18" si="1">+E14*F14*G14</f>
        <v>6</v>
      </c>
      <c r="J14" s="550"/>
      <c r="K14" s="548">
        <f t="shared" ref="K14:K18" si="2">+(H14+I14)*J14</f>
        <v>0</v>
      </c>
    </row>
    <row r="15" spans="1:12" ht="30.75" customHeight="1">
      <c r="A15" s="566" t="s">
        <v>412</v>
      </c>
      <c r="B15" s="578" t="s">
        <v>445</v>
      </c>
      <c r="C15" s="578" t="s">
        <v>295</v>
      </c>
      <c r="D15" s="574">
        <v>1</v>
      </c>
      <c r="E15" s="574">
        <v>0.25</v>
      </c>
      <c r="F15" s="546">
        <v>2</v>
      </c>
      <c r="G15" s="546">
        <v>1</v>
      </c>
      <c r="H15" s="574">
        <f t="shared" si="0"/>
        <v>2</v>
      </c>
      <c r="I15" s="574">
        <f t="shared" si="1"/>
        <v>0.5</v>
      </c>
      <c r="J15" s="550"/>
      <c r="K15" s="548">
        <f t="shared" si="2"/>
        <v>0</v>
      </c>
    </row>
    <row r="16" spans="1:12" ht="30.75" customHeight="1">
      <c r="A16" s="566" t="s">
        <v>414</v>
      </c>
      <c r="B16" s="578" t="s">
        <v>446</v>
      </c>
      <c r="C16" s="578" t="s">
        <v>295</v>
      </c>
      <c r="D16" s="574">
        <v>0.25</v>
      </c>
      <c r="E16" s="574">
        <v>0.25</v>
      </c>
      <c r="F16" s="546">
        <v>2</v>
      </c>
      <c r="G16" s="546">
        <v>4</v>
      </c>
      <c r="H16" s="574">
        <f t="shared" si="0"/>
        <v>2</v>
      </c>
      <c r="I16" s="574">
        <f t="shared" si="1"/>
        <v>2</v>
      </c>
      <c r="J16" s="550"/>
      <c r="K16" s="548">
        <f t="shared" si="2"/>
        <v>0</v>
      </c>
    </row>
    <row r="17" spans="1:11" ht="30.75" customHeight="1">
      <c r="A17" s="566" t="s">
        <v>415</v>
      </c>
      <c r="B17" s="578" t="s">
        <v>446</v>
      </c>
      <c r="C17" s="578" t="s">
        <v>295</v>
      </c>
      <c r="D17" s="574">
        <v>0.25</v>
      </c>
      <c r="E17" s="574">
        <v>0.25</v>
      </c>
      <c r="F17" s="546">
        <v>2</v>
      </c>
      <c r="G17" s="546">
        <v>12</v>
      </c>
      <c r="H17" s="574">
        <f t="shared" si="0"/>
        <v>6</v>
      </c>
      <c r="I17" s="574">
        <f t="shared" si="1"/>
        <v>6</v>
      </c>
      <c r="J17" s="550"/>
      <c r="K17" s="548">
        <f t="shared" si="2"/>
        <v>0</v>
      </c>
    </row>
    <row r="18" spans="1:11" ht="30.75" customHeight="1">
      <c r="A18" s="566" t="s">
        <v>416</v>
      </c>
      <c r="B18" s="578" t="s">
        <v>446</v>
      </c>
      <c r="C18" s="578" t="s">
        <v>295</v>
      </c>
      <c r="D18" s="574">
        <v>0.25</v>
      </c>
      <c r="E18" s="574">
        <v>0.25</v>
      </c>
      <c r="F18" s="546">
        <v>2</v>
      </c>
      <c r="G18" s="546">
        <v>1</v>
      </c>
      <c r="H18" s="574">
        <f t="shared" si="0"/>
        <v>0.5</v>
      </c>
      <c r="I18" s="574">
        <f t="shared" si="1"/>
        <v>0.5</v>
      </c>
      <c r="J18" s="550"/>
      <c r="K18" s="548">
        <f t="shared" si="2"/>
        <v>0</v>
      </c>
    </row>
    <row r="19" spans="1:11">
      <c r="A19" s="564"/>
      <c r="B19" s="564"/>
      <c r="C19" s="564"/>
      <c r="D19" s="570"/>
      <c r="E19" s="570"/>
      <c r="F19" s="570"/>
      <c r="G19" s="570"/>
      <c r="H19" s="570"/>
      <c r="I19" s="570"/>
      <c r="J19" s="570"/>
      <c r="K19" s="570"/>
    </row>
    <row r="20" spans="1:11">
      <c r="A20" s="567" t="s">
        <v>327</v>
      </c>
      <c r="B20" s="568"/>
      <c r="C20" s="568"/>
      <c r="D20" s="571"/>
      <c r="E20" s="571"/>
      <c r="F20" s="571"/>
      <c r="G20" s="572"/>
      <c r="H20" s="579">
        <f>SUM(H13:H18)</f>
        <v>42.5</v>
      </c>
      <c r="I20" s="579">
        <f>SUM(I13:I18)</f>
        <v>17</v>
      </c>
      <c r="J20" s="580"/>
      <c r="K20" s="573">
        <f>SUM(K13:K18)</f>
        <v>0</v>
      </c>
    </row>
    <row r="21" spans="1:11">
      <c r="D21" s="581"/>
      <c r="E21" s="581"/>
      <c r="F21" s="581"/>
      <c r="G21" s="581"/>
      <c r="H21" s="581"/>
      <c r="I21" s="581"/>
      <c r="J21" s="581"/>
      <c r="K21" s="581"/>
    </row>
    <row r="23" spans="1:11">
      <c r="A23" s="3" t="s">
        <v>443</v>
      </c>
    </row>
    <row r="24" spans="1:11">
      <c r="A24" s="3" t="s">
        <v>521</v>
      </c>
    </row>
  </sheetData>
  <pageMargins left="0.59375" right="0.7" top="0.75" bottom="0.75" header="0.3" footer="0.3"/>
  <pageSetup paperSize="9" scale="67" fitToHeight="0" orientation="landscape" r:id="rId1"/>
  <headerFooter>
    <oddFooter>&amp;L&amp;F-&amp;A
Atir b.v. ©&amp;Rprintversie &amp;D</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5" zoomScaleNormal="85" zoomScaleSheetLayoutView="100" workbookViewId="0">
      <pane ySplit="9" topLeftCell="A10" activePane="bottomLeft" state="frozen"/>
      <selection activeCell="D33" sqref="D33"/>
      <selection pane="bottomLeft" activeCell="B1" sqref="B1"/>
    </sheetView>
  </sheetViews>
  <sheetFormatPr defaultColWidth="9.28515625" defaultRowHeight="13.5"/>
  <cols>
    <col min="1" max="1" width="45.5703125" style="3" customWidth="1"/>
    <col min="2" max="2" width="18.28515625" style="3" customWidth="1"/>
    <col min="3" max="3" width="18.42578125" style="3" customWidth="1"/>
    <col min="4" max="4" width="10.7109375" style="3" customWidth="1"/>
    <col min="5" max="5" width="11.140625" style="3" customWidth="1"/>
    <col min="6" max="6" width="2.140625" style="3" customWidth="1"/>
    <col min="7" max="7" width="7.85546875" style="3" customWidth="1"/>
    <col min="8" max="8" width="27" style="3" bestFit="1" customWidth="1"/>
    <col min="9" max="16384" width="9.28515625" style="3"/>
  </cols>
  <sheetData>
    <row r="1" spans="1:8">
      <c r="A1" s="408" t="s">
        <v>25</v>
      </c>
      <c r="B1" s="39"/>
      <c r="C1" s="2"/>
      <c r="D1" s="2"/>
      <c r="E1" s="2"/>
      <c r="F1" s="2"/>
      <c r="G1" s="2"/>
    </row>
    <row r="2" spans="1:8">
      <c r="A2" s="2"/>
      <c r="B2" s="2"/>
      <c r="C2" s="2"/>
      <c r="D2" s="2"/>
      <c r="E2" s="2"/>
      <c r="F2" s="2"/>
      <c r="G2" s="2"/>
    </row>
    <row r="3" spans="1:8" ht="17.25">
      <c r="A3" s="99" t="str">
        <f>'1-Contractblad totaal'!A3</f>
        <v>Naam opdrachtgever</v>
      </c>
      <c r="B3" s="130" t="str">
        <f>'1-Contractblad totaal'!B3</f>
        <v>GVB Veren</v>
      </c>
      <c r="C3" s="2"/>
      <c r="D3" s="2"/>
      <c r="E3" s="462"/>
      <c r="F3" s="2"/>
      <c r="G3" s="2"/>
    </row>
    <row r="4" spans="1:8" ht="17.25">
      <c r="A4" s="99" t="str">
        <f>'1-Contractblad totaal'!A4</f>
        <v>Calculatie onderdeel</v>
      </c>
      <c r="B4" s="130" t="str">
        <f ca="1">MID(CELL("bestandsnaam",$C$9),SEARCH("]",CELL("bestandsnaam",$C$9),1)+1,256)</f>
        <v>5-Premies en opslagen</v>
      </c>
      <c r="C4" s="185"/>
      <c r="D4" s="25"/>
      <c r="E4" s="5"/>
      <c r="F4" s="5"/>
      <c r="G4" s="5"/>
    </row>
    <row r="5" spans="1:8" ht="17.25">
      <c r="A5" s="99" t="str">
        <f>'1-Contractblad totaal'!A5</f>
        <v>Gebouw/plaats</v>
      </c>
      <c r="B5" s="130" t="str">
        <f>'1-Contractblad totaal'!B5</f>
        <v>Amsterdam</v>
      </c>
      <c r="C5" s="99"/>
      <c r="D5" s="20"/>
      <c r="E5" s="186"/>
      <c r="F5" s="7"/>
      <c r="G5" s="5"/>
    </row>
    <row r="6" spans="1:8" ht="17.25">
      <c r="A6" s="99" t="str">
        <f>'1-Contractblad totaal'!A6</f>
        <v>Referentie nummer</v>
      </c>
      <c r="B6" s="130" t="str">
        <f>'1-Contractblad totaal'!B6</f>
        <v>2021-42a</v>
      </c>
      <c r="C6" s="137"/>
      <c r="D6" s="20"/>
      <c r="E6" s="469"/>
      <c r="F6" s="468"/>
      <c r="G6" s="470"/>
      <c r="H6" s="471"/>
    </row>
    <row r="7" spans="1:8" ht="17.25">
      <c r="A7" s="99" t="str">
        <f>'1-Contractblad totaal'!A8</f>
        <v>Naam dienstverlener</v>
      </c>
      <c r="B7" s="130">
        <f>'1-Contractblad totaal'!B8</f>
        <v>0</v>
      </c>
      <c r="C7" s="137"/>
      <c r="D7" s="20"/>
      <c r="E7" s="186"/>
      <c r="F7" s="7"/>
      <c r="G7" s="5"/>
    </row>
    <row r="8" spans="1:8" ht="15.75">
      <c r="A8" s="99" t="str">
        <f>'1-Contractblad totaal'!A9</f>
        <v>Prijspeil</v>
      </c>
      <c r="B8" s="100">
        <f>'1-Contractblad totaal'!B9</f>
        <v>45017</v>
      </c>
      <c r="C8" s="186"/>
      <c r="D8" s="186"/>
      <c r="E8" s="186"/>
      <c r="F8" s="7"/>
      <c r="G8" s="5"/>
    </row>
    <row r="9" spans="1:8" ht="15">
      <c r="A9" s="187"/>
      <c r="B9" s="186"/>
      <c r="C9" s="186"/>
      <c r="D9" s="186"/>
      <c r="E9" s="186"/>
      <c r="F9" s="7"/>
      <c r="G9" s="5"/>
    </row>
    <row r="10" spans="1:8" ht="18">
      <c r="A10" s="218" t="s">
        <v>3</v>
      </c>
      <c r="B10" s="219"/>
      <c r="C10" s="220"/>
      <c r="D10" s="186"/>
      <c r="E10" s="186"/>
      <c r="F10" s="7"/>
      <c r="G10" s="5"/>
    </row>
    <row r="11" spans="1:8">
      <c r="A11" s="188"/>
      <c r="B11" s="4"/>
      <c r="C11" s="4"/>
      <c r="D11" s="186"/>
      <c r="E11" s="186"/>
      <c r="F11" s="5"/>
      <c r="G11" s="5"/>
    </row>
    <row r="12" spans="1:8">
      <c r="A12" s="189"/>
      <c r="B12" s="161"/>
      <c r="C12" s="190" t="s">
        <v>39</v>
      </c>
      <c r="D12" s="186"/>
      <c r="E12" s="186"/>
      <c r="F12" s="7"/>
      <c r="G12" s="5"/>
    </row>
    <row r="13" spans="1:8">
      <c r="A13" s="191" t="s">
        <v>93</v>
      </c>
      <c r="B13" s="161"/>
      <c r="C13" s="409">
        <v>0</v>
      </c>
      <c r="D13" s="186"/>
      <c r="E13" s="186"/>
      <c r="F13" s="192"/>
      <c r="G13" s="5"/>
    </row>
    <row r="14" spans="1:8">
      <c r="A14" s="191" t="s">
        <v>194</v>
      </c>
      <c r="B14" s="161"/>
      <c r="C14" s="409">
        <v>0</v>
      </c>
      <c r="D14" s="186"/>
      <c r="E14" s="186"/>
      <c r="F14" s="192"/>
      <c r="G14" s="5"/>
    </row>
    <row r="15" spans="1:8">
      <c r="A15" s="191" t="s">
        <v>94</v>
      </c>
      <c r="B15" s="161"/>
      <c r="C15" s="409">
        <v>0</v>
      </c>
      <c r="D15" s="186"/>
      <c r="E15" s="186"/>
      <c r="F15" s="192"/>
      <c r="G15" s="5"/>
    </row>
    <row r="16" spans="1:8">
      <c r="A16" s="193" t="s">
        <v>8</v>
      </c>
      <c r="B16" s="194"/>
      <c r="C16" s="195">
        <f>SUM(C13:C15)</f>
        <v>0</v>
      </c>
      <c r="D16" s="186"/>
      <c r="E16" s="186"/>
      <c r="F16" s="5"/>
    </row>
    <row r="17" spans="1:7">
      <c r="A17" s="193"/>
      <c r="B17" s="194"/>
      <c r="C17" s="195"/>
      <c r="D17" s="186"/>
      <c r="E17" s="186"/>
      <c r="F17" s="5"/>
    </row>
    <row r="18" spans="1:7">
      <c r="A18" s="706" t="s">
        <v>95</v>
      </c>
      <c r="B18" s="707"/>
      <c r="C18" s="409">
        <v>0</v>
      </c>
      <c r="D18" s="186"/>
      <c r="E18" s="186"/>
      <c r="F18" s="5"/>
    </row>
    <row r="19" spans="1:7">
      <c r="A19" s="478" t="s">
        <v>225</v>
      </c>
      <c r="B19" s="477"/>
      <c r="C19" s="409">
        <v>0</v>
      </c>
      <c r="D19" s="186"/>
      <c r="E19" s="186"/>
      <c r="F19" s="5"/>
    </row>
    <row r="20" spans="1:7">
      <c r="A20" s="706" t="s">
        <v>96</v>
      </c>
      <c r="B20" s="707"/>
      <c r="C20" s="409">
        <v>0</v>
      </c>
      <c r="D20" s="186"/>
      <c r="E20" s="186"/>
      <c r="F20" s="5"/>
    </row>
    <row r="21" spans="1:7">
      <c r="A21" s="706" t="s">
        <v>35</v>
      </c>
      <c r="B21" s="707"/>
      <c r="C21" s="196" t="e">
        <f>C34</f>
        <v>#DIV/0!</v>
      </c>
      <c r="D21" s="186"/>
      <c r="E21" s="186"/>
      <c r="F21" s="5"/>
    </row>
    <row r="22" spans="1:7">
      <c r="A22" s="706" t="s">
        <v>76</v>
      </c>
      <c r="B22" s="707"/>
      <c r="C22" s="409">
        <v>0</v>
      </c>
      <c r="D22" s="186"/>
      <c r="E22" s="186"/>
      <c r="F22" s="5"/>
    </row>
    <row r="23" spans="1:7">
      <c r="A23" s="706" t="s">
        <v>212</v>
      </c>
      <c r="B23" s="707"/>
      <c r="C23" s="409">
        <v>0</v>
      </c>
      <c r="D23" s="186"/>
      <c r="E23" s="186"/>
      <c r="F23" s="5"/>
    </row>
    <row r="24" spans="1:7">
      <c r="A24" s="708" t="s">
        <v>75</v>
      </c>
      <c r="B24" s="709"/>
      <c r="C24" s="197" t="e">
        <f>SUM(C16:C23)</f>
        <v>#DIV/0!</v>
      </c>
      <c r="D24" s="186"/>
      <c r="E24" s="186"/>
      <c r="F24" s="5"/>
    </row>
    <row r="25" spans="1:7">
      <c r="A25" s="198"/>
      <c r="B25" s="25"/>
      <c r="C25" s="16"/>
      <c r="D25" s="186"/>
      <c r="E25" s="186"/>
      <c r="F25" s="17"/>
      <c r="G25" s="5"/>
    </row>
    <row r="26" spans="1:7" ht="18">
      <c r="A26" s="218" t="s">
        <v>69</v>
      </c>
      <c r="B26" s="219"/>
      <c r="C26" s="220"/>
      <c r="D26" s="186"/>
      <c r="E26" s="186"/>
      <c r="F26" s="7"/>
      <c r="G26" s="5"/>
    </row>
    <row r="27" spans="1:7">
      <c r="A27" s="188"/>
      <c r="B27" s="4"/>
      <c r="C27" s="4"/>
      <c r="D27" s="186"/>
      <c r="E27" s="186"/>
      <c r="F27" s="5"/>
      <c r="G27" s="5"/>
    </row>
    <row r="28" spans="1:7">
      <c r="A28" s="4"/>
      <c r="B28" s="4"/>
      <c r="C28" s="199" t="s">
        <v>16</v>
      </c>
      <c r="D28" s="186"/>
      <c r="E28" s="186"/>
      <c r="F28" s="5"/>
      <c r="G28" s="5"/>
    </row>
    <row r="29" spans="1:7">
      <c r="A29" s="191" t="s">
        <v>21</v>
      </c>
      <c r="B29" s="161"/>
      <c r="C29" s="200">
        <f>'6a-Opbouw uurtarief productie'!E21</f>
        <v>0</v>
      </c>
      <c r="D29" s="186"/>
      <c r="E29" s="186"/>
      <c r="G29" s="5"/>
    </row>
    <row r="30" spans="1:7">
      <c r="A30" s="191" t="s">
        <v>53</v>
      </c>
      <c r="B30" s="447" t="s">
        <v>200</v>
      </c>
      <c r="C30" s="410">
        <v>0</v>
      </c>
      <c r="D30" s="186"/>
      <c r="E30" s="186"/>
      <c r="F30" s="7"/>
      <c r="G30" s="5"/>
    </row>
    <row r="31" spans="1:7">
      <c r="A31" s="191" t="s">
        <v>47</v>
      </c>
      <c r="B31" s="161"/>
      <c r="C31" s="201">
        <f>C29+C30</f>
        <v>0</v>
      </c>
      <c r="D31" s="186"/>
      <c r="E31" s="186"/>
      <c r="F31" s="7"/>
      <c r="G31" s="5"/>
    </row>
    <row r="32" spans="1:7">
      <c r="A32" s="202" t="s">
        <v>0</v>
      </c>
      <c r="B32" s="203"/>
      <c r="C32" s="411">
        <v>0</v>
      </c>
      <c r="E32" s="204"/>
      <c r="F32" s="7"/>
      <c r="G32" s="5"/>
    </row>
    <row r="33" spans="1:7">
      <c r="A33" s="188"/>
      <c r="B33" s="205"/>
      <c r="C33" s="206"/>
      <c r="E33" s="4"/>
      <c r="F33" s="5"/>
      <c r="G33" s="5"/>
    </row>
    <row r="34" spans="1:7">
      <c r="A34" s="369" t="s">
        <v>48</v>
      </c>
      <c r="B34" s="303"/>
      <c r="C34" s="370" t="e">
        <f>(C31/C29)*C32</f>
        <v>#DIV/0!</v>
      </c>
      <c r="E34" s="207"/>
      <c r="F34" s="7"/>
      <c r="G34" s="208"/>
    </row>
    <row r="35" spans="1:7">
      <c r="A35" s="188"/>
      <c r="B35" s="4"/>
      <c r="C35" s="4"/>
      <c r="E35" s="207"/>
      <c r="F35" s="7"/>
      <c r="G35" s="5"/>
    </row>
    <row r="36" spans="1:7" ht="18">
      <c r="A36" s="221" t="s">
        <v>56</v>
      </c>
      <c r="B36" s="222"/>
      <c r="C36" s="223"/>
      <c r="E36" s="207"/>
      <c r="F36" s="7"/>
      <c r="G36" s="5"/>
    </row>
    <row r="37" spans="1:7">
      <c r="A37" s="198"/>
      <c r="B37" s="25"/>
      <c r="C37" s="16"/>
      <c r="E37" s="207"/>
      <c r="F37" s="7"/>
      <c r="G37" s="5"/>
    </row>
    <row r="38" spans="1:7">
      <c r="A38" s="198"/>
      <c r="B38" s="387" t="s">
        <v>81</v>
      </c>
      <c r="C38" s="16"/>
      <c r="E38" s="207"/>
      <c r="F38" s="7"/>
      <c r="G38" s="5"/>
    </row>
    <row r="39" spans="1:7">
      <c r="A39" s="209" t="s">
        <v>5</v>
      </c>
      <c r="B39" s="483">
        <v>365</v>
      </c>
      <c r="C39" s="16"/>
      <c r="E39" s="207"/>
      <c r="F39" s="7"/>
      <c r="G39" s="22"/>
    </row>
    <row r="40" spans="1:7">
      <c r="A40" s="209" t="s">
        <v>4</v>
      </c>
      <c r="B40" s="483">
        <v>104</v>
      </c>
      <c r="C40" s="16"/>
      <c r="E40" s="207"/>
      <c r="F40" s="7"/>
      <c r="G40" s="22"/>
    </row>
    <row r="41" spans="1:7">
      <c r="A41" s="371" t="s">
        <v>6</v>
      </c>
      <c r="B41" s="372">
        <f>B39-B40</f>
        <v>261</v>
      </c>
      <c r="C41" s="16"/>
      <c r="E41" s="207"/>
      <c r="F41" s="7"/>
      <c r="G41" s="10"/>
    </row>
    <row r="42" spans="1:7">
      <c r="A42" s="210"/>
      <c r="B42" s="112"/>
      <c r="C42" s="16"/>
      <c r="E42" s="207"/>
      <c r="F42" s="7"/>
      <c r="G42" s="10"/>
    </row>
    <row r="43" spans="1:7">
      <c r="A43" s="209" t="s">
        <v>30</v>
      </c>
      <c r="B43" s="412">
        <v>0</v>
      </c>
      <c r="C43" s="16"/>
      <c r="E43" s="207"/>
      <c r="F43" s="7"/>
      <c r="G43" s="10"/>
    </row>
    <row r="44" spans="1:7">
      <c r="A44" s="209" t="s">
        <v>20</v>
      </c>
      <c r="B44" s="412">
        <v>0</v>
      </c>
      <c r="C44" s="16"/>
      <c r="E44" s="207"/>
      <c r="F44" s="7"/>
      <c r="G44" s="10"/>
    </row>
    <row r="45" spans="1:7">
      <c r="A45" s="209" t="s">
        <v>42</v>
      </c>
      <c r="B45" s="412">
        <v>0</v>
      </c>
      <c r="C45" s="16"/>
      <c r="E45" s="207"/>
      <c r="F45" s="7"/>
      <c r="G45" s="10"/>
    </row>
    <row r="46" spans="1:7">
      <c r="A46" s="209" t="s">
        <v>51</v>
      </c>
      <c r="B46" s="412"/>
      <c r="C46" s="16"/>
      <c r="E46" s="207"/>
      <c r="F46" s="7"/>
      <c r="G46" s="10"/>
    </row>
    <row r="47" spans="1:7">
      <c r="A47" s="371" t="s">
        <v>27</v>
      </c>
      <c r="B47" s="372">
        <f>B41-SUM(B43:B46)</f>
        <v>261</v>
      </c>
      <c r="C47" s="16"/>
      <c r="E47" s="207"/>
      <c r="F47" s="7"/>
      <c r="G47" s="10"/>
    </row>
    <row r="48" spans="1:7">
      <c r="A48" s="211"/>
      <c r="B48" s="112"/>
      <c r="C48" s="16"/>
      <c r="E48" s="207"/>
      <c r="F48" s="7"/>
      <c r="G48" s="10"/>
    </row>
    <row r="49" spans="1:7">
      <c r="A49" s="212" t="s">
        <v>70</v>
      </c>
      <c r="B49" s="213">
        <f>IF(B43=0,0,B43/$B$47)</f>
        <v>0</v>
      </c>
      <c r="C49" s="16"/>
      <c r="E49" s="207"/>
      <c r="F49" s="7"/>
      <c r="G49" s="10"/>
    </row>
    <row r="50" spans="1:7">
      <c r="A50" s="212" t="s">
        <v>20</v>
      </c>
      <c r="B50" s="213">
        <f>IF(B44=0,0,B44/$B$47)</f>
        <v>0</v>
      </c>
      <c r="C50" s="16"/>
      <c r="E50" s="207"/>
      <c r="F50" s="7"/>
      <c r="G50" s="10"/>
    </row>
    <row r="51" spans="1:7">
      <c r="A51" s="209" t="s">
        <v>42</v>
      </c>
      <c r="B51" s="213">
        <f>IF(B45=0,0,B45/$B$47)</f>
        <v>0</v>
      </c>
      <c r="C51" s="16"/>
      <c r="E51" s="207"/>
      <c r="F51" s="7"/>
      <c r="G51" s="10"/>
    </row>
    <row r="52" spans="1:7">
      <c r="A52" s="212" t="s">
        <v>51</v>
      </c>
      <c r="B52" s="213">
        <f>IF(B46=0,0,B46/$B$47)</f>
        <v>0</v>
      </c>
      <c r="C52" s="16"/>
      <c r="E52" s="207"/>
      <c r="F52" s="7"/>
      <c r="G52" s="31"/>
    </row>
    <row r="53" spans="1:7">
      <c r="A53" s="371" t="s">
        <v>77</v>
      </c>
      <c r="B53" s="373">
        <f>SUM(B49:B52)</f>
        <v>0</v>
      </c>
      <c r="C53" s="16"/>
      <c r="E53" s="207"/>
      <c r="F53" s="7"/>
      <c r="G53" s="34"/>
    </row>
    <row r="54" spans="1:7">
      <c r="A54" s="38"/>
      <c r="B54" s="38"/>
      <c r="C54" s="38"/>
      <c r="E54" s="207"/>
      <c r="F54" s="7"/>
      <c r="G54" s="2"/>
    </row>
    <row r="55" spans="1:7">
      <c r="E55" s="207"/>
      <c r="F55" s="7"/>
      <c r="G55" s="2"/>
    </row>
    <row r="58" spans="1:7" ht="16.5">
      <c r="A58" s="214"/>
      <c r="B58" s="1"/>
    </row>
    <row r="59" spans="1:7" ht="16.5">
      <c r="A59" s="214"/>
      <c r="B59" s="1"/>
    </row>
    <row r="60" spans="1:7" ht="16.5">
      <c r="A60" s="214"/>
      <c r="B60" s="1"/>
    </row>
    <row r="61" spans="1:7" ht="16.5">
      <c r="A61" s="214"/>
      <c r="B61" s="1"/>
    </row>
    <row r="62" spans="1:7" ht="16.5">
      <c r="A62" s="215"/>
      <c r="B62" s="1"/>
    </row>
    <row r="63" spans="1:7" ht="16.5">
      <c r="A63" s="1"/>
      <c r="B63" s="1"/>
    </row>
    <row r="64" spans="1:7" ht="16.5">
      <c r="A64" s="1"/>
      <c r="B64" s="1"/>
    </row>
    <row r="65" spans="1:3" ht="16.5">
      <c r="A65" s="1"/>
      <c r="B65" s="1"/>
    </row>
    <row r="66" spans="1:3" ht="16.5">
      <c r="A66" s="1"/>
      <c r="B66" s="1"/>
    </row>
    <row r="67" spans="1:3" ht="16.5">
      <c r="A67" s="1"/>
      <c r="B67" s="1"/>
    </row>
    <row r="68" spans="1:3" ht="16.5">
      <c r="A68" s="1"/>
      <c r="B68" s="1"/>
    </row>
    <row r="69" spans="1:3" ht="16.5">
      <c r="A69" s="1"/>
      <c r="B69" s="1"/>
    </row>
    <row r="70" spans="1:3" ht="16.5">
      <c r="A70" s="1"/>
      <c r="B70" s="216"/>
    </row>
    <row r="71" spans="1:3" ht="16.5">
      <c r="A71" s="1"/>
      <c r="B71" s="1"/>
    </row>
    <row r="72" spans="1:3" ht="16.5">
      <c r="B72" s="1"/>
    </row>
    <row r="73" spans="1:3" ht="16.5">
      <c r="A73" s="1"/>
      <c r="B73" s="1"/>
      <c r="C73" s="1"/>
    </row>
    <row r="74" spans="1:3" ht="16.5">
      <c r="A74" s="217"/>
      <c r="B74" s="1"/>
      <c r="C74" s="217"/>
    </row>
    <row r="75" spans="1:3" ht="16.5">
      <c r="A75" s="1"/>
      <c r="B75" s="1"/>
      <c r="C75" s="1"/>
    </row>
    <row r="76" spans="1:3" ht="16.5">
      <c r="A76" s="1"/>
      <c r="B76" s="1"/>
      <c r="C76" s="1"/>
    </row>
    <row r="77" spans="1:3" ht="16.5">
      <c r="A77" s="1"/>
      <c r="B77" s="1"/>
      <c r="C77" s="1"/>
    </row>
    <row r="78" spans="1:3" ht="16.5">
      <c r="A78" s="217"/>
      <c r="B78" s="1"/>
      <c r="C78" s="217"/>
    </row>
    <row r="79" spans="1:3" ht="16.5">
      <c r="A79" s="217"/>
      <c r="B79" s="1"/>
      <c r="C79" s="217"/>
    </row>
    <row r="80" spans="1:3" ht="16.5">
      <c r="A80" s="217"/>
      <c r="B80" s="1"/>
      <c r="C80" s="217"/>
    </row>
    <row r="81" spans="1:2" ht="16.5">
      <c r="A81" s="1"/>
      <c r="B81" s="1"/>
    </row>
    <row r="82" spans="1:2" ht="16.5">
      <c r="A82" s="1"/>
      <c r="B82" s="1"/>
    </row>
    <row r="83" spans="1:2" ht="16.5">
      <c r="A83" s="1"/>
      <c r="B83" s="1"/>
    </row>
  </sheetData>
  <dataConsolidate/>
  <mergeCells count="6">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P64"/>
  <sheetViews>
    <sheetView showGridLines="0" showZeros="0" showOutlineSymbols="0" zoomScale="85" zoomScaleNormal="85" zoomScalePageLayoutView="50" workbookViewId="0">
      <pane ySplit="10" topLeftCell="A14" activePane="bottomLeft" state="frozen"/>
      <selection activeCell="D33" sqref="D33"/>
      <selection pane="bottomLeft" activeCell="E53" sqref="E53"/>
    </sheetView>
  </sheetViews>
  <sheetFormatPr defaultColWidth="11.42578125" defaultRowHeight="13.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5703125" style="3" customWidth="1"/>
    <col min="9" max="15" width="11.42578125" style="3"/>
    <col min="16" max="16" width="12.7109375" style="3" customWidth="1"/>
    <col min="17" max="16384" width="11.42578125" style="3"/>
  </cols>
  <sheetData>
    <row r="1" spans="1:15" ht="12.75" customHeight="1">
      <c r="A1" s="408" t="s">
        <v>25</v>
      </c>
      <c r="B1" s="39"/>
      <c r="C1" s="2"/>
      <c r="D1" s="2"/>
      <c r="E1" s="2"/>
      <c r="F1" s="2"/>
      <c r="H1" s="680"/>
      <c r="I1" s="680"/>
      <c r="J1" s="680"/>
      <c r="K1" s="680"/>
      <c r="L1" s="680"/>
      <c r="M1" s="680"/>
      <c r="N1" s="680"/>
    </row>
    <row r="2" spans="1:15">
      <c r="A2" s="224"/>
      <c r="B2" s="225"/>
      <c r="C2" s="226"/>
      <c r="D2" s="225"/>
      <c r="E2" s="227"/>
      <c r="F2" s="228"/>
      <c r="G2" s="299"/>
      <c r="H2" s="680"/>
      <c r="I2" s="680"/>
      <c r="J2" s="680"/>
      <c r="K2" s="680"/>
      <c r="L2" s="680"/>
      <c r="M2" s="680"/>
      <c r="N2" s="680"/>
    </row>
    <row r="3" spans="1:15" ht="14.25" customHeight="1">
      <c r="A3" s="287" t="str">
        <f>'1-Contractblad totaal'!A3</f>
        <v>Naam opdrachtgever</v>
      </c>
      <c r="B3" s="288" t="str">
        <f>'1-Contractblad totaal'!B3</f>
        <v>GVB Veren</v>
      </c>
      <c r="C3" s="289"/>
      <c r="D3" s="225"/>
      <c r="H3" s="680"/>
      <c r="I3" s="680"/>
      <c r="J3" s="680"/>
      <c r="K3" s="680"/>
      <c r="L3" s="680"/>
      <c r="M3" s="680"/>
      <c r="N3" s="680"/>
    </row>
    <row r="4" spans="1:15" ht="15.75" customHeight="1">
      <c r="A4" s="287" t="str">
        <f>'1-Contractblad totaal'!A4</f>
        <v>Calculatie onderdeel</v>
      </c>
      <c r="B4" s="290" t="str">
        <f ca="1">MID(CELL("bestandsnaam",$C$9),SEARCH("]",CELL("bestandsnaam",$C$9),1)+1,256)</f>
        <v>6a-Opbouw uurtarief productie</v>
      </c>
      <c r="C4" s="291"/>
      <c r="D4" s="234"/>
      <c r="E4" s="299"/>
      <c r="F4" s="299"/>
      <c r="G4" s="299"/>
      <c r="H4" s="680"/>
      <c r="I4" s="680"/>
      <c r="J4" s="680"/>
      <c r="K4" s="680"/>
      <c r="L4" s="680"/>
      <c r="M4" s="680"/>
      <c r="N4" s="680"/>
    </row>
    <row r="5" spans="1:15" ht="17.25">
      <c r="A5" s="287" t="str">
        <f>'1-Contractblad totaal'!A5</f>
        <v>Gebouw/plaats</v>
      </c>
      <c r="B5" s="288" t="str">
        <f>'1-Contractblad totaal'!B5</f>
        <v>Amsterdam</v>
      </c>
      <c r="C5" s="291"/>
      <c r="D5" s="234"/>
      <c r="H5" s="680"/>
      <c r="I5" s="680"/>
      <c r="J5" s="680"/>
      <c r="K5" s="680"/>
      <c r="L5" s="680"/>
      <c r="M5" s="680"/>
      <c r="N5" s="680"/>
    </row>
    <row r="6" spans="1:15" ht="17.25">
      <c r="A6" s="287" t="str">
        <f>'1-Contractblad totaal'!A6</f>
        <v>Referentie nummer</v>
      </c>
      <c r="B6" s="288" t="str">
        <f>'1-Contractblad totaal'!B6</f>
        <v>2021-42a</v>
      </c>
      <c r="C6" s="291"/>
      <c r="D6" s="234"/>
      <c r="E6" s="299"/>
      <c r="H6" s="235"/>
      <c r="I6" s="235"/>
      <c r="J6" s="235"/>
      <c r="K6" s="235"/>
      <c r="L6" s="235"/>
      <c r="M6" s="235"/>
      <c r="N6" s="235"/>
    </row>
    <row r="7" spans="1:15" ht="17.25">
      <c r="A7" s="287" t="str">
        <f>'1-Contractblad totaal'!A8</f>
        <v>Naam dienstverlener</v>
      </c>
      <c r="B7" s="288">
        <f>'1-Contractblad totaal'!B8</f>
        <v>0</v>
      </c>
      <c r="C7" s="291"/>
      <c r="D7" s="234"/>
      <c r="E7" s="299"/>
      <c r="F7" s="299"/>
      <c r="H7" s="235"/>
      <c r="I7" s="235"/>
      <c r="J7" s="235"/>
      <c r="K7" s="235"/>
      <c r="L7" s="235"/>
      <c r="M7" s="235"/>
      <c r="N7" s="235"/>
    </row>
    <row r="8" spans="1:15" ht="15.75">
      <c r="A8" s="287" t="str">
        <f>'1-Contractblad totaal'!A9</f>
        <v>Prijspeil</v>
      </c>
      <c r="B8" s="100">
        <f>'1-Contractblad totaal'!B9</f>
        <v>45017</v>
      </c>
      <c r="C8" s="291"/>
      <c r="D8" s="234"/>
      <c r="E8" s="299"/>
      <c r="I8" s="235"/>
      <c r="J8" s="235"/>
      <c r="K8" s="235"/>
      <c r="L8" s="235"/>
      <c r="M8" s="235"/>
      <c r="N8" s="235"/>
      <c r="O8" s="239"/>
    </row>
    <row r="9" spans="1:15" ht="17.25">
      <c r="A9" s="229"/>
      <c r="B9" s="232"/>
      <c r="C9" s="233"/>
      <c r="D9" s="234"/>
      <c r="E9" s="236"/>
      <c r="F9" s="237"/>
    </row>
    <row r="10" spans="1:15" s="239" customFormat="1" ht="30.75" customHeight="1">
      <c r="A10" s="292" t="s">
        <v>205</v>
      </c>
      <c r="B10" s="293"/>
      <c r="C10" s="294"/>
      <c r="D10" s="238"/>
      <c r="E10" s="711" t="s">
        <v>206</v>
      </c>
      <c r="F10" s="712"/>
      <c r="H10" s="295" t="s">
        <v>147</v>
      </c>
      <c r="I10" s="710" t="s">
        <v>524</v>
      </c>
      <c r="J10" s="710"/>
      <c r="K10" s="710"/>
      <c r="L10" s="710"/>
      <c r="M10" s="710"/>
      <c r="N10" s="710"/>
    </row>
    <row r="11" spans="1:15" ht="30" customHeight="1">
      <c r="A11" s="240"/>
      <c r="B11" s="241" t="s">
        <v>62</v>
      </c>
      <c r="C11" s="242" t="s">
        <v>62</v>
      </c>
      <c r="D11" s="234"/>
      <c r="E11" s="243"/>
      <c r="F11" s="244"/>
      <c r="H11" s="240"/>
      <c r="I11" s="450">
        <v>1</v>
      </c>
      <c r="J11" s="450">
        <v>2</v>
      </c>
      <c r="K11" s="450">
        <v>3</v>
      </c>
      <c r="L11" s="450">
        <v>4</v>
      </c>
      <c r="M11" s="450">
        <v>5</v>
      </c>
      <c r="N11" s="450">
        <v>6</v>
      </c>
    </row>
    <row r="12" spans="1:15">
      <c r="A12" s="240" t="s">
        <v>38</v>
      </c>
      <c r="B12" s="246"/>
      <c r="C12" s="247"/>
      <c r="D12" s="234"/>
      <c r="E12" s="248">
        <f>SUM(I44:N44)</f>
        <v>0</v>
      </c>
      <c r="F12" s="249"/>
      <c r="H12" s="240" t="s">
        <v>148</v>
      </c>
      <c r="I12" s="677">
        <v>9.7200000000000006</v>
      </c>
      <c r="J12" s="677">
        <v>10.199999999999999</v>
      </c>
      <c r="K12" s="677">
        <v>10.69</v>
      </c>
      <c r="L12" s="677">
        <v>11.24</v>
      </c>
      <c r="M12" s="677">
        <v>11.66</v>
      </c>
      <c r="N12" s="678">
        <v>12.25</v>
      </c>
    </row>
    <row r="13" spans="1:15" ht="14.25">
      <c r="A13" s="240" t="s">
        <v>15</v>
      </c>
      <c r="B13" s="250"/>
      <c r="C13" s="251" t="s">
        <v>67</v>
      </c>
      <c r="D13" s="234"/>
      <c r="E13" s="413"/>
      <c r="F13" s="249"/>
      <c r="H13" s="240" t="s">
        <v>140</v>
      </c>
      <c r="I13" s="677">
        <v>10.33</v>
      </c>
      <c r="J13" s="677">
        <v>10.84</v>
      </c>
      <c r="K13" s="677">
        <v>11.36</v>
      </c>
      <c r="L13" s="677">
        <v>11.94</v>
      </c>
      <c r="M13" s="677">
        <v>12.39</v>
      </c>
      <c r="N13" s="678">
        <v>13.01</v>
      </c>
    </row>
    <row r="14" spans="1:15" ht="14.25">
      <c r="A14" s="252" t="s">
        <v>32</v>
      </c>
      <c r="B14" s="253"/>
      <c r="C14" s="254"/>
      <c r="D14" s="234"/>
      <c r="E14" s="413"/>
      <c r="F14" s="249"/>
      <c r="H14" s="240" t="s">
        <v>141</v>
      </c>
      <c r="I14" s="677">
        <v>10.94</v>
      </c>
      <c r="J14" s="677">
        <v>11.48</v>
      </c>
      <c r="K14" s="677">
        <v>12.02</v>
      </c>
      <c r="L14" s="677">
        <v>12.65</v>
      </c>
      <c r="M14" s="677">
        <v>13.12</v>
      </c>
      <c r="N14" s="678">
        <v>13.78</v>
      </c>
    </row>
    <row r="15" spans="1:15" ht="14.25">
      <c r="A15" s="374" t="s">
        <v>13</v>
      </c>
      <c r="B15" s="375"/>
      <c r="C15" s="376"/>
      <c r="D15" s="377"/>
      <c r="E15" s="378">
        <f>SUM(E12:E14)</f>
        <v>0</v>
      </c>
      <c r="F15" s="249"/>
      <c r="H15" s="240" t="s">
        <v>142</v>
      </c>
      <c r="I15" s="677">
        <v>12.15</v>
      </c>
      <c r="J15" s="677">
        <v>12.75</v>
      </c>
      <c r="K15" s="677">
        <v>13.36</v>
      </c>
      <c r="L15" s="677">
        <v>14.05</v>
      </c>
      <c r="M15" s="677">
        <v>14.58</v>
      </c>
      <c r="N15" s="678">
        <v>15.31</v>
      </c>
    </row>
    <row r="16" spans="1:15" ht="14.25">
      <c r="A16" s="252"/>
      <c r="B16" s="256"/>
      <c r="C16" s="257"/>
      <c r="D16" s="234"/>
      <c r="E16" s="258"/>
      <c r="F16" s="249"/>
      <c r="H16" s="240" t="s">
        <v>143</v>
      </c>
      <c r="I16" s="677">
        <v>12.58</v>
      </c>
      <c r="J16" s="677">
        <v>13.22</v>
      </c>
      <c r="K16" s="677">
        <v>13.82</v>
      </c>
      <c r="L16" s="677">
        <v>14.53</v>
      </c>
      <c r="M16" s="677">
        <v>15.09</v>
      </c>
      <c r="N16" s="678">
        <v>15.85</v>
      </c>
    </row>
    <row r="17" spans="1:16" ht="14.25">
      <c r="A17" s="259" t="s">
        <v>57</v>
      </c>
      <c r="B17" s="260"/>
      <c r="C17" s="414">
        <v>0</v>
      </c>
      <c r="D17" s="234"/>
      <c r="E17" s="255">
        <f>$C17*E15</f>
        <v>0</v>
      </c>
      <c r="F17" s="249"/>
      <c r="H17" s="240" t="s">
        <v>144</v>
      </c>
      <c r="I17" s="677">
        <v>13.05</v>
      </c>
      <c r="J17" s="677">
        <v>13.68</v>
      </c>
      <c r="K17" s="677">
        <v>14.33</v>
      </c>
      <c r="L17" s="677">
        <v>15.03</v>
      </c>
      <c r="M17" s="677">
        <v>15.6</v>
      </c>
      <c r="N17" s="678">
        <v>16.399999999999999</v>
      </c>
    </row>
    <row r="18" spans="1:16" ht="14.25">
      <c r="A18" s="259" t="s">
        <v>90</v>
      </c>
      <c r="B18" s="260"/>
      <c r="C18" s="414">
        <v>0</v>
      </c>
      <c r="D18" s="234"/>
      <c r="E18" s="255">
        <f>$C18*E15</f>
        <v>0</v>
      </c>
      <c r="F18" s="249"/>
      <c r="H18" s="240" t="s">
        <v>145</v>
      </c>
      <c r="I18" s="677">
        <v>13.45</v>
      </c>
      <c r="J18" s="677">
        <v>14.14</v>
      </c>
      <c r="K18" s="677">
        <v>14.78</v>
      </c>
      <c r="L18" s="677">
        <v>15.53</v>
      </c>
      <c r="M18" s="677">
        <v>16.13</v>
      </c>
      <c r="N18" s="678">
        <v>16.940000000000001</v>
      </c>
    </row>
    <row r="19" spans="1:16" ht="14.25">
      <c r="A19" s="374" t="s">
        <v>52</v>
      </c>
      <c r="B19" s="261"/>
      <c r="C19" s="254"/>
      <c r="D19" s="234"/>
      <c r="E19" s="378">
        <f>SUM(E15:E18)</f>
        <v>0</v>
      </c>
      <c r="F19" s="675">
        <f>IF(E19=0,0,E19/E$47)</f>
        <v>0</v>
      </c>
      <c r="H19" s="240" t="s">
        <v>146</v>
      </c>
      <c r="I19" s="677">
        <v>13.87</v>
      </c>
      <c r="J19" s="677">
        <v>14.58</v>
      </c>
      <c r="K19" s="677">
        <v>15.28</v>
      </c>
      <c r="L19" s="677">
        <v>16.010000000000002</v>
      </c>
      <c r="M19" s="677">
        <v>16.64</v>
      </c>
      <c r="N19" s="678">
        <v>17.489999999999998</v>
      </c>
    </row>
    <row r="20" spans="1:16" ht="14.25">
      <c r="A20" s="252"/>
      <c r="B20" s="256"/>
      <c r="C20" s="257"/>
      <c r="D20" s="234"/>
      <c r="E20" s="258"/>
      <c r="F20" s="249"/>
    </row>
    <row r="21" spans="1:16" ht="14.25">
      <c r="A21" s="381" t="s">
        <v>59</v>
      </c>
      <c r="B21" s="260"/>
      <c r="C21" s="257"/>
      <c r="D21" s="263"/>
      <c r="E21" s="479">
        <f>E19*0.96</f>
        <v>0</v>
      </c>
      <c r="F21" s="264"/>
      <c r="G21" s="159"/>
      <c r="H21" s="295" t="s">
        <v>147</v>
      </c>
      <c r="I21" s="713" t="s">
        <v>150</v>
      </c>
      <c r="J21" s="714"/>
      <c r="K21" s="714"/>
      <c r="L21" s="714"/>
      <c r="M21" s="714"/>
      <c r="N21" s="715"/>
      <c r="O21" s="159"/>
      <c r="P21" s="159"/>
    </row>
    <row r="22" spans="1:16" s="159" customFormat="1" ht="14.25">
      <c r="A22" s="259" t="s">
        <v>71</v>
      </c>
      <c r="B22" s="260"/>
      <c r="C22" s="265" t="s">
        <v>44</v>
      </c>
      <c r="D22" s="234"/>
      <c r="E22" s="255" t="e">
        <f>E21*'5-Premies en opslagen'!$C24</f>
        <v>#DIV/0!</v>
      </c>
      <c r="F22" s="249"/>
      <c r="G22" s="3"/>
      <c r="H22" s="240"/>
      <c r="I22" s="245">
        <v>1</v>
      </c>
      <c r="J22" s="245">
        <v>2</v>
      </c>
      <c r="K22" s="245">
        <v>3</v>
      </c>
      <c r="L22" s="245">
        <v>4</v>
      </c>
      <c r="M22" s="245">
        <v>5</v>
      </c>
      <c r="N22" s="245">
        <v>6</v>
      </c>
      <c r="O22" s="3"/>
      <c r="P22" s="3"/>
    </row>
    <row r="23" spans="1:16" ht="14.25" customHeight="1">
      <c r="A23" s="374" t="s">
        <v>68</v>
      </c>
      <c r="B23" s="296"/>
      <c r="C23" s="254"/>
      <c r="D23" s="234"/>
      <c r="E23" s="378" t="e">
        <f>E22+E19</f>
        <v>#DIV/0!</v>
      </c>
      <c r="F23" s="675" t="e">
        <f>IF(E23=0,0,E23/E$47)</f>
        <v>#DIV/0!</v>
      </c>
      <c r="H23" s="240" t="s">
        <v>148</v>
      </c>
      <c r="I23" s="632"/>
      <c r="J23" s="632"/>
      <c r="K23" s="632"/>
      <c r="L23" s="632"/>
      <c r="M23" s="632"/>
      <c r="N23" s="632"/>
    </row>
    <row r="24" spans="1:16" ht="12.75" customHeight="1">
      <c r="A24" s="252"/>
      <c r="B24" s="261"/>
      <c r="C24" s="254"/>
      <c r="D24" s="234"/>
      <c r="E24" s="243"/>
      <c r="F24" s="249"/>
      <c r="H24" s="240" t="s">
        <v>140</v>
      </c>
      <c r="I24" s="632"/>
      <c r="J24" s="632"/>
      <c r="K24" s="632"/>
      <c r="L24" s="632"/>
      <c r="M24" s="632"/>
      <c r="N24" s="632"/>
    </row>
    <row r="25" spans="1:16" ht="12.75" customHeight="1">
      <c r="A25" s="259" t="s">
        <v>34</v>
      </c>
      <c r="B25" s="260"/>
      <c r="C25" s="265" t="s">
        <v>44</v>
      </c>
      <c r="D25" s="234"/>
      <c r="E25" s="255" t="e">
        <f>E23*'5-Premies en opslagen'!$B53</f>
        <v>#DIV/0!</v>
      </c>
      <c r="F25" s="249"/>
      <c r="H25" s="240" t="s">
        <v>141</v>
      </c>
      <c r="I25" s="632">
        <v>0</v>
      </c>
      <c r="J25" s="632"/>
      <c r="K25" s="632"/>
      <c r="L25" s="632"/>
      <c r="M25" s="632"/>
      <c r="N25" s="632"/>
    </row>
    <row r="26" spans="1:16" ht="14.25">
      <c r="A26" s="374" t="s">
        <v>78</v>
      </c>
      <c r="B26" s="261"/>
      <c r="C26" s="254"/>
      <c r="D26" s="234"/>
      <c r="E26" s="378" t="e">
        <f>SUM(E23:E25)</f>
        <v>#DIV/0!</v>
      </c>
      <c r="F26" s="675" t="e">
        <f>IF(E26=0,0,E26/E$47)</f>
        <v>#DIV/0!</v>
      </c>
      <c r="H26" s="240" t="s">
        <v>142</v>
      </c>
      <c r="I26" s="632">
        <v>0</v>
      </c>
      <c r="J26" s="632"/>
      <c r="K26" s="632"/>
      <c r="L26" s="632"/>
      <c r="M26" s="632"/>
      <c r="N26" s="632"/>
    </row>
    <row r="27" spans="1:16" ht="14.25">
      <c r="A27" s="252"/>
      <c r="B27" s="261"/>
      <c r="C27" s="254"/>
      <c r="D27" s="234"/>
      <c r="E27" s="243"/>
      <c r="F27" s="249"/>
      <c r="H27" s="240" t="s">
        <v>143</v>
      </c>
      <c r="I27" s="632">
        <v>0</v>
      </c>
      <c r="J27" s="632"/>
      <c r="K27" s="632"/>
      <c r="L27" s="632"/>
      <c r="M27" s="632"/>
      <c r="N27" s="632"/>
    </row>
    <row r="28" spans="1:16" ht="14.25">
      <c r="A28" s="252" t="s">
        <v>60</v>
      </c>
      <c r="B28" s="266"/>
      <c r="C28" s="251" t="s">
        <v>67</v>
      </c>
      <c r="D28" s="234"/>
      <c r="E28" s="413">
        <v>0</v>
      </c>
      <c r="F28" s="480" t="e">
        <f t="shared" ref="F28:F30" si="0">E28/$E$47</f>
        <v>#DIV/0!</v>
      </c>
      <c r="H28" s="240" t="s">
        <v>144</v>
      </c>
      <c r="I28" s="632">
        <v>0</v>
      </c>
      <c r="J28" s="632"/>
      <c r="K28" s="632"/>
      <c r="L28" s="632"/>
      <c r="M28" s="632"/>
      <c r="N28" s="632"/>
    </row>
    <row r="29" spans="1:16" ht="14.25">
      <c r="A29" s="252" t="s">
        <v>65</v>
      </c>
      <c r="B29" s="267"/>
      <c r="C29" s="251" t="s">
        <v>67</v>
      </c>
      <c r="D29" s="234"/>
      <c r="E29" s="413">
        <v>0</v>
      </c>
      <c r="F29" s="480" t="e">
        <f t="shared" si="0"/>
        <v>#DIV/0!</v>
      </c>
      <c r="H29" s="240" t="s">
        <v>145</v>
      </c>
      <c r="I29" s="632">
        <v>0</v>
      </c>
      <c r="J29" s="632"/>
      <c r="K29" s="632">
        <v>0</v>
      </c>
      <c r="L29" s="632"/>
      <c r="M29" s="632"/>
      <c r="N29" s="632"/>
    </row>
    <row r="30" spans="1:16" ht="14.25">
      <c r="A30" s="252" t="s">
        <v>66</v>
      </c>
      <c r="B30" s="261"/>
      <c r="C30" s="254" t="s">
        <v>62</v>
      </c>
      <c r="D30" s="234"/>
      <c r="E30" s="413">
        <v>0</v>
      </c>
      <c r="F30" s="480" t="e">
        <f t="shared" si="0"/>
        <v>#DIV/0!</v>
      </c>
      <c r="H30" s="240" t="s">
        <v>146</v>
      </c>
      <c r="I30" s="632">
        <v>0</v>
      </c>
      <c r="J30" s="632"/>
      <c r="K30" s="632"/>
      <c r="L30" s="632"/>
      <c r="M30" s="632"/>
      <c r="N30" s="632"/>
    </row>
    <row r="31" spans="1:16" ht="12.75" customHeight="1">
      <c r="A31" s="415"/>
      <c r="B31" s="465"/>
      <c r="C31" s="466" t="s">
        <v>62</v>
      </c>
      <c r="D31" s="234"/>
      <c r="E31" s="413"/>
      <c r="F31" s="249"/>
      <c r="H31" s="270" t="s">
        <v>149</v>
      </c>
      <c r="I31" s="438">
        <f t="shared" ref="I31:N31" si="1">SUM(I23:I30)</f>
        <v>0</v>
      </c>
      <c r="J31" s="438">
        <f t="shared" si="1"/>
        <v>0</v>
      </c>
      <c r="K31" s="438">
        <f t="shared" si="1"/>
        <v>0</v>
      </c>
      <c r="L31" s="438">
        <f t="shared" si="1"/>
        <v>0</v>
      </c>
      <c r="M31" s="438">
        <f t="shared" si="1"/>
        <v>0</v>
      </c>
      <c r="N31" s="438">
        <f t="shared" si="1"/>
        <v>0</v>
      </c>
      <c r="O31" s="297">
        <f>SUM(I31:N31)</f>
        <v>0</v>
      </c>
    </row>
    <row r="32" spans="1:16" ht="12.75" customHeight="1">
      <c r="A32" s="374" t="s">
        <v>54</v>
      </c>
      <c r="B32" s="261"/>
      <c r="C32" s="254"/>
      <c r="D32" s="234"/>
      <c r="E32" s="378" t="e">
        <f>SUM(E26:E31)</f>
        <v>#DIV/0!</v>
      </c>
      <c r="F32" s="675" t="e">
        <f>IF(E32=0,0,E32/E$47)</f>
        <v>#DIV/0!</v>
      </c>
      <c r="H32" s="159"/>
      <c r="I32" s="159"/>
      <c r="J32" s="159"/>
      <c r="K32" s="159"/>
      <c r="L32" s="159"/>
      <c r="M32" s="159"/>
      <c r="N32" s="159"/>
    </row>
    <row r="33" spans="1:16" ht="12.75" customHeight="1">
      <c r="A33" s="252"/>
      <c r="B33" s="261"/>
      <c r="C33" s="254"/>
      <c r="D33" s="234"/>
      <c r="E33" s="243"/>
      <c r="F33" s="249"/>
      <c r="H33" s="448" t="s">
        <v>147</v>
      </c>
      <c r="I33" s="710" t="s">
        <v>151</v>
      </c>
      <c r="J33" s="710"/>
      <c r="K33" s="710"/>
      <c r="L33" s="710"/>
      <c r="M33" s="710"/>
      <c r="N33" s="710"/>
    </row>
    <row r="34" spans="1:16" ht="12.75" customHeight="1">
      <c r="A34" s="252" t="s">
        <v>80</v>
      </c>
      <c r="B34" s="261"/>
      <c r="C34" s="269"/>
      <c r="D34" s="234"/>
      <c r="E34" s="413">
        <v>0</v>
      </c>
      <c r="F34" s="480" t="e">
        <f t="shared" ref="F34:F42" si="2">E34/$E$47</f>
        <v>#DIV/0!</v>
      </c>
      <c r="H34" s="449"/>
      <c r="I34" s="450">
        <v>1</v>
      </c>
      <c r="J34" s="450">
        <v>2</v>
      </c>
      <c r="K34" s="450">
        <v>3</v>
      </c>
      <c r="L34" s="450">
        <v>4</v>
      </c>
      <c r="M34" s="450">
        <v>5</v>
      </c>
      <c r="N34" s="450">
        <v>6</v>
      </c>
    </row>
    <row r="35" spans="1:16" ht="12.75" customHeight="1">
      <c r="A35" s="252" t="s">
        <v>33</v>
      </c>
      <c r="B35" s="261"/>
      <c r="C35" s="269"/>
      <c r="D35" s="234"/>
      <c r="E35" s="413">
        <v>0</v>
      </c>
      <c r="F35" s="480" t="e">
        <f t="shared" si="2"/>
        <v>#DIV/0!</v>
      </c>
      <c r="H35" s="449" t="s">
        <v>148</v>
      </c>
      <c r="I35" s="451">
        <f t="shared" ref="I35:N37" si="3">I23*I12</f>
        <v>0</v>
      </c>
      <c r="J35" s="451">
        <f t="shared" si="3"/>
        <v>0</v>
      </c>
      <c r="K35" s="451">
        <f t="shared" si="3"/>
        <v>0</v>
      </c>
      <c r="L35" s="451">
        <f t="shared" si="3"/>
        <v>0</v>
      </c>
      <c r="M35" s="451">
        <f t="shared" si="3"/>
        <v>0</v>
      </c>
      <c r="N35" s="452">
        <f t="shared" si="3"/>
        <v>0</v>
      </c>
      <c r="O35" s="159"/>
    </row>
    <row r="36" spans="1:16" ht="14.25" customHeight="1">
      <c r="A36" s="252" t="s">
        <v>23</v>
      </c>
      <c r="B36" s="261"/>
      <c r="C36" s="269"/>
      <c r="D36" s="234"/>
      <c r="E36" s="413">
        <v>0</v>
      </c>
      <c r="F36" s="480" t="e">
        <f t="shared" si="2"/>
        <v>#DIV/0!</v>
      </c>
      <c r="H36" s="449" t="s">
        <v>140</v>
      </c>
      <c r="I36" s="451">
        <f t="shared" si="3"/>
        <v>0</v>
      </c>
      <c r="J36" s="451">
        <f t="shared" si="3"/>
        <v>0</v>
      </c>
      <c r="K36" s="451">
        <f t="shared" si="3"/>
        <v>0</v>
      </c>
      <c r="L36" s="451">
        <f t="shared" si="3"/>
        <v>0</v>
      </c>
      <c r="M36" s="451">
        <f t="shared" si="3"/>
        <v>0</v>
      </c>
      <c r="N36" s="452">
        <f t="shared" si="3"/>
        <v>0</v>
      </c>
      <c r="O36" s="159"/>
    </row>
    <row r="37" spans="1:16" ht="14.25">
      <c r="A37" s="252" t="s">
        <v>2</v>
      </c>
      <c r="B37" s="261"/>
      <c r="C37" s="271"/>
      <c r="D37" s="234"/>
      <c r="E37" s="413">
        <v>0</v>
      </c>
      <c r="F37" s="480" t="e">
        <f t="shared" si="2"/>
        <v>#DIV/0!</v>
      </c>
      <c r="H37" s="449" t="s">
        <v>141</v>
      </c>
      <c r="I37" s="451">
        <f t="shared" si="3"/>
        <v>0</v>
      </c>
      <c r="J37" s="451">
        <f t="shared" si="3"/>
        <v>0</v>
      </c>
      <c r="K37" s="451">
        <f t="shared" si="3"/>
        <v>0</v>
      </c>
      <c r="L37" s="451">
        <f t="shared" si="3"/>
        <v>0</v>
      </c>
      <c r="M37" s="451">
        <f t="shared" si="3"/>
        <v>0</v>
      </c>
      <c r="N37" s="452">
        <f t="shared" si="3"/>
        <v>0</v>
      </c>
      <c r="O37" s="159"/>
    </row>
    <row r="38" spans="1:16" ht="14.25">
      <c r="A38" s="252" t="s">
        <v>31</v>
      </c>
      <c r="B38" s="261"/>
      <c r="C38" s="269"/>
      <c r="D38" s="234"/>
      <c r="E38" s="413">
        <v>0</v>
      </c>
      <c r="F38" s="480" t="e">
        <f t="shared" si="2"/>
        <v>#DIV/0!</v>
      </c>
    </row>
    <row r="39" spans="1:16" ht="14.25">
      <c r="A39" s="252" t="s">
        <v>28</v>
      </c>
      <c r="B39" s="261"/>
      <c r="C39" s="271"/>
      <c r="D39" s="234"/>
      <c r="E39" s="413">
        <v>0</v>
      </c>
      <c r="F39" s="480" t="e">
        <f t="shared" si="2"/>
        <v>#DIV/0!</v>
      </c>
      <c r="H39" s="449" t="s">
        <v>142</v>
      </c>
      <c r="I39" s="451">
        <f t="shared" ref="I39:N43" si="4">I26*I15</f>
        <v>0</v>
      </c>
      <c r="J39" s="451">
        <f t="shared" si="4"/>
        <v>0</v>
      </c>
      <c r="K39" s="451">
        <f t="shared" si="4"/>
        <v>0</v>
      </c>
      <c r="L39" s="451">
        <f t="shared" si="4"/>
        <v>0</v>
      </c>
      <c r="M39" s="451">
        <f t="shared" si="4"/>
        <v>0</v>
      </c>
      <c r="N39" s="452">
        <f t="shared" si="4"/>
        <v>0</v>
      </c>
      <c r="O39" s="159"/>
    </row>
    <row r="40" spans="1:16" ht="14.25">
      <c r="A40" s="252" t="s">
        <v>72</v>
      </c>
      <c r="B40" s="261"/>
      <c r="C40" s="251" t="s">
        <v>67</v>
      </c>
      <c r="D40" s="234"/>
      <c r="E40" s="413">
        <v>0</v>
      </c>
      <c r="F40" s="480" t="e">
        <f t="shared" si="2"/>
        <v>#DIV/0!</v>
      </c>
      <c r="H40" s="449" t="s">
        <v>143</v>
      </c>
      <c r="I40" s="451">
        <f t="shared" si="4"/>
        <v>0</v>
      </c>
      <c r="J40" s="451">
        <f t="shared" si="4"/>
        <v>0</v>
      </c>
      <c r="K40" s="451">
        <f t="shared" si="4"/>
        <v>0</v>
      </c>
      <c r="L40" s="451">
        <f t="shared" si="4"/>
        <v>0</v>
      </c>
      <c r="M40" s="451">
        <f t="shared" si="4"/>
        <v>0</v>
      </c>
      <c r="N40" s="452">
        <f t="shared" si="4"/>
        <v>0</v>
      </c>
      <c r="O40" s="159"/>
    </row>
    <row r="41" spans="1:16" ht="14.25">
      <c r="A41" s="252" t="s">
        <v>89</v>
      </c>
      <c r="B41" s="261"/>
      <c r="C41" s="251"/>
      <c r="D41" s="234"/>
      <c r="E41" s="413">
        <v>0</v>
      </c>
      <c r="F41" s="480" t="e">
        <f t="shared" si="2"/>
        <v>#DIV/0!</v>
      </c>
      <c r="H41" s="449" t="s">
        <v>144</v>
      </c>
      <c r="I41" s="451">
        <f t="shared" si="4"/>
        <v>0</v>
      </c>
      <c r="J41" s="451">
        <f t="shared" si="4"/>
        <v>0</v>
      </c>
      <c r="K41" s="451">
        <f t="shared" si="4"/>
        <v>0</v>
      </c>
      <c r="L41" s="451">
        <f t="shared" si="4"/>
        <v>0</v>
      </c>
      <c r="M41" s="451">
        <f t="shared" si="4"/>
        <v>0</v>
      </c>
      <c r="N41" s="452">
        <f t="shared" si="4"/>
        <v>0</v>
      </c>
      <c r="O41" s="159"/>
    </row>
    <row r="42" spans="1:16" ht="14.25">
      <c r="A42" s="415"/>
      <c r="B42" s="465"/>
      <c r="C42" s="467"/>
      <c r="D42" s="234"/>
      <c r="E42" s="413"/>
      <c r="F42" s="249" t="e">
        <f t="shared" si="2"/>
        <v>#DIV/0!</v>
      </c>
      <c r="H42" s="449" t="s">
        <v>145</v>
      </c>
      <c r="I42" s="451">
        <f t="shared" si="4"/>
        <v>0</v>
      </c>
      <c r="J42" s="451">
        <f t="shared" si="4"/>
        <v>0</v>
      </c>
      <c r="K42" s="451">
        <f t="shared" si="4"/>
        <v>0</v>
      </c>
      <c r="L42" s="451">
        <f t="shared" si="4"/>
        <v>0</v>
      </c>
      <c r="M42" s="451">
        <f t="shared" si="4"/>
        <v>0</v>
      </c>
      <c r="N42" s="452">
        <f t="shared" si="4"/>
        <v>0</v>
      </c>
      <c r="O42" s="159"/>
    </row>
    <row r="43" spans="1:16" ht="14.25">
      <c r="A43" s="374" t="s">
        <v>73</v>
      </c>
      <c r="B43" s="261"/>
      <c r="C43" s="254"/>
      <c r="D43" s="234"/>
      <c r="E43" s="378" t="e">
        <f>SUM(E32:E42)</f>
        <v>#DIV/0!</v>
      </c>
      <c r="F43" s="675" t="e">
        <f>IF(E43=0,0,E43/E$47)</f>
        <v>#DIV/0!</v>
      </c>
      <c r="H43" s="449" t="s">
        <v>146</v>
      </c>
      <c r="I43" s="451">
        <f t="shared" si="4"/>
        <v>0</v>
      </c>
      <c r="J43" s="451">
        <f t="shared" si="4"/>
        <v>0</v>
      </c>
      <c r="K43" s="451">
        <f t="shared" si="4"/>
        <v>0</v>
      </c>
      <c r="L43" s="451">
        <f t="shared" si="4"/>
        <v>0</v>
      </c>
      <c r="M43" s="451">
        <f t="shared" si="4"/>
        <v>0</v>
      </c>
      <c r="N43" s="452">
        <f t="shared" si="4"/>
        <v>0</v>
      </c>
      <c r="O43" s="159"/>
    </row>
    <row r="44" spans="1:16" ht="14.25">
      <c r="A44" s="252"/>
      <c r="B44" s="261"/>
      <c r="C44" s="254"/>
      <c r="D44" s="234"/>
      <c r="E44" s="243"/>
      <c r="F44" s="272"/>
      <c r="H44" s="453" t="s">
        <v>149</v>
      </c>
      <c r="I44" s="454">
        <f t="shared" ref="I44:N44" si="5">SUM(I35:I43)</f>
        <v>0</v>
      </c>
      <c r="J44" s="454">
        <f t="shared" si="5"/>
        <v>0</v>
      </c>
      <c r="K44" s="454">
        <f t="shared" si="5"/>
        <v>0</v>
      </c>
      <c r="L44" s="454">
        <f t="shared" si="5"/>
        <v>0</v>
      </c>
      <c r="M44" s="454">
        <f t="shared" si="5"/>
        <v>0</v>
      </c>
      <c r="N44" s="454">
        <f t="shared" si="5"/>
        <v>0</v>
      </c>
      <c r="O44" s="159"/>
    </row>
    <row r="45" spans="1:16" ht="14.25">
      <c r="A45" s="252" t="s">
        <v>74</v>
      </c>
      <c r="B45" s="261"/>
      <c r="C45" s="271"/>
      <c r="D45" s="234"/>
      <c r="E45" s="413">
        <v>0</v>
      </c>
      <c r="F45" s="675">
        <f>(IF(E45=0,0,E45/E$47))</f>
        <v>0</v>
      </c>
      <c r="H45" s="159"/>
      <c r="I45" s="159"/>
      <c r="J45" s="159"/>
      <c r="K45" s="159"/>
      <c r="L45" s="159"/>
      <c r="M45" s="159"/>
      <c r="N45" s="159"/>
      <c r="O45" s="159"/>
    </row>
    <row r="46" spans="1:16" ht="14.25">
      <c r="A46" s="252"/>
      <c r="B46" s="253"/>
      <c r="C46" s="254"/>
      <c r="D46" s="234"/>
      <c r="E46" s="243"/>
      <c r="F46" s="249"/>
      <c r="H46" s="159"/>
      <c r="I46" s="159"/>
      <c r="J46" s="159"/>
      <c r="K46" s="159"/>
      <c r="L46" s="159"/>
      <c r="M46" s="159"/>
      <c r="N46" s="159"/>
      <c r="O46" s="159"/>
    </row>
    <row r="47" spans="1:16" ht="14.25">
      <c r="A47" s="374" t="s">
        <v>45</v>
      </c>
      <c r="B47" s="379"/>
      <c r="C47" s="273"/>
      <c r="D47" s="234"/>
      <c r="E47" s="662" t="e">
        <f>SUM(E43:E46)</f>
        <v>#DIV/0!</v>
      </c>
      <c r="F47" s="380" t="e">
        <f>SUM(F43:F46)</f>
        <v>#DIV/0!</v>
      </c>
      <c r="H47" s="159"/>
      <c r="I47" s="159"/>
      <c r="J47" s="159"/>
      <c r="K47" s="159"/>
      <c r="L47" s="159"/>
      <c r="M47" s="159"/>
      <c r="N47" s="159"/>
      <c r="O47" s="159"/>
    </row>
    <row r="48" spans="1:16" ht="14.25">
      <c r="B48" s="274"/>
      <c r="C48" s="275"/>
      <c r="D48" s="234"/>
      <c r="F48" s="276"/>
      <c r="H48" s="159"/>
      <c r="I48" s="159"/>
      <c r="J48" s="159"/>
      <c r="K48" s="159"/>
      <c r="L48" s="159"/>
      <c r="M48" s="159"/>
      <c r="N48" s="159"/>
      <c r="O48" s="159"/>
      <c r="P48" s="159"/>
    </row>
    <row r="49" spans="1:16" ht="14.25">
      <c r="A49" s="277" t="s">
        <v>223</v>
      </c>
      <c r="B49" s="278"/>
      <c r="C49" s="279"/>
      <c r="D49" s="159"/>
      <c r="E49" s="280" t="e">
        <f>(E$26*1.3)+($E$47-$E$26)</f>
        <v>#DIV/0!</v>
      </c>
      <c r="F49" s="281"/>
      <c r="G49" s="159"/>
      <c r="H49" s="159"/>
      <c r="I49" s="159"/>
      <c r="J49" s="159"/>
      <c r="K49" s="159"/>
      <c r="L49" s="159"/>
      <c r="M49" s="159"/>
      <c r="N49" s="159"/>
      <c r="O49" s="159"/>
      <c r="P49" s="159"/>
    </row>
    <row r="50" spans="1:16" s="159" customFormat="1" ht="14.25">
      <c r="B50" s="282"/>
      <c r="C50" s="283"/>
    </row>
    <row r="51" spans="1:16" s="159" customFormat="1" ht="14.25">
      <c r="A51" s="277" t="s">
        <v>50</v>
      </c>
      <c r="B51" s="278"/>
      <c r="C51" s="279"/>
      <c r="E51" s="280" t="e">
        <f>(E$26*1.5)+($E$47-$E$26)</f>
        <v>#DIV/0!</v>
      </c>
      <c r="F51" s="281"/>
    </row>
    <row r="52" spans="1:16" s="159" customFormat="1" ht="14.25">
      <c r="B52" s="282"/>
      <c r="C52" s="283"/>
    </row>
    <row r="53" spans="1:16" s="159" customFormat="1" ht="14.25">
      <c r="A53" s="277" t="s">
        <v>85</v>
      </c>
      <c r="B53" s="278"/>
      <c r="C53" s="279"/>
      <c r="E53" s="280" t="e">
        <f>(E$26*2.5)+($E$47-$E$26)</f>
        <v>#DIV/0!</v>
      </c>
    </row>
    <row r="54" spans="1:16" s="159" customFormat="1">
      <c r="C54" s="286"/>
      <c r="F54" s="285"/>
    </row>
    <row r="55" spans="1:16" s="159" customFormat="1">
      <c r="C55" s="286"/>
      <c r="F55" s="285"/>
    </row>
    <row r="56" spans="1:16" s="159" customFormat="1">
      <c r="A56" s="3"/>
      <c r="C56" s="286"/>
      <c r="F56" s="285"/>
    </row>
    <row r="57" spans="1:16" s="159" customFormat="1">
      <c r="C57" s="286"/>
      <c r="F57" s="285"/>
      <c r="H57" s="3"/>
      <c r="I57" s="3"/>
      <c r="J57" s="3"/>
      <c r="K57" s="3"/>
      <c r="L57" s="3"/>
      <c r="M57" s="3"/>
      <c r="N57" s="3"/>
    </row>
    <row r="58" spans="1:16" s="159" customFormat="1">
      <c r="C58" s="286"/>
      <c r="F58" s="285"/>
      <c r="H58" s="3"/>
      <c r="I58" s="3"/>
      <c r="J58" s="3"/>
      <c r="K58" s="3"/>
      <c r="L58" s="3"/>
      <c r="M58" s="3"/>
      <c r="N58" s="3"/>
    </row>
    <row r="59" spans="1:16" s="159" customFormat="1">
      <c r="C59" s="286"/>
      <c r="F59" s="285"/>
      <c r="H59" s="3"/>
      <c r="I59" s="3"/>
      <c r="J59" s="3"/>
      <c r="K59" s="3"/>
      <c r="L59" s="3"/>
      <c r="M59" s="3"/>
      <c r="N59" s="3"/>
    </row>
    <row r="60" spans="1:16" s="159" customFormat="1">
      <c r="C60" s="286"/>
      <c r="F60" s="285"/>
      <c r="H60" s="3"/>
      <c r="I60" s="3"/>
      <c r="J60" s="3"/>
      <c r="K60" s="3"/>
      <c r="L60" s="3"/>
      <c r="M60" s="3"/>
      <c r="N60" s="3"/>
    </row>
    <row r="61" spans="1:16" s="159" customFormat="1">
      <c r="C61" s="286"/>
      <c r="F61" s="285"/>
      <c r="H61" s="3"/>
      <c r="I61" s="3"/>
      <c r="J61" s="3"/>
      <c r="K61" s="3"/>
      <c r="L61" s="3"/>
      <c r="M61" s="3"/>
      <c r="N61" s="3"/>
    </row>
    <row r="62" spans="1:16" s="159" customFormat="1">
      <c r="C62" s="286"/>
      <c r="F62" s="285"/>
      <c r="H62" s="3"/>
      <c r="I62" s="3"/>
      <c r="J62" s="3"/>
      <c r="K62" s="3"/>
      <c r="L62" s="3"/>
      <c r="M62" s="3"/>
      <c r="N62" s="3"/>
    </row>
    <row r="63" spans="1:16" s="159" customFormat="1">
      <c r="C63" s="286"/>
      <c r="F63" s="285"/>
      <c r="H63" s="3"/>
      <c r="I63" s="3"/>
      <c r="J63" s="3"/>
      <c r="K63" s="3"/>
      <c r="L63" s="3"/>
      <c r="M63" s="3"/>
      <c r="N63" s="3"/>
      <c r="O63" s="3"/>
      <c r="P63" s="3"/>
    </row>
    <row r="64" spans="1:16" s="159" customFormat="1">
      <c r="A64" s="3"/>
      <c r="B64" s="3"/>
      <c r="C64" s="3"/>
      <c r="D64" s="3"/>
      <c r="E64" s="3"/>
      <c r="F64" s="3"/>
      <c r="G64" s="3"/>
      <c r="H64" s="3"/>
      <c r="I64" s="3"/>
      <c r="J64" s="3"/>
      <c r="K64" s="3"/>
      <c r="L64" s="3"/>
      <c r="M64" s="3"/>
      <c r="N64" s="3"/>
      <c r="O64" s="3"/>
      <c r="P64" s="3"/>
    </row>
  </sheetData>
  <dataConsolidate/>
  <mergeCells count="7">
    <mergeCell ref="I33:N33"/>
    <mergeCell ref="E10:F10"/>
    <mergeCell ref="H1:N2"/>
    <mergeCell ref="H3:N3"/>
    <mergeCell ref="H4:N5"/>
    <mergeCell ref="I10:N10"/>
    <mergeCell ref="I21:N21"/>
  </mergeCells>
  <phoneticPr fontId="9"/>
  <conditionalFormatting sqref="O31">
    <cfRule type="cellIs" dxfId="32" priority="1" operator="greaterThan">
      <formula>1</formula>
    </cfRule>
    <cfRule type="cellIs" dxfId="31" priority="2" operator="between">
      <formula>0.999999</formula>
      <formula>0</formula>
    </cfRule>
    <cfRule type="cellIs" dxfId="30"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5CD1F-FCCF-4B1D-8114-BF0A1B8FBA74}">
  <sheetPr>
    <tabColor theme="0" tint="-0.14999847407452621"/>
    <pageSetUpPr fitToPage="1"/>
  </sheetPr>
  <dimension ref="A1:P64"/>
  <sheetViews>
    <sheetView showGridLines="0" showZeros="0" showOutlineSymbols="0" zoomScale="85" zoomScaleNormal="85" zoomScalePageLayoutView="50" workbookViewId="0">
      <pane ySplit="10" topLeftCell="A11" activePane="bottomLeft" state="frozen"/>
      <selection activeCell="D33" sqref="D33"/>
      <selection pane="bottomLeft" activeCell="I17" sqref="I17"/>
    </sheetView>
  </sheetViews>
  <sheetFormatPr defaultColWidth="11.42578125" defaultRowHeight="13.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5703125" style="3" customWidth="1"/>
    <col min="9" max="15" width="11.42578125" style="3"/>
    <col min="16" max="16" width="12.7109375" style="3" customWidth="1"/>
    <col min="17" max="16384" width="11.42578125" style="3"/>
  </cols>
  <sheetData>
    <row r="1" spans="1:15" ht="12.75" customHeight="1">
      <c r="A1" s="408" t="s">
        <v>25</v>
      </c>
      <c r="B1" s="39"/>
      <c r="C1" s="2"/>
      <c r="D1" s="2"/>
      <c r="E1" s="2"/>
      <c r="F1" s="2"/>
      <c r="H1" s="680"/>
      <c r="I1" s="680"/>
      <c r="J1" s="680"/>
      <c r="K1" s="680"/>
      <c r="L1" s="680"/>
      <c r="M1" s="680"/>
      <c r="N1" s="680"/>
    </row>
    <row r="2" spans="1:15">
      <c r="A2" s="224"/>
      <c r="B2" s="225"/>
      <c r="C2" s="226"/>
      <c r="D2" s="225"/>
      <c r="E2" s="227"/>
      <c r="F2" s="228"/>
      <c r="G2" s="299"/>
      <c r="H2" s="680"/>
      <c r="I2" s="680"/>
      <c r="J2" s="680"/>
      <c r="K2" s="680"/>
      <c r="L2" s="680"/>
      <c r="M2" s="680"/>
      <c r="N2" s="680"/>
    </row>
    <row r="3" spans="1:15" ht="14.25" customHeight="1">
      <c r="A3" s="287" t="str">
        <f>'1-Contractblad totaal'!A3</f>
        <v>Naam opdrachtgever</v>
      </c>
      <c r="B3" s="288" t="str">
        <f>'1-Contractblad totaal'!B3</f>
        <v>GVB Veren</v>
      </c>
      <c r="C3" s="289"/>
      <c r="D3" s="225"/>
      <c r="H3" s="680"/>
      <c r="I3" s="680"/>
      <c r="J3" s="680"/>
      <c r="K3" s="680"/>
      <c r="L3" s="680"/>
      <c r="M3" s="680"/>
      <c r="N3" s="680"/>
    </row>
    <row r="4" spans="1:15" ht="15.75" customHeight="1">
      <c r="A4" s="287" t="str">
        <f>'1-Contractblad totaal'!A4</f>
        <v>Calculatie onderdeel</v>
      </c>
      <c r="B4" s="290" t="str">
        <f ca="1">MID(CELL("bestandsnaam",$C$9),SEARCH("]",CELL("bestandsnaam",$C$9),1)+1,256)</f>
        <v>6b-Opbouw uurtarief specialist</v>
      </c>
      <c r="C4" s="291"/>
      <c r="D4" s="234"/>
      <c r="E4" s="299"/>
      <c r="F4" s="299"/>
      <c r="G4" s="299"/>
      <c r="H4" s="680"/>
      <c r="I4" s="680"/>
      <c r="J4" s="680"/>
      <c r="K4" s="680"/>
      <c r="L4" s="680"/>
      <c r="M4" s="680"/>
      <c r="N4" s="680"/>
    </row>
    <row r="5" spans="1:15" ht="17.25">
      <c r="A5" s="287" t="str">
        <f>'1-Contractblad totaal'!A5</f>
        <v>Gebouw/plaats</v>
      </c>
      <c r="B5" s="288" t="str">
        <f>'1-Contractblad totaal'!B5</f>
        <v>Amsterdam</v>
      </c>
      <c r="C5" s="291"/>
      <c r="D5" s="234"/>
      <c r="H5" s="680"/>
      <c r="I5" s="680"/>
      <c r="J5" s="680"/>
      <c r="K5" s="680"/>
      <c r="L5" s="680"/>
      <c r="M5" s="680"/>
      <c r="N5" s="680"/>
    </row>
    <row r="6" spans="1:15" ht="17.25">
      <c r="A6" s="287" t="str">
        <f>'1-Contractblad totaal'!A6</f>
        <v>Referentie nummer</v>
      </c>
      <c r="B6" s="288" t="str">
        <f>'1-Contractblad totaal'!B6</f>
        <v>2021-42a</v>
      </c>
      <c r="C6" s="291"/>
      <c r="D6" s="234"/>
      <c r="E6" s="299"/>
      <c r="H6" s="235"/>
      <c r="I6" s="235"/>
      <c r="J6" s="235"/>
      <c r="K6" s="235"/>
      <c r="L6" s="235"/>
      <c r="M6" s="235"/>
      <c r="N6" s="235"/>
    </row>
    <row r="7" spans="1:15" ht="17.25">
      <c r="A7" s="287" t="str">
        <f>'1-Contractblad totaal'!A8</f>
        <v>Naam dienstverlener</v>
      </c>
      <c r="B7" s="288">
        <f>'1-Contractblad totaal'!B8</f>
        <v>0</v>
      </c>
      <c r="C7" s="291"/>
      <c r="D7" s="234"/>
      <c r="E7" s="299"/>
      <c r="F7" s="299"/>
      <c r="H7" s="235"/>
      <c r="I7" s="235"/>
      <c r="J7" s="235"/>
      <c r="K7" s="235"/>
      <c r="L7" s="235"/>
      <c r="M7" s="235"/>
      <c r="N7" s="235"/>
    </row>
    <row r="8" spans="1:15" ht="15.75">
      <c r="A8" s="287" t="str">
        <f>'1-Contractblad totaal'!A9</f>
        <v>Prijspeil</v>
      </c>
      <c r="B8" s="100">
        <f>'1-Contractblad totaal'!B9</f>
        <v>45017</v>
      </c>
      <c r="C8" s="291"/>
      <c r="D8" s="234"/>
      <c r="E8" s="299"/>
      <c r="I8" s="235"/>
      <c r="J8" s="235"/>
      <c r="K8" s="235"/>
      <c r="L8" s="235"/>
      <c r="M8" s="235"/>
      <c r="N8" s="235"/>
      <c r="O8" s="239"/>
    </row>
    <row r="9" spans="1:15" ht="17.25">
      <c r="A9" s="229"/>
      <c r="B9" s="232"/>
      <c r="C9" s="233"/>
      <c r="D9" s="234"/>
      <c r="E9" s="236"/>
      <c r="F9" s="237"/>
    </row>
    <row r="10" spans="1:15" s="239" customFormat="1" ht="30.75" customHeight="1">
      <c r="A10" s="292" t="s">
        <v>205</v>
      </c>
      <c r="B10" s="293"/>
      <c r="C10" s="294"/>
      <c r="D10" s="238"/>
      <c r="E10" s="711" t="s">
        <v>206</v>
      </c>
      <c r="F10" s="712"/>
      <c r="H10" s="295" t="s">
        <v>147</v>
      </c>
      <c r="I10" s="710" t="s">
        <v>524</v>
      </c>
      <c r="J10" s="710"/>
      <c r="K10" s="710"/>
      <c r="L10" s="710"/>
      <c r="M10" s="710"/>
      <c r="N10" s="710"/>
    </row>
    <row r="11" spans="1:15" ht="30" customHeight="1">
      <c r="A11" s="240"/>
      <c r="B11" s="241" t="s">
        <v>62</v>
      </c>
      <c r="C11" s="242" t="s">
        <v>62</v>
      </c>
      <c r="D11" s="234"/>
      <c r="E11" s="243"/>
      <c r="F11" s="244"/>
      <c r="H11" s="240"/>
      <c r="I11" s="450">
        <v>1</v>
      </c>
      <c r="J11" s="450">
        <v>2</v>
      </c>
      <c r="K11" s="450">
        <v>3</v>
      </c>
      <c r="L11" s="450">
        <v>4</v>
      </c>
      <c r="M11" s="450">
        <v>5</v>
      </c>
      <c r="N11" s="450">
        <v>6</v>
      </c>
    </row>
    <row r="12" spans="1:15">
      <c r="A12" s="240" t="s">
        <v>38</v>
      </c>
      <c r="B12" s="246"/>
      <c r="C12" s="247"/>
      <c r="D12" s="234"/>
      <c r="E12" s="248">
        <f>SUM(I43:N43)</f>
        <v>0</v>
      </c>
      <c r="F12" s="249"/>
      <c r="H12" s="240" t="s">
        <v>148</v>
      </c>
      <c r="I12" s="677">
        <v>9.7200000000000006</v>
      </c>
      <c r="J12" s="677">
        <v>10.199999999999999</v>
      </c>
      <c r="K12" s="677">
        <v>10.69</v>
      </c>
      <c r="L12" s="677">
        <v>11.24</v>
      </c>
      <c r="M12" s="677">
        <v>11.66</v>
      </c>
      <c r="N12" s="678">
        <v>12.25</v>
      </c>
    </row>
    <row r="13" spans="1:15" ht="14.25">
      <c r="A13" s="240" t="s">
        <v>15</v>
      </c>
      <c r="B13" s="250"/>
      <c r="C13" s="251" t="s">
        <v>67</v>
      </c>
      <c r="D13" s="234"/>
      <c r="E13" s="413"/>
      <c r="F13" s="249"/>
      <c r="H13" s="240" t="s">
        <v>140</v>
      </c>
      <c r="I13" s="677">
        <v>10.33</v>
      </c>
      <c r="J13" s="677">
        <v>10.84</v>
      </c>
      <c r="K13" s="677">
        <v>11.36</v>
      </c>
      <c r="L13" s="677">
        <v>11.94</v>
      </c>
      <c r="M13" s="677">
        <v>12.39</v>
      </c>
      <c r="N13" s="678">
        <v>13.01</v>
      </c>
    </row>
    <row r="14" spans="1:15" ht="14.25">
      <c r="A14" s="252" t="s">
        <v>32</v>
      </c>
      <c r="B14" s="253"/>
      <c r="C14" s="254"/>
      <c r="D14" s="234"/>
      <c r="E14" s="413"/>
      <c r="F14" s="249"/>
      <c r="H14" s="240" t="s">
        <v>141</v>
      </c>
      <c r="I14" s="677">
        <v>10.94</v>
      </c>
      <c r="J14" s="677">
        <v>11.48</v>
      </c>
      <c r="K14" s="677">
        <v>12.02</v>
      </c>
      <c r="L14" s="677">
        <v>12.65</v>
      </c>
      <c r="M14" s="677">
        <v>13.12</v>
      </c>
      <c r="N14" s="678">
        <v>13.78</v>
      </c>
    </row>
    <row r="15" spans="1:15" ht="14.25">
      <c r="A15" s="374" t="s">
        <v>13</v>
      </c>
      <c r="B15" s="375"/>
      <c r="C15" s="376"/>
      <c r="D15" s="377"/>
      <c r="E15" s="378">
        <f>SUM(E12:E14)</f>
        <v>0</v>
      </c>
      <c r="F15" s="249"/>
      <c r="H15" s="240" t="s">
        <v>142</v>
      </c>
      <c r="I15" s="677">
        <v>12.15</v>
      </c>
      <c r="J15" s="677">
        <v>12.75</v>
      </c>
      <c r="K15" s="677">
        <v>13.36</v>
      </c>
      <c r="L15" s="677">
        <v>14.05</v>
      </c>
      <c r="M15" s="677">
        <v>14.58</v>
      </c>
      <c r="N15" s="678">
        <v>15.31</v>
      </c>
    </row>
    <row r="16" spans="1:15" ht="14.25">
      <c r="A16" s="252"/>
      <c r="B16" s="256"/>
      <c r="C16" s="257"/>
      <c r="D16" s="234"/>
      <c r="E16" s="258"/>
      <c r="F16" s="249"/>
      <c r="H16" s="240" t="s">
        <v>143</v>
      </c>
      <c r="I16" s="677">
        <v>12.58</v>
      </c>
      <c r="J16" s="677">
        <v>13.22</v>
      </c>
      <c r="K16" s="677">
        <v>13.82</v>
      </c>
      <c r="L16" s="677">
        <v>14.53</v>
      </c>
      <c r="M16" s="677">
        <v>15.09</v>
      </c>
      <c r="N16" s="678">
        <v>15.85</v>
      </c>
    </row>
    <row r="17" spans="1:16" ht="14.25">
      <c r="A17" s="259" t="s">
        <v>57</v>
      </c>
      <c r="B17" s="260"/>
      <c r="C17" s="414"/>
      <c r="D17" s="234"/>
      <c r="E17" s="255">
        <f>$C17*E15</f>
        <v>0</v>
      </c>
      <c r="F17" s="249"/>
      <c r="H17" s="240" t="s">
        <v>144</v>
      </c>
      <c r="I17" s="677">
        <v>13.05</v>
      </c>
      <c r="J17" s="677">
        <v>13.68</v>
      </c>
      <c r="K17" s="677">
        <v>14.33</v>
      </c>
      <c r="L17" s="677">
        <v>15.03</v>
      </c>
      <c r="M17" s="677">
        <v>15.6</v>
      </c>
      <c r="N17" s="678">
        <v>16.399999999999999</v>
      </c>
    </row>
    <row r="18" spans="1:16" ht="14.25">
      <c r="A18" s="259" t="s">
        <v>90</v>
      </c>
      <c r="B18" s="260"/>
      <c r="C18" s="414"/>
      <c r="D18" s="234"/>
      <c r="E18" s="255">
        <f>$C18*E15</f>
        <v>0</v>
      </c>
      <c r="F18" s="249"/>
      <c r="H18" s="240" t="s">
        <v>145</v>
      </c>
      <c r="I18" s="677">
        <v>13.45</v>
      </c>
      <c r="J18" s="677">
        <v>14.14</v>
      </c>
      <c r="K18" s="677">
        <v>14.78</v>
      </c>
      <c r="L18" s="677">
        <v>15.53</v>
      </c>
      <c r="M18" s="677">
        <v>16.13</v>
      </c>
      <c r="N18" s="678">
        <v>16.940000000000001</v>
      </c>
    </row>
    <row r="19" spans="1:16" ht="14.25">
      <c r="A19" s="374" t="s">
        <v>52</v>
      </c>
      <c r="B19" s="261"/>
      <c r="C19" s="254"/>
      <c r="D19" s="234"/>
      <c r="E19" s="378">
        <f>SUM(E15:E18)</f>
        <v>0</v>
      </c>
      <c r="F19" s="675">
        <f>IF(E19=0,0,E19/E$47)</f>
        <v>0</v>
      </c>
      <c r="H19" s="240" t="s">
        <v>146</v>
      </c>
      <c r="I19" s="677">
        <v>13.87</v>
      </c>
      <c r="J19" s="677">
        <v>14.58</v>
      </c>
      <c r="K19" s="677">
        <v>15.28</v>
      </c>
      <c r="L19" s="677">
        <v>16.010000000000002</v>
      </c>
      <c r="M19" s="677">
        <v>16.64</v>
      </c>
      <c r="N19" s="678">
        <v>17.489999999999998</v>
      </c>
    </row>
    <row r="20" spans="1:16" ht="14.25">
      <c r="A20" s="252"/>
      <c r="B20" s="256"/>
      <c r="C20" s="257"/>
      <c r="D20" s="234"/>
      <c r="E20" s="258"/>
      <c r="F20" s="249"/>
    </row>
    <row r="21" spans="1:16" ht="14.25">
      <c r="A21" s="381" t="s">
        <v>59</v>
      </c>
      <c r="B21" s="260"/>
      <c r="C21" s="257"/>
      <c r="D21" s="263"/>
      <c r="E21" s="479">
        <f>E19*0.96</f>
        <v>0</v>
      </c>
      <c r="F21" s="264"/>
      <c r="G21" s="159"/>
      <c r="H21" s="295" t="s">
        <v>147</v>
      </c>
      <c r="I21" s="713" t="s">
        <v>150</v>
      </c>
      <c r="J21" s="714"/>
      <c r="K21" s="714"/>
      <c r="L21" s="714"/>
      <c r="M21" s="714"/>
      <c r="N21" s="715"/>
      <c r="O21" s="159"/>
      <c r="P21" s="159"/>
    </row>
    <row r="22" spans="1:16" s="159" customFormat="1" ht="14.25">
      <c r="A22" s="259" t="s">
        <v>71</v>
      </c>
      <c r="B22" s="260"/>
      <c r="C22" s="265" t="s">
        <v>44</v>
      </c>
      <c r="D22" s="234"/>
      <c r="E22" s="255" t="e">
        <f>E21*'5-Premies en opslagen'!$C24</f>
        <v>#DIV/0!</v>
      </c>
      <c r="F22" s="249"/>
      <c r="G22" s="3"/>
      <c r="H22" s="240"/>
      <c r="I22" s="245">
        <v>1</v>
      </c>
      <c r="J22" s="245">
        <v>2</v>
      </c>
      <c r="K22" s="245">
        <v>3</v>
      </c>
      <c r="L22" s="245">
        <v>4</v>
      </c>
      <c r="M22" s="245">
        <v>5</v>
      </c>
      <c r="N22" s="245">
        <v>6</v>
      </c>
      <c r="O22" s="3"/>
      <c r="P22" s="3"/>
    </row>
    <row r="23" spans="1:16" ht="14.25" customHeight="1">
      <c r="A23" s="374" t="s">
        <v>68</v>
      </c>
      <c r="B23" s="296"/>
      <c r="C23" s="254"/>
      <c r="D23" s="234"/>
      <c r="E23" s="378" t="e">
        <f>E22+E19</f>
        <v>#DIV/0!</v>
      </c>
      <c r="F23" s="675" t="e">
        <f>IF(E23=0,0,E23/E$47)</f>
        <v>#DIV/0!</v>
      </c>
      <c r="H23" s="240" t="s">
        <v>148</v>
      </c>
      <c r="I23" s="632"/>
      <c r="J23" s="632"/>
      <c r="K23" s="632"/>
      <c r="L23" s="632"/>
      <c r="M23" s="632"/>
      <c r="N23" s="632"/>
    </row>
    <row r="24" spans="1:16" ht="12.75" customHeight="1">
      <c r="A24" s="252"/>
      <c r="B24" s="261"/>
      <c r="C24" s="254"/>
      <c r="D24" s="234"/>
      <c r="E24" s="243"/>
      <c r="F24" s="249"/>
      <c r="H24" s="240" t="s">
        <v>140</v>
      </c>
      <c r="I24" s="632"/>
      <c r="J24" s="632"/>
      <c r="K24" s="632"/>
      <c r="L24" s="632"/>
      <c r="M24" s="632"/>
      <c r="N24" s="632"/>
    </row>
    <row r="25" spans="1:16" ht="12.75" customHeight="1">
      <c r="A25" s="259" t="s">
        <v>34</v>
      </c>
      <c r="B25" s="260"/>
      <c r="C25" s="265" t="s">
        <v>44</v>
      </c>
      <c r="D25" s="234"/>
      <c r="E25" s="255" t="e">
        <f>E23*'5-Premies en opslagen'!$B53</f>
        <v>#DIV/0!</v>
      </c>
      <c r="F25" s="249"/>
      <c r="H25" s="240" t="s">
        <v>141</v>
      </c>
      <c r="I25" s="632"/>
      <c r="J25" s="632"/>
      <c r="K25" s="632"/>
      <c r="L25" s="632"/>
      <c r="M25" s="632"/>
      <c r="N25" s="632"/>
    </row>
    <row r="26" spans="1:16" ht="14.25">
      <c r="A26" s="374" t="s">
        <v>78</v>
      </c>
      <c r="B26" s="261"/>
      <c r="C26" s="254"/>
      <c r="D26" s="234"/>
      <c r="E26" s="378" t="e">
        <f>SUM(E23:E25)</f>
        <v>#DIV/0!</v>
      </c>
      <c r="F26" s="675" t="e">
        <f>IF(E26=0,0,E26/E$47)</f>
        <v>#DIV/0!</v>
      </c>
      <c r="H26" s="240" t="s">
        <v>142</v>
      </c>
      <c r="I26" s="632"/>
      <c r="J26" s="632"/>
      <c r="K26" s="632"/>
      <c r="L26" s="632"/>
      <c r="M26" s="632"/>
      <c r="N26" s="632"/>
    </row>
    <row r="27" spans="1:16" ht="14.25">
      <c r="A27" s="252"/>
      <c r="B27" s="261"/>
      <c r="C27" s="254"/>
      <c r="D27" s="234"/>
      <c r="E27" s="243"/>
      <c r="F27" s="249"/>
      <c r="H27" s="240" t="s">
        <v>143</v>
      </c>
      <c r="I27" s="632"/>
      <c r="J27" s="632"/>
      <c r="K27" s="632"/>
      <c r="L27" s="632"/>
      <c r="M27" s="632"/>
      <c r="N27" s="632"/>
    </row>
    <row r="28" spans="1:16" ht="14.25">
      <c r="A28" s="252" t="s">
        <v>60</v>
      </c>
      <c r="B28" s="266"/>
      <c r="C28" s="251" t="s">
        <v>67</v>
      </c>
      <c r="D28" s="234"/>
      <c r="E28" s="413"/>
      <c r="F28" s="480" t="e">
        <f t="shared" ref="F28:F30" si="0">E28/$E$47</f>
        <v>#DIV/0!</v>
      </c>
      <c r="H28" s="240" t="s">
        <v>144</v>
      </c>
      <c r="I28" s="632"/>
      <c r="J28" s="632"/>
      <c r="K28" s="632"/>
      <c r="L28" s="632"/>
      <c r="M28" s="632"/>
      <c r="N28" s="632"/>
    </row>
    <row r="29" spans="1:16" ht="14.25">
      <c r="A29" s="252" t="s">
        <v>65</v>
      </c>
      <c r="B29" s="267"/>
      <c r="C29" s="251" t="s">
        <v>67</v>
      </c>
      <c r="D29" s="234"/>
      <c r="E29" s="413"/>
      <c r="F29" s="480" t="e">
        <f t="shared" si="0"/>
        <v>#DIV/0!</v>
      </c>
      <c r="H29" s="240" t="s">
        <v>145</v>
      </c>
      <c r="I29" s="632">
        <v>0</v>
      </c>
      <c r="J29" s="632"/>
      <c r="K29" s="632"/>
      <c r="L29" s="632"/>
      <c r="M29" s="632"/>
      <c r="N29" s="632"/>
    </row>
    <row r="30" spans="1:16" ht="14.25">
      <c r="A30" s="252" t="s">
        <v>66</v>
      </c>
      <c r="B30" s="261"/>
      <c r="C30" s="254" t="s">
        <v>62</v>
      </c>
      <c r="D30" s="234"/>
      <c r="E30" s="674"/>
      <c r="F30" s="480" t="e">
        <f t="shared" si="0"/>
        <v>#DIV/0!</v>
      </c>
      <c r="H30" s="240" t="s">
        <v>146</v>
      </c>
      <c r="I30" s="632"/>
      <c r="J30" s="632"/>
      <c r="K30" s="632"/>
      <c r="L30" s="632"/>
      <c r="M30" s="632"/>
      <c r="N30" s="632"/>
    </row>
    <row r="31" spans="1:16" ht="12.75" customHeight="1">
      <c r="A31" s="415"/>
      <c r="B31" s="465"/>
      <c r="C31" s="466" t="s">
        <v>62</v>
      </c>
      <c r="D31" s="234"/>
      <c r="E31" s="413"/>
      <c r="F31" s="249"/>
      <c r="H31" s="270" t="s">
        <v>149</v>
      </c>
      <c r="I31" s="438">
        <f t="shared" ref="I31:N31" si="1">SUM(I23:I30)</f>
        <v>0</v>
      </c>
      <c r="J31" s="438">
        <f t="shared" si="1"/>
        <v>0</v>
      </c>
      <c r="K31" s="438">
        <f t="shared" si="1"/>
        <v>0</v>
      </c>
      <c r="L31" s="438">
        <f t="shared" si="1"/>
        <v>0</v>
      </c>
      <c r="M31" s="438">
        <f t="shared" si="1"/>
        <v>0</v>
      </c>
      <c r="N31" s="438">
        <f t="shared" si="1"/>
        <v>0</v>
      </c>
      <c r="O31" s="297">
        <f>SUM(I31:N31)</f>
        <v>0</v>
      </c>
    </row>
    <row r="32" spans="1:16" ht="12.75" customHeight="1">
      <c r="A32" s="374" t="s">
        <v>54</v>
      </c>
      <c r="B32" s="261"/>
      <c r="C32" s="254"/>
      <c r="D32" s="234"/>
      <c r="E32" s="378" t="e">
        <f>SUM(E26:E31)</f>
        <v>#DIV/0!</v>
      </c>
      <c r="F32" s="675" t="e">
        <f>IF(E32=0,0,E32/E$47)</f>
        <v>#DIV/0!</v>
      </c>
      <c r="H32" s="159"/>
      <c r="I32" s="159"/>
      <c r="J32" s="159"/>
      <c r="K32" s="159"/>
      <c r="L32" s="159"/>
      <c r="M32" s="159"/>
      <c r="N32" s="159"/>
    </row>
    <row r="33" spans="1:16" ht="12.75" customHeight="1">
      <c r="A33" s="252"/>
      <c r="B33" s="261"/>
      <c r="C33" s="254"/>
      <c r="D33" s="234"/>
      <c r="E33" s="243"/>
      <c r="F33" s="249"/>
      <c r="H33" s="448" t="s">
        <v>147</v>
      </c>
      <c r="I33" s="710" t="s">
        <v>151</v>
      </c>
      <c r="J33" s="710"/>
      <c r="K33" s="710"/>
      <c r="L33" s="710"/>
      <c r="M33" s="710"/>
      <c r="N33" s="710"/>
    </row>
    <row r="34" spans="1:16" ht="12.75" customHeight="1">
      <c r="A34" s="252" t="s">
        <v>80</v>
      </c>
      <c r="B34" s="261"/>
      <c r="C34" s="269"/>
      <c r="D34" s="234"/>
      <c r="E34" s="413"/>
      <c r="F34" s="480" t="e">
        <f t="shared" ref="F34:F42" si="2">E34/$E$47</f>
        <v>#DIV/0!</v>
      </c>
      <c r="H34" s="449"/>
      <c r="I34" s="450">
        <v>1</v>
      </c>
      <c r="J34" s="450">
        <v>2</v>
      </c>
      <c r="K34" s="450">
        <v>3</v>
      </c>
      <c r="L34" s="450">
        <v>4</v>
      </c>
      <c r="M34" s="450">
        <v>5</v>
      </c>
      <c r="N34" s="450">
        <v>6</v>
      </c>
    </row>
    <row r="35" spans="1:16" ht="12.75" customHeight="1">
      <c r="A35" s="252" t="s">
        <v>33</v>
      </c>
      <c r="B35" s="261"/>
      <c r="C35" s="269"/>
      <c r="D35" s="234"/>
      <c r="E35" s="413"/>
      <c r="F35" s="480" t="e">
        <f t="shared" si="2"/>
        <v>#DIV/0!</v>
      </c>
      <c r="H35" s="449" t="s">
        <v>148</v>
      </c>
      <c r="I35" s="451">
        <f t="shared" ref="I35:N37" si="3">I23*I12</f>
        <v>0</v>
      </c>
      <c r="J35" s="451">
        <f t="shared" si="3"/>
        <v>0</v>
      </c>
      <c r="K35" s="451">
        <f t="shared" si="3"/>
        <v>0</v>
      </c>
      <c r="L35" s="451">
        <f t="shared" si="3"/>
        <v>0</v>
      </c>
      <c r="M35" s="451">
        <f t="shared" si="3"/>
        <v>0</v>
      </c>
      <c r="N35" s="452">
        <f t="shared" si="3"/>
        <v>0</v>
      </c>
      <c r="O35" s="159"/>
    </row>
    <row r="36" spans="1:16" ht="14.25" customHeight="1">
      <c r="A36" s="252" t="s">
        <v>23</v>
      </c>
      <c r="B36" s="261"/>
      <c r="C36" s="269"/>
      <c r="D36" s="234"/>
      <c r="E36" s="413"/>
      <c r="F36" s="480" t="e">
        <f t="shared" si="2"/>
        <v>#DIV/0!</v>
      </c>
      <c r="H36" s="449" t="s">
        <v>140</v>
      </c>
      <c r="I36" s="451">
        <f t="shared" si="3"/>
        <v>0</v>
      </c>
      <c r="J36" s="451">
        <f t="shared" si="3"/>
        <v>0</v>
      </c>
      <c r="K36" s="451">
        <f t="shared" si="3"/>
        <v>0</v>
      </c>
      <c r="L36" s="451">
        <f t="shared" si="3"/>
        <v>0</v>
      </c>
      <c r="M36" s="451">
        <f t="shared" si="3"/>
        <v>0</v>
      </c>
      <c r="N36" s="452">
        <f t="shared" si="3"/>
        <v>0</v>
      </c>
      <c r="O36" s="159"/>
    </row>
    <row r="37" spans="1:16" ht="14.25">
      <c r="A37" s="252" t="s">
        <v>2</v>
      </c>
      <c r="B37" s="261"/>
      <c r="C37" s="271"/>
      <c r="D37" s="234"/>
      <c r="E37" s="413"/>
      <c r="F37" s="480" t="e">
        <f t="shared" si="2"/>
        <v>#DIV/0!</v>
      </c>
      <c r="H37" s="449" t="s">
        <v>141</v>
      </c>
      <c r="I37" s="451">
        <f t="shared" si="3"/>
        <v>0</v>
      </c>
      <c r="J37" s="451">
        <f t="shared" si="3"/>
        <v>0</v>
      </c>
      <c r="K37" s="451">
        <f t="shared" si="3"/>
        <v>0</v>
      </c>
      <c r="L37" s="451">
        <f t="shared" si="3"/>
        <v>0</v>
      </c>
      <c r="M37" s="451">
        <f t="shared" si="3"/>
        <v>0</v>
      </c>
      <c r="N37" s="452">
        <f t="shared" si="3"/>
        <v>0</v>
      </c>
      <c r="O37" s="159"/>
    </row>
    <row r="38" spans="1:16" ht="14.25">
      <c r="A38" s="252" t="s">
        <v>31</v>
      </c>
      <c r="B38" s="261"/>
      <c r="C38" s="269"/>
      <c r="D38" s="234"/>
      <c r="E38" s="413"/>
      <c r="F38" s="480" t="e">
        <f t="shared" si="2"/>
        <v>#DIV/0!</v>
      </c>
      <c r="H38" s="449" t="s">
        <v>142</v>
      </c>
      <c r="I38" s="451">
        <f t="shared" ref="I38:N42" si="4">I26*I15</f>
        <v>0</v>
      </c>
      <c r="J38" s="451">
        <f t="shared" si="4"/>
        <v>0</v>
      </c>
      <c r="K38" s="451">
        <f t="shared" si="4"/>
        <v>0</v>
      </c>
      <c r="L38" s="451">
        <f t="shared" si="4"/>
        <v>0</v>
      </c>
      <c r="M38" s="451">
        <f t="shared" si="4"/>
        <v>0</v>
      </c>
      <c r="N38" s="452">
        <f t="shared" si="4"/>
        <v>0</v>
      </c>
      <c r="O38" s="159"/>
    </row>
    <row r="39" spans="1:16" ht="14.25">
      <c r="A39" s="252" t="s">
        <v>28</v>
      </c>
      <c r="B39" s="261"/>
      <c r="C39" s="271"/>
      <c r="D39" s="234"/>
      <c r="E39" s="413"/>
      <c r="F39" s="480" t="e">
        <f t="shared" si="2"/>
        <v>#DIV/0!</v>
      </c>
      <c r="H39" s="449" t="s">
        <v>143</v>
      </c>
      <c r="I39" s="451">
        <f t="shared" si="4"/>
        <v>0</v>
      </c>
      <c r="J39" s="451">
        <f t="shared" si="4"/>
        <v>0</v>
      </c>
      <c r="K39" s="451">
        <f t="shared" si="4"/>
        <v>0</v>
      </c>
      <c r="L39" s="451">
        <f t="shared" si="4"/>
        <v>0</v>
      </c>
      <c r="M39" s="451">
        <f t="shared" si="4"/>
        <v>0</v>
      </c>
      <c r="N39" s="452">
        <f t="shared" si="4"/>
        <v>0</v>
      </c>
      <c r="O39" s="159"/>
    </row>
    <row r="40" spans="1:16" ht="14.25">
      <c r="A40" s="252" t="s">
        <v>72</v>
      </c>
      <c r="B40" s="261"/>
      <c r="C40" s="251" t="s">
        <v>67</v>
      </c>
      <c r="D40" s="234"/>
      <c r="E40" s="413"/>
      <c r="F40" s="480" t="e">
        <f t="shared" si="2"/>
        <v>#DIV/0!</v>
      </c>
      <c r="H40" s="449" t="s">
        <v>144</v>
      </c>
      <c r="I40" s="451">
        <f t="shared" si="4"/>
        <v>0</v>
      </c>
      <c r="J40" s="451">
        <f t="shared" si="4"/>
        <v>0</v>
      </c>
      <c r="K40" s="451">
        <f t="shared" si="4"/>
        <v>0</v>
      </c>
      <c r="L40" s="451">
        <f t="shared" si="4"/>
        <v>0</v>
      </c>
      <c r="M40" s="451">
        <f t="shared" si="4"/>
        <v>0</v>
      </c>
      <c r="N40" s="452">
        <f t="shared" si="4"/>
        <v>0</v>
      </c>
      <c r="O40" s="159"/>
    </row>
    <row r="41" spans="1:16" ht="14.25">
      <c r="A41" s="252" t="s">
        <v>89</v>
      </c>
      <c r="B41" s="261"/>
      <c r="C41" s="251"/>
      <c r="D41" s="234"/>
      <c r="E41" s="413"/>
      <c r="F41" s="480" t="e">
        <f t="shared" si="2"/>
        <v>#DIV/0!</v>
      </c>
      <c r="H41" s="449" t="s">
        <v>145</v>
      </c>
      <c r="I41" s="451">
        <f t="shared" si="4"/>
        <v>0</v>
      </c>
      <c r="J41" s="451">
        <f t="shared" si="4"/>
        <v>0</v>
      </c>
      <c r="K41" s="451">
        <f t="shared" si="4"/>
        <v>0</v>
      </c>
      <c r="L41" s="451">
        <f t="shared" si="4"/>
        <v>0</v>
      </c>
      <c r="M41" s="451">
        <f t="shared" si="4"/>
        <v>0</v>
      </c>
      <c r="N41" s="452">
        <f t="shared" si="4"/>
        <v>0</v>
      </c>
      <c r="O41" s="159"/>
    </row>
    <row r="42" spans="1:16" ht="14.25">
      <c r="A42" s="415"/>
      <c r="B42" s="465"/>
      <c r="C42" s="467"/>
      <c r="D42" s="234"/>
      <c r="E42" s="413"/>
      <c r="F42" s="249" t="e">
        <f t="shared" si="2"/>
        <v>#DIV/0!</v>
      </c>
      <c r="H42" s="449" t="s">
        <v>146</v>
      </c>
      <c r="I42" s="451">
        <f t="shared" si="4"/>
        <v>0</v>
      </c>
      <c r="J42" s="451">
        <f t="shared" si="4"/>
        <v>0</v>
      </c>
      <c r="K42" s="451">
        <f t="shared" si="4"/>
        <v>0</v>
      </c>
      <c r="L42" s="451">
        <f t="shared" si="4"/>
        <v>0</v>
      </c>
      <c r="M42" s="451">
        <f t="shared" si="4"/>
        <v>0</v>
      </c>
      <c r="N42" s="452">
        <f t="shared" si="4"/>
        <v>0</v>
      </c>
      <c r="O42" s="159"/>
    </row>
    <row r="43" spans="1:16" ht="14.25">
      <c r="A43" s="374" t="s">
        <v>73</v>
      </c>
      <c r="B43" s="261"/>
      <c r="C43" s="254"/>
      <c r="D43" s="234"/>
      <c r="E43" s="378" t="e">
        <f>SUM(E32:E42)</f>
        <v>#DIV/0!</v>
      </c>
      <c r="F43" s="675" t="e">
        <f>IF(E43=0,0,E43/E$47)</f>
        <v>#DIV/0!</v>
      </c>
      <c r="H43" s="453" t="s">
        <v>149</v>
      </c>
      <c r="I43" s="454">
        <f t="shared" ref="I43:N43" si="5">SUM(I35:I42)</f>
        <v>0</v>
      </c>
      <c r="J43" s="454">
        <f t="shared" si="5"/>
        <v>0</v>
      </c>
      <c r="K43" s="454">
        <f t="shared" si="5"/>
        <v>0</v>
      </c>
      <c r="L43" s="454">
        <f t="shared" si="5"/>
        <v>0</v>
      </c>
      <c r="M43" s="454">
        <f t="shared" si="5"/>
        <v>0</v>
      </c>
      <c r="N43" s="454">
        <f t="shared" si="5"/>
        <v>0</v>
      </c>
      <c r="O43" s="159"/>
    </row>
    <row r="44" spans="1:16" ht="14.25">
      <c r="A44" s="252"/>
      <c r="B44" s="261"/>
      <c r="C44" s="254"/>
      <c r="D44" s="234"/>
      <c r="E44" s="243"/>
      <c r="F44" s="272"/>
      <c r="H44" s="159"/>
      <c r="I44" s="159"/>
      <c r="J44" s="159"/>
      <c r="K44" s="159"/>
      <c r="L44" s="159"/>
      <c r="M44" s="159"/>
      <c r="N44" s="159"/>
      <c r="O44" s="159"/>
    </row>
    <row r="45" spans="1:16" ht="14.25">
      <c r="A45" s="252" t="s">
        <v>74</v>
      </c>
      <c r="B45" s="261"/>
      <c r="C45" s="271"/>
      <c r="D45" s="234"/>
      <c r="E45" s="413"/>
      <c r="F45" s="675">
        <f>(IF(E45=0,0,E45/E$47))</f>
        <v>0</v>
      </c>
      <c r="H45" s="159"/>
      <c r="I45" s="159"/>
      <c r="J45" s="159"/>
      <c r="K45" s="159"/>
      <c r="L45" s="159"/>
      <c r="M45" s="159"/>
      <c r="N45" s="159"/>
      <c r="O45" s="159"/>
    </row>
    <row r="46" spans="1:16" ht="14.25">
      <c r="A46" s="252"/>
      <c r="B46" s="253"/>
      <c r="C46" s="254"/>
      <c r="D46" s="234"/>
      <c r="E46" s="243"/>
      <c r="F46" s="249"/>
      <c r="H46" s="159"/>
      <c r="I46" s="159"/>
      <c r="J46" s="159"/>
      <c r="K46" s="159"/>
      <c r="L46" s="159"/>
      <c r="M46" s="159"/>
      <c r="N46" s="159"/>
      <c r="O46" s="159"/>
    </row>
    <row r="47" spans="1:16" ht="14.25">
      <c r="A47" s="374" t="s">
        <v>45</v>
      </c>
      <c r="B47" s="379"/>
      <c r="C47" s="273"/>
      <c r="D47" s="234"/>
      <c r="E47" s="662" t="e">
        <f>SUM(E43:E46)</f>
        <v>#DIV/0!</v>
      </c>
      <c r="F47" s="380" t="e">
        <f>SUM(F43:F46)</f>
        <v>#DIV/0!</v>
      </c>
      <c r="H47" s="159"/>
      <c r="I47" s="159"/>
      <c r="J47" s="159"/>
      <c r="K47" s="159"/>
      <c r="L47" s="159"/>
      <c r="M47" s="159"/>
      <c r="N47" s="159"/>
      <c r="O47" s="159"/>
    </row>
    <row r="48" spans="1:16" ht="14.25">
      <c r="B48" s="274"/>
      <c r="C48" s="275"/>
      <c r="D48" s="234"/>
      <c r="F48" s="276"/>
      <c r="H48" s="159"/>
      <c r="I48" s="159"/>
      <c r="J48" s="159"/>
      <c r="K48" s="159"/>
      <c r="L48" s="159"/>
      <c r="M48" s="159"/>
      <c r="N48" s="159"/>
      <c r="O48" s="159"/>
      <c r="P48" s="159"/>
    </row>
    <row r="49" spans="1:16" ht="14.25">
      <c r="A49" s="277" t="s">
        <v>223</v>
      </c>
      <c r="B49" s="278"/>
      <c r="C49" s="279"/>
      <c r="D49" s="159"/>
      <c r="E49" s="280" t="e">
        <f>(E$26*1.3)+($E$47-$E$26)</f>
        <v>#DIV/0!</v>
      </c>
      <c r="F49" s="281"/>
      <c r="G49" s="159"/>
      <c r="H49" s="159"/>
      <c r="I49" s="159"/>
      <c r="J49" s="159"/>
      <c r="K49" s="159"/>
      <c r="L49" s="159"/>
      <c r="M49" s="159"/>
      <c r="N49" s="159"/>
      <c r="O49" s="159"/>
      <c r="P49" s="159"/>
    </row>
    <row r="50" spans="1:16" s="159" customFormat="1" ht="14.25">
      <c r="B50" s="282"/>
      <c r="C50" s="283"/>
    </row>
    <row r="51" spans="1:16" s="159" customFormat="1" ht="14.25">
      <c r="A51" s="277" t="s">
        <v>50</v>
      </c>
      <c r="B51" s="278"/>
      <c r="C51" s="279"/>
      <c r="E51" s="280" t="e">
        <f>(E$26*1.5)+($E$47-$E$26)</f>
        <v>#DIV/0!</v>
      </c>
      <c r="F51" s="281"/>
    </row>
    <row r="52" spans="1:16" s="159" customFormat="1" ht="14.25">
      <c r="B52" s="282"/>
      <c r="C52" s="283"/>
    </row>
    <row r="53" spans="1:16" s="159" customFormat="1" ht="14.25">
      <c r="A53" s="277" t="s">
        <v>85</v>
      </c>
      <c r="B53" s="278"/>
      <c r="C53" s="279"/>
      <c r="E53" s="280" t="e">
        <f>(E$26*2.5)+($E$47-$E$26)</f>
        <v>#DIV/0!</v>
      </c>
    </row>
    <row r="54" spans="1:16" s="159" customFormat="1">
      <c r="C54" s="286"/>
      <c r="F54" s="285"/>
    </row>
    <row r="55" spans="1:16" s="159" customFormat="1">
      <c r="C55" s="286"/>
      <c r="F55" s="285"/>
    </row>
    <row r="56" spans="1:16" s="159" customFormat="1">
      <c r="A56" s="3"/>
      <c r="C56" s="286"/>
      <c r="F56" s="285"/>
      <c r="H56" s="3"/>
      <c r="I56" s="3"/>
      <c r="J56" s="3"/>
      <c r="K56" s="3"/>
      <c r="L56" s="3"/>
      <c r="M56" s="3"/>
      <c r="N56" s="3"/>
    </row>
    <row r="57" spans="1:16" s="159" customFormat="1">
      <c r="C57" s="286"/>
      <c r="F57" s="285"/>
      <c r="H57" s="3"/>
      <c r="I57" s="3"/>
      <c r="J57" s="3"/>
      <c r="K57" s="3"/>
      <c r="L57" s="3"/>
      <c r="M57" s="3"/>
      <c r="N57" s="3"/>
    </row>
    <row r="58" spans="1:16" s="159" customFormat="1">
      <c r="C58" s="286"/>
      <c r="F58" s="285"/>
      <c r="H58" s="3"/>
      <c r="I58" s="3"/>
      <c r="J58" s="3"/>
      <c r="K58" s="3"/>
      <c r="L58" s="3"/>
      <c r="M58" s="3"/>
      <c r="N58" s="3"/>
    </row>
    <row r="59" spans="1:16" s="159" customFormat="1">
      <c r="C59" s="286"/>
      <c r="F59" s="285"/>
      <c r="H59" s="3"/>
      <c r="I59" s="3"/>
      <c r="J59" s="3"/>
      <c r="K59" s="3"/>
      <c r="L59" s="3"/>
      <c r="M59" s="3"/>
      <c r="N59" s="3"/>
    </row>
    <row r="60" spans="1:16" s="159" customFormat="1">
      <c r="C60" s="286"/>
      <c r="F60" s="285"/>
      <c r="H60" s="3"/>
      <c r="I60" s="3"/>
      <c r="J60" s="3"/>
      <c r="K60" s="3"/>
      <c r="L60" s="3"/>
      <c r="M60" s="3"/>
      <c r="N60" s="3"/>
    </row>
    <row r="61" spans="1:16" s="159" customFormat="1">
      <c r="C61" s="286"/>
      <c r="F61" s="285"/>
      <c r="H61" s="3"/>
      <c r="I61" s="3"/>
      <c r="J61" s="3"/>
      <c r="K61" s="3"/>
      <c r="L61" s="3"/>
      <c r="M61" s="3"/>
      <c r="N61" s="3"/>
    </row>
    <row r="62" spans="1:16" s="159" customFormat="1">
      <c r="C62" s="286"/>
      <c r="F62" s="285"/>
      <c r="H62" s="3"/>
      <c r="I62" s="3"/>
      <c r="J62" s="3"/>
      <c r="K62" s="3"/>
      <c r="L62" s="3"/>
      <c r="M62" s="3"/>
      <c r="N62" s="3"/>
      <c r="O62" s="3"/>
    </row>
    <row r="63" spans="1:16" s="159" customFormat="1">
      <c r="C63" s="286"/>
      <c r="F63" s="285"/>
      <c r="H63" s="3"/>
      <c r="I63" s="3"/>
      <c r="J63" s="3"/>
      <c r="K63" s="3"/>
      <c r="L63" s="3"/>
      <c r="M63" s="3"/>
      <c r="N63" s="3"/>
      <c r="O63" s="3"/>
      <c r="P63" s="3"/>
    </row>
    <row r="64" spans="1:16" s="159" customFormat="1">
      <c r="A64" s="3"/>
      <c r="B64" s="3"/>
      <c r="C64" s="3"/>
      <c r="D64" s="3"/>
      <c r="E64" s="3"/>
      <c r="F64" s="3"/>
      <c r="G64" s="3"/>
      <c r="H64" s="3"/>
      <c r="I64" s="3"/>
      <c r="J64" s="3"/>
      <c r="K64" s="3"/>
      <c r="L64" s="3"/>
      <c r="M64" s="3"/>
      <c r="N64" s="3"/>
      <c r="O64" s="3"/>
      <c r="P64" s="3"/>
    </row>
  </sheetData>
  <dataConsolidate/>
  <mergeCells count="7">
    <mergeCell ref="I33:N33"/>
    <mergeCell ref="H1:N2"/>
    <mergeCell ref="H3:N3"/>
    <mergeCell ref="H4:N5"/>
    <mergeCell ref="E10:F10"/>
    <mergeCell ref="I10:N10"/>
    <mergeCell ref="I21:N21"/>
  </mergeCells>
  <conditionalFormatting sqref="O31">
    <cfRule type="cellIs" dxfId="29" priority="1" operator="greaterThan">
      <formula>1</formula>
    </cfRule>
    <cfRule type="cellIs" dxfId="28" priority="2" operator="between">
      <formula>0.999999</formula>
      <formula>0</formula>
    </cfRule>
    <cfRule type="cellIs" dxfId="27" priority="3" operator="equal">
      <formula>1</formula>
    </cfRule>
  </conditionalFormatting>
  <pageMargins left="0.19685039370078741" right="0.19685039370078741" top="0.59055118110236227" bottom="0.78740157480314965" header="0.39370078740157483" footer="0.19685039370078741"/>
  <pageSetup paperSize="9" scale="56"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5" zoomScaleNormal="85" zoomScalePageLayoutView="50" workbookViewId="0">
      <pane ySplit="9" topLeftCell="A10" activePane="bottomLeft" state="frozen"/>
      <selection activeCell="D33" sqref="D33"/>
      <selection pane="bottomLeft" activeCell="I12" sqref="I12"/>
    </sheetView>
  </sheetViews>
  <sheetFormatPr defaultColWidth="11.42578125" defaultRowHeight="13.5"/>
  <cols>
    <col min="1" max="1" width="35.85546875" style="3" customWidth="1"/>
    <col min="2" max="2" width="19.42578125" style="3" customWidth="1"/>
    <col min="3" max="3" width="19.28515625" style="3" bestFit="1" customWidth="1"/>
    <col min="4" max="4" width="2" style="3" customWidth="1"/>
    <col min="5" max="5" width="14.42578125" style="3" customWidth="1"/>
    <col min="6" max="6" width="10.7109375" style="3" customWidth="1"/>
    <col min="7" max="7" width="6" style="3" customWidth="1"/>
    <col min="8" max="8" width="27.85546875" style="3" customWidth="1"/>
    <col min="9" max="15" width="11.42578125" style="3"/>
    <col min="16" max="16" width="33" style="3" customWidth="1"/>
    <col min="17" max="16384" width="11.42578125" style="3"/>
  </cols>
  <sheetData>
    <row r="1" spans="1:15" ht="12.75" customHeight="1">
      <c r="A1" s="408" t="s">
        <v>25</v>
      </c>
      <c r="B1" s="39"/>
      <c r="C1" s="2"/>
      <c r="D1" s="2"/>
      <c r="E1" s="2"/>
      <c r="F1" s="2"/>
      <c r="H1" s="680"/>
      <c r="I1" s="680"/>
      <c r="J1" s="680"/>
      <c r="K1" s="680"/>
      <c r="L1" s="680"/>
      <c r="M1" s="680"/>
      <c r="N1" s="680"/>
    </row>
    <row r="2" spans="1:15">
      <c r="A2" s="224"/>
      <c r="B2" s="225"/>
      <c r="C2" s="226"/>
      <c r="D2" s="225"/>
      <c r="E2" s="227"/>
      <c r="F2" s="228"/>
      <c r="H2" s="680"/>
      <c r="I2" s="680"/>
      <c r="J2" s="680"/>
      <c r="K2" s="680"/>
      <c r="L2" s="680"/>
      <c r="M2" s="680"/>
      <c r="N2" s="680"/>
    </row>
    <row r="3" spans="1:15" ht="14.25" customHeight="1">
      <c r="A3" s="287" t="str">
        <f>'1-Contractblad totaal'!A3</f>
        <v>Naam opdrachtgever</v>
      </c>
      <c r="B3" s="288" t="str">
        <f>'1-Contractblad totaal'!B3</f>
        <v>GVB Veren</v>
      </c>
      <c r="C3" s="289"/>
      <c r="D3" s="225"/>
      <c r="E3" s="230"/>
      <c r="F3" s="231"/>
      <c r="H3" s="680"/>
      <c r="I3" s="680"/>
      <c r="J3" s="680"/>
      <c r="K3" s="680"/>
      <c r="L3" s="680"/>
      <c r="M3" s="680"/>
      <c r="N3" s="680"/>
    </row>
    <row r="4" spans="1:15" ht="15.75" customHeight="1">
      <c r="A4" s="287" t="str">
        <f>'1-Contractblad totaal'!A4</f>
        <v>Calculatie onderdeel</v>
      </c>
      <c r="B4" s="290" t="str">
        <f ca="1">MID(CELL("bestandsnaam",$C$9),SEARCH("]",CELL("bestandsnaam",$C$9),1)+1,256)</f>
        <v>7-Opbouw uurtarief toezicht</v>
      </c>
      <c r="C4" s="291"/>
      <c r="D4" s="234"/>
      <c r="H4" s="680"/>
      <c r="I4" s="680"/>
      <c r="J4" s="680"/>
      <c r="K4" s="680"/>
      <c r="L4" s="680"/>
      <c r="M4" s="680"/>
      <c r="N4" s="680"/>
    </row>
    <row r="5" spans="1:15" ht="17.25">
      <c r="A5" s="287" t="str">
        <f>'1-Contractblad totaal'!A5</f>
        <v>Gebouw/plaats</v>
      </c>
      <c r="B5" s="288" t="str">
        <f>'1-Contractblad totaal'!B5</f>
        <v>Amsterdam</v>
      </c>
      <c r="C5" s="291"/>
      <c r="D5" s="234"/>
      <c r="H5" s="680"/>
      <c r="I5" s="680"/>
      <c r="J5" s="680"/>
      <c r="K5" s="680"/>
      <c r="L5" s="680"/>
      <c r="M5" s="680"/>
      <c r="N5" s="680"/>
    </row>
    <row r="6" spans="1:15" ht="17.25">
      <c r="A6" s="287" t="str">
        <f>'1-Contractblad totaal'!A6</f>
        <v>Referentie nummer</v>
      </c>
      <c r="B6" s="288" t="str">
        <f>'1-Contractblad totaal'!B6</f>
        <v>2021-42a</v>
      </c>
      <c r="C6" s="291"/>
      <c r="D6" s="234"/>
      <c r="H6" s="235"/>
      <c r="I6" s="235"/>
      <c r="J6" s="235"/>
      <c r="K6" s="235"/>
      <c r="L6" s="235"/>
      <c r="M6" s="235"/>
      <c r="N6" s="235"/>
    </row>
    <row r="7" spans="1:15" ht="17.25">
      <c r="A7" s="287" t="str">
        <f>'1-Contractblad totaal'!A8</f>
        <v>Naam dienstverlener</v>
      </c>
      <c r="B7" s="288">
        <f>'1-Contractblad totaal'!B8</f>
        <v>0</v>
      </c>
      <c r="C7" s="291"/>
      <c r="D7" s="234"/>
      <c r="H7" s="235"/>
      <c r="I7" s="235"/>
      <c r="J7" s="235"/>
      <c r="K7" s="235"/>
      <c r="L7" s="235"/>
      <c r="M7" s="235"/>
      <c r="N7" s="235"/>
      <c r="O7" s="239"/>
    </row>
    <row r="8" spans="1:15" ht="15.75">
      <c r="A8" s="287" t="str">
        <f>'1-Contractblad totaal'!A9</f>
        <v>Prijspeil</v>
      </c>
      <c r="B8" s="100">
        <f>'1-Contractblad totaal'!B9</f>
        <v>45017</v>
      </c>
      <c r="C8" s="291"/>
      <c r="D8" s="234"/>
      <c r="I8" s="235"/>
      <c r="J8" s="235"/>
      <c r="K8" s="235"/>
      <c r="L8" s="235"/>
      <c r="M8" s="235"/>
      <c r="N8" s="235"/>
    </row>
    <row r="9" spans="1:15" ht="17.25">
      <c r="A9" s="229"/>
      <c r="B9" s="232"/>
      <c r="C9" s="233"/>
      <c r="D9" s="234"/>
      <c r="E9" s="236"/>
      <c r="F9" s="237"/>
    </row>
    <row r="10" spans="1:15" s="239" customFormat="1" ht="30.75" customHeight="1">
      <c r="A10" s="292" t="s">
        <v>204</v>
      </c>
      <c r="B10" s="293"/>
      <c r="C10" s="294"/>
      <c r="D10" s="238"/>
      <c r="E10" s="711" t="s">
        <v>203</v>
      </c>
      <c r="F10" s="716"/>
      <c r="H10" s="295" t="s">
        <v>147</v>
      </c>
      <c r="I10" s="710" t="s">
        <v>524</v>
      </c>
      <c r="J10" s="710"/>
      <c r="K10" s="710"/>
      <c r="L10" s="710"/>
      <c r="M10" s="710"/>
      <c r="N10" s="710"/>
    </row>
    <row r="11" spans="1:15" ht="30" customHeight="1">
      <c r="A11" s="240"/>
      <c r="B11" s="241" t="s">
        <v>62</v>
      </c>
      <c r="C11" s="242" t="s">
        <v>62</v>
      </c>
      <c r="D11" s="234"/>
      <c r="E11" s="243"/>
      <c r="F11" s="244"/>
      <c r="H11" s="240"/>
      <c r="I11" s="482">
        <v>1</v>
      </c>
      <c r="J11" s="482">
        <v>2</v>
      </c>
      <c r="K11" s="482">
        <v>3</v>
      </c>
      <c r="L11" s="482">
        <v>4</v>
      </c>
      <c r="M11" s="482">
        <v>5</v>
      </c>
      <c r="N11" s="482">
        <v>6</v>
      </c>
    </row>
    <row r="12" spans="1:15" ht="12.75" customHeight="1">
      <c r="A12" s="240" t="s">
        <v>38</v>
      </c>
      <c r="B12" s="246"/>
      <c r="C12" s="247"/>
      <c r="D12" s="234"/>
      <c r="E12" s="248">
        <f>SUM(I34:N34)</f>
        <v>0</v>
      </c>
      <c r="F12" s="249"/>
      <c r="H12" s="437" t="s">
        <v>142</v>
      </c>
      <c r="I12" s="677">
        <v>12.15</v>
      </c>
      <c r="J12" s="677">
        <v>12.75</v>
      </c>
      <c r="K12" s="677">
        <v>13.36</v>
      </c>
      <c r="L12" s="677">
        <v>14.05</v>
      </c>
      <c r="M12" s="677">
        <v>14.58</v>
      </c>
      <c r="N12" s="678">
        <v>15.31</v>
      </c>
    </row>
    <row r="13" spans="1:15" ht="14.25">
      <c r="A13" s="240" t="s">
        <v>15</v>
      </c>
      <c r="B13" s="250"/>
      <c r="C13" s="251" t="s">
        <v>67</v>
      </c>
      <c r="D13" s="234"/>
      <c r="E13" s="413"/>
      <c r="F13" s="249"/>
      <c r="H13" s="437" t="s">
        <v>143</v>
      </c>
      <c r="I13" s="677">
        <v>12.58</v>
      </c>
      <c r="J13" s="677">
        <v>13.22</v>
      </c>
      <c r="K13" s="677">
        <v>13.82</v>
      </c>
      <c r="L13" s="677">
        <v>14.53</v>
      </c>
      <c r="M13" s="677">
        <v>15.09</v>
      </c>
      <c r="N13" s="678">
        <v>15.85</v>
      </c>
    </row>
    <row r="14" spans="1:15" ht="14.25">
      <c r="A14" s="252" t="s">
        <v>32</v>
      </c>
      <c r="B14" s="464"/>
      <c r="C14" s="254"/>
      <c r="D14" s="234"/>
      <c r="E14" s="413"/>
      <c r="F14" s="249"/>
      <c r="H14" s="437" t="s">
        <v>144</v>
      </c>
      <c r="I14" s="677">
        <v>13.05</v>
      </c>
      <c r="J14" s="677">
        <v>13.68</v>
      </c>
      <c r="K14" s="677">
        <v>14.33</v>
      </c>
      <c r="L14" s="677">
        <v>15.03</v>
      </c>
      <c r="M14" s="677">
        <v>15.6</v>
      </c>
      <c r="N14" s="678">
        <v>16.399999999999999</v>
      </c>
    </row>
    <row r="15" spans="1:15" ht="14.25">
      <c r="A15" s="374" t="s">
        <v>13</v>
      </c>
      <c r="B15" s="253"/>
      <c r="C15" s="254"/>
      <c r="D15" s="234"/>
      <c r="E15" s="378">
        <f>SUM(E12:E14)</f>
        <v>0</v>
      </c>
      <c r="F15" s="249"/>
      <c r="H15" s="437" t="s">
        <v>145</v>
      </c>
      <c r="I15" s="677">
        <v>13.45</v>
      </c>
      <c r="J15" s="677">
        <v>14.14</v>
      </c>
      <c r="K15" s="677">
        <v>14.78</v>
      </c>
      <c r="L15" s="677">
        <v>15.53</v>
      </c>
      <c r="M15" s="677">
        <v>16.13</v>
      </c>
      <c r="N15" s="678">
        <v>16.940000000000001</v>
      </c>
    </row>
    <row r="16" spans="1:15" ht="14.25">
      <c r="A16" s="252"/>
      <c r="B16" s="256"/>
      <c r="C16" s="257"/>
      <c r="D16" s="234"/>
      <c r="E16" s="258"/>
      <c r="F16" s="249"/>
      <c r="H16" s="437" t="s">
        <v>146</v>
      </c>
      <c r="I16" s="677">
        <v>13.87</v>
      </c>
      <c r="J16" s="677">
        <v>14.58</v>
      </c>
      <c r="K16" s="677">
        <v>15.28</v>
      </c>
      <c r="L16" s="677">
        <v>16.010000000000002</v>
      </c>
      <c r="M16" s="677">
        <v>16.64</v>
      </c>
      <c r="N16" s="678">
        <v>17.489999999999998</v>
      </c>
    </row>
    <row r="17" spans="1:15" ht="14.25">
      <c r="A17" s="259" t="s">
        <v>57</v>
      </c>
      <c r="B17" s="260"/>
      <c r="C17" s="414"/>
      <c r="D17" s="234"/>
      <c r="E17" s="255">
        <f>$C17*E15</f>
        <v>0</v>
      </c>
      <c r="F17" s="249"/>
      <c r="H17" s="435"/>
      <c r="I17" s="436"/>
      <c r="J17" s="436"/>
      <c r="K17" s="436"/>
      <c r="L17" s="436"/>
      <c r="M17" s="436"/>
      <c r="N17" s="436"/>
    </row>
    <row r="18" spans="1:15" ht="14.25">
      <c r="A18" s="259" t="s">
        <v>90</v>
      </c>
      <c r="B18" s="260"/>
      <c r="C18" s="414"/>
      <c r="D18" s="234"/>
      <c r="E18" s="255">
        <f>$C18*E15</f>
        <v>0</v>
      </c>
      <c r="F18" s="249"/>
      <c r="H18" s="295" t="s">
        <v>147</v>
      </c>
      <c r="I18" s="713" t="s">
        <v>150</v>
      </c>
      <c r="J18" s="714"/>
      <c r="K18" s="714"/>
      <c r="L18" s="714"/>
      <c r="M18" s="714"/>
      <c r="N18" s="715"/>
    </row>
    <row r="19" spans="1:15" ht="14.25">
      <c r="A19" s="374" t="s">
        <v>52</v>
      </c>
      <c r="B19" s="261"/>
      <c r="C19" s="254"/>
      <c r="D19" s="234"/>
      <c r="E19" s="378">
        <f>SUM(E15:E18)</f>
        <v>0</v>
      </c>
      <c r="F19" s="675">
        <f>IF(E19=0,0,E19/E$47)</f>
        <v>0</v>
      </c>
      <c r="H19" s="240"/>
      <c r="I19" s="245">
        <v>1</v>
      </c>
      <c r="J19" s="245">
        <v>2</v>
      </c>
      <c r="K19" s="245">
        <v>3</v>
      </c>
      <c r="L19" s="245">
        <v>4</v>
      </c>
      <c r="M19" s="245">
        <v>5</v>
      </c>
      <c r="N19" s="245">
        <v>6</v>
      </c>
    </row>
    <row r="20" spans="1:15" ht="14.25">
      <c r="A20" s="252"/>
      <c r="B20" s="256"/>
      <c r="C20" s="257"/>
      <c r="D20" s="234"/>
      <c r="E20" s="258"/>
      <c r="F20" s="249"/>
      <c r="H20" s="240" t="s">
        <v>142</v>
      </c>
      <c r="I20" s="632"/>
      <c r="J20" s="632"/>
      <c r="K20" s="632"/>
      <c r="L20" s="632"/>
      <c r="M20" s="632"/>
      <c r="N20" s="632"/>
    </row>
    <row r="21" spans="1:15" ht="14.25">
      <c r="A21" s="262" t="s">
        <v>59</v>
      </c>
      <c r="B21" s="260"/>
      <c r="C21" s="257"/>
      <c r="D21" s="263"/>
      <c r="E21" s="479">
        <f>E19*0.96</f>
        <v>0</v>
      </c>
      <c r="F21" s="264"/>
      <c r="G21" s="159"/>
      <c r="H21" s="240" t="s">
        <v>143</v>
      </c>
      <c r="I21" s="632"/>
      <c r="J21" s="632"/>
      <c r="K21" s="632"/>
      <c r="L21" s="632"/>
      <c r="M21" s="632"/>
      <c r="N21" s="632"/>
    </row>
    <row r="22" spans="1:15" s="159" customFormat="1" ht="14.25">
      <c r="A22" s="259" t="s">
        <v>71</v>
      </c>
      <c r="B22" s="260"/>
      <c r="C22" s="265" t="s">
        <v>44</v>
      </c>
      <c r="D22" s="234"/>
      <c r="E22" s="255" t="e">
        <f>E21*'5-Premies en opslagen'!$C24</f>
        <v>#DIV/0!</v>
      </c>
      <c r="F22" s="249"/>
      <c r="G22" s="3"/>
      <c r="H22" s="240" t="s">
        <v>144</v>
      </c>
      <c r="I22" s="632"/>
      <c r="J22" s="632"/>
      <c r="K22" s="632"/>
      <c r="L22" s="632"/>
      <c r="M22" s="632"/>
      <c r="N22" s="632"/>
      <c r="O22" s="3"/>
    </row>
    <row r="23" spans="1:15" ht="14.25" customHeight="1">
      <c r="A23" s="374" t="s">
        <v>68</v>
      </c>
      <c r="B23" s="261"/>
      <c r="C23" s="254"/>
      <c r="D23" s="234"/>
      <c r="E23" s="378" t="e">
        <f>E22+E19</f>
        <v>#DIV/0!</v>
      </c>
      <c r="F23" s="675" t="e">
        <f>IF(E23=0,0,E23/E$47)</f>
        <v>#DIV/0!</v>
      </c>
      <c r="H23" s="240" t="s">
        <v>145</v>
      </c>
      <c r="I23" s="632"/>
      <c r="J23" s="632"/>
      <c r="K23" s="632"/>
      <c r="L23" s="632"/>
      <c r="M23" s="632"/>
      <c r="N23" s="632"/>
      <c r="O23" s="159"/>
    </row>
    <row r="24" spans="1:15" ht="12.75" customHeight="1">
      <c r="A24" s="252"/>
      <c r="B24" s="261"/>
      <c r="C24" s="254"/>
      <c r="D24" s="234"/>
      <c r="E24" s="243"/>
      <c r="F24" s="249"/>
      <c r="H24" s="240" t="s">
        <v>146</v>
      </c>
      <c r="I24" s="632"/>
      <c r="J24" s="632"/>
      <c r="K24" s="632"/>
      <c r="L24" s="632"/>
      <c r="M24" s="632"/>
      <c r="N24" s="632"/>
    </row>
    <row r="25" spans="1:15" ht="12.75" customHeight="1">
      <c r="A25" s="259" t="s">
        <v>34</v>
      </c>
      <c r="B25" s="260"/>
      <c r="C25" s="265" t="s">
        <v>44</v>
      </c>
      <c r="D25" s="234"/>
      <c r="E25" s="255" t="e">
        <f>E23*'5-Premies en opslagen'!$B53</f>
        <v>#DIV/0!</v>
      </c>
      <c r="F25" s="249"/>
      <c r="H25" s="270" t="s">
        <v>149</v>
      </c>
      <c r="I25" s="439">
        <f t="shared" ref="I25:N25" si="0">SUM(I20:I24)</f>
        <v>0</v>
      </c>
      <c r="J25" s="439">
        <f t="shared" si="0"/>
        <v>0</v>
      </c>
      <c r="K25" s="439">
        <f t="shared" si="0"/>
        <v>0</v>
      </c>
      <c r="L25" s="439">
        <f t="shared" si="0"/>
        <v>0</v>
      </c>
      <c r="M25" s="439">
        <f t="shared" si="0"/>
        <v>0</v>
      </c>
      <c r="N25" s="439">
        <f t="shared" si="0"/>
        <v>0</v>
      </c>
      <c r="O25" s="57">
        <f>SUM(I25:N25)</f>
        <v>0</v>
      </c>
    </row>
    <row r="26" spans="1:15" ht="14.25">
      <c r="A26" s="374" t="s">
        <v>78</v>
      </c>
      <c r="B26" s="261"/>
      <c r="C26" s="254"/>
      <c r="D26" s="234"/>
      <c r="E26" s="378" t="e">
        <f>SUM(E23:E25)</f>
        <v>#DIV/0!</v>
      </c>
      <c r="F26" s="675" t="e">
        <f>IF(E26=0,0,E26/E$47)</f>
        <v>#DIV/0!</v>
      </c>
    </row>
    <row r="27" spans="1:15" ht="14.25">
      <c r="A27" s="252"/>
      <c r="B27" s="261"/>
      <c r="C27" s="254"/>
      <c r="D27" s="234"/>
      <c r="E27" s="243"/>
      <c r="F27" s="249"/>
      <c r="H27" s="448" t="s">
        <v>147</v>
      </c>
      <c r="I27" s="710" t="s">
        <v>151</v>
      </c>
      <c r="J27" s="710"/>
      <c r="K27" s="710"/>
      <c r="L27" s="710"/>
      <c r="M27" s="710"/>
      <c r="N27" s="710"/>
    </row>
    <row r="28" spans="1:15" ht="14.25">
      <c r="A28" s="252" t="s">
        <v>60</v>
      </c>
      <c r="B28" s="266"/>
      <c r="C28" s="251" t="s">
        <v>67</v>
      </c>
      <c r="D28" s="234"/>
      <c r="E28" s="413"/>
      <c r="F28" s="480">
        <v>0</v>
      </c>
      <c r="H28" s="449"/>
      <c r="I28" s="450">
        <v>1</v>
      </c>
      <c r="J28" s="450">
        <v>2</v>
      </c>
      <c r="K28" s="450">
        <v>3</v>
      </c>
      <c r="L28" s="450">
        <v>4</v>
      </c>
      <c r="M28" s="450">
        <v>5</v>
      </c>
      <c r="N28" s="450">
        <v>6</v>
      </c>
    </row>
    <row r="29" spans="1:15" ht="14.25">
      <c r="A29" s="252" t="s">
        <v>65</v>
      </c>
      <c r="B29" s="267"/>
      <c r="C29" s="251" t="s">
        <v>67</v>
      </c>
      <c r="D29" s="234"/>
      <c r="E29" s="413"/>
      <c r="F29" s="480">
        <v>0</v>
      </c>
      <c r="H29" s="240" t="s">
        <v>142</v>
      </c>
      <c r="I29" s="451">
        <f t="shared" ref="I29:N29" si="1">I20*I12</f>
        <v>0</v>
      </c>
      <c r="J29" s="451">
        <f t="shared" si="1"/>
        <v>0</v>
      </c>
      <c r="K29" s="451">
        <f t="shared" si="1"/>
        <v>0</v>
      </c>
      <c r="L29" s="451">
        <f t="shared" si="1"/>
        <v>0</v>
      </c>
      <c r="M29" s="451">
        <f t="shared" si="1"/>
        <v>0</v>
      </c>
      <c r="N29" s="452">
        <f t="shared" si="1"/>
        <v>0</v>
      </c>
    </row>
    <row r="30" spans="1:15" ht="14.25">
      <c r="A30" s="252" t="s">
        <v>66</v>
      </c>
      <c r="B30" s="261"/>
      <c r="C30" s="254" t="s">
        <v>62</v>
      </c>
      <c r="D30" s="234"/>
      <c r="E30" s="268"/>
      <c r="F30" s="249"/>
      <c r="H30" s="240" t="s">
        <v>143</v>
      </c>
      <c r="I30" s="451">
        <f t="shared" ref="I30:N30" si="2">I21*I13</f>
        <v>0</v>
      </c>
      <c r="J30" s="451">
        <f t="shared" si="2"/>
        <v>0</v>
      </c>
      <c r="K30" s="451">
        <f t="shared" si="2"/>
        <v>0</v>
      </c>
      <c r="L30" s="451">
        <f t="shared" si="2"/>
        <v>0</v>
      </c>
      <c r="M30" s="451">
        <f t="shared" si="2"/>
        <v>0</v>
      </c>
      <c r="N30" s="452">
        <f t="shared" si="2"/>
        <v>0</v>
      </c>
    </row>
    <row r="31" spans="1:15" ht="12.75" customHeight="1">
      <c r="A31" s="415"/>
      <c r="B31" s="465"/>
      <c r="C31" s="466" t="s">
        <v>62</v>
      </c>
      <c r="D31" s="234"/>
      <c r="E31" s="413"/>
      <c r="F31" s="249"/>
      <c r="H31" s="240" t="s">
        <v>144</v>
      </c>
      <c r="I31" s="451">
        <f t="shared" ref="I31:N31" si="3">I22*I14</f>
        <v>0</v>
      </c>
      <c r="J31" s="451">
        <f t="shared" si="3"/>
        <v>0</v>
      </c>
      <c r="K31" s="451">
        <f t="shared" si="3"/>
        <v>0</v>
      </c>
      <c r="L31" s="451">
        <f t="shared" si="3"/>
        <v>0</v>
      </c>
      <c r="M31" s="451">
        <f t="shared" si="3"/>
        <v>0</v>
      </c>
      <c r="N31" s="452">
        <f t="shared" si="3"/>
        <v>0</v>
      </c>
    </row>
    <row r="32" spans="1:15" ht="12.75" customHeight="1">
      <c r="A32" s="374" t="s">
        <v>54</v>
      </c>
      <c r="B32" s="261"/>
      <c r="C32" s="254"/>
      <c r="D32" s="234"/>
      <c r="E32" s="378" t="e">
        <f>SUM(E26:E31)</f>
        <v>#DIV/0!</v>
      </c>
      <c r="F32" s="675" t="e">
        <f>IF(E32=0,0,E32/E$47)</f>
        <v>#DIV/0!</v>
      </c>
      <c r="H32" s="240" t="s">
        <v>145</v>
      </c>
      <c r="I32" s="451">
        <f t="shared" ref="I32:N32" si="4">I23*I15</f>
        <v>0</v>
      </c>
      <c r="J32" s="451">
        <f t="shared" si="4"/>
        <v>0</v>
      </c>
      <c r="K32" s="451">
        <f t="shared" si="4"/>
        <v>0</v>
      </c>
      <c r="L32" s="451">
        <f t="shared" si="4"/>
        <v>0</v>
      </c>
      <c r="M32" s="451">
        <f t="shared" si="4"/>
        <v>0</v>
      </c>
      <c r="N32" s="452">
        <f t="shared" si="4"/>
        <v>0</v>
      </c>
    </row>
    <row r="33" spans="1:14" ht="12.75" customHeight="1">
      <c r="A33" s="252"/>
      <c r="B33" s="261"/>
      <c r="C33" s="254"/>
      <c r="D33" s="234"/>
      <c r="E33" s="243"/>
      <c r="F33" s="249"/>
      <c r="H33" s="449" t="s">
        <v>146</v>
      </c>
      <c r="I33" s="451">
        <f t="shared" ref="I33:N33" si="5">I24*I16</f>
        <v>0</v>
      </c>
      <c r="J33" s="451">
        <f t="shared" si="5"/>
        <v>0</v>
      </c>
      <c r="K33" s="451">
        <f t="shared" si="5"/>
        <v>0</v>
      </c>
      <c r="L33" s="451">
        <f t="shared" si="5"/>
        <v>0</v>
      </c>
      <c r="M33" s="451">
        <f t="shared" si="5"/>
        <v>0</v>
      </c>
      <c r="N33" s="452">
        <f t="shared" si="5"/>
        <v>0</v>
      </c>
    </row>
    <row r="34" spans="1:14" ht="12.75" customHeight="1">
      <c r="A34" s="252" t="s">
        <v>80</v>
      </c>
      <c r="B34" s="261"/>
      <c r="C34" s="269"/>
      <c r="D34" s="234"/>
      <c r="E34" s="413"/>
      <c r="F34" s="480" t="e">
        <f>E34/$E$47</f>
        <v>#DIV/0!</v>
      </c>
      <c r="H34" s="453" t="s">
        <v>149</v>
      </c>
      <c r="I34" s="454">
        <f t="shared" ref="I34:N34" si="6">SUM(I29:I33)</f>
        <v>0</v>
      </c>
      <c r="J34" s="454">
        <f t="shared" si="6"/>
        <v>0</v>
      </c>
      <c r="K34" s="454">
        <f t="shared" si="6"/>
        <v>0</v>
      </c>
      <c r="L34" s="454">
        <f t="shared" si="6"/>
        <v>0</v>
      </c>
      <c r="M34" s="454">
        <f t="shared" si="6"/>
        <v>0</v>
      </c>
      <c r="N34" s="454">
        <f t="shared" si="6"/>
        <v>0</v>
      </c>
    </row>
    <row r="35" spans="1:14" ht="12.75" customHeight="1">
      <c r="A35" s="252" t="s">
        <v>33</v>
      </c>
      <c r="B35" s="261"/>
      <c r="C35" s="269"/>
      <c r="D35" s="234"/>
      <c r="E35" s="413"/>
      <c r="F35" s="480" t="e">
        <f t="shared" ref="F35:F41" si="7">E35/$E$47</f>
        <v>#DIV/0!</v>
      </c>
      <c r="H35" s="159"/>
      <c r="I35" s="159"/>
      <c r="J35" s="159"/>
      <c r="K35" s="159"/>
      <c r="L35" s="159"/>
      <c r="M35" s="159"/>
      <c r="N35" s="159"/>
    </row>
    <row r="36" spans="1:14" ht="14.25" customHeight="1">
      <c r="A36" s="252" t="s">
        <v>23</v>
      </c>
      <c r="B36" s="261"/>
      <c r="C36" s="269"/>
      <c r="D36" s="234"/>
      <c r="E36" s="413"/>
      <c r="F36" s="480" t="e">
        <f t="shared" si="7"/>
        <v>#DIV/0!</v>
      </c>
      <c r="H36" s="159"/>
      <c r="I36" s="159"/>
      <c r="J36" s="159"/>
      <c r="K36" s="159"/>
      <c r="L36" s="159"/>
      <c r="M36" s="159"/>
      <c r="N36" s="159"/>
    </row>
    <row r="37" spans="1:14" ht="14.25">
      <c r="A37" s="252" t="s">
        <v>2</v>
      </c>
      <c r="B37" s="261"/>
      <c r="C37" s="271"/>
      <c r="D37" s="234"/>
      <c r="E37" s="413"/>
      <c r="F37" s="480" t="e">
        <f t="shared" si="7"/>
        <v>#DIV/0!</v>
      </c>
      <c r="H37" s="159"/>
      <c r="I37" s="159"/>
      <c r="J37" s="159"/>
      <c r="K37" s="159"/>
      <c r="L37" s="159"/>
      <c r="M37" s="159"/>
      <c r="N37" s="159"/>
    </row>
    <row r="38" spans="1:14" ht="14.25">
      <c r="A38" s="252" t="s">
        <v>31</v>
      </c>
      <c r="B38" s="261"/>
      <c r="C38" s="269"/>
      <c r="D38" s="234"/>
      <c r="E38" s="413"/>
      <c r="F38" s="480" t="e">
        <f t="shared" si="7"/>
        <v>#DIV/0!</v>
      </c>
      <c r="H38" s="159"/>
      <c r="I38" s="159"/>
      <c r="J38" s="159"/>
      <c r="K38" s="159"/>
      <c r="L38" s="159"/>
      <c r="M38" s="159"/>
      <c r="N38" s="159"/>
    </row>
    <row r="39" spans="1:14" ht="14.25">
      <c r="A39" s="252" t="s">
        <v>28</v>
      </c>
      <c r="B39" s="261"/>
      <c r="C39" s="271"/>
      <c r="D39" s="234"/>
      <c r="E39" s="413"/>
      <c r="F39" s="480" t="e">
        <f t="shared" si="7"/>
        <v>#DIV/0!</v>
      </c>
      <c r="H39" s="159"/>
      <c r="I39" s="159"/>
      <c r="J39" s="159"/>
      <c r="K39" s="159"/>
      <c r="L39" s="159"/>
      <c r="M39" s="159"/>
      <c r="N39" s="159"/>
    </row>
    <row r="40" spans="1:14" ht="14.25">
      <c r="A40" s="252" t="s">
        <v>72</v>
      </c>
      <c r="B40" s="261"/>
      <c r="C40" s="251" t="s">
        <v>67</v>
      </c>
      <c r="D40" s="234"/>
      <c r="E40" s="413"/>
      <c r="F40" s="480" t="e">
        <f t="shared" si="7"/>
        <v>#DIV/0!</v>
      </c>
      <c r="H40" s="159"/>
      <c r="I40" s="159"/>
      <c r="J40" s="159"/>
      <c r="K40" s="159"/>
      <c r="L40" s="159"/>
      <c r="M40" s="159"/>
      <c r="N40" s="159"/>
    </row>
    <row r="41" spans="1:14" ht="14.25">
      <c r="A41" s="252" t="s">
        <v>89</v>
      </c>
      <c r="B41" s="261"/>
      <c r="C41" s="251"/>
      <c r="D41" s="234"/>
      <c r="E41" s="413"/>
      <c r="F41" s="480" t="e">
        <f t="shared" si="7"/>
        <v>#DIV/0!</v>
      </c>
      <c r="H41" s="159"/>
      <c r="I41" s="159"/>
      <c r="J41" s="159"/>
      <c r="K41" s="159"/>
      <c r="L41" s="159"/>
      <c r="M41" s="159"/>
      <c r="N41" s="159"/>
    </row>
    <row r="42" spans="1:14" ht="14.25">
      <c r="A42" s="415"/>
      <c r="B42" s="465"/>
      <c r="C42" s="467"/>
      <c r="D42" s="234"/>
      <c r="E42" s="413"/>
      <c r="F42" s="249"/>
      <c r="H42" s="159"/>
      <c r="I42" s="159"/>
      <c r="J42" s="159"/>
      <c r="K42" s="159"/>
      <c r="L42" s="159"/>
      <c r="M42" s="159"/>
      <c r="N42" s="159"/>
    </row>
    <row r="43" spans="1:14" ht="14.25">
      <c r="A43" s="374" t="s">
        <v>73</v>
      </c>
      <c r="B43" s="261"/>
      <c r="C43" s="254"/>
      <c r="D43" s="234"/>
      <c r="E43" s="378" t="e">
        <f>SUM(E32:E42)</f>
        <v>#DIV/0!</v>
      </c>
      <c r="F43" s="675" t="e">
        <f>IF(E43=0,0,E43/E$47)</f>
        <v>#DIV/0!</v>
      </c>
      <c r="H43" s="159"/>
      <c r="I43" s="159"/>
      <c r="J43" s="159"/>
      <c r="K43" s="159"/>
      <c r="L43" s="159"/>
      <c r="M43" s="159"/>
      <c r="N43" s="159"/>
    </row>
    <row r="44" spans="1:14" ht="14.25">
      <c r="A44" s="252"/>
      <c r="B44" s="261"/>
      <c r="C44" s="254"/>
      <c r="D44" s="234"/>
      <c r="E44" s="243"/>
      <c r="F44" s="272"/>
      <c r="H44" s="159"/>
      <c r="I44" s="159"/>
      <c r="J44" s="159"/>
      <c r="K44" s="159"/>
      <c r="L44" s="159"/>
      <c r="M44" s="159"/>
      <c r="N44" s="159"/>
    </row>
    <row r="45" spans="1:14" ht="14.25">
      <c r="A45" s="252" t="s">
        <v>74</v>
      </c>
      <c r="B45" s="261"/>
      <c r="C45" s="271"/>
      <c r="D45" s="234"/>
      <c r="E45" s="413"/>
      <c r="F45" s="676">
        <f>(IF(E45=0,0,E45/E$47))</f>
        <v>0</v>
      </c>
      <c r="H45" s="159"/>
      <c r="I45" s="159"/>
      <c r="J45" s="159"/>
      <c r="K45" s="159"/>
      <c r="L45" s="159"/>
      <c r="M45" s="159"/>
      <c r="N45" s="159"/>
    </row>
    <row r="46" spans="1:14" ht="14.25">
      <c r="A46" s="252"/>
      <c r="B46" s="253"/>
      <c r="C46" s="254"/>
      <c r="D46" s="234"/>
      <c r="E46" s="243"/>
      <c r="F46" s="249"/>
      <c r="H46" s="159"/>
      <c r="I46" s="159"/>
      <c r="J46" s="159"/>
      <c r="K46" s="159"/>
      <c r="L46" s="159"/>
      <c r="M46" s="159"/>
      <c r="N46" s="159"/>
    </row>
    <row r="47" spans="1:14" ht="14.25">
      <c r="A47" s="374" t="s">
        <v>45</v>
      </c>
      <c r="B47" s="298"/>
      <c r="C47" s="273"/>
      <c r="D47" s="234"/>
      <c r="E47" s="662" t="e">
        <f>SUM(E43:E46)</f>
        <v>#DIV/0!</v>
      </c>
      <c r="F47" s="380" t="e">
        <f>SUM(F43:F46)</f>
        <v>#DIV/0!</v>
      </c>
      <c r="H47" s="159"/>
      <c r="I47" s="159"/>
      <c r="J47" s="159"/>
      <c r="K47" s="159"/>
      <c r="L47" s="159"/>
      <c r="M47" s="159"/>
      <c r="N47" s="159"/>
    </row>
    <row r="48" spans="1:14" ht="14.25">
      <c r="B48" s="274"/>
      <c r="C48" s="275"/>
      <c r="D48" s="234"/>
      <c r="F48" s="276"/>
      <c r="H48" s="159"/>
      <c r="I48" s="159"/>
      <c r="J48" s="159"/>
      <c r="K48" s="159"/>
      <c r="L48" s="159"/>
      <c r="M48" s="159"/>
      <c r="N48" s="159"/>
    </row>
    <row r="49" spans="1:15" ht="14.25">
      <c r="A49" s="277" t="s">
        <v>223</v>
      </c>
      <c r="B49" s="278"/>
      <c r="C49" s="279"/>
      <c r="D49" s="159"/>
      <c r="E49" s="280" t="e">
        <f>(E$26*1.3)+($E$47-$E$26)</f>
        <v>#DIV/0!</v>
      </c>
      <c r="F49" s="281"/>
      <c r="G49" s="159"/>
      <c r="H49" s="159"/>
      <c r="I49" s="159"/>
      <c r="J49" s="159"/>
      <c r="K49" s="159"/>
      <c r="L49" s="159"/>
      <c r="M49" s="159"/>
      <c r="N49" s="159"/>
    </row>
    <row r="50" spans="1:15" s="159" customFormat="1" ht="14.25">
      <c r="B50" s="282"/>
      <c r="C50" s="283"/>
    </row>
    <row r="51" spans="1:15" s="159" customFormat="1" ht="14.25">
      <c r="A51" s="277" t="s">
        <v>50</v>
      </c>
      <c r="B51" s="278"/>
      <c r="C51" s="279"/>
      <c r="E51" s="280" t="e">
        <f>(E$26*1.5)+($E$47-$E$26)</f>
        <v>#DIV/0!</v>
      </c>
      <c r="F51" s="281"/>
    </row>
    <row r="52" spans="1:15" s="159" customFormat="1" ht="14.25">
      <c r="B52" s="282"/>
      <c r="C52" s="283"/>
    </row>
    <row r="53" spans="1:15" s="159" customFormat="1" ht="14.25">
      <c r="A53" s="277" t="s">
        <v>85</v>
      </c>
      <c r="B53" s="278"/>
      <c r="C53" s="279"/>
      <c r="E53" s="280" t="e">
        <f>(E$26*2.5)+($E$47-$E$26)</f>
        <v>#DIV/0!</v>
      </c>
    </row>
    <row r="54" spans="1:15" s="159" customFormat="1" ht="14.25">
      <c r="B54" s="282"/>
      <c r="C54" s="284"/>
      <c r="F54" s="285"/>
    </row>
    <row r="55" spans="1:15" s="159" customFormat="1">
      <c r="C55" s="286"/>
      <c r="F55" s="285"/>
    </row>
    <row r="56" spans="1:15" s="159" customFormat="1">
      <c r="C56" s="286"/>
      <c r="F56" s="285"/>
    </row>
    <row r="57" spans="1:15" s="159" customFormat="1">
      <c r="A57" s="3"/>
      <c r="C57" s="286"/>
      <c r="F57" s="285"/>
    </row>
    <row r="58" spans="1:15" s="159" customFormat="1">
      <c r="C58" s="286"/>
      <c r="F58" s="285"/>
    </row>
    <row r="59" spans="1:15" s="159" customFormat="1">
      <c r="C59" s="286"/>
      <c r="F59" s="285"/>
    </row>
    <row r="60" spans="1:15" s="159" customFormat="1">
      <c r="C60" s="286"/>
      <c r="F60" s="285"/>
    </row>
    <row r="61" spans="1:15" s="159" customFormat="1">
      <c r="C61" s="286"/>
      <c r="F61" s="285"/>
      <c r="H61" s="3"/>
      <c r="I61" s="3"/>
      <c r="J61" s="3"/>
      <c r="K61" s="3"/>
      <c r="L61" s="3"/>
      <c r="M61" s="3"/>
      <c r="N61" s="3"/>
    </row>
    <row r="62" spans="1:15" s="159" customFormat="1">
      <c r="C62" s="286"/>
      <c r="F62" s="285"/>
      <c r="H62" s="3"/>
      <c r="I62" s="3"/>
      <c r="J62" s="3"/>
      <c r="K62" s="3"/>
      <c r="L62" s="3"/>
      <c r="M62" s="3"/>
      <c r="N62" s="3"/>
    </row>
    <row r="63" spans="1:15" s="159" customFormat="1">
      <c r="C63" s="286"/>
      <c r="F63" s="285"/>
      <c r="H63" s="3"/>
      <c r="I63" s="3"/>
      <c r="J63" s="3"/>
      <c r="K63" s="3"/>
      <c r="L63" s="3"/>
      <c r="M63" s="3"/>
      <c r="N63" s="3"/>
      <c r="O63" s="3"/>
    </row>
    <row r="64" spans="1:15" s="159" customFormat="1">
      <c r="C64" s="286"/>
      <c r="F64" s="285"/>
      <c r="H64" s="3"/>
      <c r="I64" s="3"/>
      <c r="J64" s="3"/>
      <c r="K64" s="3"/>
      <c r="L64" s="3"/>
      <c r="M64" s="3"/>
      <c r="N64" s="3"/>
    </row>
    <row r="65" spans="1:15" s="159" customFormat="1">
      <c r="A65" s="3"/>
      <c r="B65" s="3"/>
      <c r="C65" s="3"/>
      <c r="D65" s="3"/>
      <c r="E65" s="3"/>
      <c r="F65" s="3"/>
      <c r="G65" s="3"/>
      <c r="H65" s="3"/>
      <c r="I65" s="3"/>
      <c r="J65" s="3"/>
      <c r="K65" s="3"/>
      <c r="L65" s="3"/>
      <c r="M65" s="3"/>
      <c r="N65" s="3"/>
    </row>
    <row r="66" spans="1:15">
      <c r="O66" s="159"/>
    </row>
    <row r="67" spans="1:15">
      <c r="O67" s="159"/>
    </row>
    <row r="68" spans="1:15">
      <c r="O68" s="159"/>
    </row>
    <row r="69" spans="1:15">
      <c r="O69" s="159"/>
    </row>
    <row r="70" spans="1:15">
      <c r="O70" s="159"/>
    </row>
    <row r="71" spans="1:15">
      <c r="O71" s="159"/>
    </row>
    <row r="72" spans="1:15">
      <c r="O72" s="159"/>
    </row>
    <row r="73" spans="1:15">
      <c r="O73" s="159"/>
    </row>
    <row r="74" spans="1:15">
      <c r="O74" s="159"/>
    </row>
    <row r="75" spans="1:15">
      <c r="O75" s="159"/>
    </row>
    <row r="76" spans="1:15">
      <c r="O76" s="159"/>
    </row>
    <row r="77" spans="1:15">
      <c r="O77" s="159"/>
    </row>
    <row r="78" spans="1:15">
      <c r="O78" s="159"/>
    </row>
    <row r="79" spans="1:15">
      <c r="O79" s="159"/>
    </row>
  </sheetData>
  <mergeCells count="7">
    <mergeCell ref="E10:F10"/>
    <mergeCell ref="I10:N10"/>
    <mergeCell ref="I27:N27"/>
    <mergeCell ref="H1:N2"/>
    <mergeCell ref="H3:N3"/>
    <mergeCell ref="H4:N5"/>
    <mergeCell ref="I18:N18"/>
  </mergeCells>
  <conditionalFormatting sqref="O25">
    <cfRule type="cellIs" dxfId="26" priority="1" operator="greaterThan">
      <formula>1</formula>
    </cfRule>
    <cfRule type="cellIs" dxfId="25" priority="2" operator="between">
      <formula>0.999999</formula>
      <formula>0</formula>
    </cfRule>
    <cfRule type="cellIs" dxfId="24" priority="3" operator="equal">
      <formula>1</formula>
    </cfRule>
  </conditionalFormatting>
  <pageMargins left="0.7" right="0.7" top="0.75" bottom="0.75" header="0.3" footer="0.3"/>
  <pageSetup paperSize="9" scale="61" fitToHeight="0" orientation="landscape" r:id="rId1"/>
  <headerFooter>
    <oddFooter>&amp;L&amp;F-&amp;A
Atir b.v. ©&amp;Rprintversie &amp;D</oddFooter>
  </headerFooter>
  <colBreaks count="1" manualBreakCount="1">
    <brk id="7" max="61"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59"/>
  <sheetViews>
    <sheetView showGridLines="0" showZeros="0" zoomScale="85" zoomScaleNormal="85" zoomScaleSheetLayoutView="75"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43.85546875" style="3" customWidth="1"/>
    <col min="2" max="2" width="20.28515625" style="3" customWidth="1"/>
    <col min="3" max="7" width="22.5703125" style="3" customWidth="1"/>
    <col min="8" max="8" width="29.140625" style="3" customWidth="1"/>
    <col min="9" max="14" width="22.5703125" style="3" customWidth="1"/>
    <col min="15" max="16384" width="11.42578125" style="3"/>
  </cols>
  <sheetData>
    <row r="1" spans="1:6">
      <c r="A1" s="416" t="s">
        <v>25</v>
      </c>
      <c r="B1" s="308"/>
      <c r="C1" s="308"/>
      <c r="D1" s="507"/>
    </row>
    <row r="3" spans="1:6">
      <c r="A3" s="508" t="str">
        <f>'1-Contractblad totaal'!A3</f>
        <v>Naam opdrachtgever</v>
      </c>
      <c r="B3" s="487" t="str">
        <f>'1-Contractblad totaal'!B3</f>
        <v>GVB Veren</v>
      </c>
      <c r="C3" s="509"/>
      <c r="D3" s="509"/>
    </row>
    <row r="4" spans="1:6">
      <c r="A4" s="508" t="str">
        <f>'1-Contractblad totaal'!A4</f>
        <v>Calculatie onderdeel</v>
      </c>
      <c r="B4" s="487" t="str">
        <f ca="1">MID(CELL("bestandsnaam",$C$9),SEARCH("]",CELL("bestandsnaam",$C$9),1)+1,256)</f>
        <v>8-Afroepprijs</v>
      </c>
      <c r="C4" s="510"/>
      <c r="D4" s="511"/>
    </row>
    <row r="5" spans="1:6">
      <c r="A5" s="508" t="str">
        <f>'1-Contractblad totaal'!A5</f>
        <v>Gebouw/plaats</v>
      </c>
      <c r="B5" s="487" t="str">
        <f>'1-Contractblad totaal'!B5</f>
        <v>Amsterdam</v>
      </c>
      <c r="C5" s="510"/>
      <c r="D5" s="511"/>
    </row>
    <row r="6" spans="1:6">
      <c r="A6" s="508" t="str">
        <f>'1-Contractblad totaal'!A6</f>
        <v>Referentie nummer</v>
      </c>
      <c r="B6" s="487" t="str">
        <f>'1-Contractblad totaal'!B6</f>
        <v>2021-42a</v>
      </c>
      <c r="C6" s="510"/>
      <c r="D6" s="511"/>
    </row>
    <row r="7" spans="1:6">
      <c r="A7" s="508" t="str">
        <f>'1-Contractblad totaal'!A8</f>
        <v>Naam dienstverlener</v>
      </c>
      <c r="B7" s="487">
        <f>'1-Contractblad totaal'!B8</f>
        <v>0</v>
      </c>
      <c r="C7" s="510"/>
      <c r="D7" s="511"/>
    </row>
    <row r="8" spans="1:6">
      <c r="A8" s="508" t="str">
        <f>'1-Contractblad totaal'!A9</f>
        <v>Prijspeil</v>
      </c>
      <c r="B8" s="488">
        <f>'1-Contractblad totaal'!B9</f>
        <v>45017</v>
      </c>
      <c r="C8" s="510"/>
      <c r="D8" s="511"/>
    </row>
    <row r="9" spans="1:6">
      <c r="A9" s="512"/>
      <c r="B9" s="513"/>
      <c r="C9" s="510"/>
      <c r="D9" s="511"/>
    </row>
    <row r="10" spans="1:6">
      <c r="A10" s="305"/>
      <c r="B10" s="306"/>
      <c r="C10" s="306"/>
      <c r="D10" s="306"/>
    </row>
    <row r="11" spans="1:6">
      <c r="A11" s="514" t="s">
        <v>173</v>
      </c>
      <c r="B11" s="323"/>
      <c r="C11" s="323"/>
      <c r="D11" s="323"/>
      <c r="E11" s="323"/>
      <c r="F11" s="324"/>
    </row>
    <row r="13" spans="1:6">
      <c r="A13" s="312"/>
      <c r="B13" s="313"/>
      <c r="C13" s="717" t="s">
        <v>126</v>
      </c>
      <c r="D13" s="718"/>
      <c r="E13" s="718"/>
      <c r="F13" s="719"/>
    </row>
    <row r="14" spans="1:6">
      <c r="A14" s="314" t="s">
        <v>55</v>
      </c>
      <c r="B14" s="314" t="s">
        <v>12</v>
      </c>
      <c r="C14" s="315" t="s">
        <v>122</v>
      </c>
      <c r="D14" s="302" t="s">
        <v>123</v>
      </c>
      <c r="E14" s="302" t="s">
        <v>124</v>
      </c>
      <c r="F14" s="302" t="s">
        <v>125</v>
      </c>
    </row>
    <row r="15" spans="1:6">
      <c r="A15" s="307" t="s">
        <v>82</v>
      </c>
      <c r="B15" s="307" t="s">
        <v>36</v>
      </c>
      <c r="C15" s="515">
        <v>0</v>
      </c>
      <c r="D15" s="515">
        <v>0</v>
      </c>
      <c r="E15" s="515">
        <v>0</v>
      </c>
      <c r="F15" s="515">
        <v>0</v>
      </c>
    </row>
    <row r="16" spans="1:6">
      <c r="A16" s="307" t="s">
        <v>83</v>
      </c>
      <c r="B16" s="307" t="s">
        <v>37</v>
      </c>
      <c r="C16" s="515">
        <v>0</v>
      </c>
      <c r="D16" s="515">
        <v>0</v>
      </c>
      <c r="E16" s="515">
        <v>0</v>
      </c>
      <c r="F16" s="515">
        <v>0</v>
      </c>
    </row>
    <row r="17" spans="1:6">
      <c r="A17" s="314" t="s">
        <v>84</v>
      </c>
      <c r="B17" s="423"/>
      <c r="C17" s="515">
        <v>0</v>
      </c>
      <c r="D17" s="515">
        <v>0</v>
      </c>
      <c r="E17" s="515">
        <v>0</v>
      </c>
      <c r="F17" s="515">
        <v>0</v>
      </c>
    </row>
    <row r="18" spans="1:6">
      <c r="A18" s="314" t="s">
        <v>7</v>
      </c>
      <c r="B18" s="423"/>
      <c r="C18" s="515">
        <v>0</v>
      </c>
      <c r="D18" s="515">
        <v>0</v>
      </c>
      <c r="E18" s="515">
        <v>0</v>
      </c>
      <c r="F18" s="515">
        <v>0</v>
      </c>
    </row>
    <row r="19" spans="1:6">
      <c r="A19" s="308"/>
      <c r="B19" s="308"/>
      <c r="C19" s="308"/>
      <c r="D19" s="308"/>
    </row>
    <row r="20" spans="1:6">
      <c r="A20" s="514" t="s">
        <v>174</v>
      </c>
      <c r="B20" s="323"/>
      <c r="C20" s="323"/>
      <c r="D20" s="323"/>
      <c r="E20" s="323"/>
      <c r="F20" s="324"/>
    </row>
    <row r="21" spans="1:6">
      <c r="A21" s="309"/>
      <c r="B21" s="309"/>
      <c r="C21" s="309"/>
      <c r="D21" s="309"/>
    </row>
    <row r="22" spans="1:6" ht="27">
      <c r="A22" s="319" t="s">
        <v>55</v>
      </c>
      <c r="B22" s="484" t="s">
        <v>12</v>
      </c>
      <c r="C22" s="317"/>
      <c r="D22" s="318"/>
      <c r="E22" s="320" t="s">
        <v>120</v>
      </c>
      <c r="F22" s="321" t="s">
        <v>121</v>
      </c>
    </row>
    <row r="23" spans="1:6">
      <c r="A23" s="307" t="s">
        <v>175</v>
      </c>
      <c r="B23" s="423" t="s">
        <v>18</v>
      </c>
      <c r="C23" s="425"/>
      <c r="D23" s="424"/>
      <c r="E23" s="515">
        <v>0</v>
      </c>
      <c r="F23" s="515">
        <v>0</v>
      </c>
    </row>
    <row r="24" spans="1:6">
      <c r="A24" s="307" t="s">
        <v>176</v>
      </c>
      <c r="B24" s="423" t="s">
        <v>18</v>
      </c>
      <c r="C24" s="425"/>
      <c r="D24" s="424"/>
      <c r="E24" s="515">
        <v>0</v>
      </c>
      <c r="F24" s="515">
        <v>0</v>
      </c>
    </row>
    <row r="26" spans="1:6">
      <c r="A26" s="514" t="s">
        <v>502</v>
      </c>
      <c r="B26" s="323"/>
      <c r="C26" s="323"/>
      <c r="D26" s="323"/>
      <c r="E26" s="323"/>
      <c r="F26" s="324"/>
    </row>
    <row r="27" spans="1:6">
      <c r="A27" s="503"/>
      <c r="B27" s="308"/>
      <c r="C27" s="308"/>
      <c r="D27" s="308"/>
    </row>
    <row r="28" spans="1:6">
      <c r="A28" s="319" t="s">
        <v>55</v>
      </c>
      <c r="B28" s="723" t="s">
        <v>12</v>
      </c>
      <c r="C28" s="724"/>
      <c r="D28" s="724"/>
      <c r="E28" s="725"/>
      <c r="F28" s="321" t="s">
        <v>331</v>
      </c>
    </row>
    <row r="29" spans="1:6" s="493" customFormat="1" ht="33" customHeight="1">
      <c r="A29" s="657" t="s">
        <v>332</v>
      </c>
      <c r="B29" s="720" t="s">
        <v>333</v>
      </c>
      <c r="C29" s="721"/>
      <c r="D29" s="721"/>
      <c r="E29" s="722"/>
      <c r="F29" s="656">
        <v>0</v>
      </c>
    </row>
    <row r="30" spans="1:6">
      <c r="A30" s="308"/>
      <c r="B30" s="308"/>
      <c r="C30" s="308"/>
      <c r="D30" s="308"/>
    </row>
    <row r="31" spans="1:6">
      <c r="A31" s="514" t="s">
        <v>177</v>
      </c>
      <c r="B31" s="323"/>
      <c r="C31" s="323"/>
      <c r="D31" s="323"/>
      <c r="E31" s="323"/>
      <c r="F31" s="324"/>
    </row>
    <row r="32" spans="1:6">
      <c r="A32" s="316"/>
      <c r="B32" s="308"/>
      <c r="C32" s="308"/>
      <c r="D32" s="308"/>
    </row>
    <row r="33" spans="1:13">
      <c r="A33" s="314" t="s">
        <v>55</v>
      </c>
      <c r="B33" s="312" t="s">
        <v>12</v>
      </c>
      <c r="C33" s="309"/>
      <c r="D33" s="309"/>
      <c r="E33" s="309"/>
      <c r="F33" s="322" t="s">
        <v>127</v>
      </c>
    </row>
    <row r="34" spans="1:13">
      <c r="A34" s="307" t="s">
        <v>178</v>
      </c>
      <c r="B34" s="310" t="s">
        <v>128</v>
      </c>
      <c r="C34" s="310"/>
      <c r="D34" s="310"/>
      <c r="E34" s="310"/>
      <c r="F34" s="515">
        <v>0</v>
      </c>
    </row>
    <row r="35" spans="1:13">
      <c r="A35" s="307" t="s">
        <v>178</v>
      </c>
      <c r="B35" s="310" t="s">
        <v>130</v>
      </c>
      <c r="C35" s="310"/>
      <c r="D35" s="310"/>
      <c r="E35" s="310"/>
      <c r="F35" s="515">
        <v>0</v>
      </c>
    </row>
    <row r="36" spans="1:13">
      <c r="A36" s="307" t="s">
        <v>178</v>
      </c>
      <c r="B36" s="310" t="s">
        <v>129</v>
      </c>
      <c r="C36" s="310"/>
      <c r="D36" s="310"/>
      <c r="E36" s="310"/>
      <c r="F36" s="515">
        <v>0</v>
      </c>
    </row>
    <row r="37" spans="1:13">
      <c r="A37" s="307" t="s">
        <v>152</v>
      </c>
      <c r="B37" s="310" t="s">
        <v>128</v>
      </c>
      <c r="C37" s="310"/>
      <c r="D37" s="310"/>
      <c r="E37" s="310"/>
      <c r="F37" s="515">
        <v>0</v>
      </c>
    </row>
    <row r="38" spans="1:13">
      <c r="A38" s="308"/>
      <c r="B38" s="308"/>
      <c r="C38" s="308"/>
      <c r="D38" s="308"/>
    </row>
    <row r="39" spans="1:13" s="95" customFormat="1">
      <c r="A39" s="520" t="s">
        <v>355</v>
      </c>
      <c r="B39" s="521"/>
      <c r="C39" s="521"/>
      <c r="D39" s="518"/>
      <c r="E39" s="518"/>
      <c r="F39" s="521"/>
      <c r="G39" s="521"/>
      <c r="H39" s="521"/>
      <c r="I39" s="518"/>
      <c r="J39" s="518"/>
      <c r="K39" s="521"/>
      <c r="L39" s="522"/>
      <c r="M39" s="522"/>
    </row>
    <row r="40" spans="1:13">
      <c r="A40" s="316"/>
      <c r="B40" s="308"/>
      <c r="C40" s="308"/>
      <c r="D40" s="308"/>
    </row>
    <row r="41" spans="1:13" s="95" customFormat="1">
      <c r="A41" s="319" t="s">
        <v>460</v>
      </c>
      <c r="B41" s="612" t="s">
        <v>12</v>
      </c>
      <c r="C41" s="613" t="s">
        <v>345</v>
      </c>
      <c r="D41" s="613" t="s">
        <v>346</v>
      </c>
      <c r="E41" s="614" t="s">
        <v>347</v>
      </c>
      <c r="F41" s="613" t="s">
        <v>348</v>
      </c>
      <c r="G41" s="613" t="s">
        <v>349</v>
      </c>
      <c r="H41" s="613" t="s">
        <v>350</v>
      </c>
      <c r="I41" s="613" t="s">
        <v>351</v>
      </c>
      <c r="J41" s="614" t="s">
        <v>352</v>
      </c>
      <c r="K41" s="613" t="s">
        <v>353</v>
      </c>
      <c r="L41" s="613" t="s">
        <v>354</v>
      </c>
      <c r="M41" s="613" t="s">
        <v>447</v>
      </c>
    </row>
    <row r="42" spans="1:13" s="95" customFormat="1">
      <c r="A42" s="519" t="s">
        <v>462</v>
      </c>
      <c r="B42" s="519" t="s">
        <v>107</v>
      </c>
      <c r="C42" s="611">
        <v>0</v>
      </c>
      <c r="D42" s="611">
        <v>0</v>
      </c>
      <c r="E42" s="611">
        <v>0</v>
      </c>
      <c r="F42" s="611">
        <v>0</v>
      </c>
      <c r="G42" s="611">
        <v>0</v>
      </c>
      <c r="H42" s="611">
        <v>0</v>
      </c>
      <c r="I42" s="611">
        <v>0</v>
      </c>
      <c r="J42" s="611">
        <v>0</v>
      </c>
      <c r="K42" s="611">
        <v>0</v>
      </c>
      <c r="L42" s="611">
        <v>0</v>
      </c>
      <c r="M42" s="611">
        <v>0</v>
      </c>
    </row>
    <row r="43" spans="1:13" s="95" customFormat="1">
      <c r="A43" s="519" t="s">
        <v>467</v>
      </c>
      <c r="B43" s="519" t="s">
        <v>107</v>
      </c>
      <c r="C43" s="611">
        <v>0</v>
      </c>
      <c r="D43" s="611">
        <v>0</v>
      </c>
      <c r="E43" s="611">
        <v>0</v>
      </c>
      <c r="F43" s="611">
        <v>0</v>
      </c>
      <c r="G43" s="611">
        <v>0</v>
      </c>
      <c r="H43" s="611">
        <v>0</v>
      </c>
      <c r="I43" s="611">
        <v>0</v>
      </c>
      <c r="J43" s="611">
        <v>0</v>
      </c>
      <c r="K43" s="611">
        <v>0</v>
      </c>
      <c r="L43" s="611">
        <v>0</v>
      </c>
      <c r="M43" s="611">
        <v>0</v>
      </c>
    </row>
    <row r="44" spans="1:13" s="95" customFormat="1">
      <c r="A44" s="519" t="s">
        <v>464</v>
      </c>
      <c r="B44" s="519" t="s">
        <v>107</v>
      </c>
      <c r="C44" s="611">
        <v>0</v>
      </c>
      <c r="D44" s="611">
        <v>0</v>
      </c>
      <c r="E44" s="611">
        <v>0</v>
      </c>
      <c r="F44" s="611">
        <v>0</v>
      </c>
      <c r="G44" s="611">
        <v>0</v>
      </c>
      <c r="H44" s="611">
        <v>0</v>
      </c>
      <c r="I44" s="611">
        <v>0</v>
      </c>
      <c r="J44" s="611">
        <v>0</v>
      </c>
      <c r="K44" s="611">
        <v>0</v>
      </c>
      <c r="L44" s="611">
        <v>0</v>
      </c>
      <c r="M44" s="611">
        <v>0</v>
      </c>
    </row>
    <row r="45" spans="1:13" s="95" customFormat="1">
      <c r="A45" s="519" t="s">
        <v>463</v>
      </c>
      <c r="B45" s="519" t="s">
        <v>107</v>
      </c>
      <c r="C45" s="611">
        <v>0</v>
      </c>
      <c r="D45" s="611">
        <v>0</v>
      </c>
      <c r="E45" s="611">
        <v>0</v>
      </c>
      <c r="F45" s="611">
        <v>0</v>
      </c>
      <c r="G45" s="611">
        <v>0</v>
      </c>
      <c r="H45" s="611">
        <v>0</v>
      </c>
      <c r="I45" s="611">
        <v>0</v>
      </c>
      <c r="J45" s="611">
        <v>0</v>
      </c>
      <c r="K45" s="611">
        <v>0</v>
      </c>
      <c r="L45" s="611">
        <v>0</v>
      </c>
      <c r="M45" s="611">
        <v>0</v>
      </c>
    </row>
    <row r="46" spans="1:13" s="95" customFormat="1">
      <c r="A46" s="519" t="s">
        <v>466</v>
      </c>
      <c r="B46" s="519" t="s">
        <v>107</v>
      </c>
      <c r="C46" s="611">
        <v>0</v>
      </c>
      <c r="D46" s="611">
        <v>0</v>
      </c>
      <c r="E46" s="611">
        <v>0</v>
      </c>
      <c r="F46" s="611">
        <v>0</v>
      </c>
      <c r="G46" s="611">
        <v>0</v>
      </c>
      <c r="H46" s="611">
        <v>0</v>
      </c>
      <c r="I46" s="611">
        <v>0</v>
      </c>
      <c r="J46" s="611">
        <v>0</v>
      </c>
      <c r="K46" s="611">
        <v>0</v>
      </c>
      <c r="L46" s="611">
        <v>0</v>
      </c>
      <c r="M46" s="611">
        <v>0</v>
      </c>
    </row>
    <row r="47" spans="1:13" s="95" customFormat="1">
      <c r="A47" s="519" t="s">
        <v>465</v>
      </c>
      <c r="B47" s="519" t="s">
        <v>107</v>
      </c>
      <c r="C47" s="611">
        <v>0</v>
      </c>
      <c r="D47" s="611">
        <v>0</v>
      </c>
      <c r="E47" s="611">
        <v>0</v>
      </c>
      <c r="F47" s="611">
        <v>0</v>
      </c>
      <c r="G47" s="611">
        <v>0</v>
      </c>
      <c r="H47" s="611">
        <v>0</v>
      </c>
      <c r="I47" s="611">
        <v>0</v>
      </c>
      <c r="J47" s="611">
        <v>0</v>
      </c>
      <c r="K47" s="611">
        <v>0</v>
      </c>
      <c r="L47" s="611">
        <v>0</v>
      </c>
      <c r="M47" s="611">
        <v>0</v>
      </c>
    </row>
    <row r="48" spans="1:13" s="95" customFormat="1">
      <c r="A48" s="308"/>
      <c r="B48" s="308"/>
    </row>
    <row r="49" spans="1:4">
      <c r="A49" s="516" t="s">
        <v>1</v>
      </c>
      <c r="B49" s="308"/>
      <c r="C49" s="308"/>
      <c r="D49" s="308"/>
    </row>
    <row r="50" spans="1:4">
      <c r="A50" s="308" t="s">
        <v>41</v>
      </c>
    </row>
    <row r="51" spans="1:4">
      <c r="A51" s="308" t="s">
        <v>179</v>
      </c>
      <c r="B51" s="308"/>
      <c r="C51" s="308"/>
      <c r="D51" s="308"/>
    </row>
    <row r="52" spans="1:4" ht="12.75" customHeight="1">
      <c r="A52" s="308" t="s">
        <v>461</v>
      </c>
      <c r="B52" s="308"/>
      <c r="C52" s="308"/>
      <c r="D52" s="308"/>
    </row>
    <row r="53" spans="1:4">
      <c r="A53" s="308"/>
      <c r="B53" s="308"/>
      <c r="C53" s="308"/>
      <c r="D53" s="308"/>
    </row>
    <row r="54" spans="1:4">
      <c r="A54" s="308"/>
      <c r="B54" s="308"/>
      <c r="C54" s="308"/>
      <c r="D54" s="308"/>
    </row>
    <row r="56" spans="1:4">
      <c r="A56" s="311"/>
      <c r="B56" s="308"/>
      <c r="C56" s="308"/>
      <c r="D56" s="308"/>
    </row>
    <row r="57" spans="1:4">
      <c r="A57" s="311"/>
    </row>
    <row r="58" spans="1:4">
      <c r="A58" s="311"/>
    </row>
    <row r="59" spans="1:4">
      <c r="A59" s="311"/>
    </row>
  </sheetData>
  <mergeCells count="3">
    <mergeCell ref="C13:F13"/>
    <mergeCell ref="B29:E29"/>
    <mergeCell ref="B28:E28"/>
  </mergeCells>
  <phoneticPr fontId="11"/>
  <conditionalFormatting sqref="F34:F37">
    <cfRule type="cellIs" dxfId="23" priority="29" stopIfTrue="1" operator="equal">
      <formula>"nvt"</formula>
    </cfRule>
  </conditionalFormatting>
  <conditionalFormatting sqref="E24:F24">
    <cfRule type="cellIs" dxfId="22" priority="25" stopIfTrue="1" operator="equal">
      <formula>"nvt"</formula>
    </cfRule>
  </conditionalFormatting>
  <conditionalFormatting sqref="E23:F23">
    <cfRule type="cellIs" dxfId="21" priority="23" stopIfTrue="1" operator="equal">
      <formula>"nvt"</formula>
    </cfRule>
  </conditionalFormatting>
  <conditionalFormatting sqref="F29">
    <cfRule type="cellIs" dxfId="20" priority="18" stopIfTrue="1" operator="equal">
      <formula>"nvt"</formula>
    </cfRule>
  </conditionalFormatting>
  <conditionalFormatting sqref="C44:K44 M44 M47 C47:K47">
    <cfRule type="cellIs" dxfId="19" priority="10" stopIfTrue="1" operator="equal">
      <formula>"nvt"</formula>
    </cfRule>
  </conditionalFormatting>
  <conditionalFormatting sqref="L44 L47">
    <cfRule type="cellIs" dxfId="18" priority="9" stopIfTrue="1" operator="equal">
      <formula>"nvt"</formula>
    </cfRule>
  </conditionalFormatting>
  <conditionalFormatting sqref="C43:K43 M43">
    <cfRule type="cellIs" dxfId="17" priority="8" stopIfTrue="1" operator="equal">
      <formula>"nvt"</formula>
    </cfRule>
  </conditionalFormatting>
  <conditionalFormatting sqref="L43">
    <cfRule type="cellIs" dxfId="16" priority="7" stopIfTrue="1" operator="equal">
      <formula>"nvt"</formula>
    </cfRule>
  </conditionalFormatting>
  <conditionalFormatting sqref="C42:K42 M42">
    <cfRule type="cellIs" dxfId="15" priority="6" stopIfTrue="1" operator="equal">
      <formula>"nvt"</formula>
    </cfRule>
  </conditionalFormatting>
  <conditionalFormatting sqref="L42">
    <cfRule type="cellIs" dxfId="14" priority="5" stopIfTrue="1" operator="equal">
      <formula>"nvt"</formula>
    </cfRule>
  </conditionalFormatting>
  <conditionalFormatting sqref="C46:K46 M46">
    <cfRule type="cellIs" dxfId="13" priority="4" stopIfTrue="1" operator="equal">
      <formula>"nvt"</formula>
    </cfRule>
  </conditionalFormatting>
  <conditionalFormatting sqref="L46">
    <cfRule type="cellIs" dxfId="12" priority="3" stopIfTrue="1" operator="equal">
      <formula>"nvt"</formula>
    </cfRule>
  </conditionalFormatting>
  <conditionalFormatting sqref="C45:K45 M45">
    <cfRule type="cellIs" dxfId="11" priority="2" stopIfTrue="1" operator="equal">
      <formula>"nvt"</formula>
    </cfRule>
  </conditionalFormatting>
  <conditionalFormatting sqref="L45">
    <cfRule type="cellIs" dxfId="1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E17"/>
  <sheetViews>
    <sheetView showGridLines="0" zoomScale="85" zoomScaleNormal="85" zoomScaleSheetLayoutView="50" zoomScalePageLayoutView="50" workbookViewId="0">
      <pane ySplit="12" topLeftCell="A13" activePane="bottomLeft" state="frozen"/>
      <selection activeCell="D33" sqref="D33"/>
      <selection pane="bottomLeft" activeCell="F7" sqref="F7"/>
    </sheetView>
  </sheetViews>
  <sheetFormatPr defaultColWidth="13.7109375" defaultRowHeight="13.5"/>
  <cols>
    <col min="1" max="1" width="26.28515625" style="337" bestFit="1" customWidth="1"/>
    <col min="2" max="2" width="27.5703125" style="343" customWidth="1"/>
    <col min="3" max="3" width="27.5703125" style="343" hidden="1" customWidth="1"/>
    <col min="4" max="4" width="12.140625" style="337" customWidth="1"/>
    <col min="5" max="5" width="26.140625" style="344" customWidth="1"/>
    <col min="6" max="7" width="13.7109375" style="345" customWidth="1"/>
    <col min="8" max="8" width="15.85546875" style="345" customWidth="1"/>
    <col min="9" max="9" width="13.7109375" style="337" customWidth="1"/>
    <col min="10" max="10" width="15.85546875" style="345" customWidth="1"/>
    <col min="11" max="252" width="13.7109375" style="337"/>
    <col min="253" max="253" width="22.140625" style="337" customWidth="1"/>
    <col min="254" max="260" width="13.7109375" style="337" customWidth="1"/>
    <col min="261" max="261" width="15.85546875" style="337" customWidth="1"/>
    <col min="262" max="262" width="16.5703125" style="337" bestFit="1" customWidth="1"/>
    <col min="263" max="263" width="13.7109375" style="337" customWidth="1"/>
    <col min="264" max="264" width="17.140625" style="337" bestFit="1" customWidth="1"/>
    <col min="265" max="265" width="4" style="337" customWidth="1"/>
    <col min="266" max="266" width="13.7109375" style="337" customWidth="1"/>
    <col min="267" max="508" width="13.7109375" style="337"/>
    <col min="509" max="509" width="22.140625" style="337" customWidth="1"/>
    <col min="510" max="516" width="13.7109375" style="337" customWidth="1"/>
    <col min="517" max="517" width="15.85546875" style="337" customWidth="1"/>
    <col min="518" max="518" width="16.5703125" style="337" bestFit="1" customWidth="1"/>
    <col min="519" max="519" width="13.7109375" style="337" customWidth="1"/>
    <col min="520" max="520" width="17.140625" style="337" bestFit="1" customWidth="1"/>
    <col min="521" max="521" width="4" style="337" customWidth="1"/>
    <col min="522" max="522" width="13.7109375" style="337" customWidth="1"/>
    <col min="523" max="764" width="13.7109375" style="337"/>
    <col min="765" max="765" width="22.140625" style="337" customWidth="1"/>
    <col min="766" max="772" width="13.7109375" style="337" customWidth="1"/>
    <col min="773" max="773" width="15.85546875" style="337" customWidth="1"/>
    <col min="774" max="774" width="16.5703125" style="337" bestFit="1" customWidth="1"/>
    <col min="775" max="775" width="13.7109375" style="337" customWidth="1"/>
    <col min="776" max="776" width="17.140625" style="337" bestFit="1" customWidth="1"/>
    <col min="777" max="777" width="4" style="337" customWidth="1"/>
    <col min="778" max="778" width="13.7109375" style="337" customWidth="1"/>
    <col min="779" max="1020" width="13.7109375" style="337"/>
    <col min="1021" max="1021" width="22.140625" style="337" customWidth="1"/>
    <col min="1022" max="1028" width="13.7109375" style="337" customWidth="1"/>
    <col min="1029" max="1029" width="15.85546875" style="337" customWidth="1"/>
    <col min="1030" max="1030" width="16.5703125" style="337" bestFit="1" customWidth="1"/>
    <col min="1031" max="1031" width="13.7109375" style="337" customWidth="1"/>
    <col min="1032" max="1032" width="17.140625" style="337" bestFit="1" customWidth="1"/>
    <col min="1033" max="1033" width="4" style="337" customWidth="1"/>
    <col min="1034" max="1034" width="13.7109375" style="337" customWidth="1"/>
    <col min="1035" max="1276" width="13.7109375" style="337"/>
    <col min="1277" max="1277" width="22.140625" style="337" customWidth="1"/>
    <col min="1278" max="1284" width="13.7109375" style="337" customWidth="1"/>
    <col min="1285" max="1285" width="15.85546875" style="337" customWidth="1"/>
    <col min="1286" max="1286" width="16.5703125" style="337" bestFit="1" customWidth="1"/>
    <col min="1287" max="1287" width="13.7109375" style="337" customWidth="1"/>
    <col min="1288" max="1288" width="17.140625" style="337" bestFit="1" customWidth="1"/>
    <col min="1289" max="1289" width="4" style="337" customWidth="1"/>
    <col min="1290" max="1290" width="13.7109375" style="337" customWidth="1"/>
    <col min="1291" max="1532" width="13.7109375" style="337"/>
    <col min="1533" max="1533" width="22.140625" style="337" customWidth="1"/>
    <col min="1534" max="1540" width="13.7109375" style="337" customWidth="1"/>
    <col min="1541" max="1541" width="15.85546875" style="337" customWidth="1"/>
    <col min="1542" max="1542" width="16.5703125" style="337" bestFit="1" customWidth="1"/>
    <col min="1543" max="1543" width="13.7109375" style="337" customWidth="1"/>
    <col min="1544" max="1544" width="17.140625" style="337" bestFit="1" customWidth="1"/>
    <col min="1545" max="1545" width="4" style="337" customWidth="1"/>
    <col min="1546" max="1546" width="13.7109375" style="337" customWidth="1"/>
    <col min="1547" max="1788" width="13.7109375" style="337"/>
    <col min="1789" max="1789" width="22.140625" style="337" customWidth="1"/>
    <col min="1790" max="1796" width="13.7109375" style="337" customWidth="1"/>
    <col min="1797" max="1797" width="15.85546875" style="337" customWidth="1"/>
    <col min="1798" max="1798" width="16.5703125" style="337" bestFit="1" customWidth="1"/>
    <col min="1799" max="1799" width="13.7109375" style="337" customWidth="1"/>
    <col min="1800" max="1800" width="17.140625" style="337" bestFit="1" customWidth="1"/>
    <col min="1801" max="1801" width="4" style="337" customWidth="1"/>
    <col min="1802" max="1802" width="13.7109375" style="337" customWidth="1"/>
    <col min="1803" max="2044" width="13.7109375" style="337"/>
    <col min="2045" max="2045" width="22.140625" style="337" customWidth="1"/>
    <col min="2046" max="2052" width="13.7109375" style="337" customWidth="1"/>
    <col min="2053" max="2053" width="15.85546875" style="337" customWidth="1"/>
    <col min="2054" max="2054" width="16.5703125" style="337" bestFit="1" customWidth="1"/>
    <col min="2055" max="2055" width="13.7109375" style="337" customWidth="1"/>
    <col min="2056" max="2056" width="17.140625" style="337" bestFit="1" customWidth="1"/>
    <col min="2057" max="2057" width="4" style="337" customWidth="1"/>
    <col min="2058" max="2058" width="13.7109375" style="337" customWidth="1"/>
    <col min="2059" max="2300" width="13.7109375" style="337"/>
    <col min="2301" max="2301" width="22.140625" style="337" customWidth="1"/>
    <col min="2302" max="2308" width="13.7109375" style="337" customWidth="1"/>
    <col min="2309" max="2309" width="15.85546875" style="337" customWidth="1"/>
    <col min="2310" max="2310" width="16.5703125" style="337" bestFit="1" customWidth="1"/>
    <col min="2311" max="2311" width="13.7109375" style="337" customWidth="1"/>
    <col min="2312" max="2312" width="17.140625" style="337" bestFit="1" customWidth="1"/>
    <col min="2313" max="2313" width="4" style="337" customWidth="1"/>
    <col min="2314" max="2314" width="13.7109375" style="337" customWidth="1"/>
    <col min="2315" max="2556" width="13.7109375" style="337"/>
    <col min="2557" max="2557" width="22.140625" style="337" customWidth="1"/>
    <col min="2558" max="2564" width="13.7109375" style="337" customWidth="1"/>
    <col min="2565" max="2565" width="15.85546875" style="337" customWidth="1"/>
    <col min="2566" max="2566" width="16.5703125" style="337" bestFit="1" customWidth="1"/>
    <col min="2567" max="2567" width="13.7109375" style="337" customWidth="1"/>
    <col min="2568" max="2568" width="17.140625" style="337" bestFit="1" customWidth="1"/>
    <col min="2569" max="2569" width="4" style="337" customWidth="1"/>
    <col min="2570" max="2570" width="13.7109375" style="337" customWidth="1"/>
    <col min="2571" max="2812" width="13.7109375" style="337"/>
    <col min="2813" max="2813" width="22.140625" style="337" customWidth="1"/>
    <col min="2814" max="2820" width="13.7109375" style="337" customWidth="1"/>
    <col min="2821" max="2821" width="15.85546875" style="337" customWidth="1"/>
    <col min="2822" max="2822" width="16.5703125" style="337" bestFit="1" customWidth="1"/>
    <col min="2823" max="2823" width="13.7109375" style="337" customWidth="1"/>
    <col min="2824" max="2824" width="17.140625" style="337" bestFit="1" customWidth="1"/>
    <col min="2825" max="2825" width="4" style="337" customWidth="1"/>
    <col min="2826" max="2826" width="13.7109375" style="337" customWidth="1"/>
    <col min="2827" max="3068" width="13.7109375" style="337"/>
    <col min="3069" max="3069" width="22.140625" style="337" customWidth="1"/>
    <col min="3070" max="3076" width="13.7109375" style="337" customWidth="1"/>
    <col min="3077" max="3077" width="15.85546875" style="337" customWidth="1"/>
    <col min="3078" max="3078" width="16.5703125" style="337" bestFit="1" customWidth="1"/>
    <col min="3079" max="3079" width="13.7109375" style="337" customWidth="1"/>
    <col min="3080" max="3080" width="17.140625" style="337" bestFit="1" customWidth="1"/>
    <col min="3081" max="3081" width="4" style="337" customWidth="1"/>
    <col min="3082" max="3082" width="13.7109375" style="337" customWidth="1"/>
    <col min="3083" max="3324" width="13.7109375" style="337"/>
    <col min="3325" max="3325" width="22.140625" style="337" customWidth="1"/>
    <col min="3326" max="3332" width="13.7109375" style="337" customWidth="1"/>
    <col min="3333" max="3333" width="15.85546875" style="337" customWidth="1"/>
    <col min="3334" max="3334" width="16.5703125" style="337" bestFit="1" customWidth="1"/>
    <col min="3335" max="3335" width="13.7109375" style="337" customWidth="1"/>
    <col min="3336" max="3336" width="17.140625" style="337" bestFit="1" customWidth="1"/>
    <col min="3337" max="3337" width="4" style="337" customWidth="1"/>
    <col min="3338" max="3338" width="13.7109375" style="337" customWidth="1"/>
    <col min="3339" max="3580" width="13.7109375" style="337"/>
    <col min="3581" max="3581" width="22.140625" style="337" customWidth="1"/>
    <col min="3582" max="3588" width="13.7109375" style="337" customWidth="1"/>
    <col min="3589" max="3589" width="15.85546875" style="337" customWidth="1"/>
    <col min="3590" max="3590" width="16.5703125" style="337" bestFit="1" customWidth="1"/>
    <col min="3591" max="3591" width="13.7109375" style="337" customWidth="1"/>
    <col min="3592" max="3592" width="17.140625" style="337" bestFit="1" customWidth="1"/>
    <col min="3593" max="3593" width="4" style="337" customWidth="1"/>
    <col min="3594" max="3594" width="13.7109375" style="337" customWidth="1"/>
    <col min="3595" max="3836" width="13.7109375" style="337"/>
    <col min="3837" max="3837" width="22.140625" style="337" customWidth="1"/>
    <col min="3838" max="3844" width="13.7109375" style="337" customWidth="1"/>
    <col min="3845" max="3845" width="15.85546875" style="337" customWidth="1"/>
    <col min="3846" max="3846" width="16.5703125" style="337" bestFit="1" customWidth="1"/>
    <col min="3847" max="3847" width="13.7109375" style="337" customWidth="1"/>
    <col min="3848" max="3848" width="17.140625" style="337" bestFit="1" customWidth="1"/>
    <col min="3849" max="3849" width="4" style="337" customWidth="1"/>
    <col min="3850" max="3850" width="13.7109375" style="337" customWidth="1"/>
    <col min="3851" max="4092" width="13.7109375" style="337"/>
    <col min="4093" max="4093" width="22.140625" style="337" customWidth="1"/>
    <col min="4094" max="4100" width="13.7109375" style="337" customWidth="1"/>
    <col min="4101" max="4101" width="15.85546875" style="337" customWidth="1"/>
    <col min="4102" max="4102" width="16.5703125" style="337" bestFit="1" customWidth="1"/>
    <col min="4103" max="4103" width="13.7109375" style="337" customWidth="1"/>
    <col min="4104" max="4104" width="17.140625" style="337" bestFit="1" customWidth="1"/>
    <col min="4105" max="4105" width="4" style="337" customWidth="1"/>
    <col min="4106" max="4106" width="13.7109375" style="337" customWidth="1"/>
    <col min="4107" max="4348" width="13.7109375" style="337"/>
    <col min="4349" max="4349" width="22.140625" style="337" customWidth="1"/>
    <col min="4350" max="4356" width="13.7109375" style="337" customWidth="1"/>
    <col min="4357" max="4357" width="15.85546875" style="337" customWidth="1"/>
    <col min="4358" max="4358" width="16.5703125" style="337" bestFit="1" customWidth="1"/>
    <col min="4359" max="4359" width="13.7109375" style="337" customWidth="1"/>
    <col min="4360" max="4360" width="17.140625" style="337" bestFit="1" customWidth="1"/>
    <col min="4361" max="4361" width="4" style="337" customWidth="1"/>
    <col min="4362" max="4362" width="13.7109375" style="337" customWidth="1"/>
    <col min="4363" max="4604" width="13.7109375" style="337"/>
    <col min="4605" max="4605" width="22.140625" style="337" customWidth="1"/>
    <col min="4606" max="4612" width="13.7109375" style="337" customWidth="1"/>
    <col min="4613" max="4613" width="15.85546875" style="337" customWidth="1"/>
    <col min="4614" max="4614" width="16.5703125" style="337" bestFit="1" customWidth="1"/>
    <col min="4615" max="4615" width="13.7109375" style="337" customWidth="1"/>
    <col min="4616" max="4616" width="17.140625" style="337" bestFit="1" customWidth="1"/>
    <col min="4617" max="4617" width="4" style="337" customWidth="1"/>
    <col min="4618" max="4618" width="13.7109375" style="337" customWidth="1"/>
    <col min="4619" max="4860" width="13.7109375" style="337"/>
    <col min="4861" max="4861" width="22.140625" style="337" customWidth="1"/>
    <col min="4862" max="4868" width="13.7109375" style="337" customWidth="1"/>
    <col min="4869" max="4869" width="15.85546875" style="337" customWidth="1"/>
    <col min="4870" max="4870" width="16.5703125" style="337" bestFit="1" customWidth="1"/>
    <col min="4871" max="4871" width="13.7109375" style="337" customWidth="1"/>
    <col min="4872" max="4872" width="17.140625" style="337" bestFit="1" customWidth="1"/>
    <col min="4873" max="4873" width="4" style="337" customWidth="1"/>
    <col min="4874" max="4874" width="13.7109375" style="337" customWidth="1"/>
    <col min="4875" max="5116" width="13.7109375" style="337"/>
    <col min="5117" max="5117" width="22.140625" style="337" customWidth="1"/>
    <col min="5118" max="5124" width="13.7109375" style="337" customWidth="1"/>
    <col min="5125" max="5125" width="15.85546875" style="337" customWidth="1"/>
    <col min="5126" max="5126" width="16.5703125" style="337" bestFit="1" customWidth="1"/>
    <col min="5127" max="5127" width="13.7109375" style="337" customWidth="1"/>
    <col min="5128" max="5128" width="17.140625" style="337" bestFit="1" customWidth="1"/>
    <col min="5129" max="5129" width="4" style="337" customWidth="1"/>
    <col min="5130" max="5130" width="13.7109375" style="337" customWidth="1"/>
    <col min="5131" max="5372" width="13.7109375" style="337"/>
    <col min="5373" max="5373" width="22.140625" style="337" customWidth="1"/>
    <col min="5374" max="5380" width="13.7109375" style="337" customWidth="1"/>
    <col min="5381" max="5381" width="15.85546875" style="337" customWidth="1"/>
    <col min="5382" max="5382" width="16.5703125" style="337" bestFit="1" customWidth="1"/>
    <col min="5383" max="5383" width="13.7109375" style="337" customWidth="1"/>
    <col min="5384" max="5384" width="17.140625" style="337" bestFit="1" customWidth="1"/>
    <col min="5385" max="5385" width="4" style="337" customWidth="1"/>
    <col min="5386" max="5386" width="13.7109375" style="337" customWidth="1"/>
    <col min="5387" max="5628" width="13.7109375" style="337"/>
    <col min="5629" max="5629" width="22.140625" style="337" customWidth="1"/>
    <col min="5630" max="5636" width="13.7109375" style="337" customWidth="1"/>
    <col min="5637" max="5637" width="15.85546875" style="337" customWidth="1"/>
    <col min="5638" max="5638" width="16.5703125" style="337" bestFit="1" customWidth="1"/>
    <col min="5639" max="5639" width="13.7109375" style="337" customWidth="1"/>
    <col min="5640" max="5640" width="17.140625" style="337" bestFit="1" customWidth="1"/>
    <col min="5641" max="5641" width="4" style="337" customWidth="1"/>
    <col min="5642" max="5642" width="13.7109375" style="337" customWidth="1"/>
    <col min="5643" max="5884" width="13.7109375" style="337"/>
    <col min="5885" max="5885" width="22.140625" style="337" customWidth="1"/>
    <col min="5886" max="5892" width="13.7109375" style="337" customWidth="1"/>
    <col min="5893" max="5893" width="15.85546875" style="337" customWidth="1"/>
    <col min="5894" max="5894" width="16.5703125" style="337" bestFit="1" customWidth="1"/>
    <col min="5895" max="5895" width="13.7109375" style="337" customWidth="1"/>
    <col min="5896" max="5896" width="17.140625" style="337" bestFit="1" customWidth="1"/>
    <col min="5897" max="5897" width="4" style="337" customWidth="1"/>
    <col min="5898" max="5898" width="13.7109375" style="337" customWidth="1"/>
    <col min="5899" max="6140" width="13.7109375" style="337"/>
    <col min="6141" max="6141" width="22.140625" style="337" customWidth="1"/>
    <col min="6142" max="6148" width="13.7109375" style="337" customWidth="1"/>
    <col min="6149" max="6149" width="15.85546875" style="337" customWidth="1"/>
    <col min="6150" max="6150" width="16.5703125" style="337" bestFit="1" customWidth="1"/>
    <col min="6151" max="6151" width="13.7109375" style="337" customWidth="1"/>
    <col min="6152" max="6152" width="17.140625" style="337" bestFit="1" customWidth="1"/>
    <col min="6153" max="6153" width="4" style="337" customWidth="1"/>
    <col min="6154" max="6154" width="13.7109375" style="337" customWidth="1"/>
    <col min="6155" max="6396" width="13.7109375" style="337"/>
    <col min="6397" max="6397" width="22.140625" style="337" customWidth="1"/>
    <col min="6398" max="6404" width="13.7109375" style="337" customWidth="1"/>
    <col min="6405" max="6405" width="15.85546875" style="337" customWidth="1"/>
    <col min="6406" max="6406" width="16.5703125" style="337" bestFit="1" customWidth="1"/>
    <col min="6407" max="6407" width="13.7109375" style="337" customWidth="1"/>
    <col min="6408" max="6408" width="17.140625" style="337" bestFit="1" customWidth="1"/>
    <col min="6409" max="6409" width="4" style="337" customWidth="1"/>
    <col min="6410" max="6410" width="13.7109375" style="337" customWidth="1"/>
    <col min="6411" max="6652" width="13.7109375" style="337"/>
    <col min="6653" max="6653" width="22.140625" style="337" customWidth="1"/>
    <col min="6654" max="6660" width="13.7109375" style="337" customWidth="1"/>
    <col min="6661" max="6661" width="15.85546875" style="337" customWidth="1"/>
    <col min="6662" max="6662" width="16.5703125" style="337" bestFit="1" customWidth="1"/>
    <col min="6663" max="6663" width="13.7109375" style="337" customWidth="1"/>
    <col min="6664" max="6664" width="17.140625" style="337" bestFit="1" customWidth="1"/>
    <col min="6665" max="6665" width="4" style="337" customWidth="1"/>
    <col min="6666" max="6666" width="13.7109375" style="337" customWidth="1"/>
    <col min="6667" max="6908" width="13.7109375" style="337"/>
    <col min="6909" max="6909" width="22.140625" style="337" customWidth="1"/>
    <col min="6910" max="6916" width="13.7109375" style="337" customWidth="1"/>
    <col min="6917" max="6917" width="15.85546875" style="337" customWidth="1"/>
    <col min="6918" max="6918" width="16.5703125" style="337" bestFit="1" customWidth="1"/>
    <col min="6919" max="6919" width="13.7109375" style="337" customWidth="1"/>
    <col min="6920" max="6920" width="17.140625" style="337" bestFit="1" customWidth="1"/>
    <col min="6921" max="6921" width="4" style="337" customWidth="1"/>
    <col min="6922" max="6922" width="13.7109375" style="337" customWidth="1"/>
    <col min="6923" max="7164" width="13.7109375" style="337"/>
    <col min="7165" max="7165" width="22.140625" style="337" customWidth="1"/>
    <col min="7166" max="7172" width="13.7109375" style="337" customWidth="1"/>
    <col min="7173" max="7173" width="15.85546875" style="337" customWidth="1"/>
    <col min="7174" max="7174" width="16.5703125" style="337" bestFit="1" customWidth="1"/>
    <col min="7175" max="7175" width="13.7109375" style="337" customWidth="1"/>
    <col min="7176" max="7176" width="17.140625" style="337" bestFit="1" customWidth="1"/>
    <col min="7177" max="7177" width="4" style="337" customWidth="1"/>
    <col min="7178" max="7178" width="13.7109375" style="337" customWidth="1"/>
    <col min="7179" max="7420" width="13.7109375" style="337"/>
    <col min="7421" max="7421" width="22.140625" style="337" customWidth="1"/>
    <col min="7422" max="7428" width="13.7109375" style="337" customWidth="1"/>
    <col min="7429" max="7429" width="15.85546875" style="337" customWidth="1"/>
    <col min="7430" max="7430" width="16.5703125" style="337" bestFit="1" customWidth="1"/>
    <col min="7431" max="7431" width="13.7109375" style="337" customWidth="1"/>
    <col min="7432" max="7432" width="17.140625" style="337" bestFit="1" customWidth="1"/>
    <col min="7433" max="7433" width="4" style="337" customWidth="1"/>
    <col min="7434" max="7434" width="13.7109375" style="337" customWidth="1"/>
    <col min="7435" max="7676" width="13.7109375" style="337"/>
    <col min="7677" max="7677" width="22.140625" style="337" customWidth="1"/>
    <col min="7678" max="7684" width="13.7109375" style="337" customWidth="1"/>
    <col min="7685" max="7685" width="15.85546875" style="337" customWidth="1"/>
    <col min="7686" max="7686" width="16.5703125" style="337" bestFit="1" customWidth="1"/>
    <col min="7687" max="7687" width="13.7109375" style="337" customWidth="1"/>
    <col min="7688" max="7688" width="17.140625" style="337" bestFit="1" customWidth="1"/>
    <col min="7689" max="7689" width="4" style="337" customWidth="1"/>
    <col min="7690" max="7690" width="13.7109375" style="337" customWidth="1"/>
    <col min="7691" max="7932" width="13.7109375" style="337"/>
    <col min="7933" max="7933" width="22.140625" style="337" customWidth="1"/>
    <col min="7934" max="7940" width="13.7109375" style="337" customWidth="1"/>
    <col min="7941" max="7941" width="15.85546875" style="337" customWidth="1"/>
    <col min="7942" max="7942" width="16.5703125" style="337" bestFit="1" customWidth="1"/>
    <col min="7943" max="7943" width="13.7109375" style="337" customWidth="1"/>
    <col min="7944" max="7944" width="17.140625" style="337" bestFit="1" customWidth="1"/>
    <col min="7945" max="7945" width="4" style="337" customWidth="1"/>
    <col min="7946" max="7946" width="13.7109375" style="337" customWidth="1"/>
    <col min="7947" max="8188" width="13.7109375" style="337"/>
    <col min="8189" max="8189" width="22.140625" style="337" customWidth="1"/>
    <col min="8190" max="8196" width="13.7109375" style="337" customWidth="1"/>
    <col min="8197" max="8197" width="15.85546875" style="337" customWidth="1"/>
    <col min="8198" max="8198" width="16.5703125" style="337" bestFit="1" customWidth="1"/>
    <col min="8199" max="8199" width="13.7109375" style="337" customWidth="1"/>
    <col min="8200" max="8200" width="17.140625" style="337" bestFit="1" customWidth="1"/>
    <col min="8201" max="8201" width="4" style="337" customWidth="1"/>
    <col min="8202" max="8202" width="13.7109375" style="337" customWidth="1"/>
    <col min="8203" max="8444" width="13.7109375" style="337"/>
    <col min="8445" max="8445" width="22.140625" style="337" customWidth="1"/>
    <col min="8446" max="8452" width="13.7109375" style="337" customWidth="1"/>
    <col min="8453" max="8453" width="15.85546875" style="337" customWidth="1"/>
    <col min="8454" max="8454" width="16.5703125" style="337" bestFit="1" customWidth="1"/>
    <col min="8455" max="8455" width="13.7109375" style="337" customWidth="1"/>
    <col min="8456" max="8456" width="17.140625" style="337" bestFit="1" customWidth="1"/>
    <col min="8457" max="8457" width="4" style="337" customWidth="1"/>
    <col min="8458" max="8458" width="13.7109375" style="337" customWidth="1"/>
    <col min="8459" max="8700" width="13.7109375" style="337"/>
    <col min="8701" max="8701" width="22.140625" style="337" customWidth="1"/>
    <col min="8702" max="8708" width="13.7109375" style="337" customWidth="1"/>
    <col min="8709" max="8709" width="15.85546875" style="337" customWidth="1"/>
    <col min="8710" max="8710" width="16.5703125" style="337" bestFit="1" customWidth="1"/>
    <col min="8711" max="8711" width="13.7109375" style="337" customWidth="1"/>
    <col min="8712" max="8712" width="17.140625" style="337" bestFit="1" customWidth="1"/>
    <col min="8713" max="8713" width="4" style="337" customWidth="1"/>
    <col min="8714" max="8714" width="13.7109375" style="337" customWidth="1"/>
    <col min="8715" max="8956" width="13.7109375" style="337"/>
    <col min="8957" max="8957" width="22.140625" style="337" customWidth="1"/>
    <col min="8958" max="8964" width="13.7109375" style="337" customWidth="1"/>
    <col min="8965" max="8965" width="15.85546875" style="337" customWidth="1"/>
    <col min="8966" max="8966" width="16.5703125" style="337" bestFit="1" customWidth="1"/>
    <col min="8967" max="8967" width="13.7109375" style="337" customWidth="1"/>
    <col min="8968" max="8968" width="17.140625" style="337" bestFit="1" customWidth="1"/>
    <col min="8969" max="8969" width="4" style="337" customWidth="1"/>
    <col min="8970" max="8970" width="13.7109375" style="337" customWidth="1"/>
    <col min="8971" max="9212" width="13.7109375" style="337"/>
    <col min="9213" max="9213" width="22.140625" style="337" customWidth="1"/>
    <col min="9214" max="9220" width="13.7109375" style="337" customWidth="1"/>
    <col min="9221" max="9221" width="15.85546875" style="337" customWidth="1"/>
    <col min="9222" max="9222" width="16.5703125" style="337" bestFit="1" customWidth="1"/>
    <col min="9223" max="9223" width="13.7109375" style="337" customWidth="1"/>
    <col min="9224" max="9224" width="17.140625" style="337" bestFit="1" customWidth="1"/>
    <col min="9225" max="9225" width="4" style="337" customWidth="1"/>
    <col min="9226" max="9226" width="13.7109375" style="337" customWidth="1"/>
    <col min="9227" max="9468" width="13.7109375" style="337"/>
    <col min="9469" max="9469" width="22.140625" style="337" customWidth="1"/>
    <col min="9470" max="9476" width="13.7109375" style="337" customWidth="1"/>
    <col min="9477" max="9477" width="15.85546875" style="337" customWidth="1"/>
    <col min="9478" max="9478" width="16.5703125" style="337" bestFit="1" customWidth="1"/>
    <col min="9479" max="9479" width="13.7109375" style="337" customWidth="1"/>
    <col min="9480" max="9480" width="17.140625" style="337" bestFit="1" customWidth="1"/>
    <col min="9481" max="9481" width="4" style="337" customWidth="1"/>
    <col min="9482" max="9482" width="13.7109375" style="337" customWidth="1"/>
    <col min="9483" max="9724" width="13.7109375" style="337"/>
    <col min="9725" max="9725" width="22.140625" style="337" customWidth="1"/>
    <col min="9726" max="9732" width="13.7109375" style="337" customWidth="1"/>
    <col min="9733" max="9733" width="15.85546875" style="337" customWidth="1"/>
    <col min="9734" max="9734" width="16.5703125" style="337" bestFit="1" customWidth="1"/>
    <col min="9735" max="9735" width="13.7109375" style="337" customWidth="1"/>
    <col min="9736" max="9736" width="17.140625" style="337" bestFit="1" customWidth="1"/>
    <col min="9737" max="9737" width="4" style="337" customWidth="1"/>
    <col min="9738" max="9738" width="13.7109375" style="337" customWidth="1"/>
    <col min="9739" max="9980" width="13.7109375" style="337"/>
    <col min="9981" max="9981" width="22.140625" style="337" customWidth="1"/>
    <col min="9982" max="9988" width="13.7109375" style="337" customWidth="1"/>
    <col min="9989" max="9989" width="15.85546875" style="337" customWidth="1"/>
    <col min="9990" max="9990" width="16.5703125" style="337" bestFit="1" customWidth="1"/>
    <col min="9991" max="9991" width="13.7109375" style="337" customWidth="1"/>
    <col min="9992" max="9992" width="17.140625" style="337" bestFit="1" customWidth="1"/>
    <col min="9993" max="9993" width="4" style="337" customWidth="1"/>
    <col min="9994" max="9994" width="13.7109375" style="337" customWidth="1"/>
    <col min="9995" max="10236" width="13.7109375" style="337"/>
    <col min="10237" max="10237" width="22.140625" style="337" customWidth="1"/>
    <col min="10238" max="10244" width="13.7109375" style="337" customWidth="1"/>
    <col min="10245" max="10245" width="15.85546875" style="337" customWidth="1"/>
    <col min="10246" max="10246" width="16.5703125" style="337" bestFit="1" customWidth="1"/>
    <col min="10247" max="10247" width="13.7109375" style="337" customWidth="1"/>
    <col min="10248" max="10248" width="17.140625" style="337" bestFit="1" customWidth="1"/>
    <col min="10249" max="10249" width="4" style="337" customWidth="1"/>
    <col min="10250" max="10250" width="13.7109375" style="337" customWidth="1"/>
    <col min="10251" max="10492" width="13.7109375" style="337"/>
    <col min="10493" max="10493" width="22.140625" style="337" customWidth="1"/>
    <col min="10494" max="10500" width="13.7109375" style="337" customWidth="1"/>
    <col min="10501" max="10501" width="15.85546875" style="337" customWidth="1"/>
    <col min="10502" max="10502" width="16.5703125" style="337" bestFit="1" customWidth="1"/>
    <col min="10503" max="10503" width="13.7109375" style="337" customWidth="1"/>
    <col min="10504" max="10504" width="17.140625" style="337" bestFit="1" customWidth="1"/>
    <col min="10505" max="10505" width="4" style="337" customWidth="1"/>
    <col min="10506" max="10506" width="13.7109375" style="337" customWidth="1"/>
    <col min="10507" max="10748" width="13.7109375" style="337"/>
    <col min="10749" max="10749" width="22.140625" style="337" customWidth="1"/>
    <col min="10750" max="10756" width="13.7109375" style="337" customWidth="1"/>
    <col min="10757" max="10757" width="15.85546875" style="337" customWidth="1"/>
    <col min="10758" max="10758" width="16.5703125" style="337" bestFit="1" customWidth="1"/>
    <col min="10759" max="10759" width="13.7109375" style="337" customWidth="1"/>
    <col min="10760" max="10760" width="17.140625" style="337" bestFit="1" customWidth="1"/>
    <col min="10761" max="10761" width="4" style="337" customWidth="1"/>
    <col min="10762" max="10762" width="13.7109375" style="337" customWidth="1"/>
    <col min="10763" max="11004" width="13.7109375" style="337"/>
    <col min="11005" max="11005" width="22.140625" style="337" customWidth="1"/>
    <col min="11006" max="11012" width="13.7109375" style="337" customWidth="1"/>
    <col min="11013" max="11013" width="15.85546875" style="337" customWidth="1"/>
    <col min="11014" max="11014" width="16.5703125" style="337" bestFit="1" customWidth="1"/>
    <col min="11015" max="11015" width="13.7109375" style="337" customWidth="1"/>
    <col min="11016" max="11016" width="17.140625" style="337" bestFit="1" customWidth="1"/>
    <col min="11017" max="11017" width="4" style="337" customWidth="1"/>
    <col min="11018" max="11018" width="13.7109375" style="337" customWidth="1"/>
    <col min="11019" max="11260" width="13.7109375" style="337"/>
    <col min="11261" max="11261" width="22.140625" style="337" customWidth="1"/>
    <col min="11262" max="11268" width="13.7109375" style="337" customWidth="1"/>
    <col min="11269" max="11269" width="15.85546875" style="337" customWidth="1"/>
    <col min="11270" max="11270" width="16.5703125" style="337" bestFit="1" customWidth="1"/>
    <col min="11271" max="11271" width="13.7109375" style="337" customWidth="1"/>
    <col min="11272" max="11272" width="17.140625" style="337" bestFit="1" customWidth="1"/>
    <col min="11273" max="11273" width="4" style="337" customWidth="1"/>
    <col min="11274" max="11274" width="13.7109375" style="337" customWidth="1"/>
    <col min="11275" max="11516" width="13.7109375" style="337"/>
    <col min="11517" max="11517" width="22.140625" style="337" customWidth="1"/>
    <col min="11518" max="11524" width="13.7109375" style="337" customWidth="1"/>
    <col min="11525" max="11525" width="15.85546875" style="337" customWidth="1"/>
    <col min="11526" max="11526" width="16.5703125" style="337" bestFit="1" customWidth="1"/>
    <col min="11527" max="11527" width="13.7109375" style="337" customWidth="1"/>
    <col min="11528" max="11528" width="17.140625" style="337" bestFit="1" customWidth="1"/>
    <col min="11529" max="11529" width="4" style="337" customWidth="1"/>
    <col min="11530" max="11530" width="13.7109375" style="337" customWidth="1"/>
    <col min="11531" max="11772" width="13.7109375" style="337"/>
    <col min="11773" max="11773" width="22.140625" style="337" customWidth="1"/>
    <col min="11774" max="11780" width="13.7109375" style="337" customWidth="1"/>
    <col min="11781" max="11781" width="15.85546875" style="337" customWidth="1"/>
    <col min="11782" max="11782" width="16.5703125" style="337" bestFit="1" customWidth="1"/>
    <col min="11783" max="11783" width="13.7109375" style="337" customWidth="1"/>
    <col min="11784" max="11784" width="17.140625" style="337" bestFit="1" customWidth="1"/>
    <col min="11785" max="11785" width="4" style="337" customWidth="1"/>
    <col min="11786" max="11786" width="13.7109375" style="337" customWidth="1"/>
    <col min="11787" max="12028" width="13.7109375" style="337"/>
    <col min="12029" max="12029" width="22.140625" style="337" customWidth="1"/>
    <col min="12030" max="12036" width="13.7109375" style="337" customWidth="1"/>
    <col min="12037" max="12037" width="15.85546875" style="337" customWidth="1"/>
    <col min="12038" max="12038" width="16.5703125" style="337" bestFit="1" customWidth="1"/>
    <col min="12039" max="12039" width="13.7109375" style="337" customWidth="1"/>
    <col min="12040" max="12040" width="17.140625" style="337" bestFit="1" customWidth="1"/>
    <col min="12041" max="12041" width="4" style="337" customWidth="1"/>
    <col min="12042" max="12042" width="13.7109375" style="337" customWidth="1"/>
    <col min="12043" max="12284" width="13.7109375" style="337"/>
    <col min="12285" max="12285" width="22.140625" style="337" customWidth="1"/>
    <col min="12286" max="12292" width="13.7109375" style="337" customWidth="1"/>
    <col min="12293" max="12293" width="15.85546875" style="337" customWidth="1"/>
    <col min="12294" max="12294" width="16.5703125" style="337" bestFit="1" customWidth="1"/>
    <col min="12295" max="12295" width="13.7109375" style="337" customWidth="1"/>
    <col min="12296" max="12296" width="17.140625" style="337" bestFit="1" customWidth="1"/>
    <col min="12297" max="12297" width="4" style="337" customWidth="1"/>
    <col min="12298" max="12298" width="13.7109375" style="337" customWidth="1"/>
    <col min="12299" max="12540" width="13.7109375" style="337"/>
    <col min="12541" max="12541" width="22.140625" style="337" customWidth="1"/>
    <col min="12542" max="12548" width="13.7109375" style="337" customWidth="1"/>
    <col min="12549" max="12549" width="15.85546875" style="337" customWidth="1"/>
    <col min="12550" max="12550" width="16.5703125" style="337" bestFit="1" customWidth="1"/>
    <col min="12551" max="12551" width="13.7109375" style="337" customWidth="1"/>
    <col min="12552" max="12552" width="17.140625" style="337" bestFit="1" customWidth="1"/>
    <col min="12553" max="12553" width="4" style="337" customWidth="1"/>
    <col min="12554" max="12554" width="13.7109375" style="337" customWidth="1"/>
    <col min="12555" max="12796" width="13.7109375" style="337"/>
    <col min="12797" max="12797" width="22.140625" style="337" customWidth="1"/>
    <col min="12798" max="12804" width="13.7109375" style="337" customWidth="1"/>
    <col min="12805" max="12805" width="15.85546875" style="337" customWidth="1"/>
    <col min="12806" max="12806" width="16.5703125" style="337" bestFit="1" customWidth="1"/>
    <col min="12807" max="12807" width="13.7109375" style="337" customWidth="1"/>
    <col min="12808" max="12808" width="17.140625" style="337" bestFit="1" customWidth="1"/>
    <col min="12809" max="12809" width="4" style="337" customWidth="1"/>
    <col min="12810" max="12810" width="13.7109375" style="337" customWidth="1"/>
    <col min="12811" max="13052" width="13.7109375" style="337"/>
    <col min="13053" max="13053" width="22.140625" style="337" customWidth="1"/>
    <col min="13054" max="13060" width="13.7109375" style="337" customWidth="1"/>
    <col min="13061" max="13061" width="15.85546875" style="337" customWidth="1"/>
    <col min="13062" max="13062" width="16.5703125" style="337" bestFit="1" customWidth="1"/>
    <col min="13063" max="13063" width="13.7109375" style="337" customWidth="1"/>
    <col min="13064" max="13064" width="17.140625" style="337" bestFit="1" customWidth="1"/>
    <col min="13065" max="13065" width="4" style="337" customWidth="1"/>
    <col min="13066" max="13066" width="13.7109375" style="337" customWidth="1"/>
    <col min="13067" max="13308" width="13.7109375" style="337"/>
    <col min="13309" max="13309" width="22.140625" style="337" customWidth="1"/>
    <col min="13310" max="13316" width="13.7109375" style="337" customWidth="1"/>
    <col min="13317" max="13317" width="15.85546875" style="337" customWidth="1"/>
    <col min="13318" max="13318" width="16.5703125" style="337" bestFit="1" customWidth="1"/>
    <col min="13319" max="13319" width="13.7109375" style="337" customWidth="1"/>
    <col min="13320" max="13320" width="17.140625" style="337" bestFit="1" customWidth="1"/>
    <col min="13321" max="13321" width="4" style="337" customWidth="1"/>
    <col min="13322" max="13322" width="13.7109375" style="337" customWidth="1"/>
    <col min="13323" max="13564" width="13.7109375" style="337"/>
    <col min="13565" max="13565" width="22.140625" style="337" customWidth="1"/>
    <col min="13566" max="13572" width="13.7109375" style="337" customWidth="1"/>
    <col min="13573" max="13573" width="15.85546875" style="337" customWidth="1"/>
    <col min="13574" max="13574" width="16.5703125" style="337" bestFit="1" customWidth="1"/>
    <col min="13575" max="13575" width="13.7109375" style="337" customWidth="1"/>
    <col min="13576" max="13576" width="17.140625" style="337" bestFit="1" customWidth="1"/>
    <col min="13577" max="13577" width="4" style="337" customWidth="1"/>
    <col min="13578" max="13578" width="13.7109375" style="337" customWidth="1"/>
    <col min="13579" max="13820" width="13.7109375" style="337"/>
    <col min="13821" max="13821" width="22.140625" style="337" customWidth="1"/>
    <col min="13822" max="13828" width="13.7109375" style="337" customWidth="1"/>
    <col min="13829" max="13829" width="15.85546875" style="337" customWidth="1"/>
    <col min="13830" max="13830" width="16.5703125" style="337" bestFit="1" customWidth="1"/>
    <col min="13831" max="13831" width="13.7109375" style="337" customWidth="1"/>
    <col min="13832" max="13832" width="17.140625" style="337" bestFit="1" customWidth="1"/>
    <col min="13833" max="13833" width="4" style="337" customWidth="1"/>
    <col min="13834" max="13834" width="13.7109375" style="337" customWidth="1"/>
    <col min="13835" max="14076" width="13.7109375" style="337"/>
    <col min="14077" max="14077" width="22.140625" style="337" customWidth="1"/>
    <col min="14078" max="14084" width="13.7109375" style="337" customWidth="1"/>
    <col min="14085" max="14085" width="15.85546875" style="337" customWidth="1"/>
    <col min="14086" max="14086" width="16.5703125" style="337" bestFit="1" customWidth="1"/>
    <col min="14087" max="14087" width="13.7109375" style="337" customWidth="1"/>
    <col min="14088" max="14088" width="17.140625" style="337" bestFit="1" customWidth="1"/>
    <col min="14089" max="14089" width="4" style="337" customWidth="1"/>
    <col min="14090" max="14090" width="13.7109375" style="337" customWidth="1"/>
    <col min="14091" max="14332" width="13.7109375" style="337"/>
    <col min="14333" max="14333" width="22.140625" style="337" customWidth="1"/>
    <col min="14334" max="14340" width="13.7109375" style="337" customWidth="1"/>
    <col min="14341" max="14341" width="15.85546875" style="337" customWidth="1"/>
    <col min="14342" max="14342" width="16.5703125" style="337" bestFit="1" customWidth="1"/>
    <col min="14343" max="14343" width="13.7109375" style="337" customWidth="1"/>
    <col min="14344" max="14344" width="17.140625" style="337" bestFit="1" customWidth="1"/>
    <col min="14345" max="14345" width="4" style="337" customWidth="1"/>
    <col min="14346" max="14346" width="13.7109375" style="337" customWidth="1"/>
    <col min="14347" max="14588" width="13.7109375" style="337"/>
    <col min="14589" max="14589" width="22.140625" style="337" customWidth="1"/>
    <col min="14590" max="14596" width="13.7109375" style="337" customWidth="1"/>
    <col min="14597" max="14597" width="15.85546875" style="337" customWidth="1"/>
    <col min="14598" max="14598" width="16.5703125" style="337" bestFit="1" customWidth="1"/>
    <col min="14599" max="14599" width="13.7109375" style="337" customWidth="1"/>
    <col min="14600" max="14600" width="17.140625" style="337" bestFit="1" customWidth="1"/>
    <col min="14601" max="14601" width="4" style="337" customWidth="1"/>
    <col min="14602" max="14602" width="13.7109375" style="337" customWidth="1"/>
    <col min="14603" max="14844" width="13.7109375" style="337"/>
    <col min="14845" max="14845" width="22.140625" style="337" customWidth="1"/>
    <col min="14846" max="14852" width="13.7109375" style="337" customWidth="1"/>
    <col min="14853" max="14853" width="15.85546875" style="337" customWidth="1"/>
    <col min="14854" max="14854" width="16.5703125" style="337" bestFit="1" customWidth="1"/>
    <col min="14855" max="14855" width="13.7109375" style="337" customWidth="1"/>
    <col min="14856" max="14856" width="17.140625" style="337" bestFit="1" customWidth="1"/>
    <col min="14857" max="14857" width="4" style="337" customWidth="1"/>
    <col min="14858" max="14858" width="13.7109375" style="337" customWidth="1"/>
    <col min="14859" max="15100" width="13.7109375" style="337"/>
    <col min="15101" max="15101" width="22.140625" style="337" customWidth="1"/>
    <col min="15102" max="15108" width="13.7109375" style="337" customWidth="1"/>
    <col min="15109" max="15109" width="15.85546875" style="337" customWidth="1"/>
    <col min="15110" max="15110" width="16.5703125" style="337" bestFit="1" customWidth="1"/>
    <col min="15111" max="15111" width="13.7109375" style="337" customWidth="1"/>
    <col min="15112" max="15112" width="17.140625" style="337" bestFit="1" customWidth="1"/>
    <col min="15113" max="15113" width="4" style="337" customWidth="1"/>
    <col min="15114" max="15114" width="13.7109375" style="337" customWidth="1"/>
    <col min="15115" max="15356" width="13.7109375" style="337"/>
    <col min="15357" max="15357" width="22.140625" style="337" customWidth="1"/>
    <col min="15358" max="15364" width="13.7109375" style="337" customWidth="1"/>
    <col min="15365" max="15365" width="15.85546875" style="337" customWidth="1"/>
    <col min="15366" max="15366" width="16.5703125" style="337" bestFit="1" customWidth="1"/>
    <col min="15367" max="15367" width="13.7109375" style="337" customWidth="1"/>
    <col min="15368" max="15368" width="17.140625" style="337" bestFit="1" customWidth="1"/>
    <col min="15369" max="15369" width="4" style="337" customWidth="1"/>
    <col min="15370" max="15370" width="13.7109375" style="337" customWidth="1"/>
    <col min="15371" max="15612" width="13.7109375" style="337"/>
    <col min="15613" max="15613" width="22.140625" style="337" customWidth="1"/>
    <col min="15614" max="15620" width="13.7109375" style="337" customWidth="1"/>
    <col min="15621" max="15621" width="15.85546875" style="337" customWidth="1"/>
    <col min="15622" max="15622" width="16.5703125" style="337" bestFit="1" customWidth="1"/>
    <col min="15623" max="15623" width="13.7109375" style="337" customWidth="1"/>
    <col min="15624" max="15624" width="17.140625" style="337" bestFit="1" customWidth="1"/>
    <col min="15625" max="15625" width="4" style="337" customWidth="1"/>
    <col min="15626" max="15626" width="13.7109375" style="337" customWidth="1"/>
    <col min="15627" max="15868" width="13.7109375" style="337"/>
    <col min="15869" max="15869" width="22.140625" style="337" customWidth="1"/>
    <col min="15870" max="15876" width="13.7109375" style="337" customWidth="1"/>
    <col min="15877" max="15877" width="15.85546875" style="337" customWidth="1"/>
    <col min="15878" max="15878" width="16.5703125" style="337" bestFit="1" customWidth="1"/>
    <col min="15879" max="15879" width="13.7109375" style="337" customWidth="1"/>
    <col min="15880" max="15880" width="17.140625" style="337" bestFit="1" customWidth="1"/>
    <col min="15881" max="15881" width="4" style="337" customWidth="1"/>
    <col min="15882" max="15882" width="13.7109375" style="337" customWidth="1"/>
    <col min="15883" max="16124" width="13.7109375" style="337"/>
    <col min="16125" max="16125" width="22.140625" style="337" customWidth="1"/>
    <col min="16126" max="16132" width="13.7109375" style="337" customWidth="1"/>
    <col min="16133" max="16133" width="15.85546875" style="337" customWidth="1"/>
    <col min="16134" max="16134" width="16.5703125" style="337" bestFit="1" customWidth="1"/>
    <col min="16135" max="16135" width="13.7109375" style="337" customWidth="1"/>
    <col min="16136" max="16136" width="17.140625" style="337" bestFit="1" customWidth="1"/>
    <col min="16137" max="16137" width="4" style="337" customWidth="1"/>
    <col min="16138" max="16138" width="13.7109375" style="337" customWidth="1"/>
    <col min="16139" max="16384" width="13.7109375" style="337"/>
  </cols>
  <sheetData>
    <row r="1" spans="1:31" s="327" customFormat="1">
      <c r="A1" s="408" t="s">
        <v>25</v>
      </c>
      <c r="B1" s="325"/>
      <c r="C1" s="325"/>
      <c r="D1" s="2"/>
      <c r="E1" s="326"/>
      <c r="F1" s="2"/>
      <c r="G1" s="2"/>
      <c r="H1" s="2"/>
      <c r="I1" s="2"/>
      <c r="J1" s="2"/>
    </row>
    <row r="2" spans="1:31" s="327" customFormat="1">
      <c r="A2" s="328"/>
      <c r="B2" s="325"/>
      <c r="C2" s="325"/>
      <c r="D2" s="2"/>
      <c r="E2" s="349" t="s">
        <v>160</v>
      </c>
      <c r="F2" s="349" t="s">
        <v>115</v>
      </c>
      <c r="G2" s="2"/>
      <c r="H2" s="2"/>
      <c r="I2" s="2"/>
      <c r="J2" s="2"/>
    </row>
    <row r="3" spans="1:31" s="327" customFormat="1" ht="17.25">
      <c r="A3" s="73" t="str">
        <f>'1-Contractblad totaal'!A3</f>
        <v>Naam opdrachtgever</v>
      </c>
      <c r="B3" s="74" t="str">
        <f>'1-Contractblad totaal'!B3</f>
        <v>GVB Veren</v>
      </c>
      <c r="C3" s="74"/>
      <c r="D3" s="2"/>
      <c r="E3" s="329" t="s">
        <v>162</v>
      </c>
      <c r="F3" s="422">
        <v>0</v>
      </c>
      <c r="G3" s="2"/>
      <c r="H3" s="2"/>
      <c r="I3" s="2"/>
      <c r="J3" s="2"/>
    </row>
    <row r="4" spans="1:31" s="327" customFormat="1" ht="17.25">
      <c r="A4" s="73" t="str">
        <f>'1-Contractblad totaal'!A4</f>
        <v>Calculatie onderdeel</v>
      </c>
      <c r="B4" s="74" t="str">
        <f ca="1">MID(CELL("bestandsnaam",$D$9),SEARCH("]",CELL("bestandsnaam",$D$9),1)+1,256)</f>
        <v>9-Glasbewassing</v>
      </c>
      <c r="C4" s="74"/>
      <c r="D4" s="2"/>
      <c r="E4" s="329" t="s">
        <v>161</v>
      </c>
      <c r="F4" s="422">
        <v>0</v>
      </c>
      <c r="G4" s="2"/>
      <c r="H4" s="2"/>
      <c r="I4" s="2"/>
      <c r="J4" s="2"/>
    </row>
    <row r="5" spans="1:31" s="327" customFormat="1" ht="17.25">
      <c r="A5" s="73" t="str">
        <f>'1-Contractblad totaal'!A5</f>
        <v>Gebouw/plaats</v>
      </c>
      <c r="B5" s="74" t="str">
        <f>'1-Contractblad totaal'!B5</f>
        <v>Amsterdam</v>
      </c>
      <c r="C5" s="74"/>
      <c r="D5" s="346"/>
      <c r="E5" s="329" t="s">
        <v>163</v>
      </c>
      <c r="F5" s="422">
        <v>0</v>
      </c>
      <c r="G5" s="2"/>
      <c r="H5" s="330"/>
      <c r="J5" s="331"/>
      <c r="K5" s="332"/>
      <c r="L5" s="331"/>
      <c r="M5" s="330"/>
      <c r="N5" s="331"/>
      <c r="O5" s="331"/>
      <c r="P5" s="330"/>
      <c r="Q5" s="331"/>
      <c r="R5" s="331"/>
      <c r="S5" s="330"/>
      <c r="T5" s="332"/>
      <c r="U5" s="331"/>
      <c r="V5" s="330"/>
      <c r="W5" s="331"/>
      <c r="X5" s="331"/>
      <c r="Y5" s="330"/>
      <c r="Z5" s="331"/>
      <c r="AA5" s="331"/>
      <c r="AB5" s="330"/>
      <c r="AC5" s="331"/>
      <c r="AD5" s="331"/>
      <c r="AE5" s="330"/>
    </row>
    <row r="6" spans="1:31" s="327" customFormat="1" ht="17.25" customHeight="1">
      <c r="A6" s="73" t="str">
        <f>'1-Contractblad totaal'!A6</f>
        <v>Referentie nummer</v>
      </c>
      <c r="B6" s="74" t="str">
        <f>'1-Contractblad totaal'!B6</f>
        <v>2021-42a</v>
      </c>
      <c r="C6" s="74"/>
      <c r="D6" s="346"/>
      <c r="E6" s="326"/>
      <c r="F6" s="2"/>
      <c r="G6" s="2"/>
      <c r="H6" s="330"/>
      <c r="J6" s="333"/>
      <c r="K6" s="332"/>
      <c r="L6" s="333"/>
      <c r="M6" s="334"/>
      <c r="N6" s="331"/>
      <c r="O6" s="333"/>
      <c r="P6" s="334"/>
      <c r="Q6" s="331"/>
      <c r="R6" s="333"/>
      <c r="S6" s="334"/>
      <c r="T6" s="332"/>
      <c r="U6" s="333"/>
      <c r="V6" s="334"/>
      <c r="W6" s="331"/>
      <c r="X6" s="333"/>
      <c r="Y6" s="334"/>
      <c r="Z6" s="331"/>
      <c r="AA6" s="333"/>
      <c r="AB6" s="334"/>
      <c r="AC6" s="331"/>
      <c r="AD6" s="333"/>
      <c r="AE6" s="334"/>
    </row>
    <row r="7" spans="1:31" s="327" customFormat="1" ht="17.25" customHeight="1">
      <c r="A7" s="73" t="str">
        <f>'1-Contractblad totaal'!A8</f>
        <v>Naam dienstverlener</v>
      </c>
      <c r="B7" s="629">
        <f>'1-Contractblad totaal'!B8</f>
        <v>0</v>
      </c>
      <c r="C7" s="288"/>
      <c r="D7" s="347"/>
      <c r="E7" s="326"/>
      <c r="F7" s="2"/>
      <c r="G7" s="2"/>
      <c r="H7" s="330"/>
      <c r="I7" s="330"/>
      <c r="J7" s="330"/>
      <c r="K7" s="330"/>
      <c r="L7" s="330"/>
      <c r="M7" s="330"/>
      <c r="N7" s="330"/>
    </row>
    <row r="8" spans="1:31" s="327" customFormat="1" ht="17.25" customHeight="1">
      <c r="A8" s="73" t="str">
        <f>'1-Contractblad totaal'!A9</f>
        <v>Prijspeil</v>
      </c>
      <c r="B8" s="100">
        <f>'1-Contractblad totaal'!B9</f>
        <v>45017</v>
      </c>
      <c r="C8" s="100"/>
      <c r="D8" s="348"/>
      <c r="E8" s="326"/>
      <c r="F8" s="2"/>
      <c r="G8" s="2"/>
      <c r="H8" s="330"/>
    </row>
    <row r="9" spans="1:31" s="327" customFormat="1" ht="17.25" customHeight="1">
      <c r="D9" s="348"/>
      <c r="E9" s="326"/>
      <c r="F9" s="2"/>
      <c r="G9" s="2"/>
      <c r="H9" s="330"/>
    </row>
    <row r="10" spans="1:31" s="327" customFormat="1" ht="17.25" customHeight="1">
      <c r="D10" s="348"/>
      <c r="E10" s="326"/>
      <c r="F10" s="2"/>
      <c r="G10" s="2"/>
      <c r="H10" s="330"/>
    </row>
    <row r="11" spans="1:31" s="327" customFormat="1" ht="15.75">
      <c r="A11" s="335"/>
      <c r="E11" s="336"/>
      <c r="F11" s="331"/>
      <c r="G11" s="331"/>
      <c r="H11" s="330"/>
    </row>
    <row r="12" spans="1:31" s="443" customFormat="1" ht="43.5" customHeight="1">
      <c r="A12" s="441" t="s">
        <v>105</v>
      </c>
      <c r="B12" s="442" t="s">
        <v>160</v>
      </c>
      <c r="C12" s="444" t="s">
        <v>195</v>
      </c>
      <c r="D12" s="349" t="s">
        <v>164</v>
      </c>
      <c r="E12" s="442" t="s">
        <v>107</v>
      </c>
      <c r="F12" s="442" t="s">
        <v>58</v>
      </c>
      <c r="G12" s="442" t="s">
        <v>196</v>
      </c>
      <c r="H12" s="442" t="s">
        <v>165</v>
      </c>
      <c r="I12" s="442" t="s">
        <v>166</v>
      </c>
      <c r="J12" s="442" t="s">
        <v>167</v>
      </c>
    </row>
    <row r="13" spans="1:31">
      <c r="A13" s="338" t="s">
        <v>230</v>
      </c>
      <c r="B13" s="329" t="s">
        <v>162</v>
      </c>
      <c r="C13" s="329"/>
      <c r="D13" s="426">
        <v>200</v>
      </c>
      <c r="E13" s="339">
        <f>D13*G13</f>
        <v>0</v>
      </c>
      <c r="F13" s="340" t="s">
        <v>168</v>
      </c>
      <c r="G13" s="440">
        <f>VLOOKUP(B13,$E$3:$F$10,2,FALSE)</f>
        <v>0</v>
      </c>
      <c r="H13" s="339">
        <f t="shared" ref="H13:H15" si="0">F13*E13</f>
        <v>0</v>
      </c>
      <c r="I13" s="418"/>
      <c r="J13" s="341">
        <f t="shared" ref="J13:J15" si="1">H13+I13</f>
        <v>0</v>
      </c>
    </row>
    <row r="14" spans="1:31">
      <c r="A14" s="338" t="s">
        <v>230</v>
      </c>
      <c r="B14" s="329" t="s">
        <v>161</v>
      </c>
      <c r="C14" s="329"/>
      <c r="D14" s="426">
        <v>200</v>
      </c>
      <c r="E14" s="339">
        <f t="shared" ref="E14:E15" si="2">D14*G14</f>
        <v>0</v>
      </c>
      <c r="F14" s="340" t="s">
        <v>168</v>
      </c>
      <c r="G14" s="440">
        <f t="shared" ref="G14" si="3">VLOOKUP(B14,$E$3:$F$10,2,FALSE)</f>
        <v>0</v>
      </c>
      <c r="H14" s="339">
        <f t="shared" si="0"/>
        <v>0</v>
      </c>
      <c r="I14" s="418"/>
      <c r="J14" s="341">
        <f t="shared" si="1"/>
        <v>0</v>
      </c>
    </row>
    <row r="15" spans="1:31">
      <c r="A15" s="338" t="s">
        <v>230</v>
      </c>
      <c r="B15" s="329" t="s">
        <v>163</v>
      </c>
      <c r="C15" s="342"/>
      <c r="D15" s="426">
        <v>75</v>
      </c>
      <c r="E15" s="339">
        <f t="shared" si="2"/>
        <v>0</v>
      </c>
      <c r="F15" s="340" t="s">
        <v>168</v>
      </c>
      <c r="G15" s="440">
        <f>VLOOKUP(E5,$E$3:$F$10,2,FALSE)</f>
        <v>0</v>
      </c>
      <c r="H15" s="339">
        <f t="shared" si="0"/>
        <v>0</v>
      </c>
      <c r="I15" s="418"/>
      <c r="J15" s="341">
        <f t="shared" si="1"/>
        <v>0</v>
      </c>
    </row>
    <row r="16" spans="1:31">
      <c r="B16" s="337"/>
      <c r="C16" s="337"/>
      <c r="E16" s="337"/>
      <c r="F16" s="337"/>
      <c r="G16" s="337"/>
      <c r="H16" s="337"/>
      <c r="J16" s="337"/>
    </row>
    <row r="17" spans="1:10">
      <c r="A17" s="429" t="s">
        <v>8</v>
      </c>
      <c r="B17" s="430"/>
      <c r="C17" s="434"/>
      <c r="D17" s="431">
        <f>SUM(D13:D15)</f>
        <v>475</v>
      </c>
      <c r="E17" s="433"/>
      <c r="F17" s="434"/>
      <c r="G17" s="430"/>
      <c r="H17" s="432">
        <f>SUM(H13:H15)</f>
        <v>0</v>
      </c>
      <c r="I17" s="428">
        <f>SUM(I13:I15)</f>
        <v>0</v>
      </c>
      <c r="J17" s="428">
        <f>SUM(J13:J15)</f>
        <v>0</v>
      </c>
    </row>
  </sheetData>
  <autoFilter ref="A12:AE17" xr:uid="{00000000-0009-0000-0000-00000A000000}"/>
  <printOptions horizontalCentered="1"/>
  <pageMargins left="0.7" right="0.7" top="0.75" bottom="0.75" header="0.3" footer="0.3"/>
  <pageSetup paperSize="9" scale="80" fitToHeight="0" orientation="landscape" r:id="rId1"/>
  <headerFooter alignWithMargins="0">
    <oddFooter>&amp;L&amp;F-&amp;A
Atir b.v. ©&amp;Rprintversie &amp;D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Q33"/>
  <sheetViews>
    <sheetView showGridLines="0" zoomScale="85" zoomScaleNormal="85"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2" width="35.7109375" style="327" bestFit="1" customWidth="1"/>
    <col min="3" max="3" width="23.7109375" style="327" customWidth="1"/>
    <col min="4" max="12" width="12.85546875" style="327" customWidth="1"/>
    <col min="13" max="13" width="1.7109375" style="327" customWidth="1"/>
    <col min="14" max="14" width="12.85546875" style="327" customWidth="1"/>
    <col min="15" max="15" width="1.5703125" style="327" customWidth="1"/>
    <col min="16" max="17" width="12.85546875" style="327" customWidth="1"/>
    <col min="18" max="16384" width="9.140625" style="327"/>
  </cols>
  <sheetData>
    <row r="1" spans="1:17">
      <c r="A1" s="350"/>
      <c r="B1" s="350"/>
      <c r="C1" s="350"/>
    </row>
    <row r="2" spans="1:17" ht="17.25">
      <c r="A2" s="367" t="str">
        <f>'1-Contractblad totaal'!A3</f>
        <v>Naam opdrachtgever</v>
      </c>
      <c r="B2" s="368" t="str">
        <f>'1-Contractblad totaal'!B3</f>
        <v>GVB Veren</v>
      </c>
    </row>
    <row r="3" spans="1:17" ht="17.25">
      <c r="A3" s="367" t="str">
        <f>'1-Contractblad totaal'!A4</f>
        <v>Calculatie onderdeel</v>
      </c>
      <c r="B3" s="130" t="str">
        <f ca="1">MID(CELL("bestandsnaam",$D$9),SEARCH("]",CELL("bestandsnaam",$D$9),1)+1,256)</f>
        <v>10-Machinekosten</v>
      </c>
    </row>
    <row r="4" spans="1:17" ht="17.25">
      <c r="A4" s="367" t="str">
        <f>'1-Contractblad totaal'!A5</f>
        <v>Gebouw/plaats</v>
      </c>
      <c r="B4" s="368" t="str">
        <f>'1-Contractblad totaal'!B5</f>
        <v>Amsterdam</v>
      </c>
    </row>
    <row r="5" spans="1:17" ht="17.25">
      <c r="A5" s="367" t="str">
        <f>'1-Contractblad totaal'!A6</f>
        <v>Referentie nummer</v>
      </c>
      <c r="B5" s="368" t="str">
        <f>'1-Contractblad totaal'!B6</f>
        <v>2021-42a</v>
      </c>
    </row>
    <row r="6" spans="1:17" ht="17.25">
      <c r="A6" s="367" t="str">
        <f>'1-Contractblad totaal'!A8</f>
        <v>Naam dienstverlener</v>
      </c>
      <c r="B6" s="368">
        <f>'1-Contractblad totaal'!B8</f>
        <v>0</v>
      </c>
    </row>
    <row r="7" spans="1:17" ht="15.75">
      <c r="A7" s="367" t="str">
        <f>'1-Contractblad totaal'!A9</f>
        <v>Prijspeil</v>
      </c>
      <c r="B7" s="100">
        <f>'1-Contractblad totaal'!B9</f>
        <v>45017</v>
      </c>
    </row>
    <row r="8" spans="1:17" ht="15.75">
      <c r="A8" s="367"/>
    </row>
    <row r="9" spans="1:17" ht="15.75">
      <c r="A9" s="351"/>
      <c r="B9" s="351"/>
      <c r="C9" s="352"/>
    </row>
    <row r="10" spans="1:17" s="353" customFormat="1" ht="58.5" customHeight="1">
      <c r="A10" s="147" t="s">
        <v>86</v>
      </c>
      <c r="B10" s="147" t="s">
        <v>105</v>
      </c>
      <c r="C10" s="147" t="s">
        <v>87</v>
      </c>
      <c r="D10" s="147" t="s">
        <v>153</v>
      </c>
      <c r="E10" s="147" t="s">
        <v>40</v>
      </c>
      <c r="F10" s="147" t="s">
        <v>154</v>
      </c>
      <c r="G10" s="147" t="s">
        <v>155</v>
      </c>
      <c r="H10" s="147" t="s">
        <v>63</v>
      </c>
      <c r="I10" s="147" t="s">
        <v>156</v>
      </c>
      <c r="J10" s="147" t="s">
        <v>157</v>
      </c>
      <c r="K10" s="147" t="s">
        <v>46</v>
      </c>
      <c r="L10" s="147" t="s">
        <v>158</v>
      </c>
      <c r="M10" s="327"/>
      <c r="N10" s="147" t="s">
        <v>159</v>
      </c>
      <c r="O10" s="327"/>
      <c r="P10" s="147" t="s">
        <v>24</v>
      </c>
      <c r="Q10" s="147" t="s">
        <v>108</v>
      </c>
    </row>
    <row r="11" spans="1:17">
      <c r="D11" s="354"/>
      <c r="E11" s="354"/>
      <c r="F11" s="355"/>
      <c r="G11" s="354"/>
      <c r="H11" s="354"/>
      <c r="J11" s="427">
        <v>0</v>
      </c>
      <c r="K11" s="427">
        <v>0</v>
      </c>
      <c r="L11" s="427">
        <v>0</v>
      </c>
      <c r="N11" s="356"/>
      <c r="P11" s="355"/>
    </row>
    <row r="12" spans="1:17">
      <c r="A12" s="419"/>
      <c r="B12" s="419"/>
      <c r="C12" s="420"/>
      <c r="D12" s="421">
        <v>0</v>
      </c>
      <c r="E12" s="421">
        <v>0</v>
      </c>
      <c r="F12" s="357">
        <f>D12-E12</f>
        <v>0</v>
      </c>
      <c r="G12" s="417">
        <v>0</v>
      </c>
      <c r="H12" s="421">
        <v>0</v>
      </c>
      <c r="I12" s="358">
        <f>IF(G12=0,0,(F12-H12)/G12)</f>
        <v>0</v>
      </c>
      <c r="J12" s="359">
        <f>D12*$J$11</f>
        <v>0</v>
      </c>
      <c r="K12" s="358">
        <f>D12*$K$11</f>
        <v>0</v>
      </c>
      <c r="L12" s="360">
        <f>$L$11*D12</f>
        <v>0</v>
      </c>
      <c r="N12" s="361">
        <f>SUM(I12:L12)</f>
        <v>0</v>
      </c>
      <c r="P12" s="417">
        <v>0</v>
      </c>
      <c r="Q12" s="358">
        <f t="shared" ref="Q12:Q28" si="0">N12*P12</f>
        <v>0</v>
      </c>
    </row>
    <row r="13" spans="1:17">
      <c r="A13" s="419"/>
      <c r="B13" s="419"/>
      <c r="C13" s="420"/>
      <c r="D13" s="421">
        <v>0</v>
      </c>
      <c r="E13" s="421">
        <v>0</v>
      </c>
      <c r="F13" s="357">
        <f>D13-E13</f>
        <v>0</v>
      </c>
      <c r="G13" s="417">
        <v>0</v>
      </c>
      <c r="H13" s="421">
        <v>0</v>
      </c>
      <c r="I13" s="358">
        <f>IF(G13=0,0,(F13-H13)/G13)</f>
        <v>0</v>
      </c>
      <c r="J13" s="359">
        <f>D13*$J$11</f>
        <v>0</v>
      </c>
      <c r="K13" s="358">
        <f>D13*$K$11</f>
        <v>0</v>
      </c>
      <c r="L13" s="360">
        <f>$L$11*D13</f>
        <v>0</v>
      </c>
      <c r="N13" s="361">
        <f>SUM(I13:L13)</f>
        <v>0</v>
      </c>
      <c r="P13" s="417">
        <v>0</v>
      </c>
      <c r="Q13" s="358">
        <f t="shared" ref="Q13" si="1">N13*P13</f>
        <v>0</v>
      </c>
    </row>
    <row r="14" spans="1:17">
      <c r="A14" s="419"/>
      <c r="B14" s="419"/>
      <c r="C14" s="420"/>
      <c r="D14" s="421">
        <v>0</v>
      </c>
      <c r="E14" s="421">
        <v>0</v>
      </c>
      <c r="F14" s="357">
        <f>D14-E14</f>
        <v>0</v>
      </c>
      <c r="G14" s="417">
        <v>0</v>
      </c>
      <c r="H14" s="421">
        <v>0</v>
      </c>
      <c r="I14" s="358">
        <f>IF(G14=0,0,(F14-H14)/G14)</f>
        <v>0</v>
      </c>
      <c r="J14" s="359">
        <f>D14*$J$11</f>
        <v>0</v>
      </c>
      <c r="K14" s="358">
        <f>D14*$K$11</f>
        <v>0</v>
      </c>
      <c r="L14" s="360">
        <f>$L$11*D14</f>
        <v>0</v>
      </c>
      <c r="N14" s="361">
        <f>SUM(I14:L14)</f>
        <v>0</v>
      </c>
      <c r="P14" s="417">
        <v>0</v>
      </c>
      <c r="Q14" s="358">
        <f t="shared" si="0"/>
        <v>0</v>
      </c>
    </row>
    <row r="15" spans="1:17">
      <c r="A15" s="419"/>
      <c r="B15" s="419"/>
      <c r="C15" s="420"/>
      <c r="D15" s="421">
        <v>0</v>
      </c>
      <c r="E15" s="421">
        <v>0</v>
      </c>
      <c r="F15" s="357">
        <f t="shared" ref="F15:F17" si="2">D15-E15</f>
        <v>0</v>
      </c>
      <c r="G15" s="417">
        <v>0</v>
      </c>
      <c r="H15" s="421">
        <v>0</v>
      </c>
      <c r="I15" s="358">
        <f t="shared" ref="I15:I17" si="3">IF(G15=0,0,(F15-H15)/G15)</f>
        <v>0</v>
      </c>
      <c r="J15" s="359">
        <f t="shared" ref="J15:J17" si="4">D15*$J$11</f>
        <v>0</v>
      </c>
      <c r="K15" s="358">
        <f t="shared" ref="K15:K17" si="5">D15*$K$11</f>
        <v>0</v>
      </c>
      <c r="L15" s="360">
        <f t="shared" ref="L15:L17" si="6">$L$11*D15</f>
        <v>0</v>
      </c>
      <c r="N15" s="361">
        <f t="shared" ref="N15:N17" si="7">SUM(I15:L15)</f>
        <v>0</v>
      </c>
      <c r="P15" s="417">
        <v>0</v>
      </c>
      <c r="Q15" s="358">
        <f t="shared" si="0"/>
        <v>0</v>
      </c>
    </row>
    <row r="16" spans="1:17">
      <c r="A16" s="419"/>
      <c r="B16" s="419"/>
      <c r="C16" s="420"/>
      <c r="D16" s="421">
        <v>0</v>
      </c>
      <c r="E16" s="421">
        <v>0</v>
      </c>
      <c r="F16" s="357">
        <f t="shared" si="2"/>
        <v>0</v>
      </c>
      <c r="G16" s="417">
        <v>0</v>
      </c>
      <c r="H16" s="421">
        <v>0</v>
      </c>
      <c r="I16" s="358">
        <f t="shared" si="3"/>
        <v>0</v>
      </c>
      <c r="J16" s="359">
        <f t="shared" si="4"/>
        <v>0</v>
      </c>
      <c r="K16" s="358">
        <f t="shared" si="5"/>
        <v>0</v>
      </c>
      <c r="L16" s="360">
        <f t="shared" si="6"/>
        <v>0</v>
      </c>
      <c r="N16" s="361">
        <f t="shared" si="7"/>
        <v>0</v>
      </c>
      <c r="P16" s="417">
        <v>0</v>
      </c>
      <c r="Q16" s="358">
        <f t="shared" si="0"/>
        <v>0</v>
      </c>
    </row>
    <row r="17" spans="1:17">
      <c r="A17" s="419"/>
      <c r="B17" s="419"/>
      <c r="C17" s="420"/>
      <c r="D17" s="421">
        <v>0</v>
      </c>
      <c r="E17" s="421">
        <v>0</v>
      </c>
      <c r="F17" s="357">
        <f t="shared" si="2"/>
        <v>0</v>
      </c>
      <c r="G17" s="417">
        <v>0</v>
      </c>
      <c r="H17" s="421">
        <v>0</v>
      </c>
      <c r="I17" s="358">
        <f t="shared" si="3"/>
        <v>0</v>
      </c>
      <c r="J17" s="359">
        <f t="shared" si="4"/>
        <v>0</v>
      </c>
      <c r="K17" s="358">
        <f t="shared" si="5"/>
        <v>0</v>
      </c>
      <c r="L17" s="360">
        <f t="shared" si="6"/>
        <v>0</v>
      </c>
      <c r="N17" s="361">
        <f t="shared" si="7"/>
        <v>0</v>
      </c>
      <c r="P17" s="417">
        <v>0</v>
      </c>
      <c r="Q17" s="358">
        <f t="shared" si="0"/>
        <v>0</v>
      </c>
    </row>
    <row r="18" spans="1:17">
      <c r="A18" s="419"/>
      <c r="B18" s="419"/>
      <c r="C18" s="420"/>
      <c r="D18" s="421">
        <v>0</v>
      </c>
      <c r="E18" s="421">
        <v>0</v>
      </c>
      <c r="F18" s="357">
        <f t="shared" ref="F18:F31" si="8">D18-E18</f>
        <v>0</v>
      </c>
      <c r="G18" s="417">
        <v>0</v>
      </c>
      <c r="H18" s="421">
        <v>0</v>
      </c>
      <c r="I18" s="358">
        <f t="shared" ref="I18:I31" si="9">IF(G18=0,0,(F18-H18)/G18)</f>
        <v>0</v>
      </c>
      <c r="J18" s="359">
        <f t="shared" ref="J18:J31" si="10">D18*$J$11</f>
        <v>0</v>
      </c>
      <c r="K18" s="358">
        <f t="shared" ref="K18:K31" si="11">D18*$K$11</f>
        <v>0</v>
      </c>
      <c r="L18" s="360">
        <f t="shared" ref="L18:L31" si="12">$L$11*D18</f>
        <v>0</v>
      </c>
      <c r="N18" s="361">
        <f t="shared" ref="N18:N31" si="13">SUM(I18:L18)</f>
        <v>0</v>
      </c>
      <c r="P18" s="417">
        <v>0</v>
      </c>
      <c r="Q18" s="358">
        <f t="shared" si="0"/>
        <v>0</v>
      </c>
    </row>
    <row r="19" spans="1:17">
      <c r="A19" s="419"/>
      <c r="B19" s="419"/>
      <c r="C19" s="420"/>
      <c r="D19" s="421">
        <v>0</v>
      </c>
      <c r="E19" s="421">
        <v>0</v>
      </c>
      <c r="F19" s="357">
        <f t="shared" si="8"/>
        <v>0</v>
      </c>
      <c r="G19" s="417">
        <v>0</v>
      </c>
      <c r="H19" s="421">
        <v>0</v>
      </c>
      <c r="I19" s="358">
        <f t="shared" si="9"/>
        <v>0</v>
      </c>
      <c r="J19" s="359">
        <f t="shared" si="10"/>
        <v>0</v>
      </c>
      <c r="K19" s="358">
        <f t="shared" si="11"/>
        <v>0</v>
      </c>
      <c r="L19" s="360">
        <f t="shared" si="12"/>
        <v>0</v>
      </c>
      <c r="N19" s="361">
        <f t="shared" si="13"/>
        <v>0</v>
      </c>
      <c r="P19" s="417">
        <v>0</v>
      </c>
      <c r="Q19" s="358">
        <f t="shared" si="0"/>
        <v>0</v>
      </c>
    </row>
    <row r="20" spans="1:17">
      <c r="A20" s="419"/>
      <c r="B20" s="419"/>
      <c r="C20" s="420"/>
      <c r="D20" s="421">
        <v>0</v>
      </c>
      <c r="E20" s="421">
        <v>0</v>
      </c>
      <c r="F20" s="357">
        <f t="shared" si="8"/>
        <v>0</v>
      </c>
      <c r="G20" s="417">
        <v>0</v>
      </c>
      <c r="H20" s="421">
        <v>0</v>
      </c>
      <c r="I20" s="358">
        <f t="shared" si="9"/>
        <v>0</v>
      </c>
      <c r="J20" s="359">
        <f t="shared" si="10"/>
        <v>0</v>
      </c>
      <c r="K20" s="358">
        <f t="shared" si="11"/>
        <v>0</v>
      </c>
      <c r="L20" s="360">
        <f t="shared" si="12"/>
        <v>0</v>
      </c>
      <c r="N20" s="361">
        <f t="shared" si="13"/>
        <v>0</v>
      </c>
      <c r="P20" s="417">
        <v>0</v>
      </c>
      <c r="Q20" s="358">
        <f t="shared" si="0"/>
        <v>0</v>
      </c>
    </row>
    <row r="21" spans="1:17">
      <c r="A21" s="419"/>
      <c r="B21" s="419"/>
      <c r="C21" s="420"/>
      <c r="D21" s="421">
        <v>0</v>
      </c>
      <c r="E21" s="421">
        <v>0</v>
      </c>
      <c r="F21" s="357">
        <f t="shared" si="8"/>
        <v>0</v>
      </c>
      <c r="G21" s="417">
        <v>0</v>
      </c>
      <c r="H21" s="421">
        <v>0</v>
      </c>
      <c r="I21" s="358">
        <f t="shared" si="9"/>
        <v>0</v>
      </c>
      <c r="J21" s="359">
        <f t="shared" si="10"/>
        <v>0</v>
      </c>
      <c r="K21" s="358">
        <f t="shared" si="11"/>
        <v>0</v>
      </c>
      <c r="L21" s="360">
        <f t="shared" si="12"/>
        <v>0</v>
      </c>
      <c r="N21" s="361">
        <f t="shared" si="13"/>
        <v>0</v>
      </c>
      <c r="P21" s="417">
        <v>0</v>
      </c>
      <c r="Q21" s="358">
        <f t="shared" si="0"/>
        <v>0</v>
      </c>
    </row>
    <row r="22" spans="1:17">
      <c r="A22" s="419"/>
      <c r="B22" s="419"/>
      <c r="C22" s="420"/>
      <c r="D22" s="421">
        <v>0</v>
      </c>
      <c r="E22" s="421">
        <v>0</v>
      </c>
      <c r="F22" s="357">
        <f t="shared" ref="F22" si="14">D22-E22</f>
        <v>0</v>
      </c>
      <c r="G22" s="417">
        <v>0</v>
      </c>
      <c r="H22" s="421">
        <v>0</v>
      </c>
      <c r="I22" s="358">
        <f t="shared" ref="I22" si="15">IF(G22=0,0,(F22-H22)/G22)</f>
        <v>0</v>
      </c>
      <c r="J22" s="359">
        <f t="shared" ref="J22" si="16">D22*$J$11</f>
        <v>0</v>
      </c>
      <c r="K22" s="358">
        <f t="shared" ref="K22" si="17">D22*$K$11</f>
        <v>0</v>
      </c>
      <c r="L22" s="360">
        <f t="shared" ref="L22" si="18">$L$11*D22</f>
        <v>0</v>
      </c>
      <c r="N22" s="361">
        <f t="shared" ref="N22" si="19">SUM(I22:L22)</f>
        <v>0</v>
      </c>
      <c r="P22" s="417">
        <v>0</v>
      </c>
      <c r="Q22" s="358">
        <f t="shared" si="0"/>
        <v>0</v>
      </c>
    </row>
    <row r="23" spans="1:17">
      <c r="A23" s="419"/>
      <c r="B23" s="419"/>
      <c r="C23" s="420"/>
      <c r="D23" s="421">
        <v>0</v>
      </c>
      <c r="E23" s="421">
        <v>0</v>
      </c>
      <c r="F23" s="357">
        <f t="shared" si="8"/>
        <v>0</v>
      </c>
      <c r="G23" s="417">
        <v>0</v>
      </c>
      <c r="H23" s="421">
        <v>0</v>
      </c>
      <c r="I23" s="358">
        <f t="shared" si="9"/>
        <v>0</v>
      </c>
      <c r="J23" s="359">
        <f t="shared" si="10"/>
        <v>0</v>
      </c>
      <c r="K23" s="358">
        <f t="shared" si="11"/>
        <v>0</v>
      </c>
      <c r="L23" s="360">
        <f t="shared" si="12"/>
        <v>0</v>
      </c>
      <c r="N23" s="361">
        <f t="shared" si="13"/>
        <v>0</v>
      </c>
      <c r="P23" s="417">
        <v>0</v>
      </c>
      <c r="Q23" s="358">
        <f t="shared" si="0"/>
        <v>0</v>
      </c>
    </row>
    <row r="24" spans="1:17">
      <c r="A24" s="419"/>
      <c r="B24" s="419"/>
      <c r="C24" s="420"/>
      <c r="D24" s="421">
        <v>0</v>
      </c>
      <c r="E24" s="421">
        <v>0</v>
      </c>
      <c r="F24" s="357">
        <f t="shared" ref="F24" si="20">D24-E24</f>
        <v>0</v>
      </c>
      <c r="G24" s="417">
        <v>0</v>
      </c>
      <c r="H24" s="421">
        <v>0</v>
      </c>
      <c r="I24" s="358">
        <f t="shared" ref="I24" si="21">IF(G24=0,0,(F24-H24)/G24)</f>
        <v>0</v>
      </c>
      <c r="J24" s="359">
        <f t="shared" ref="J24" si="22">D24*$J$11</f>
        <v>0</v>
      </c>
      <c r="K24" s="358">
        <f t="shared" ref="K24" si="23">D24*$K$11</f>
        <v>0</v>
      </c>
      <c r="L24" s="360">
        <f t="shared" ref="L24" si="24">$L$11*D24</f>
        <v>0</v>
      </c>
      <c r="N24" s="361">
        <f t="shared" ref="N24" si="25">SUM(I24:L24)</f>
        <v>0</v>
      </c>
      <c r="P24" s="417">
        <v>0</v>
      </c>
      <c r="Q24" s="358">
        <f t="shared" si="0"/>
        <v>0</v>
      </c>
    </row>
    <row r="25" spans="1:17">
      <c r="A25" s="419"/>
      <c r="B25" s="419"/>
      <c r="C25" s="420"/>
      <c r="D25" s="421">
        <v>0</v>
      </c>
      <c r="E25" s="421">
        <v>0</v>
      </c>
      <c r="F25" s="357">
        <f t="shared" si="8"/>
        <v>0</v>
      </c>
      <c r="G25" s="417">
        <v>0</v>
      </c>
      <c r="H25" s="421">
        <v>0</v>
      </c>
      <c r="I25" s="358">
        <f t="shared" si="9"/>
        <v>0</v>
      </c>
      <c r="J25" s="359">
        <f t="shared" si="10"/>
        <v>0</v>
      </c>
      <c r="K25" s="358">
        <f t="shared" si="11"/>
        <v>0</v>
      </c>
      <c r="L25" s="360">
        <f t="shared" si="12"/>
        <v>0</v>
      </c>
      <c r="N25" s="361">
        <f t="shared" si="13"/>
        <v>0</v>
      </c>
      <c r="P25" s="417">
        <v>0</v>
      </c>
      <c r="Q25" s="358">
        <f t="shared" si="0"/>
        <v>0</v>
      </c>
    </row>
    <row r="26" spans="1:17">
      <c r="A26" s="419"/>
      <c r="B26" s="419"/>
      <c r="C26" s="420"/>
      <c r="D26" s="421">
        <v>0</v>
      </c>
      <c r="E26" s="421">
        <v>0</v>
      </c>
      <c r="F26" s="357">
        <f t="shared" ref="F26" si="26">D26-E26</f>
        <v>0</v>
      </c>
      <c r="G26" s="417">
        <v>0</v>
      </c>
      <c r="H26" s="421">
        <v>0</v>
      </c>
      <c r="I26" s="358">
        <f t="shared" ref="I26" si="27">IF(G26=0,0,(F26-H26)/G26)</f>
        <v>0</v>
      </c>
      <c r="J26" s="359">
        <f t="shared" ref="J26" si="28">D26*$J$11</f>
        <v>0</v>
      </c>
      <c r="K26" s="358">
        <f t="shared" ref="K26" si="29">D26*$K$11</f>
        <v>0</v>
      </c>
      <c r="L26" s="360">
        <f t="shared" ref="L26" si="30">$L$11*D26</f>
        <v>0</v>
      </c>
      <c r="N26" s="361">
        <f t="shared" ref="N26" si="31">SUM(I26:L26)</f>
        <v>0</v>
      </c>
      <c r="P26" s="417">
        <v>0</v>
      </c>
      <c r="Q26" s="358">
        <f t="shared" si="0"/>
        <v>0</v>
      </c>
    </row>
    <row r="27" spans="1:17">
      <c r="A27" s="419"/>
      <c r="B27" s="419"/>
      <c r="C27" s="420"/>
      <c r="D27" s="421">
        <v>0</v>
      </c>
      <c r="E27" s="421">
        <v>0</v>
      </c>
      <c r="F27" s="357">
        <f t="shared" si="8"/>
        <v>0</v>
      </c>
      <c r="G27" s="417">
        <v>0</v>
      </c>
      <c r="H27" s="421">
        <v>0</v>
      </c>
      <c r="I27" s="358">
        <f t="shared" si="9"/>
        <v>0</v>
      </c>
      <c r="J27" s="359">
        <f t="shared" si="10"/>
        <v>0</v>
      </c>
      <c r="K27" s="358">
        <f t="shared" si="11"/>
        <v>0</v>
      </c>
      <c r="L27" s="360">
        <f t="shared" si="12"/>
        <v>0</v>
      </c>
      <c r="N27" s="361">
        <f t="shared" si="13"/>
        <v>0</v>
      </c>
      <c r="P27" s="417">
        <v>0</v>
      </c>
      <c r="Q27" s="358">
        <f t="shared" si="0"/>
        <v>0</v>
      </c>
    </row>
    <row r="28" spans="1:17">
      <c r="A28" s="419"/>
      <c r="B28" s="419"/>
      <c r="C28" s="420"/>
      <c r="D28" s="421">
        <v>0</v>
      </c>
      <c r="E28" s="421">
        <v>0</v>
      </c>
      <c r="F28" s="357">
        <f t="shared" si="8"/>
        <v>0</v>
      </c>
      <c r="G28" s="417">
        <v>0</v>
      </c>
      <c r="H28" s="421">
        <v>0</v>
      </c>
      <c r="I28" s="358">
        <f t="shared" si="9"/>
        <v>0</v>
      </c>
      <c r="J28" s="359">
        <f t="shared" si="10"/>
        <v>0</v>
      </c>
      <c r="K28" s="358">
        <f t="shared" si="11"/>
        <v>0</v>
      </c>
      <c r="L28" s="360">
        <f t="shared" si="12"/>
        <v>0</v>
      </c>
      <c r="N28" s="361">
        <f t="shared" si="13"/>
        <v>0</v>
      </c>
      <c r="P28" s="417">
        <v>0</v>
      </c>
      <c r="Q28" s="358">
        <f t="shared" si="0"/>
        <v>0</v>
      </c>
    </row>
    <row r="29" spans="1:17">
      <c r="A29" s="419"/>
      <c r="B29" s="419"/>
      <c r="C29" s="420"/>
      <c r="D29" s="421">
        <v>0</v>
      </c>
      <c r="E29" s="421">
        <v>0</v>
      </c>
      <c r="F29" s="357">
        <f t="shared" si="8"/>
        <v>0</v>
      </c>
      <c r="G29" s="417">
        <v>0</v>
      </c>
      <c r="H29" s="421">
        <v>0</v>
      </c>
      <c r="I29" s="358">
        <f t="shared" si="9"/>
        <v>0</v>
      </c>
      <c r="J29" s="359">
        <f t="shared" si="10"/>
        <v>0</v>
      </c>
      <c r="K29" s="358">
        <f t="shared" si="11"/>
        <v>0</v>
      </c>
      <c r="L29" s="360">
        <f t="shared" si="12"/>
        <v>0</v>
      </c>
      <c r="N29" s="361">
        <f t="shared" si="13"/>
        <v>0</v>
      </c>
      <c r="P29" s="417">
        <v>0</v>
      </c>
      <c r="Q29" s="358">
        <f t="shared" ref="Q29:Q31" si="32">N29*P29</f>
        <v>0</v>
      </c>
    </row>
    <row r="30" spans="1:17">
      <c r="A30" s="419"/>
      <c r="B30" s="419"/>
      <c r="C30" s="420"/>
      <c r="D30" s="421">
        <v>0</v>
      </c>
      <c r="E30" s="421">
        <v>0</v>
      </c>
      <c r="F30" s="357">
        <f t="shared" si="8"/>
        <v>0</v>
      </c>
      <c r="G30" s="417">
        <v>0</v>
      </c>
      <c r="H30" s="421">
        <v>0</v>
      </c>
      <c r="I30" s="358">
        <f t="shared" si="9"/>
        <v>0</v>
      </c>
      <c r="J30" s="359">
        <f t="shared" si="10"/>
        <v>0</v>
      </c>
      <c r="K30" s="358">
        <f t="shared" si="11"/>
        <v>0</v>
      </c>
      <c r="L30" s="360">
        <f t="shared" si="12"/>
        <v>0</v>
      </c>
      <c r="N30" s="361">
        <f t="shared" si="13"/>
        <v>0</v>
      </c>
      <c r="P30" s="417">
        <v>0</v>
      </c>
      <c r="Q30" s="358">
        <f t="shared" si="32"/>
        <v>0</v>
      </c>
    </row>
    <row r="31" spans="1:17">
      <c r="A31" s="419"/>
      <c r="B31" s="419"/>
      <c r="C31" s="420"/>
      <c r="D31" s="421">
        <v>0</v>
      </c>
      <c r="E31" s="421">
        <v>0</v>
      </c>
      <c r="F31" s="357">
        <f t="shared" si="8"/>
        <v>0</v>
      </c>
      <c r="G31" s="417">
        <v>0</v>
      </c>
      <c r="H31" s="421">
        <v>0</v>
      </c>
      <c r="I31" s="358">
        <f t="shared" si="9"/>
        <v>0</v>
      </c>
      <c r="J31" s="359">
        <f t="shared" si="10"/>
        <v>0</v>
      </c>
      <c r="K31" s="358">
        <f t="shared" si="11"/>
        <v>0</v>
      </c>
      <c r="L31" s="360">
        <f t="shared" si="12"/>
        <v>0</v>
      </c>
      <c r="N31" s="361">
        <f t="shared" si="13"/>
        <v>0</v>
      </c>
      <c r="P31" s="417">
        <v>0</v>
      </c>
      <c r="Q31" s="358">
        <f t="shared" si="32"/>
        <v>0</v>
      </c>
    </row>
    <row r="33" spans="1:17">
      <c r="A33" s="362" t="s">
        <v>8</v>
      </c>
      <c r="B33" s="362"/>
      <c r="C33" s="363"/>
      <c r="D33" s="363"/>
      <c r="E33" s="363"/>
      <c r="F33" s="363"/>
      <c r="G33" s="363"/>
      <c r="H33" s="363"/>
      <c r="I33" s="363"/>
      <c r="J33" s="363"/>
      <c r="K33" s="363"/>
      <c r="L33" s="364"/>
      <c r="P33" s="365">
        <f>SUM(P12:P31)</f>
        <v>0</v>
      </c>
      <c r="Q33" s="366">
        <f>SUM(Q12:Q31)</f>
        <v>0</v>
      </c>
    </row>
  </sheetData>
  <pageMargins left="0.59729166666666667" right="0.7" top="0.75" bottom="0.75" header="0.3" footer="0.3"/>
  <pageSetup paperSize="9" scale="52" fitToHeight="0" orientation="landscape" r:id="rId1"/>
  <headerFooter>
    <oddFooter>&amp;L&amp;F-&amp;A
Atir b.v. ©&amp;Rprintversie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pageSetUpPr fitToPage="1"/>
  </sheetPr>
  <dimension ref="A1:L23"/>
  <sheetViews>
    <sheetView showGridLines="0" zoomScale="85" zoomScaleNormal="85" zoomScaleSheetLayoutView="100" zoomScalePageLayoutView="50" workbookViewId="0">
      <pane ySplit="11" topLeftCell="A12" activePane="bottomLeft" state="frozen"/>
      <selection activeCell="D33" sqref="D33"/>
      <selection pane="bottomLeft" activeCell="D7" sqref="D7"/>
    </sheetView>
  </sheetViews>
  <sheetFormatPr defaultColWidth="9.140625" defaultRowHeight="13.5"/>
  <cols>
    <col min="1" max="1" width="35.28515625" style="327" customWidth="1"/>
    <col min="2" max="2" width="31" style="327" customWidth="1"/>
    <col min="3" max="6" width="23.28515625" style="327" customWidth="1"/>
    <col min="7" max="7" width="12.42578125" style="327" bestFit="1" customWidth="1"/>
    <col min="8" max="16384" width="9.140625" style="327"/>
  </cols>
  <sheetData>
    <row r="1" spans="1:12">
      <c r="A1" s="416" t="s">
        <v>25</v>
      </c>
      <c r="B1" s="95"/>
      <c r="C1" s="95"/>
      <c r="D1" s="95"/>
      <c r="E1" s="95"/>
      <c r="F1" s="95"/>
      <c r="G1" s="95"/>
      <c r="H1" s="95"/>
      <c r="I1" s="95"/>
      <c r="J1" s="95"/>
    </row>
    <row r="2" spans="1:12">
      <c r="A2" s="529"/>
      <c r="B2" s="95"/>
      <c r="C2" s="95"/>
      <c r="D2" s="95"/>
      <c r="E2" s="530"/>
      <c r="F2" s="530"/>
      <c r="G2" s="530"/>
      <c r="H2" s="530"/>
      <c r="I2" s="95"/>
      <c r="J2" s="95"/>
    </row>
    <row r="3" spans="1:12">
      <c r="A3" s="90" t="str">
        <f>'1-Contractblad totaal'!A3</f>
        <v>Naam opdrachtgever</v>
      </c>
      <c r="B3" s="531" t="str">
        <f>'1-Contractblad totaal'!B3</f>
        <v>GVB Veren</v>
      </c>
      <c r="C3" s="530"/>
      <c r="D3" s="95"/>
      <c r="E3" s="95"/>
      <c r="F3" s="95"/>
      <c r="G3" s="530"/>
      <c r="H3" s="530"/>
      <c r="I3" s="509"/>
      <c r="J3" s="95"/>
    </row>
    <row r="4" spans="1:12">
      <c r="A4" s="90" t="str">
        <f>'1-Contractblad totaal'!A4</f>
        <v>Calculatie onderdeel</v>
      </c>
      <c r="B4" s="531" t="str">
        <f ca="1">MID(CELL("bestandsnaam",$C$8),SEARCH("]",CELL("bestandsnaam",$C$8),1)+1,256)</f>
        <v>11-Sanitaire artikelen</v>
      </c>
      <c r="C4" s="530"/>
      <c r="D4" s="95"/>
      <c r="E4" s="530"/>
      <c r="F4" s="530"/>
      <c r="G4" s="530"/>
      <c r="H4" s="530"/>
      <c r="I4" s="530"/>
      <c r="J4" s="530"/>
    </row>
    <row r="5" spans="1:12">
      <c r="A5" s="90" t="str">
        <f>'1-Contractblad totaal'!A5</f>
        <v>Gebouw/plaats</v>
      </c>
      <c r="B5" s="531" t="str">
        <f>'1-Contractblad totaal'!B5</f>
        <v>Amsterdam</v>
      </c>
      <c r="C5" s="530"/>
      <c r="D5" s="643"/>
      <c r="E5" s="95"/>
      <c r="F5" s="95"/>
      <c r="G5" s="530"/>
      <c r="H5" s="530"/>
      <c r="I5" s="530"/>
      <c r="J5" s="530"/>
    </row>
    <row r="6" spans="1:12">
      <c r="A6" s="90" t="str">
        <f>'1-Contractblad totaal'!A6</f>
        <v>Referentie nummer</v>
      </c>
      <c r="B6" s="531" t="str">
        <f>'1-Contractblad totaal'!B6</f>
        <v>2021-42a</v>
      </c>
      <c r="C6" s="530"/>
      <c r="D6" s="95"/>
      <c r="E6" s="530"/>
      <c r="F6" s="530"/>
      <c r="G6" s="530"/>
      <c r="H6" s="530"/>
      <c r="I6" s="530"/>
      <c r="J6" s="530"/>
    </row>
    <row r="7" spans="1:12">
      <c r="A7" s="90" t="str">
        <f>'1-Contractblad totaal'!A8</f>
        <v>Naam dienstverlener</v>
      </c>
      <c r="B7" s="531">
        <f>'1-Contractblad totaal'!B8</f>
        <v>0</v>
      </c>
      <c r="C7" s="530"/>
      <c r="D7" s="95"/>
      <c r="E7" s="95"/>
      <c r="F7" s="95"/>
      <c r="G7" s="510"/>
      <c r="H7" s="510"/>
      <c r="I7" s="510"/>
      <c r="J7" s="95"/>
    </row>
    <row r="8" spans="1:12">
      <c r="A8" s="90" t="str">
        <f>'1-Contractblad totaal'!A9</f>
        <v>Prijspeil</v>
      </c>
      <c r="B8" s="488">
        <f>'1-Contractblad totaal'!B9</f>
        <v>45017</v>
      </c>
      <c r="C8" s="530"/>
      <c r="D8" s="530"/>
      <c r="E8" s="530"/>
      <c r="F8" s="510"/>
      <c r="G8" s="510"/>
      <c r="H8" s="510"/>
      <c r="I8" s="510"/>
      <c r="J8" s="95"/>
    </row>
    <row r="9" spans="1:12">
      <c r="A9" s="532"/>
      <c r="B9" s="513"/>
      <c r="C9" s="533"/>
      <c r="D9" s="533"/>
      <c r="E9" s="533"/>
      <c r="F9" s="510"/>
      <c r="G9" s="510"/>
      <c r="H9" s="510"/>
      <c r="I9" s="510"/>
      <c r="J9" s="95"/>
    </row>
    <row r="10" spans="1:12">
      <c r="A10" s="532"/>
      <c r="B10" s="513"/>
      <c r="C10" s="533"/>
      <c r="D10" s="533"/>
      <c r="E10" s="533"/>
      <c r="F10" s="510"/>
      <c r="G10" s="510"/>
      <c r="H10" s="510"/>
      <c r="I10" s="510"/>
      <c r="J10" s="95"/>
    </row>
    <row r="11" spans="1:12">
      <c r="A11" s="527"/>
      <c r="B11" s="528"/>
      <c r="C11" s="727" t="s">
        <v>505</v>
      </c>
      <c r="D11" s="728"/>
      <c r="E11" s="728"/>
      <c r="F11" s="729"/>
      <c r="H11" s="510"/>
      <c r="I11" s="510"/>
      <c r="J11" s="513"/>
      <c r="K11" s="513"/>
      <c r="L11" s="534"/>
    </row>
    <row r="12" spans="1:12" ht="12.75" customHeight="1">
      <c r="A12" s="524" t="s">
        <v>356</v>
      </c>
      <c r="B12" s="524" t="s">
        <v>87</v>
      </c>
      <c r="C12" s="525" t="s">
        <v>357</v>
      </c>
      <c r="D12" s="526" t="s">
        <v>358</v>
      </c>
      <c r="E12" s="526" t="s">
        <v>359</v>
      </c>
      <c r="F12" s="526" t="s">
        <v>360</v>
      </c>
      <c r="H12" s="510"/>
      <c r="I12" s="510"/>
      <c r="J12" s="513"/>
      <c r="K12" s="513"/>
      <c r="L12" s="534"/>
    </row>
    <row r="13" spans="1:12" ht="12.75" customHeight="1">
      <c r="A13" s="307" t="s">
        <v>361</v>
      </c>
      <c r="B13" s="307" t="s">
        <v>362</v>
      </c>
      <c r="C13" s="517">
        <v>0</v>
      </c>
      <c r="D13" s="517">
        <v>0</v>
      </c>
      <c r="E13" s="517">
        <v>0</v>
      </c>
      <c r="F13" s="517">
        <v>0</v>
      </c>
      <c r="H13" s="510"/>
      <c r="I13" s="510"/>
      <c r="J13" s="513"/>
      <c r="K13" s="513"/>
      <c r="L13" s="534"/>
    </row>
    <row r="14" spans="1:12" ht="12.75" customHeight="1">
      <c r="A14" s="307" t="s">
        <v>529</v>
      </c>
      <c r="B14" s="307" t="s">
        <v>364</v>
      </c>
      <c r="C14" s="517">
        <v>0</v>
      </c>
      <c r="D14" s="517">
        <v>0</v>
      </c>
      <c r="E14" s="517">
        <v>0</v>
      </c>
      <c r="F14" s="517">
        <v>0</v>
      </c>
      <c r="H14" s="510"/>
      <c r="I14" s="510"/>
      <c r="J14" s="513"/>
      <c r="K14" s="513"/>
      <c r="L14" s="534"/>
    </row>
    <row r="15" spans="1:12" ht="12.75" customHeight="1">
      <c r="A15" s="523" t="s">
        <v>365</v>
      </c>
      <c r="B15" s="307" t="s">
        <v>366</v>
      </c>
      <c r="C15" s="517">
        <v>0</v>
      </c>
      <c r="D15" s="517">
        <v>0</v>
      </c>
      <c r="E15" s="517">
        <v>0</v>
      </c>
      <c r="F15" s="517">
        <v>0</v>
      </c>
      <c r="H15" s="510"/>
      <c r="I15" s="510"/>
      <c r="J15" s="513"/>
      <c r="K15" s="513"/>
      <c r="L15" s="534"/>
    </row>
    <row r="16" spans="1:12" ht="12.75" customHeight="1">
      <c r="A16" s="523" t="s">
        <v>531</v>
      </c>
      <c r="B16" s="307" t="s">
        <v>368</v>
      </c>
      <c r="C16" s="517">
        <v>0</v>
      </c>
      <c r="D16" s="517">
        <v>0</v>
      </c>
      <c r="E16" s="517">
        <v>0</v>
      </c>
      <c r="F16" s="517">
        <v>0</v>
      </c>
      <c r="H16" s="510"/>
      <c r="I16" s="510"/>
      <c r="J16" s="534"/>
      <c r="K16" s="534"/>
      <c r="L16" s="534"/>
    </row>
    <row r="17" spans="1:10" ht="12" customHeight="1">
      <c r="H17" s="510"/>
      <c r="I17" s="510"/>
      <c r="J17" s="95"/>
    </row>
    <row r="19" spans="1:10">
      <c r="A19" s="524" t="s">
        <v>356</v>
      </c>
      <c r="B19" s="672" t="s">
        <v>528</v>
      </c>
      <c r="C19" s="730" t="s">
        <v>527</v>
      </c>
      <c r="D19" s="730"/>
      <c r="E19" s="730"/>
      <c r="F19" s="730"/>
    </row>
    <row r="20" spans="1:10" ht="13.15" customHeight="1">
      <c r="A20" s="307" t="s">
        <v>361</v>
      </c>
      <c r="B20" s="425"/>
      <c r="C20" s="726" t="s">
        <v>533</v>
      </c>
      <c r="D20" s="726"/>
      <c r="E20" s="726"/>
      <c r="F20" s="726"/>
    </row>
    <row r="21" spans="1:10" ht="13.15" customHeight="1">
      <c r="A21" s="307" t="s">
        <v>363</v>
      </c>
      <c r="B21" s="425"/>
      <c r="C21" s="726" t="s">
        <v>530</v>
      </c>
      <c r="D21" s="726"/>
      <c r="E21" s="726"/>
      <c r="F21" s="726"/>
    </row>
    <row r="22" spans="1:10" ht="13.15" customHeight="1">
      <c r="A22" s="523" t="s">
        <v>365</v>
      </c>
      <c r="B22" s="673"/>
      <c r="C22" s="726" t="s">
        <v>530</v>
      </c>
      <c r="D22" s="726"/>
      <c r="E22" s="726"/>
      <c r="F22" s="726"/>
    </row>
    <row r="23" spans="1:10" ht="13.15" customHeight="1">
      <c r="A23" s="523" t="s">
        <v>367</v>
      </c>
      <c r="B23" s="673"/>
      <c r="C23" s="726" t="s">
        <v>532</v>
      </c>
      <c r="D23" s="726"/>
      <c r="E23" s="726"/>
      <c r="F23" s="726"/>
    </row>
  </sheetData>
  <mergeCells count="6">
    <mergeCell ref="C23:F23"/>
    <mergeCell ref="C11:F11"/>
    <mergeCell ref="C19:F19"/>
    <mergeCell ref="C20:F20"/>
    <mergeCell ref="C21:F21"/>
    <mergeCell ref="C22:F22"/>
  </mergeCells>
  <pageMargins left="0.59055118110236227" right="0.59055118110236227" top="0.59055118110236227" bottom="0.78740157480314965" header="0.39370078740157483" footer="0.19685039370078741"/>
  <pageSetup paperSize="9" scale="84" fitToHeight="0" orientation="landscape" r:id="rId1"/>
  <headerFooter alignWithMargins="0">
    <oddFooter>&amp;L&amp;"Verdana,Standaard"&amp;F-&amp;A
Atir b.v. ©&amp;R&amp;"Verdana,Standaard"printversie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R68"/>
  <sheetViews>
    <sheetView showGridLines="0" tabSelected="1" zoomScale="85" zoomScaleNormal="85" workbookViewId="0">
      <pane ySplit="10" topLeftCell="A11" activePane="bottomLeft" state="frozen"/>
      <selection activeCell="D33" sqref="D33"/>
      <selection pane="bottomLeft" activeCell="B8" sqref="B8:D8"/>
    </sheetView>
  </sheetViews>
  <sheetFormatPr defaultColWidth="9.28515625" defaultRowHeight="13.5"/>
  <cols>
    <col min="1" max="1" width="35.5703125" style="42" customWidth="1"/>
    <col min="2" max="2" width="22.85546875" style="42" bestFit="1" customWidth="1"/>
    <col min="3" max="3" width="16.140625" style="42" customWidth="1"/>
    <col min="4" max="4" width="3.7109375" style="42" customWidth="1"/>
    <col min="5" max="6" width="12.7109375" style="42" customWidth="1"/>
    <col min="7" max="7" width="14.28515625" style="42" customWidth="1"/>
    <col min="8" max="8" width="17.7109375" style="42" customWidth="1"/>
    <col min="9" max="9" width="2.42578125" style="42" customWidth="1"/>
    <col min="10" max="10" width="17.7109375" style="42" customWidth="1"/>
    <col min="11" max="11" width="9.28515625" style="42"/>
    <col min="12" max="12" width="13.28515625" style="42" customWidth="1"/>
    <col min="13" max="14" width="9.28515625" style="42"/>
    <col min="15" max="15" width="19" style="42" bestFit="1" customWidth="1"/>
    <col min="16" max="16" width="10.28515625" style="42" bestFit="1" customWidth="1"/>
    <col min="17" max="16384" width="9.28515625" style="42"/>
  </cols>
  <sheetData>
    <row r="1" spans="1:18">
      <c r="A1" s="401" t="s">
        <v>25</v>
      </c>
      <c r="B1" s="41"/>
      <c r="C1" s="41"/>
    </row>
    <row r="2" spans="1:18">
      <c r="A2" s="43"/>
      <c r="B2" s="41"/>
      <c r="C2" s="41"/>
    </row>
    <row r="3" spans="1:18" s="45" customFormat="1" ht="17.25">
      <c r="A3" s="73" t="s">
        <v>29</v>
      </c>
      <c r="B3" s="74" t="s">
        <v>228</v>
      </c>
      <c r="C3" s="74"/>
      <c r="D3" s="74"/>
      <c r="E3" s="44"/>
      <c r="F3" s="44"/>
      <c r="G3" s="42"/>
      <c r="H3" s="42"/>
      <c r="I3" s="42"/>
      <c r="J3" s="42"/>
      <c r="K3" s="42"/>
      <c r="L3" s="42"/>
    </row>
    <row r="4" spans="1:18" s="45" customFormat="1" ht="17.25">
      <c r="A4" s="73" t="s">
        <v>14</v>
      </c>
      <c r="B4" s="74" t="str">
        <f ca="1">MID(CELL("bestandsnaam",$D$10),SEARCH("]",CELL("bestandsnaam",$D$10),1)+1,256)</f>
        <v>1-Contractblad totaal</v>
      </c>
      <c r="C4" s="74"/>
      <c r="D4" s="74"/>
      <c r="E4" s="44"/>
      <c r="F4" s="44"/>
      <c r="G4" s="42"/>
      <c r="H4" s="42"/>
      <c r="I4" s="42"/>
      <c r="J4" s="42"/>
      <c r="K4" s="42"/>
      <c r="L4" s="42"/>
    </row>
    <row r="5" spans="1:18" s="45" customFormat="1" ht="17.25">
      <c r="A5" s="73" t="s">
        <v>88</v>
      </c>
      <c r="B5" s="74" t="s">
        <v>229</v>
      </c>
      <c r="C5" s="74"/>
      <c r="D5" s="74"/>
      <c r="E5" s="44"/>
      <c r="F5" s="44"/>
      <c r="G5" s="46"/>
      <c r="H5" s="46"/>
    </row>
    <row r="6" spans="1:18" s="45" customFormat="1" ht="17.25">
      <c r="A6" s="73" t="s">
        <v>224</v>
      </c>
      <c r="B6" s="74" t="s">
        <v>536</v>
      </c>
      <c r="C6" s="459"/>
      <c r="G6" s="46"/>
      <c r="H6" s="46"/>
    </row>
    <row r="7" spans="1:18" s="45" customFormat="1" ht="17.25">
      <c r="A7" s="73" t="s">
        <v>197</v>
      </c>
      <c r="B7" s="446" t="s">
        <v>540</v>
      </c>
      <c r="C7" s="74"/>
      <c r="D7" s="74"/>
      <c r="E7" s="44"/>
      <c r="F7" s="44"/>
      <c r="G7" s="46"/>
      <c r="H7" s="46"/>
    </row>
    <row r="8" spans="1:18" s="45" customFormat="1" ht="17.25">
      <c r="A8" s="73" t="s">
        <v>199</v>
      </c>
      <c r="B8" s="682"/>
      <c r="C8" s="682"/>
      <c r="D8" s="683"/>
      <c r="E8" s="44"/>
      <c r="F8" s="44"/>
      <c r="G8" s="46"/>
      <c r="H8" s="46"/>
    </row>
    <row r="9" spans="1:18" s="45" customFormat="1" ht="17.25">
      <c r="A9" s="73" t="s">
        <v>10</v>
      </c>
      <c r="B9" s="100">
        <v>45017</v>
      </c>
      <c r="C9" s="75"/>
      <c r="D9" s="74"/>
      <c r="E9" s="44"/>
      <c r="F9" s="44"/>
      <c r="G9" s="46"/>
      <c r="H9" s="46"/>
      <c r="I9" s="46"/>
      <c r="J9" s="46"/>
      <c r="K9" s="46"/>
      <c r="L9" s="46"/>
      <c r="M9" s="46"/>
      <c r="N9" s="46"/>
      <c r="O9" s="46"/>
      <c r="P9" s="46"/>
      <c r="Q9" s="46"/>
      <c r="R9" s="46"/>
    </row>
    <row r="10" spans="1:18" s="45" customFormat="1" ht="17.25">
      <c r="A10" s="47"/>
      <c r="G10" s="48"/>
      <c r="H10" s="48"/>
    </row>
    <row r="11" spans="1:18" s="45" customFormat="1" ht="17.25">
      <c r="A11" s="49" t="s">
        <v>232</v>
      </c>
      <c r="B11" s="50"/>
      <c r="C11" s="50"/>
      <c r="D11" s="50"/>
      <c r="E11" s="50"/>
      <c r="F11" s="50"/>
      <c r="G11" s="51"/>
      <c r="H11" s="52"/>
    </row>
    <row r="12" spans="1:18" ht="17.25">
      <c r="J12" s="45"/>
      <c r="K12" s="45"/>
      <c r="L12" s="45"/>
      <c r="M12" s="45"/>
      <c r="N12" s="45"/>
      <c r="O12" s="45"/>
      <c r="P12" s="45"/>
    </row>
    <row r="13" spans="1:18" ht="27">
      <c r="A13" s="76" t="s">
        <v>11</v>
      </c>
      <c r="D13" s="77"/>
      <c r="E13" s="77" t="s">
        <v>79</v>
      </c>
      <c r="F13" s="77" t="s">
        <v>49</v>
      </c>
      <c r="G13" s="77" t="s">
        <v>133</v>
      </c>
      <c r="H13" s="78" t="s">
        <v>43</v>
      </c>
      <c r="I13" s="53"/>
      <c r="J13" s="79"/>
      <c r="K13" s="45"/>
      <c r="L13" s="45"/>
      <c r="M13" s="45"/>
      <c r="N13" s="45"/>
      <c r="O13" s="45"/>
      <c r="P13" s="45"/>
    </row>
    <row r="14" spans="1:18" ht="17.25">
      <c r="A14" s="80" t="s">
        <v>134</v>
      </c>
      <c r="B14" s="80" t="s">
        <v>135</v>
      </c>
      <c r="C14" s="80" t="s">
        <v>136</v>
      </c>
      <c r="D14" s="81"/>
      <c r="E14" s="458">
        <v>1</v>
      </c>
      <c r="F14" s="54" t="e">
        <f>SUM('4-Basis ruimtestaat Kantoren'!R:S)*E14</f>
        <v>#DIV/0!</v>
      </c>
      <c r="G14" s="55" t="e">
        <f>'6a-Opbouw uurtarief productie'!E47</f>
        <v>#DIV/0!</v>
      </c>
      <c r="H14" s="56" t="e">
        <f>G14*F14</f>
        <v>#DIV/0!</v>
      </c>
      <c r="I14" s="53"/>
      <c r="J14" s="459"/>
      <c r="K14" s="45"/>
      <c r="L14" s="45"/>
      <c r="M14" s="45"/>
      <c r="N14" s="45"/>
      <c r="O14" s="45"/>
      <c r="P14" s="45"/>
    </row>
    <row r="15" spans="1:18" ht="17.25">
      <c r="A15" s="80"/>
      <c r="B15" s="82"/>
      <c r="C15" s="82"/>
      <c r="D15" s="82"/>
      <c r="E15" s="82"/>
      <c r="F15" s="83"/>
      <c r="G15" s="82"/>
      <c r="H15" s="82"/>
      <c r="I15" s="82"/>
      <c r="J15" s="79"/>
      <c r="K15" s="45"/>
      <c r="L15" s="45"/>
      <c r="M15" s="45"/>
      <c r="N15" s="45"/>
      <c r="O15" s="45"/>
      <c r="P15" s="45"/>
    </row>
    <row r="16" spans="1:18" ht="17.25">
      <c r="A16" s="80" t="s">
        <v>137</v>
      </c>
      <c r="B16" s="80" t="s">
        <v>135</v>
      </c>
      <c r="C16" s="80" t="s">
        <v>136</v>
      </c>
      <c r="D16" s="82"/>
      <c r="E16" s="636" t="e">
        <f>+F16/F14</f>
        <v>#DIV/0!</v>
      </c>
      <c r="F16" s="58">
        <f>+'2-Kosten per type werkzaamheden'!F12</f>
        <v>0</v>
      </c>
      <c r="G16" s="55" t="e">
        <f>'7-Opbouw uurtarief toezicht'!E47</f>
        <v>#DIV/0!</v>
      </c>
      <c r="H16" s="56" t="e">
        <f>G16*F16</f>
        <v>#DIV/0!</v>
      </c>
      <c r="J16" s="79"/>
      <c r="K16" s="45"/>
      <c r="L16" s="45"/>
      <c r="M16" s="45"/>
      <c r="N16" s="45"/>
      <c r="O16" s="45"/>
      <c r="P16" s="45"/>
    </row>
    <row r="17" spans="1:16" ht="17.25">
      <c r="A17" s="80"/>
      <c r="B17" s="80"/>
      <c r="C17" s="86"/>
      <c r="D17" s="80"/>
      <c r="E17" s="87"/>
      <c r="F17" s="85"/>
      <c r="G17" s="80"/>
      <c r="H17" s="80"/>
      <c r="I17" s="80"/>
      <c r="J17" s="79"/>
      <c r="K17" s="45"/>
      <c r="L17" s="45"/>
      <c r="M17" s="45"/>
      <c r="N17" s="45"/>
      <c r="O17" s="45"/>
      <c r="P17" s="45"/>
    </row>
    <row r="18" spans="1:16" ht="17.25">
      <c r="H18" s="535"/>
      <c r="J18" s="45"/>
      <c r="K18" s="45"/>
      <c r="L18" s="45"/>
      <c r="M18" s="45"/>
      <c r="N18" s="45"/>
      <c r="O18" s="45"/>
      <c r="P18" s="45"/>
    </row>
    <row r="19" spans="1:16" ht="17.25">
      <c r="A19" s="88" t="s">
        <v>192</v>
      </c>
      <c r="B19" s="84" t="s">
        <v>135</v>
      </c>
      <c r="C19" s="84" t="s">
        <v>136</v>
      </c>
      <c r="D19" s="84"/>
      <c r="E19" s="59"/>
      <c r="F19" s="89"/>
      <c r="G19" s="60" t="e">
        <f>(H16+H14)/F14</f>
        <v>#DIV/0!</v>
      </c>
      <c r="H19" s="80"/>
      <c r="I19" s="80"/>
      <c r="J19" s="79"/>
      <c r="K19" s="45"/>
      <c r="L19" s="45"/>
      <c r="M19" s="45"/>
      <c r="N19" s="45"/>
      <c r="O19" s="45"/>
      <c r="P19" s="45"/>
    </row>
    <row r="20" spans="1:16">
      <c r="A20" s="66"/>
      <c r="B20" s="66"/>
      <c r="C20" s="66"/>
      <c r="D20" s="66"/>
      <c r="E20" s="66"/>
      <c r="F20" s="66"/>
      <c r="G20" s="66"/>
      <c r="H20" s="66"/>
    </row>
    <row r="21" spans="1:16" ht="17.25">
      <c r="A21" s="90" t="s">
        <v>373</v>
      </c>
      <c r="H21" s="91" t="e">
        <f>SUM(H14:H19)</f>
        <v>#DIV/0!</v>
      </c>
      <c r="I21" s="61"/>
      <c r="J21" s="79"/>
      <c r="K21" s="45"/>
      <c r="L21" s="45"/>
      <c r="M21" s="45"/>
      <c r="N21" s="45"/>
      <c r="O21" s="45"/>
      <c r="P21" s="45"/>
    </row>
    <row r="22" spans="1:16" ht="17.25">
      <c r="A22" s="63" t="s">
        <v>9</v>
      </c>
      <c r="G22" s="64">
        <v>0.21</v>
      </c>
      <c r="H22" s="65" t="e">
        <f>G22*H21</f>
        <v>#DIV/0!</v>
      </c>
      <c r="I22" s="61"/>
      <c r="J22" s="79"/>
      <c r="K22" s="45"/>
      <c r="L22" s="45"/>
      <c r="M22" s="45"/>
      <c r="N22" s="45"/>
      <c r="O22" s="45"/>
      <c r="P22" s="45"/>
    </row>
    <row r="23" spans="1:16" ht="17.25">
      <c r="A23" s="63" t="s">
        <v>26</v>
      </c>
      <c r="G23" s="53" t="s">
        <v>62</v>
      </c>
      <c r="H23" s="56" t="e">
        <f>H22+H21</f>
        <v>#DIV/0!</v>
      </c>
      <c r="I23" s="61"/>
      <c r="J23" s="79"/>
      <c r="K23" s="45"/>
      <c r="L23" s="45"/>
      <c r="M23" s="45"/>
      <c r="N23" s="45"/>
      <c r="O23" s="45"/>
      <c r="P23" s="45"/>
    </row>
    <row r="24" spans="1:16" ht="17.25">
      <c r="A24" s="63"/>
      <c r="G24" s="53"/>
      <c r="H24" s="56"/>
      <c r="I24" s="62"/>
      <c r="J24" s="45"/>
      <c r="K24" s="45"/>
      <c r="L24" s="45"/>
      <c r="M24" s="45"/>
      <c r="N24" s="45"/>
      <c r="O24" s="45"/>
      <c r="P24" s="45"/>
    </row>
    <row r="25" spans="1:16" s="45" customFormat="1" ht="17.25">
      <c r="A25" s="49" t="s">
        <v>425</v>
      </c>
      <c r="B25" s="50"/>
      <c r="C25" s="50"/>
      <c r="D25" s="50"/>
      <c r="E25" s="50"/>
      <c r="F25" s="50"/>
      <c r="G25" s="51"/>
      <c r="H25" s="52"/>
    </row>
    <row r="26" spans="1:16" ht="17.25">
      <c r="H26" s="535"/>
      <c r="J26" s="45"/>
      <c r="K26" s="45"/>
      <c r="L26" s="45"/>
      <c r="M26" s="45"/>
      <c r="N26" s="45"/>
      <c r="O26" s="45"/>
      <c r="P26" s="45"/>
    </row>
    <row r="27" spans="1:16">
      <c r="A27" s="500" t="str">
        <f ca="1">'4c- Noordzeekanaal'!B4</f>
        <v>4c- Noordzeekanaal</v>
      </c>
      <c r="B27" s="66"/>
      <c r="C27" s="66"/>
      <c r="D27" s="66"/>
      <c r="E27" s="66"/>
      <c r="F27" s="66"/>
      <c r="G27" s="604"/>
      <c r="H27" s="536" t="e">
        <f>+'2-Kosten per type werkzaamheden'!G19</f>
        <v>#DIV/0!</v>
      </c>
      <c r="J27" s="460"/>
    </row>
    <row r="28" spans="1:16">
      <c r="A28" s="66"/>
      <c r="B28" s="66"/>
      <c r="C28" s="66"/>
      <c r="D28" s="66"/>
      <c r="E28" s="66"/>
      <c r="F28" s="66"/>
      <c r="G28" s="66"/>
      <c r="H28" s="536"/>
    </row>
    <row r="29" spans="1:16">
      <c r="A29" s="501" t="str">
        <f ca="1">'4d-IJ Veren'!B4</f>
        <v>4d-IJ Veren</v>
      </c>
      <c r="B29" s="66"/>
      <c r="C29" s="66"/>
      <c r="D29" s="66"/>
      <c r="E29" s="66"/>
      <c r="F29" s="66"/>
      <c r="G29" s="603"/>
      <c r="H29" s="536">
        <f>+'2-Kosten per type werkzaamheden'!G23</f>
        <v>0</v>
      </c>
    </row>
    <row r="30" spans="1:16">
      <c r="A30" s="66"/>
      <c r="B30" s="66"/>
      <c r="C30" s="66"/>
      <c r="D30" s="66"/>
      <c r="E30" s="66"/>
      <c r="F30" s="66"/>
      <c r="G30" s="66"/>
      <c r="H30" s="66"/>
    </row>
    <row r="31" spans="1:16">
      <c r="A31" s="502" t="s">
        <v>422</v>
      </c>
      <c r="B31" s="66"/>
      <c r="C31" s="66"/>
      <c r="D31" s="66"/>
      <c r="E31" s="66"/>
      <c r="F31" s="66"/>
      <c r="G31" s="603"/>
      <c r="H31" s="67" t="e">
        <f>+'2-Kosten per type werkzaamheden'!G27</f>
        <v>#DIV/0!</v>
      </c>
      <c r="J31" s="460"/>
    </row>
    <row r="32" spans="1:16">
      <c r="A32" s="66"/>
      <c r="B32" s="66"/>
      <c r="C32" s="66"/>
      <c r="D32" s="66"/>
      <c r="E32" s="66"/>
      <c r="F32" s="66"/>
      <c r="G32" s="66"/>
      <c r="H32" s="66"/>
      <c r="J32" s="460"/>
    </row>
    <row r="33" spans="1:16">
      <c r="A33" s="80" t="s">
        <v>426</v>
      </c>
      <c r="B33" s="66"/>
      <c r="C33" s="66"/>
      <c r="D33" s="66"/>
      <c r="E33" s="66"/>
      <c r="F33" s="66"/>
      <c r="G33" s="603"/>
      <c r="H33" s="67" t="e">
        <f>+'2-Kosten per type werkzaamheden'!G31</f>
        <v>#DIV/0!</v>
      </c>
      <c r="J33" s="460"/>
    </row>
    <row r="34" spans="1:16">
      <c r="A34" s="66"/>
      <c r="B34" s="66"/>
      <c r="C34" s="66"/>
      <c r="D34" s="66"/>
      <c r="E34" s="66"/>
      <c r="F34" s="66"/>
      <c r="G34" s="66"/>
      <c r="H34" s="66"/>
      <c r="J34" s="460"/>
    </row>
    <row r="35" spans="1:16">
      <c r="A35" s="80" t="s">
        <v>400</v>
      </c>
      <c r="H35" s="68" t="e">
        <f>+'2-Kosten per type werkzaamheden'!G35</f>
        <v>#DIV/0!</v>
      </c>
      <c r="J35" s="460"/>
    </row>
    <row r="36" spans="1:16">
      <c r="A36" s="66"/>
      <c r="B36" s="66"/>
      <c r="C36" s="66"/>
      <c r="D36" s="66"/>
      <c r="E36" s="66"/>
      <c r="F36" s="66"/>
      <c r="G36" s="66"/>
      <c r="H36" s="66"/>
      <c r="J36" s="460"/>
    </row>
    <row r="37" spans="1:16">
      <c r="A37" s="90" t="s">
        <v>329</v>
      </c>
      <c r="H37" s="537" t="e">
        <f>SUM(H26:H35)</f>
        <v>#DIV/0!</v>
      </c>
      <c r="J37" s="460"/>
    </row>
    <row r="38" spans="1:16">
      <c r="A38" s="63" t="s">
        <v>9</v>
      </c>
      <c r="G38" s="64">
        <v>0.21</v>
      </c>
      <c r="H38" s="65" t="e">
        <f>G38*H37</f>
        <v>#DIV/0!</v>
      </c>
    </row>
    <row r="39" spans="1:16">
      <c r="A39" s="63" t="s">
        <v>26</v>
      </c>
      <c r="H39" s="68" t="e">
        <f>H37+H38</f>
        <v>#DIV/0!</v>
      </c>
    </row>
    <row r="40" spans="1:16">
      <c r="A40" s="63"/>
      <c r="H40" s="68"/>
    </row>
    <row r="41" spans="1:16" ht="17.25">
      <c r="A41" s="49" t="s">
        <v>328</v>
      </c>
      <c r="B41" s="50"/>
      <c r="C41" s="50"/>
      <c r="D41" s="50"/>
      <c r="E41" s="50"/>
      <c r="F41" s="50"/>
      <c r="G41" s="51"/>
      <c r="H41" s="52"/>
    </row>
    <row r="42" spans="1:16">
      <c r="A42" s="66"/>
      <c r="B42" s="66"/>
      <c r="C42" s="66"/>
      <c r="D42" s="66"/>
      <c r="E42" s="66"/>
      <c r="F42" s="66"/>
      <c r="G42" s="66"/>
      <c r="H42" s="66"/>
    </row>
    <row r="43" spans="1:16" ht="17.25">
      <c r="A43" s="499" t="str">
        <f ca="1">'4b- Kantoren extra werk'!B4</f>
        <v>4b- Kantoren extra werk</v>
      </c>
      <c r="H43" s="535">
        <f>+'4b- Kantoren extra werk'!H14</f>
        <v>0</v>
      </c>
      <c r="J43" s="45"/>
      <c r="K43" s="45"/>
      <c r="L43" s="45"/>
      <c r="M43" s="45"/>
      <c r="N43" s="45"/>
      <c r="O43" s="45"/>
      <c r="P43" s="45"/>
    </row>
    <row r="44" spans="1:16">
      <c r="A44" s="66"/>
      <c r="B44" s="66"/>
      <c r="C44" s="66"/>
      <c r="D44" s="66"/>
      <c r="E44" s="66"/>
      <c r="F44" s="66"/>
      <c r="G44" s="66"/>
      <c r="H44" s="66"/>
    </row>
    <row r="45" spans="1:16">
      <c r="A45" s="80" t="str">
        <f ca="1">'9-Glasbewassing'!B4</f>
        <v>9-Glasbewassing</v>
      </c>
      <c r="B45" s="66" t="s">
        <v>230</v>
      </c>
      <c r="C45" s="66"/>
      <c r="D45" s="66"/>
      <c r="E45" s="66"/>
      <c r="F45" s="66"/>
      <c r="G45" s="66"/>
      <c r="H45" s="67">
        <f>+'9-Glasbewassing'!J17</f>
        <v>0</v>
      </c>
    </row>
    <row r="46" spans="1:16">
      <c r="A46" s="66"/>
      <c r="B46" s="66"/>
      <c r="C46" s="66"/>
      <c r="D46" s="66"/>
      <c r="E46" s="66"/>
      <c r="F46" s="66"/>
      <c r="G46" s="66"/>
      <c r="H46" s="66"/>
    </row>
    <row r="47" spans="1:16">
      <c r="A47" s="80" t="str">
        <f ca="1">'10-Machinekosten'!B3</f>
        <v>10-Machinekosten</v>
      </c>
      <c r="B47" s="66" t="s">
        <v>230</v>
      </c>
      <c r="C47" s="66"/>
      <c r="D47" s="66"/>
      <c r="E47" s="66"/>
      <c r="F47" s="66"/>
      <c r="G47" s="66"/>
      <c r="H47" s="67">
        <f>+'2-Kosten per type werkzaamheden'!I12</f>
        <v>0</v>
      </c>
    </row>
    <row r="48" spans="1:16">
      <c r="A48" s="66"/>
      <c r="B48" s="66"/>
      <c r="C48" s="66"/>
      <c r="D48" s="66"/>
      <c r="E48" s="66"/>
      <c r="F48" s="66"/>
      <c r="G48" s="66"/>
      <c r="H48" s="66"/>
    </row>
    <row r="49" spans="1:8">
      <c r="A49" s="90" t="s">
        <v>330</v>
      </c>
      <c r="H49" s="537">
        <f>SUM(H43:H48)</f>
        <v>0</v>
      </c>
    </row>
    <row r="50" spans="1:8">
      <c r="A50" s="63" t="s">
        <v>9</v>
      </c>
      <c r="G50" s="64">
        <v>0.21</v>
      </c>
      <c r="H50" s="65">
        <f>G50*H49</f>
        <v>0</v>
      </c>
    </row>
    <row r="51" spans="1:8">
      <c r="A51" s="63" t="s">
        <v>26</v>
      </c>
      <c r="H51" s="68">
        <f>H49+H50</f>
        <v>0</v>
      </c>
    </row>
    <row r="53" spans="1:8">
      <c r="A53" s="92" t="s">
        <v>138</v>
      </c>
      <c r="B53" s="59"/>
      <c r="C53" s="59"/>
      <c r="D53" s="59"/>
      <c r="E53" s="93"/>
      <c r="F53" s="93" t="s">
        <v>139</v>
      </c>
      <c r="G53" s="93"/>
      <c r="H53" s="94" t="e">
        <f>H21+H37+H49</f>
        <v>#DIV/0!</v>
      </c>
    </row>
    <row r="54" spans="1:8">
      <c r="A54" s="63" t="s">
        <v>9</v>
      </c>
      <c r="G54" s="64">
        <v>0.21</v>
      </c>
      <c r="H54" s="65" t="e">
        <f>G54*H53</f>
        <v>#DIV/0!</v>
      </c>
    </row>
    <row r="55" spans="1:8">
      <c r="A55" s="63" t="s">
        <v>26</v>
      </c>
      <c r="H55" s="68" t="e">
        <f>H53+H54</f>
        <v>#DIV/0!</v>
      </c>
    </row>
    <row r="57" spans="1:8">
      <c r="A57" s="69" t="s">
        <v>215</v>
      </c>
      <c r="B57" s="70"/>
      <c r="C57" s="70"/>
      <c r="D57" s="70"/>
      <c r="E57" s="71"/>
      <c r="F57" s="70"/>
      <c r="G57" s="70"/>
      <c r="H57" s="679" t="s">
        <v>344</v>
      </c>
    </row>
    <row r="58" spans="1:8">
      <c r="A58" s="69" t="s">
        <v>210</v>
      </c>
      <c r="B58" s="70"/>
      <c r="C58" s="70"/>
      <c r="D58" s="70"/>
      <c r="E58" s="71"/>
      <c r="F58" s="70"/>
      <c r="G58" s="70"/>
      <c r="H58" s="72">
        <v>310000</v>
      </c>
    </row>
    <row r="60" spans="1:8">
      <c r="A60" s="90" t="s">
        <v>226</v>
      </c>
      <c r="H60" s="407">
        <v>0</v>
      </c>
    </row>
    <row r="62" spans="1:8" ht="13.15" customHeight="1">
      <c r="A62" s="684" t="s">
        <v>211</v>
      </c>
      <c r="B62" s="685"/>
      <c r="C62" s="685"/>
      <c r="D62" s="685"/>
      <c r="E62" s="685"/>
      <c r="F62" s="685"/>
      <c r="G62" s="685"/>
      <c r="H62" s="686"/>
    </row>
    <row r="63" spans="1:8">
      <c r="A63" s="687"/>
      <c r="B63" s="688"/>
      <c r="C63" s="688"/>
      <c r="D63" s="688"/>
      <c r="E63" s="688"/>
      <c r="F63" s="688"/>
      <c r="G63" s="688"/>
      <c r="H63" s="689"/>
    </row>
    <row r="64" spans="1:8">
      <c r="A64" s="690"/>
      <c r="B64" s="691"/>
      <c r="C64" s="691"/>
      <c r="D64" s="691"/>
      <c r="E64" s="691"/>
      <c r="F64" s="691"/>
      <c r="G64" s="691"/>
      <c r="H64" s="692"/>
    </row>
    <row r="66" spans="1:8">
      <c r="A66" s="684" t="s">
        <v>227</v>
      </c>
      <c r="B66" s="685"/>
      <c r="C66" s="685"/>
      <c r="D66" s="685"/>
      <c r="E66" s="685"/>
      <c r="F66" s="685"/>
      <c r="G66" s="685"/>
      <c r="H66" s="686"/>
    </row>
    <row r="67" spans="1:8">
      <c r="A67" s="687"/>
      <c r="B67" s="688"/>
      <c r="C67" s="688"/>
      <c r="D67" s="688"/>
      <c r="E67" s="688"/>
      <c r="F67" s="688"/>
      <c r="G67" s="688"/>
      <c r="H67" s="689"/>
    </row>
    <row r="68" spans="1:8">
      <c r="A68" s="690"/>
      <c r="B68" s="691"/>
      <c r="C68" s="691"/>
      <c r="D68" s="691"/>
      <c r="E68" s="691"/>
      <c r="F68" s="691"/>
      <c r="G68" s="691"/>
      <c r="H68" s="692"/>
    </row>
  </sheetData>
  <mergeCells count="3">
    <mergeCell ref="B8:D8"/>
    <mergeCell ref="A62:H64"/>
    <mergeCell ref="A66:H68"/>
  </mergeCells>
  <pageMargins left="0.7" right="0.7" top="0.75" bottom="0.75" header="0.3" footer="0.3"/>
  <pageSetup paperSize="9" scale="66" orientation="portrait" r:id="rId1"/>
  <headerFooter>
    <oddFooter>&amp;L&amp;F-&amp;A
Atir b.v. ©&amp;Rprintversie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47975-A2B8-4226-9ECC-31864ABCE86B}">
  <sheetPr>
    <tabColor theme="0" tint="-0.14999847407452621"/>
    <pageSetUpPr fitToPage="1"/>
  </sheetPr>
  <dimension ref="A1:AA44"/>
  <sheetViews>
    <sheetView showGridLines="0" showZeros="0" zoomScale="70" zoomScaleNormal="70" workbookViewId="0">
      <pane ySplit="9" topLeftCell="A10" activePane="bottomLeft" state="frozen"/>
      <selection activeCell="B3" sqref="B3:D9"/>
      <selection pane="bottomLeft" activeCell="G16" sqref="G16"/>
    </sheetView>
  </sheetViews>
  <sheetFormatPr defaultColWidth="8.7109375" defaultRowHeight="14.1" customHeight="1"/>
  <cols>
    <col min="1" max="1" width="61.85546875" style="95" customWidth="1"/>
    <col min="2" max="2" width="61.140625" style="95" bestFit="1" customWidth="1"/>
    <col min="3" max="3" width="19" style="95" bestFit="1" customWidth="1"/>
    <col min="4" max="4" width="19.5703125" style="98" customWidth="1"/>
    <col min="5" max="5" width="15.7109375" style="98" customWidth="1"/>
    <col min="6" max="6" width="3.85546875" style="95" customWidth="1"/>
    <col min="7" max="7" width="15.7109375" style="98" customWidth="1"/>
    <col min="8" max="8" width="18.42578125" style="95" customWidth="1"/>
    <col min="9" max="9" width="19.5703125" style="95" customWidth="1"/>
    <col min="10" max="10" width="19" style="95" customWidth="1"/>
    <col min="11" max="11" width="16.140625" style="95" customWidth="1"/>
    <col min="12" max="12" width="19" style="95" customWidth="1"/>
    <col min="13" max="14" width="13.28515625" style="95" customWidth="1"/>
    <col min="15" max="18" width="12.5703125" style="95" customWidth="1"/>
    <col min="19" max="16384" width="8.7109375" style="95"/>
  </cols>
  <sheetData>
    <row r="1" spans="1:27" ht="14.1" customHeight="1">
      <c r="A1" s="401" t="s">
        <v>25</v>
      </c>
    </row>
    <row r="3" spans="1:27" ht="14.1" customHeight="1">
      <c r="A3" s="99" t="str">
        <f>'1-Contractblad totaal'!A3</f>
        <v>Naam opdrachtgever</v>
      </c>
      <c r="B3" s="130" t="str">
        <f>'1-Contractblad totaal'!B3</f>
        <v>GVB Veren</v>
      </c>
      <c r="C3" s="642"/>
      <c r="D3" s="96"/>
      <c r="J3" s="631"/>
    </row>
    <row r="4" spans="1:27" ht="14.1" customHeight="1">
      <c r="A4" s="99" t="str">
        <f>'1-Contractblad totaal'!A4</f>
        <v>Calculatie onderdeel</v>
      </c>
      <c r="B4" s="130" t="str">
        <f ca="1">MID(CELL("bestandsnaam",$B$7),SEARCH("]",CELL("bestandsnaam",$B$7),1)+1,256)</f>
        <v>12-Afval en logistiek</v>
      </c>
      <c r="C4" s="130"/>
      <c r="F4" s="631"/>
      <c r="H4" s="631"/>
    </row>
    <row r="5" spans="1:27" ht="14.1" customHeight="1">
      <c r="A5" s="99" t="str">
        <f>'1-Contractblad totaal'!A5</f>
        <v>Gebouw/plaats</v>
      </c>
      <c r="B5" s="130" t="str">
        <f>'1-Contractblad totaal'!B5</f>
        <v>Amsterdam</v>
      </c>
      <c r="C5" s="130"/>
      <c r="F5" s="98"/>
      <c r="H5" s="98"/>
    </row>
    <row r="6" spans="1:27" ht="14.1" customHeight="1">
      <c r="A6" s="99" t="str">
        <f>'1-Contractblad totaal'!A6</f>
        <v>Referentie nummer</v>
      </c>
      <c r="B6" s="130" t="str">
        <f>'1-Contractblad totaal'!B6</f>
        <v>2021-42a</v>
      </c>
      <c r="C6" s="130"/>
      <c r="E6" s="96"/>
      <c r="G6" s="96"/>
    </row>
    <row r="7" spans="1:27" ht="14.1" customHeight="1">
      <c r="A7" s="99" t="str">
        <f>'1-Contractblad totaal'!A8</f>
        <v>Naam dienstverlener</v>
      </c>
      <c r="B7" s="99">
        <f>'1-Contractblad totaal'!B8</f>
        <v>0</v>
      </c>
      <c r="C7" s="99"/>
      <c r="D7" s="96"/>
      <c r="E7" s="96"/>
      <c r="G7" s="96"/>
    </row>
    <row r="8" spans="1:27" ht="14.1" customHeight="1">
      <c r="A8" s="99" t="str">
        <f>'1-Contractblad totaal'!A9</f>
        <v>Prijspeil</v>
      </c>
      <c r="B8" s="100">
        <f>'1-Contractblad totaal'!B9</f>
        <v>45017</v>
      </c>
      <c r="C8" s="100"/>
    </row>
    <row r="9" spans="1:27" ht="14.1" customHeight="1" thickBot="1">
      <c r="A9" s="99"/>
      <c r="B9" s="100"/>
      <c r="C9" s="100"/>
    </row>
    <row r="10" spans="1:27" ht="19.899999999999999" customHeight="1" thickBot="1">
      <c r="A10" s="609" t="s">
        <v>369</v>
      </c>
      <c r="B10" s="606"/>
      <c r="C10" s="606"/>
      <c r="D10" s="606"/>
      <c r="E10" s="607"/>
      <c r="F10" s="544"/>
      <c r="G10" s="655"/>
      <c r="H10" s="544"/>
      <c r="I10" s="544"/>
      <c r="J10" s="590"/>
      <c r="K10" s="590"/>
      <c r="L10" s="590"/>
      <c r="M10" s="590"/>
      <c r="N10" s="590"/>
    </row>
    <row r="11" spans="1:27" s="3" customFormat="1" ht="43.9" customHeight="1">
      <c r="A11" s="565" t="s">
        <v>386</v>
      </c>
      <c r="B11" s="565" t="s">
        <v>55</v>
      </c>
      <c r="C11" s="569" t="s">
        <v>384</v>
      </c>
      <c r="D11" s="569" t="s">
        <v>383</v>
      </c>
      <c r="E11" s="569" t="s">
        <v>167</v>
      </c>
      <c r="F11" s="544"/>
      <c r="G11" s="569" t="s">
        <v>501</v>
      </c>
      <c r="H11" s="544"/>
      <c r="I11" s="544"/>
      <c r="J11" s="544"/>
      <c r="K11" s="544"/>
      <c r="L11" s="544"/>
      <c r="M11" s="544"/>
      <c r="N11" s="543"/>
      <c r="O11" s="543"/>
      <c r="P11" s="543"/>
      <c r="Q11" s="543"/>
      <c r="R11" s="543"/>
      <c r="S11" s="543"/>
      <c r="T11" s="543"/>
      <c r="U11" s="543"/>
      <c r="V11" s="543"/>
      <c r="W11" s="543"/>
      <c r="X11" s="543"/>
      <c r="Y11" s="543"/>
      <c r="Z11" s="543"/>
      <c r="AA11" s="543"/>
    </row>
    <row r="12" spans="1:27" s="493" customFormat="1" ht="13.5">
      <c r="A12" s="578" t="s">
        <v>453</v>
      </c>
      <c r="B12" s="578" t="s">
        <v>511</v>
      </c>
      <c r="C12" s="546">
        <v>2</v>
      </c>
      <c r="D12" s="547"/>
      <c r="E12" s="548">
        <f>C12*D12*12</f>
        <v>0</v>
      </c>
      <c r="F12" s="544"/>
      <c r="G12" s="550">
        <v>0</v>
      </c>
      <c r="H12" s="544"/>
      <c r="I12" s="544"/>
      <c r="J12" s="544"/>
      <c r="K12" s="544"/>
      <c r="L12" s="544"/>
      <c r="M12" s="544"/>
      <c r="N12" s="543"/>
      <c r="O12" s="543"/>
      <c r="P12" s="543"/>
      <c r="Q12" s="543"/>
      <c r="R12" s="543"/>
      <c r="S12" s="543"/>
      <c r="T12" s="543"/>
      <c r="U12" s="543"/>
      <c r="V12" s="543"/>
      <c r="W12" s="543"/>
      <c r="X12" s="543"/>
      <c r="Y12" s="543"/>
      <c r="Z12" s="543"/>
      <c r="AA12" s="543"/>
    </row>
    <row r="13" spans="1:27" s="3" customFormat="1" ht="13.5">
      <c r="A13" s="567" t="s">
        <v>506</v>
      </c>
      <c r="B13" s="622"/>
      <c r="C13" s="554"/>
      <c r="D13" s="554"/>
      <c r="E13" s="557">
        <f>SUM(E12:E12)</f>
        <v>0</v>
      </c>
      <c r="F13" s="544"/>
      <c r="G13" s="544"/>
      <c r="H13" s="544"/>
      <c r="I13" s="544"/>
      <c r="J13" s="544"/>
      <c r="K13" s="544"/>
      <c r="L13" s="544"/>
      <c r="M13" s="544"/>
      <c r="N13" s="543"/>
      <c r="O13" s="543"/>
      <c r="P13" s="543"/>
      <c r="Q13" s="543"/>
      <c r="R13" s="543"/>
      <c r="S13" s="543"/>
      <c r="T13" s="543"/>
      <c r="U13" s="543"/>
      <c r="V13" s="543"/>
      <c r="W13" s="543"/>
      <c r="X13" s="543"/>
      <c r="Y13" s="543"/>
      <c r="Z13" s="543"/>
      <c r="AA13" s="543"/>
    </row>
    <row r="14" spans="1:27" s="3" customFormat="1" ht="13.5">
      <c r="A14" s="564"/>
      <c r="B14" s="564"/>
      <c r="C14" s="558"/>
      <c r="D14" s="558"/>
      <c r="E14" s="558"/>
      <c r="F14" s="544"/>
      <c r="G14" s="558"/>
      <c r="H14" s="544"/>
      <c r="I14" s="544"/>
      <c r="J14" s="544"/>
      <c r="K14" s="544"/>
      <c r="L14" s="544"/>
      <c r="M14" s="544"/>
      <c r="N14" s="543"/>
      <c r="O14" s="543"/>
      <c r="P14" s="543"/>
      <c r="Q14" s="543"/>
      <c r="R14" s="543"/>
      <c r="S14" s="543"/>
      <c r="T14" s="543"/>
      <c r="U14" s="543"/>
      <c r="V14" s="543"/>
      <c r="W14" s="543"/>
      <c r="X14" s="543"/>
      <c r="Y14" s="543"/>
      <c r="Z14" s="543"/>
      <c r="AA14" s="543"/>
    </row>
    <row r="15" spans="1:27" s="3" customFormat="1" ht="43.15" customHeight="1">
      <c r="A15" s="565" t="s">
        <v>387</v>
      </c>
      <c r="B15" s="565" t="s">
        <v>55</v>
      </c>
      <c r="C15" s="569" t="s">
        <v>384</v>
      </c>
      <c r="D15" s="569" t="s">
        <v>383</v>
      </c>
      <c r="E15" s="569" t="s">
        <v>167</v>
      </c>
      <c r="F15" s="544"/>
      <c r="G15" s="569" t="s">
        <v>501</v>
      </c>
      <c r="H15" s="544"/>
      <c r="I15" s="544"/>
      <c r="J15" s="544"/>
      <c r="K15" s="544"/>
      <c r="L15" s="544"/>
      <c r="M15" s="544"/>
      <c r="N15" s="543"/>
      <c r="O15" s="543"/>
      <c r="P15" s="543"/>
      <c r="Q15" s="543"/>
      <c r="R15" s="543"/>
      <c r="S15" s="543"/>
      <c r="T15" s="543"/>
      <c r="U15" s="543"/>
      <c r="V15" s="543"/>
      <c r="W15" s="543"/>
      <c r="X15" s="543"/>
      <c r="Y15" s="543"/>
      <c r="Z15" s="543"/>
      <c r="AA15" s="543"/>
    </row>
    <row r="16" spans="1:27" s="3" customFormat="1" ht="45" customHeight="1">
      <c r="A16" s="578" t="s">
        <v>449</v>
      </c>
      <c r="B16" s="578" t="s">
        <v>512</v>
      </c>
      <c r="C16" s="546">
        <v>2</v>
      </c>
      <c r="D16" s="547"/>
      <c r="E16" s="548">
        <f>C16*D16*12</f>
        <v>0</v>
      </c>
      <c r="F16" s="544"/>
      <c r="G16" s="550">
        <v>0</v>
      </c>
      <c r="H16" s="544"/>
      <c r="I16" s="544"/>
      <c r="J16" s="544"/>
      <c r="K16" s="544"/>
      <c r="L16" s="544"/>
      <c r="M16" s="544"/>
      <c r="N16" s="543"/>
      <c r="O16" s="543"/>
      <c r="P16" s="543"/>
      <c r="Q16" s="543"/>
      <c r="R16" s="543"/>
      <c r="S16" s="543"/>
      <c r="T16" s="543"/>
      <c r="U16" s="543"/>
      <c r="V16" s="543"/>
      <c r="W16" s="543"/>
      <c r="X16" s="543"/>
      <c r="Y16" s="543"/>
      <c r="Z16" s="543"/>
      <c r="AA16" s="543"/>
    </row>
    <row r="17" spans="1:27" s="3" customFormat="1" ht="40.9" customHeight="1">
      <c r="A17" s="578" t="s">
        <v>450</v>
      </c>
      <c r="B17" s="578" t="s">
        <v>512</v>
      </c>
      <c r="C17" s="546">
        <v>2</v>
      </c>
      <c r="D17" s="547"/>
      <c r="E17" s="548">
        <f>C17*D17*12</f>
        <v>0</v>
      </c>
      <c r="F17" s="544"/>
      <c r="G17" s="550">
        <v>0</v>
      </c>
      <c r="H17" s="544"/>
      <c r="I17" s="544"/>
      <c r="J17" s="544"/>
      <c r="K17" s="544"/>
      <c r="L17" s="544"/>
      <c r="M17" s="544"/>
      <c r="N17" s="543"/>
      <c r="O17" s="543"/>
      <c r="P17" s="543"/>
      <c r="Q17" s="543"/>
      <c r="R17" s="543"/>
      <c r="S17" s="543"/>
      <c r="T17" s="543"/>
      <c r="U17" s="543"/>
      <c r="V17" s="543"/>
      <c r="W17" s="543"/>
      <c r="X17" s="543"/>
      <c r="Y17" s="543"/>
      <c r="Z17" s="543"/>
      <c r="AA17" s="543"/>
    </row>
    <row r="18" spans="1:27" s="3" customFormat="1" ht="45" customHeight="1">
      <c r="A18" s="578" t="s">
        <v>451</v>
      </c>
      <c r="B18" s="578" t="s">
        <v>512</v>
      </c>
      <c r="C18" s="546">
        <v>2</v>
      </c>
      <c r="D18" s="547"/>
      <c r="E18" s="548">
        <f>C18*D18*12</f>
        <v>0</v>
      </c>
      <c r="F18" s="544"/>
      <c r="G18" s="550">
        <v>0</v>
      </c>
      <c r="H18" s="544"/>
      <c r="I18" s="544"/>
      <c r="J18" s="544"/>
      <c r="K18" s="544"/>
      <c r="L18" s="544"/>
      <c r="M18" s="544"/>
      <c r="N18" s="543"/>
      <c r="O18" s="543"/>
      <c r="P18" s="543"/>
      <c r="Q18" s="543"/>
      <c r="R18" s="543"/>
      <c r="S18" s="543"/>
      <c r="T18" s="543"/>
      <c r="U18" s="543"/>
      <c r="V18" s="543"/>
      <c r="W18" s="543"/>
      <c r="X18" s="543"/>
      <c r="Y18" s="543"/>
      <c r="Z18" s="543"/>
      <c r="AA18" s="543"/>
    </row>
    <row r="19" spans="1:27" s="3" customFormat="1" ht="43.15" customHeight="1">
      <c r="A19" s="578" t="s">
        <v>452</v>
      </c>
      <c r="B19" s="578" t="s">
        <v>512</v>
      </c>
      <c r="C19" s="546">
        <v>2</v>
      </c>
      <c r="D19" s="547"/>
      <c r="E19" s="548">
        <f>C19*D19*12</f>
        <v>0</v>
      </c>
      <c r="F19" s="544"/>
      <c r="G19" s="550">
        <v>0</v>
      </c>
      <c r="H19" s="544"/>
      <c r="I19" s="544"/>
      <c r="J19" s="544"/>
      <c r="K19" s="544"/>
      <c r="L19" s="544"/>
      <c r="M19" s="544"/>
      <c r="N19" s="543"/>
      <c r="O19" s="543"/>
      <c r="P19" s="543"/>
      <c r="Q19" s="543"/>
      <c r="R19" s="543"/>
      <c r="S19" s="543"/>
      <c r="T19" s="543"/>
      <c r="U19" s="543"/>
      <c r="V19" s="543"/>
      <c r="W19" s="543"/>
      <c r="X19" s="543"/>
      <c r="Y19" s="543"/>
      <c r="Z19" s="543"/>
      <c r="AA19" s="543"/>
    </row>
    <row r="20" spans="1:27" s="3" customFormat="1" ht="13.5">
      <c r="A20" s="567" t="s">
        <v>286</v>
      </c>
      <c r="B20" s="622"/>
      <c r="C20" s="554"/>
      <c r="D20" s="554"/>
      <c r="E20" s="557">
        <f>SUM(E16:E19)</f>
        <v>0</v>
      </c>
      <c r="F20" s="544"/>
      <c r="G20" s="544"/>
      <c r="H20" s="544"/>
      <c r="I20" s="544"/>
      <c r="J20" s="544"/>
      <c r="K20" s="544"/>
      <c r="L20" s="544"/>
      <c r="M20" s="544"/>
      <c r="N20" s="543"/>
      <c r="O20" s="543"/>
      <c r="P20" s="543"/>
      <c r="Q20" s="543"/>
      <c r="R20" s="543"/>
      <c r="S20" s="543"/>
      <c r="T20" s="543"/>
      <c r="U20" s="543"/>
      <c r="V20" s="543"/>
      <c r="W20" s="543"/>
      <c r="X20" s="543"/>
      <c r="Y20" s="543"/>
      <c r="Z20" s="543"/>
      <c r="AA20" s="543"/>
    </row>
    <row r="21" spans="1:27" ht="14.1" customHeight="1" thickBot="1">
      <c r="A21" s="594"/>
      <c r="B21" s="627"/>
      <c r="C21" s="594"/>
      <c r="D21" s="594"/>
      <c r="E21" s="594"/>
      <c r="F21" s="544"/>
      <c r="G21" s="544"/>
      <c r="H21" s="544"/>
      <c r="I21" s="544"/>
      <c r="J21" s="544"/>
      <c r="K21" s="544"/>
      <c r="L21" s="590"/>
      <c r="M21" s="590"/>
    </row>
    <row r="22" spans="1:27" ht="23.45" customHeight="1" thickBot="1">
      <c r="A22" s="609" t="s">
        <v>479</v>
      </c>
      <c r="B22" s="606"/>
      <c r="C22" s="606"/>
      <c r="D22" s="606"/>
      <c r="E22" s="607"/>
      <c r="F22" s="590"/>
      <c r="G22" s="544"/>
      <c r="H22" s="590"/>
      <c r="I22" s="590"/>
      <c r="N22" s="590"/>
    </row>
    <row r="23" spans="1:27" s="3" customFormat="1" ht="25.5">
      <c r="A23" s="565" t="s">
        <v>87</v>
      </c>
      <c r="B23" s="565" t="s">
        <v>55</v>
      </c>
      <c r="C23" s="569" t="s">
        <v>478</v>
      </c>
      <c r="D23" s="569" t="s">
        <v>480</v>
      </c>
      <c r="E23" s="569" t="s">
        <v>481</v>
      </c>
      <c r="G23" s="544"/>
    </row>
    <row r="24" spans="1:27" s="3" customFormat="1" ht="30.75" customHeight="1">
      <c r="A24" s="578" t="s">
        <v>413</v>
      </c>
      <c r="B24" s="566" t="s">
        <v>444</v>
      </c>
      <c r="C24" s="546">
        <v>12</v>
      </c>
      <c r="D24" s="550"/>
      <c r="E24" s="548">
        <f>+C24*D24</f>
        <v>0</v>
      </c>
      <c r="G24" s="544"/>
    </row>
    <row r="25" spans="1:27" s="3" customFormat="1" ht="30.75" customHeight="1">
      <c r="A25" s="578" t="s">
        <v>417</v>
      </c>
      <c r="B25" s="566" t="s">
        <v>444</v>
      </c>
      <c r="C25" s="546">
        <v>12</v>
      </c>
      <c r="D25" s="550"/>
      <c r="E25" s="548">
        <f>+C25*D25</f>
        <v>0</v>
      </c>
      <c r="G25" s="544"/>
    </row>
    <row r="26" spans="1:27" s="3" customFormat="1" ht="13.5">
      <c r="A26" s="567" t="s">
        <v>485</v>
      </c>
      <c r="B26" s="622"/>
      <c r="C26" s="554"/>
      <c r="D26" s="554"/>
      <c r="E26" s="557">
        <f>SUM(E24:E25)</f>
        <v>0</v>
      </c>
      <c r="F26" s="544"/>
      <c r="G26" s="544"/>
      <c r="H26" s="544"/>
      <c r="I26" s="544"/>
      <c r="J26" s="544"/>
      <c r="K26" s="544"/>
      <c r="L26" s="544"/>
      <c r="M26" s="544"/>
      <c r="N26" s="543"/>
      <c r="O26" s="543"/>
      <c r="P26" s="543"/>
      <c r="Q26" s="543"/>
      <c r="R26" s="543"/>
      <c r="S26" s="543"/>
      <c r="T26" s="543"/>
      <c r="U26" s="543"/>
      <c r="V26" s="543"/>
      <c r="W26" s="543"/>
      <c r="X26" s="543"/>
      <c r="Y26" s="543"/>
      <c r="Z26" s="543"/>
      <c r="AA26" s="543"/>
    </row>
    <row r="27" spans="1:27" ht="14.1" customHeight="1" thickBot="1">
      <c r="A27" s="601"/>
      <c r="B27" s="602"/>
      <c r="C27" s="602"/>
      <c r="D27" s="590"/>
      <c r="E27" s="590"/>
      <c r="F27" s="599"/>
      <c r="G27" s="544"/>
      <c r="H27" s="599"/>
      <c r="I27" s="599"/>
      <c r="J27" s="590"/>
      <c r="K27" s="590"/>
      <c r="L27" s="590"/>
      <c r="M27" s="590"/>
    </row>
    <row r="28" spans="1:27" s="3" customFormat="1" ht="15.75" thickBot="1">
      <c r="A28" s="609" t="s">
        <v>334</v>
      </c>
      <c r="B28" s="606"/>
      <c r="C28" s="606"/>
      <c r="D28" s="606"/>
      <c r="E28" s="607"/>
      <c r="G28" s="544"/>
    </row>
    <row r="29" spans="1:27" s="3" customFormat="1" ht="26.25">
      <c r="A29" s="663" t="s">
        <v>55</v>
      </c>
      <c r="B29" s="664" t="s">
        <v>12</v>
      </c>
      <c r="C29" s="665"/>
      <c r="D29" s="665" t="s">
        <v>525</v>
      </c>
      <c r="E29" s="665" t="s">
        <v>526</v>
      </c>
    </row>
    <row r="30" spans="1:27" s="3" customFormat="1" ht="13.5">
      <c r="A30" s="504" t="s">
        <v>335</v>
      </c>
      <c r="B30" s="644" t="s">
        <v>336</v>
      </c>
      <c r="C30" s="321"/>
      <c r="D30" s="517">
        <v>0</v>
      </c>
      <c r="E30" s="517">
        <v>0</v>
      </c>
    </row>
    <row r="31" spans="1:27" s="3" customFormat="1" ht="13.5">
      <c r="A31" s="504" t="s">
        <v>337</v>
      </c>
      <c r="B31" s="644" t="s">
        <v>336</v>
      </c>
      <c r="C31" s="321"/>
      <c r="D31" s="517">
        <v>0</v>
      </c>
      <c r="E31" s="517">
        <v>0</v>
      </c>
    </row>
    <row r="32" spans="1:27" s="3" customFormat="1" ht="13.5">
      <c r="A32" s="504" t="s">
        <v>338</v>
      </c>
      <c r="B32" s="644" t="s">
        <v>339</v>
      </c>
      <c r="C32" s="321"/>
      <c r="D32" s="517">
        <v>0</v>
      </c>
      <c r="E32" s="517">
        <v>0</v>
      </c>
    </row>
    <row r="33" spans="1:7" s="3" customFormat="1" ht="13.5">
      <c r="A33" s="504" t="s">
        <v>340</v>
      </c>
      <c r="B33" s="644" t="s">
        <v>339</v>
      </c>
      <c r="C33" s="321"/>
      <c r="D33" s="517">
        <v>0</v>
      </c>
      <c r="E33" s="517">
        <v>0</v>
      </c>
    </row>
    <row r="34" spans="1:7" s="3" customFormat="1" ht="13.5">
      <c r="A34" s="504" t="s">
        <v>503</v>
      </c>
      <c r="B34" s="644" t="s">
        <v>336</v>
      </c>
      <c r="C34" s="321"/>
      <c r="D34" s="517">
        <v>0</v>
      </c>
      <c r="E34" s="517">
        <v>0</v>
      </c>
    </row>
    <row r="35" spans="1:7" s="3" customFormat="1" ht="13.5">
      <c r="A35" s="504" t="s">
        <v>504</v>
      </c>
      <c r="B35" s="644" t="s">
        <v>336</v>
      </c>
      <c r="C35" s="321"/>
      <c r="D35" s="517">
        <v>0</v>
      </c>
      <c r="E35" s="517">
        <v>0</v>
      </c>
    </row>
    <row r="36" spans="1:7" s="3" customFormat="1" ht="13.5">
      <c r="A36" s="505"/>
      <c r="B36" s="506"/>
      <c r="C36" s="666"/>
    </row>
    <row r="37" spans="1:7" s="3" customFormat="1" ht="15">
      <c r="A37" s="731" t="s">
        <v>341</v>
      </c>
      <c r="B37" s="732"/>
      <c r="C37" s="732"/>
      <c r="D37" s="733"/>
    </row>
    <row r="38" spans="1:7" s="3" customFormat="1" ht="26.45" customHeight="1">
      <c r="A38" s="663" t="s">
        <v>55</v>
      </c>
      <c r="B38" s="667" t="s">
        <v>12</v>
      </c>
      <c r="C38" s="668" t="s">
        <v>507</v>
      </c>
      <c r="D38" s="669" t="s">
        <v>342</v>
      </c>
    </row>
    <row r="39" spans="1:7" s="3" customFormat="1" ht="13.5">
      <c r="A39" s="504" t="s">
        <v>343</v>
      </c>
      <c r="B39" s="644" t="s">
        <v>509</v>
      </c>
      <c r="C39" s="517">
        <v>0</v>
      </c>
      <c r="D39" s="517">
        <v>0</v>
      </c>
    </row>
    <row r="40" spans="1:7" s="3" customFormat="1" ht="13.5">
      <c r="A40" s="504" t="s">
        <v>343</v>
      </c>
      <c r="B40" s="644" t="s">
        <v>510</v>
      </c>
      <c r="C40" s="517">
        <v>0</v>
      </c>
      <c r="D40" s="517">
        <v>0</v>
      </c>
    </row>
    <row r="41" spans="1:7" s="3" customFormat="1" ht="13.5"/>
    <row r="42" spans="1:7" s="670" customFormat="1" ht="14.1" customHeight="1">
      <c r="A42" s="670" t="s">
        <v>500</v>
      </c>
      <c r="D42" s="671"/>
      <c r="E42" s="671"/>
      <c r="G42" s="671"/>
    </row>
    <row r="43" spans="1:7" s="670" customFormat="1" ht="14.1" customHeight="1">
      <c r="D43" s="671"/>
      <c r="E43" s="671"/>
      <c r="G43" s="671"/>
    </row>
    <row r="44" spans="1:7" s="670" customFormat="1" ht="14.1" customHeight="1">
      <c r="A44" s="670" t="s">
        <v>508</v>
      </c>
      <c r="D44" s="671"/>
      <c r="E44" s="671"/>
      <c r="G44" s="671"/>
    </row>
  </sheetData>
  <mergeCells count="1">
    <mergeCell ref="A37:D37"/>
  </mergeCells>
  <conditionalFormatting sqref="C39">
    <cfRule type="cellIs" dxfId="9" priority="20" stopIfTrue="1" operator="equal">
      <formula>"nvt"</formula>
    </cfRule>
  </conditionalFormatting>
  <conditionalFormatting sqref="C40">
    <cfRule type="cellIs" dxfId="8" priority="19" stopIfTrue="1" operator="equal">
      <formula>"nvt"</formula>
    </cfRule>
  </conditionalFormatting>
  <conditionalFormatting sqref="D39">
    <cfRule type="cellIs" dxfId="7" priority="18" stopIfTrue="1" operator="equal">
      <formula>"nvt"</formula>
    </cfRule>
  </conditionalFormatting>
  <conditionalFormatting sqref="D40">
    <cfRule type="cellIs" dxfId="6" priority="7" stopIfTrue="1" operator="equal">
      <formula>"nvt"</formula>
    </cfRule>
  </conditionalFormatting>
  <conditionalFormatting sqref="D35:E35">
    <cfRule type="cellIs" dxfId="5" priority="6" stopIfTrue="1" operator="equal">
      <formula>"nvt"</formula>
    </cfRule>
  </conditionalFormatting>
  <conditionalFormatting sqref="D30:E30">
    <cfRule type="cellIs" dxfId="4" priority="5" stopIfTrue="1" operator="equal">
      <formula>"nvt"</formula>
    </cfRule>
  </conditionalFormatting>
  <conditionalFormatting sqref="D31:E31">
    <cfRule type="cellIs" dxfId="3" priority="4" stopIfTrue="1" operator="equal">
      <formula>"nvt"</formula>
    </cfRule>
  </conditionalFormatting>
  <conditionalFormatting sqref="D32:E32">
    <cfRule type="cellIs" dxfId="2" priority="3" stopIfTrue="1" operator="equal">
      <formula>"nvt"</formula>
    </cfRule>
  </conditionalFormatting>
  <conditionalFormatting sqref="D34:E34">
    <cfRule type="cellIs" dxfId="1" priority="2" stopIfTrue="1" operator="equal">
      <formula>"nvt"</formula>
    </cfRule>
  </conditionalFormatting>
  <conditionalFormatting sqref="D33:E33">
    <cfRule type="cellIs" dxfId="0" priority="1" stopIfTrue="1" operator="equal">
      <formula>"nvt"</formula>
    </cfRule>
  </conditionalFormatting>
  <printOptions horizontalCentered="1" gridLinesSet="0"/>
  <pageMargins left="0.19685039370078741" right="0.19685039370078741" top="0.59055118110236227" bottom="0.78740157480314965" header="0.39370078740157483" footer="0.19685039370078741"/>
  <pageSetup paperSize="9" scale="74"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M44"/>
  <sheetViews>
    <sheetView showGridLines="0" showZeros="0" zoomScale="85" zoomScaleNormal="85" workbookViewId="0">
      <pane ySplit="11" topLeftCell="A12" activePane="bottomLeft" state="frozen"/>
      <selection activeCell="B3" sqref="B3:D9"/>
      <selection pane="bottomLeft" activeCell="A39" sqref="A39"/>
    </sheetView>
  </sheetViews>
  <sheetFormatPr defaultColWidth="8.7109375" defaultRowHeight="14.1" customHeight="1"/>
  <cols>
    <col min="1" max="1" width="29.85546875" style="95" customWidth="1"/>
    <col min="2" max="2" width="20.28515625" style="95" customWidth="1"/>
    <col min="3" max="3" width="19.7109375" style="95" customWidth="1"/>
    <col min="4" max="4" width="18.42578125" style="98" customWidth="1"/>
    <col min="5" max="6" width="20.7109375" style="98" customWidth="1"/>
    <col min="7" max="7" width="18.42578125" style="95" customWidth="1"/>
    <col min="8" max="8" width="19.5703125" style="95" customWidth="1"/>
    <col min="9" max="9" width="19" style="95" customWidth="1"/>
    <col min="10" max="10" width="16.140625" style="95" customWidth="1"/>
    <col min="11" max="11" width="19" style="95" customWidth="1"/>
    <col min="12" max="13" width="13.28515625" style="95" customWidth="1"/>
    <col min="14" max="17" width="12.5703125" style="95" customWidth="1"/>
    <col min="18" max="16384" width="8.7109375" style="95"/>
  </cols>
  <sheetData>
    <row r="1" spans="1:13" ht="14.1" customHeight="1">
      <c r="A1" s="401" t="s">
        <v>25</v>
      </c>
    </row>
    <row r="3" spans="1:13" ht="14.1" customHeight="1">
      <c r="A3" s="99" t="str">
        <f>'1-Contractblad totaal'!A3</f>
        <v>Naam opdrachtgever</v>
      </c>
      <c r="B3" s="130" t="str">
        <f>'1-Contractblad totaal'!B3</f>
        <v>GVB Veren</v>
      </c>
      <c r="C3" s="130"/>
      <c r="D3" s="96"/>
      <c r="I3" s="631"/>
    </row>
    <row r="4" spans="1:13" ht="14.1" customHeight="1">
      <c r="A4" s="99" t="str">
        <f>'1-Contractblad totaal'!A4</f>
        <v>Calculatie onderdeel</v>
      </c>
      <c r="B4" s="130" t="str">
        <f ca="1">MID(CELL("bestandsnaam",$B$7),SEARCH("]",CELL("bestandsnaam",$B$7),1)+1,256)</f>
        <v>2-Kosten per type werkzaamheden</v>
      </c>
      <c r="C4" s="130"/>
      <c r="D4" s="96"/>
    </row>
    <row r="5" spans="1:13" ht="14.1" customHeight="1">
      <c r="A5" s="99" t="str">
        <f>'1-Contractblad totaal'!A5</f>
        <v>Gebouw/plaats</v>
      </c>
      <c r="B5" s="130" t="str">
        <f>'1-Contractblad totaal'!B5</f>
        <v>Amsterdam</v>
      </c>
      <c r="C5" s="130"/>
      <c r="D5" s="96"/>
    </row>
    <row r="6" spans="1:13" ht="14.1" customHeight="1">
      <c r="A6" s="99" t="str">
        <f>'1-Contractblad totaal'!A6</f>
        <v>Referentie nummer</v>
      </c>
      <c r="B6" s="130" t="str">
        <f>'1-Contractblad totaal'!B6</f>
        <v>2021-42a</v>
      </c>
      <c r="C6" s="130"/>
      <c r="D6" s="96"/>
      <c r="E6" s="96"/>
      <c r="I6" s="98"/>
      <c r="J6" s="661"/>
    </row>
    <row r="7" spans="1:13" ht="14.1" customHeight="1">
      <c r="A7" s="99" t="str">
        <f>'1-Contractblad totaal'!A8</f>
        <v>Naam dienstverlener</v>
      </c>
      <c r="B7" s="99">
        <f>'1-Contractblad totaal'!B8</f>
        <v>0</v>
      </c>
      <c r="C7" s="99"/>
      <c r="D7" s="96"/>
      <c r="E7" s="96"/>
    </row>
    <row r="8" spans="1:13" ht="14.1" customHeight="1">
      <c r="A8" s="99" t="str">
        <f>'1-Contractblad totaal'!A9</f>
        <v>Prijspeil</v>
      </c>
      <c r="B8" s="100">
        <f>'1-Contractblad totaal'!B9</f>
        <v>45017</v>
      </c>
      <c r="C8" s="100"/>
    </row>
    <row r="9" spans="1:13" ht="14.1" customHeight="1" thickBot="1">
      <c r="A9" s="99"/>
      <c r="B9" s="100"/>
      <c r="C9" s="100"/>
      <c r="F9" s="96"/>
    </row>
    <row r="10" spans="1:13" ht="19.149999999999999" customHeight="1" thickBot="1">
      <c r="A10" s="605" t="s">
        <v>372</v>
      </c>
      <c r="B10" s="606"/>
      <c r="C10" s="606"/>
      <c r="D10" s="606"/>
      <c r="E10" s="606"/>
      <c r="F10" s="606"/>
      <c r="G10" s="583"/>
      <c r="H10" s="583"/>
      <c r="I10" s="583"/>
      <c r="J10" s="583"/>
      <c r="K10" s="583"/>
      <c r="L10" s="584"/>
    </row>
    <row r="11" spans="1:13" ht="51">
      <c r="A11" s="617" t="s">
        <v>420</v>
      </c>
      <c r="B11" s="585" t="s">
        <v>109</v>
      </c>
      <c r="C11" s="585" t="s">
        <v>180</v>
      </c>
      <c r="D11" s="591" t="s">
        <v>275</v>
      </c>
      <c r="E11" s="592" t="s">
        <v>375</v>
      </c>
      <c r="F11" s="592" t="s">
        <v>423</v>
      </c>
      <c r="G11" s="591" t="s">
        <v>424</v>
      </c>
      <c r="H11" s="586" t="s">
        <v>468</v>
      </c>
      <c r="I11" s="586" t="s">
        <v>469</v>
      </c>
      <c r="J11" s="586" t="s">
        <v>377</v>
      </c>
      <c r="K11" s="586" t="s">
        <v>374</v>
      </c>
      <c r="L11" s="586" t="s">
        <v>181</v>
      </c>
    </row>
    <row r="12" spans="1:13" ht="13.5">
      <c r="A12" s="618" t="s">
        <v>230</v>
      </c>
      <c r="B12" s="615" t="s">
        <v>231</v>
      </c>
      <c r="C12" s="587">
        <f>SUMIF('4-Basis ruimtestaat Kantoren'!B:B,'2-Kosten per type werkzaamheden'!A12,'4-Basis ruimtestaat Kantoren'!I:I)</f>
        <v>2131</v>
      </c>
      <c r="D12" s="624" t="e">
        <f>SUMIF('4-Basis ruimtestaat Kantoren'!B:B,'2-Kosten per type werkzaamheden'!A12,'4-Basis ruimtestaat Kantoren'!R:R)</f>
        <v>#DIV/0!</v>
      </c>
      <c r="E12" s="625" t="e">
        <f>D12*'1-Contractblad totaal'!G14</f>
        <v>#DIV/0!</v>
      </c>
      <c r="F12" s="608"/>
      <c r="G12" s="588" t="e">
        <f>F12*'1-Contractblad totaal'!$G$16</f>
        <v>#DIV/0!</v>
      </c>
      <c r="H12" s="588">
        <f>'4b- Kantoren extra werk'!H14</f>
        <v>0</v>
      </c>
      <c r="I12" s="550"/>
      <c r="J12" s="588">
        <f>'9-Glasbewassing'!J17</f>
        <v>0</v>
      </c>
      <c r="K12" s="639" t="e">
        <f>+J12+I12+H12+G12+E12</f>
        <v>#DIV/0!</v>
      </c>
      <c r="L12" s="588" t="e">
        <f>K12/12</f>
        <v>#DIV/0!</v>
      </c>
    </row>
    <row r="13" spans="1:13" s="97" customFormat="1" ht="14.1" customHeight="1" thickBot="1">
      <c r="A13" s="619"/>
      <c r="B13" s="589"/>
      <c r="C13" s="589"/>
      <c r="D13" s="589"/>
      <c r="E13" s="589"/>
      <c r="F13" s="589"/>
      <c r="G13" s="589"/>
      <c r="H13" s="589"/>
      <c r="I13" s="589"/>
      <c r="J13" s="589"/>
      <c r="K13" s="589"/>
      <c r="L13" s="589"/>
    </row>
    <row r="14" spans="1:13" ht="19.899999999999999" customHeight="1" thickBot="1">
      <c r="A14" s="609" t="s">
        <v>369</v>
      </c>
      <c r="B14" s="606"/>
      <c r="C14" s="606"/>
      <c r="D14" s="606"/>
      <c r="E14" s="606"/>
      <c r="F14" s="606"/>
      <c r="G14" s="606"/>
      <c r="H14" s="607"/>
      <c r="I14" s="590"/>
      <c r="J14" s="590"/>
      <c r="K14" s="590"/>
      <c r="L14" s="590"/>
      <c r="M14" s="590"/>
    </row>
    <row r="15" spans="1:13" ht="38.25">
      <c r="A15" s="620" t="s">
        <v>289</v>
      </c>
      <c r="B15" s="591" t="s">
        <v>275</v>
      </c>
      <c r="C15" s="592" t="s">
        <v>375</v>
      </c>
      <c r="D15" s="592" t="s">
        <v>423</v>
      </c>
      <c r="E15" s="591" t="s">
        <v>424</v>
      </c>
      <c r="F15" s="586" t="s">
        <v>469</v>
      </c>
      <c r="G15" s="592" t="s">
        <v>374</v>
      </c>
      <c r="H15" s="592" t="s">
        <v>181</v>
      </c>
      <c r="I15" s="590"/>
      <c r="J15" s="590"/>
      <c r="K15" s="590"/>
      <c r="L15" s="590"/>
    </row>
    <row r="16" spans="1:13" ht="14.1" customHeight="1">
      <c r="A16" s="578" t="s">
        <v>402</v>
      </c>
      <c r="B16" s="597">
        <f>+SUM('4c- Noordzeekanaal'!I13:J15)</f>
        <v>0</v>
      </c>
      <c r="C16" s="593">
        <f>+'4c- Noordzeekanaal'!M16</f>
        <v>0</v>
      </c>
      <c r="D16" s="608"/>
      <c r="E16" s="588" t="e">
        <f>+D16*'7-Opbouw uurtarief toezicht'!$E$47</f>
        <v>#DIV/0!</v>
      </c>
      <c r="F16" s="550"/>
      <c r="G16" s="598" t="e">
        <f>+C16+E16+F16</f>
        <v>#DIV/0!</v>
      </c>
      <c r="H16" s="588" t="e">
        <f>G16/12</f>
        <v>#DIV/0!</v>
      </c>
      <c r="I16" s="590"/>
      <c r="J16" s="590"/>
      <c r="K16" s="590"/>
      <c r="L16" s="590"/>
    </row>
    <row r="17" spans="1:13" ht="14.1" customHeight="1">
      <c r="A17" s="578" t="s">
        <v>393</v>
      </c>
      <c r="B17" s="597">
        <f>+SUM('4c- Noordzeekanaal'!H19:H21)</f>
        <v>0</v>
      </c>
      <c r="C17" s="593">
        <f>+'4c- Noordzeekanaal'!I22</f>
        <v>0</v>
      </c>
      <c r="D17" s="608"/>
      <c r="E17" s="588" t="e">
        <f>+D17*'7-Opbouw uurtarief toezicht'!$E$47</f>
        <v>#DIV/0!</v>
      </c>
      <c r="F17" s="550"/>
      <c r="G17" s="598" t="e">
        <f t="shared" ref="G17:G18" si="0">+C17+E17+F17</f>
        <v>#DIV/0!</v>
      </c>
      <c r="H17" s="588" t="e">
        <f t="shared" ref="H17:H18" si="1">G17/12</f>
        <v>#DIV/0!</v>
      </c>
      <c r="I17" s="590"/>
      <c r="J17" s="590"/>
      <c r="K17" s="590"/>
      <c r="L17" s="590"/>
    </row>
    <row r="18" spans="1:13" ht="14.1" customHeight="1">
      <c r="A18" s="578" t="s">
        <v>394</v>
      </c>
      <c r="B18" s="597">
        <f>+SUM('4c- Noordzeekanaal'!F25:F27)</f>
        <v>0</v>
      </c>
      <c r="C18" s="593">
        <f>+'4c- Noordzeekanaal'!G29</f>
        <v>0</v>
      </c>
      <c r="D18" s="608"/>
      <c r="E18" s="588" t="e">
        <f>+D18*'7-Opbouw uurtarief toezicht'!$E$47</f>
        <v>#DIV/0!</v>
      </c>
      <c r="F18" s="550"/>
      <c r="G18" s="598" t="e">
        <f t="shared" si="0"/>
        <v>#DIV/0!</v>
      </c>
      <c r="H18" s="588" t="e">
        <f t="shared" si="1"/>
        <v>#DIV/0!</v>
      </c>
      <c r="I18" s="590"/>
      <c r="J18" s="590"/>
      <c r="K18" s="590"/>
      <c r="L18" s="590"/>
    </row>
    <row r="19" spans="1:13" ht="14.45" customHeight="1">
      <c r="A19" s="621" t="s">
        <v>8</v>
      </c>
      <c r="B19" s="626">
        <f>SUM(B16:B18)</f>
        <v>0</v>
      </c>
      <c r="C19" s="561">
        <f>SUM(C16:C18)</f>
        <v>0</v>
      </c>
      <c r="D19" s="640">
        <f>SUM(D16:D18)</f>
        <v>0</v>
      </c>
      <c r="E19" s="623" t="e">
        <f>+D19*'7-Opbouw uurtarief toezicht'!$E$47</f>
        <v>#DIV/0!</v>
      </c>
      <c r="F19" s="561">
        <f>SUM(F16:F18)</f>
        <v>0</v>
      </c>
      <c r="G19" s="556" t="e">
        <f>SUM(G16:G18)</f>
        <v>#DIV/0!</v>
      </c>
      <c r="H19" s="556" t="e">
        <f>SUM(H16:H18)</f>
        <v>#DIV/0!</v>
      </c>
      <c r="I19" s="590"/>
      <c r="J19" s="590"/>
      <c r="K19" s="590"/>
      <c r="L19" s="590"/>
    </row>
    <row r="20" spans="1:13" ht="14.1" customHeight="1" thickBot="1">
      <c r="A20" s="594"/>
      <c r="B20" s="627"/>
      <c r="C20" s="594"/>
      <c r="D20" s="594"/>
      <c r="E20" s="594"/>
      <c r="F20" s="594"/>
      <c r="G20" s="595"/>
      <c r="H20" s="594"/>
      <c r="I20" s="590"/>
      <c r="J20" s="590"/>
      <c r="K20" s="590"/>
      <c r="L20" s="590"/>
    </row>
    <row r="21" spans="1:13" ht="23.45" customHeight="1" thickBot="1">
      <c r="A21" s="609" t="s">
        <v>370</v>
      </c>
      <c r="B21" s="606"/>
      <c r="C21" s="606"/>
      <c r="D21" s="606"/>
      <c r="E21" s="606"/>
      <c r="F21" s="606"/>
      <c r="G21" s="606"/>
      <c r="H21" s="607"/>
      <c r="K21" s="590"/>
    </row>
    <row r="22" spans="1:13" ht="38.25">
      <c r="A22" s="600" t="s">
        <v>376</v>
      </c>
      <c r="B22" s="616" t="s">
        <v>275</v>
      </c>
      <c r="C22" s="592" t="s">
        <v>483</v>
      </c>
      <c r="D22" s="592" t="s">
        <v>484</v>
      </c>
      <c r="E22" s="591" t="s">
        <v>424</v>
      </c>
      <c r="F22" s="586" t="s">
        <v>469</v>
      </c>
      <c r="G22" s="586" t="s">
        <v>374</v>
      </c>
      <c r="H22" s="586" t="s">
        <v>181</v>
      </c>
    </row>
    <row r="23" spans="1:13" ht="14.1" customHeight="1">
      <c r="A23" s="578" t="s">
        <v>395</v>
      </c>
      <c r="B23" s="597">
        <f>+'4d-IJ Veren'!H31</f>
        <v>0</v>
      </c>
      <c r="C23" s="548">
        <f>+'4d-IJ Veren'!I31</f>
        <v>0</v>
      </c>
      <c r="D23" s="597">
        <f>'4d-IJ Veren'!H52</f>
        <v>0</v>
      </c>
      <c r="E23" s="548">
        <f>'4d-IJ Veren'!I52</f>
        <v>0</v>
      </c>
      <c r="F23" s="596"/>
      <c r="G23" s="556">
        <f>C23+E23+F23</f>
        <v>0</v>
      </c>
      <c r="H23" s="588">
        <f>G23/12</f>
        <v>0</v>
      </c>
    </row>
    <row r="24" spans="1:13" ht="14.1" customHeight="1" thickBot="1">
      <c r="A24" s="594"/>
      <c r="B24" s="594"/>
      <c r="C24" s="594"/>
      <c r="D24" s="594"/>
      <c r="E24" s="594"/>
      <c r="F24" s="594"/>
      <c r="G24" s="594"/>
      <c r="H24" s="590"/>
      <c r="I24" s="590"/>
      <c r="J24" s="590"/>
      <c r="K24" s="590"/>
      <c r="L24" s="590"/>
      <c r="M24" s="590"/>
    </row>
    <row r="25" spans="1:13" ht="23.45" customHeight="1" thickBot="1">
      <c r="A25" s="609" t="s">
        <v>390</v>
      </c>
      <c r="B25" s="606"/>
      <c r="C25" s="606"/>
      <c r="D25" s="606"/>
      <c r="E25" s="606"/>
      <c r="F25" s="606"/>
      <c r="G25" s="606"/>
      <c r="H25" s="607"/>
      <c r="I25" s="590"/>
      <c r="J25" s="590"/>
      <c r="K25" s="590"/>
    </row>
    <row r="26" spans="1:13" ht="38.25">
      <c r="A26" s="600" t="s">
        <v>391</v>
      </c>
      <c r="B26" s="616" t="s">
        <v>275</v>
      </c>
      <c r="C26" s="592" t="s">
        <v>375</v>
      </c>
      <c r="D26" s="592" t="s">
        <v>484</v>
      </c>
      <c r="E26" s="591" t="s">
        <v>424</v>
      </c>
      <c r="F26" s="586" t="s">
        <v>469</v>
      </c>
      <c r="G26" s="591" t="s">
        <v>374</v>
      </c>
      <c r="H26" s="591" t="s">
        <v>181</v>
      </c>
    </row>
    <row r="27" spans="1:13" ht="14.1" customHeight="1">
      <c r="A27" s="578" t="s">
        <v>396</v>
      </c>
      <c r="B27" s="597">
        <f>+'4e-IJ aanlegpunten'!H42+'4e-IJ aanlegpunten'!I42</f>
        <v>0</v>
      </c>
      <c r="C27" s="598">
        <f>+'4e-IJ aanlegpunten'!L42</f>
        <v>0</v>
      </c>
      <c r="D27" s="608"/>
      <c r="E27" s="548" t="e">
        <f>D27*'7-Opbouw uurtarief toezicht'!$E$47</f>
        <v>#DIV/0!</v>
      </c>
      <c r="F27" s="596"/>
      <c r="G27" s="556" t="e">
        <f>+C27+F27+E27</f>
        <v>#DIV/0!</v>
      </c>
      <c r="H27" s="588" t="e">
        <f>G27/12</f>
        <v>#DIV/0!</v>
      </c>
    </row>
    <row r="28" spans="1:13" ht="14.1" customHeight="1" thickBot="1">
      <c r="A28" s="594"/>
      <c r="B28" s="594"/>
      <c r="C28" s="590"/>
      <c r="D28" s="599"/>
      <c r="E28" s="599"/>
      <c r="F28" s="599"/>
      <c r="G28" s="590"/>
      <c r="H28" s="590"/>
      <c r="I28" s="590"/>
      <c r="J28" s="590"/>
    </row>
    <row r="29" spans="1:13" ht="23.45" customHeight="1" thickBot="1">
      <c r="A29" s="609" t="s">
        <v>371</v>
      </c>
      <c r="B29" s="606"/>
      <c r="C29" s="606"/>
      <c r="D29" s="606"/>
      <c r="E29" s="606"/>
      <c r="F29" s="606"/>
      <c r="G29" s="606"/>
      <c r="H29" s="607"/>
      <c r="I29" s="590"/>
      <c r="J29" s="590"/>
      <c r="K29" s="590"/>
      <c r="L29" s="590"/>
      <c r="M29" s="590"/>
    </row>
    <row r="30" spans="1:13" ht="38.25">
      <c r="A30" s="600" t="s">
        <v>392</v>
      </c>
      <c r="B30" s="616" t="s">
        <v>275</v>
      </c>
      <c r="C30" s="592" t="s">
        <v>375</v>
      </c>
      <c r="D30" s="592" t="s">
        <v>484</v>
      </c>
      <c r="E30" s="591" t="s">
        <v>424</v>
      </c>
      <c r="F30" s="586" t="s">
        <v>469</v>
      </c>
      <c r="G30" s="591" t="s">
        <v>374</v>
      </c>
      <c r="H30" s="591" t="s">
        <v>181</v>
      </c>
      <c r="I30" s="590"/>
      <c r="J30" s="590"/>
      <c r="K30" s="590"/>
      <c r="L30" s="590"/>
    </row>
    <row r="31" spans="1:13" ht="14.1" customHeight="1">
      <c r="A31" s="578" t="s">
        <v>397</v>
      </c>
      <c r="B31" s="597">
        <f>+'4f-Specialistische werkz.'!G22</f>
        <v>1938</v>
      </c>
      <c r="C31" s="598">
        <f>+'4f-Specialistische werkz.'!I22</f>
        <v>0</v>
      </c>
      <c r="D31" s="608"/>
      <c r="E31" s="588" t="e">
        <f>D31*'1-Contractblad totaal'!$G$16</f>
        <v>#DIV/0!</v>
      </c>
      <c r="F31" s="596"/>
      <c r="G31" s="556" t="e">
        <f>+C31+E31+F31</f>
        <v>#DIV/0!</v>
      </c>
      <c r="H31" s="588" t="e">
        <f>G31/12</f>
        <v>#DIV/0!</v>
      </c>
      <c r="I31" s="590"/>
      <c r="J31" s="590"/>
      <c r="K31" s="590"/>
      <c r="L31" s="590"/>
    </row>
    <row r="32" spans="1:13" ht="14.1" customHeight="1" thickBot="1">
      <c r="A32" s="594"/>
      <c r="B32" s="594"/>
      <c r="C32" s="594"/>
      <c r="D32" s="590"/>
      <c r="E32" s="590"/>
      <c r="F32" s="599"/>
      <c r="G32" s="599"/>
      <c r="H32" s="599"/>
      <c r="I32" s="590"/>
      <c r="J32" s="590"/>
      <c r="K32" s="590"/>
      <c r="L32" s="590"/>
    </row>
    <row r="33" spans="1:13" ht="23.45" customHeight="1" thickBot="1">
      <c r="A33" s="609" t="s">
        <v>419</v>
      </c>
      <c r="B33" s="606"/>
      <c r="C33" s="606"/>
      <c r="D33" s="606"/>
      <c r="E33" s="606"/>
      <c r="F33" s="606"/>
      <c r="G33" s="606"/>
      <c r="H33" s="607"/>
      <c r="I33" s="590"/>
      <c r="J33" s="590"/>
      <c r="K33" s="590"/>
      <c r="L33" s="590"/>
      <c r="M33" s="590"/>
    </row>
    <row r="34" spans="1:13" ht="38.25">
      <c r="A34" s="600" t="s">
        <v>486</v>
      </c>
      <c r="B34" s="616" t="s">
        <v>275</v>
      </c>
      <c r="C34" s="592" t="s">
        <v>375</v>
      </c>
      <c r="D34" s="592" t="s">
        <v>484</v>
      </c>
      <c r="E34" s="591" t="s">
        <v>424</v>
      </c>
      <c r="F34" s="586" t="s">
        <v>469</v>
      </c>
      <c r="G34" s="591" t="s">
        <v>374</v>
      </c>
      <c r="H34" s="591" t="s">
        <v>181</v>
      </c>
      <c r="I34" s="590"/>
      <c r="J34" s="590"/>
      <c r="K34" s="590"/>
      <c r="L34" s="590"/>
    </row>
    <row r="35" spans="1:13" ht="14.1" customHeight="1">
      <c r="A35" s="578" t="s">
        <v>419</v>
      </c>
      <c r="B35" s="597">
        <f>+'4g-Evenementen Schoonmaak'!H20+'4g-Evenementen Schoonmaak'!I20</f>
        <v>59.5</v>
      </c>
      <c r="C35" s="598">
        <f>+'4g-Evenementen Schoonmaak'!K20</f>
        <v>0</v>
      </c>
      <c r="D35" s="608"/>
      <c r="E35" s="588" t="e">
        <f>D35*'1-Contractblad totaal'!$G$16</f>
        <v>#DIV/0!</v>
      </c>
      <c r="F35" s="596"/>
      <c r="G35" s="556" t="e">
        <f>+C35+E35+F35</f>
        <v>#DIV/0!</v>
      </c>
      <c r="H35" s="588" t="e">
        <f>G35/12</f>
        <v>#DIV/0!</v>
      </c>
      <c r="I35" s="590"/>
      <c r="J35" s="590"/>
      <c r="K35" s="590"/>
      <c r="L35" s="590"/>
    </row>
    <row r="36" spans="1:13" ht="14.1" customHeight="1" thickBot="1">
      <c r="A36" s="601"/>
      <c r="B36" s="602"/>
      <c r="C36" s="602"/>
      <c r="D36" s="590"/>
      <c r="E36" s="590"/>
      <c r="F36" s="599"/>
      <c r="G36" s="599"/>
      <c r="H36" s="599"/>
      <c r="I36" s="590"/>
      <c r="J36" s="590"/>
      <c r="K36" s="590"/>
      <c r="L36" s="590"/>
    </row>
    <row r="37" spans="1:13" ht="20.45" customHeight="1" thickBot="1">
      <c r="A37" s="693" t="s">
        <v>108</v>
      </c>
      <c r="B37" s="694"/>
      <c r="C37" s="590"/>
      <c r="D37" s="599"/>
      <c r="E37" s="599"/>
      <c r="F37" s="599"/>
      <c r="G37" s="590"/>
      <c r="H37" s="590"/>
      <c r="I37" s="590"/>
      <c r="J37" s="590"/>
      <c r="K37" s="590"/>
      <c r="L37" s="590"/>
      <c r="M37" s="590"/>
    </row>
    <row r="38" spans="1:13" ht="30" customHeight="1">
      <c r="A38" s="637" t="s">
        <v>374</v>
      </c>
      <c r="B38" s="637" t="s">
        <v>181</v>
      </c>
      <c r="C38" s="590"/>
      <c r="D38" s="599"/>
      <c r="E38" s="599"/>
      <c r="F38" s="599"/>
      <c r="G38" s="590"/>
      <c r="H38" s="590"/>
      <c r="I38" s="590"/>
      <c r="J38" s="590"/>
      <c r="K38" s="590"/>
      <c r="L38" s="590"/>
      <c r="M38" s="590"/>
    </row>
    <row r="39" spans="1:13" ht="14.1" customHeight="1">
      <c r="A39" s="638" t="e">
        <f>+K12+G19+G23+G27+G31+G35</f>
        <v>#DIV/0!</v>
      </c>
      <c r="B39" s="639" t="e">
        <f>A39/12</f>
        <v>#DIV/0!</v>
      </c>
      <c r="C39" s="590"/>
      <c r="D39" s="599"/>
      <c r="E39" s="599"/>
      <c r="F39" s="599"/>
      <c r="G39" s="590"/>
      <c r="H39" s="590"/>
      <c r="I39" s="590"/>
      <c r="J39" s="590"/>
      <c r="K39" s="590"/>
      <c r="L39" s="590"/>
      <c r="M39" s="590"/>
    </row>
    <row r="40" spans="1:13" ht="14.1" customHeight="1">
      <c r="A40" s="590"/>
      <c r="B40" s="590"/>
      <c r="C40" s="590"/>
      <c r="D40" s="599"/>
      <c r="E40" s="599"/>
      <c r="F40" s="599"/>
      <c r="G40" s="590"/>
      <c r="H40" s="590"/>
      <c r="I40" s="590"/>
      <c r="J40" s="590"/>
      <c r="K40" s="590"/>
      <c r="L40" s="590"/>
      <c r="M40" s="590"/>
    </row>
    <row r="41" spans="1:13" ht="14.1" customHeight="1">
      <c r="A41" s="660"/>
    </row>
    <row r="44" spans="1:13" ht="14.1" customHeight="1">
      <c r="A44" s="660"/>
    </row>
  </sheetData>
  <mergeCells count="1">
    <mergeCell ref="A37:B37"/>
  </mergeCells>
  <printOptions horizontalCentered="1" gridLinesSet="0"/>
  <pageMargins left="0.19685039370078741" right="0.19685039370078741"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8"/>
  <sheetViews>
    <sheetView showGridLines="0" zoomScaleNormal="100" workbookViewId="0">
      <pane ySplit="11" topLeftCell="A12" activePane="bottomLeft" state="frozen"/>
      <selection activeCell="D33" sqref="D33"/>
      <selection pane="bottomLeft"/>
    </sheetView>
  </sheetViews>
  <sheetFormatPr defaultColWidth="9.140625" defaultRowHeight="13.5"/>
  <cols>
    <col min="1" max="1" width="34.28515625" style="3" customWidth="1"/>
    <col min="2" max="2" width="19.140625" style="3" customWidth="1"/>
    <col min="3" max="7" width="9.7109375" style="3" hidden="1" customWidth="1"/>
    <col min="8" max="8" width="3.7109375" style="3" hidden="1" customWidth="1"/>
    <col min="9" max="9" width="5.85546875" style="3" bestFit="1" customWidth="1"/>
    <col min="10" max="10" width="9.140625" style="101"/>
    <col min="11" max="11" width="2.28515625" style="3" customWidth="1"/>
    <col min="12" max="12" width="9.140625" style="101" customWidth="1"/>
    <col min="13" max="13" width="10.140625" style="3" hidden="1" customWidth="1"/>
    <col min="14" max="14" width="9.85546875" style="3" hidden="1" customWidth="1"/>
    <col min="15" max="15" width="9.140625" style="3" hidden="1" customWidth="1"/>
    <col min="16" max="16" width="2.28515625" style="3" customWidth="1"/>
    <col min="17" max="17" width="9.140625" style="3"/>
    <col min="18" max="18" width="16.140625" style="3" customWidth="1"/>
    <col min="19" max="20" width="9.140625" style="3"/>
    <col min="21" max="21" width="30.42578125" style="3" customWidth="1"/>
    <col min="22" max="16384" width="9.140625" style="3"/>
  </cols>
  <sheetData>
    <row r="1" spans="1:21">
      <c r="A1" s="398" t="s">
        <v>25</v>
      </c>
    </row>
    <row r="3" spans="1:21" ht="17.25">
      <c r="A3" s="129" t="str">
        <f>'1-Contractblad totaal'!A3</f>
        <v>Naam opdrachtgever</v>
      </c>
      <c r="B3" s="130" t="str">
        <f>'1-Contractblad totaal'!B3</f>
        <v>GVB Veren</v>
      </c>
      <c r="C3" s="397"/>
    </row>
    <row r="4" spans="1:21" ht="17.25">
      <c r="A4" s="481" t="s">
        <v>14</v>
      </c>
      <c r="B4" s="130" t="str">
        <f ca="1">MID(CELL("bestandsnaam",$B$9),SEARCH("]",CELL("bestandsnaam",$B$9),1)+1,256)</f>
        <v>3-Productie normen</v>
      </c>
      <c r="C4" s="130"/>
    </row>
    <row r="5" spans="1:21" ht="17.25">
      <c r="A5" s="129" t="str">
        <f>'1-Contractblad totaal'!A5</f>
        <v>Gebouw/plaats</v>
      </c>
      <c r="B5" s="130" t="str">
        <f>'1-Contractblad totaal'!B5</f>
        <v>Amsterdam</v>
      </c>
      <c r="C5" s="130"/>
    </row>
    <row r="6" spans="1:21" ht="17.25">
      <c r="A6" s="129" t="str">
        <f>'1-Contractblad totaal'!A8</f>
        <v>Naam dienstverlener</v>
      </c>
      <c r="B6" s="130" t="str">
        <f>'1-Contractblad totaal'!B6</f>
        <v>2021-42a</v>
      </c>
      <c r="C6" s="130"/>
    </row>
    <row r="7" spans="1:21" ht="17.25">
      <c r="A7" s="129"/>
      <c r="B7" s="130"/>
      <c r="C7" s="130"/>
    </row>
    <row r="8" spans="1:21" ht="15.75">
      <c r="A8" s="129"/>
      <c r="B8" s="395" t="s">
        <v>190</v>
      </c>
      <c r="H8" s="396"/>
      <c r="I8" s="127" t="e">
        <f>SUM('4-Basis ruimtestaat Kantoren'!AC:AC)/SUM('4-Basis ruimtestaat Kantoren'!R:T)</f>
        <v>#DIV/0!</v>
      </c>
      <c r="J8" s="128" t="s">
        <v>191</v>
      </c>
    </row>
    <row r="9" spans="1:21">
      <c r="A9" s="102"/>
      <c r="B9" s="103"/>
      <c r="C9" s="103"/>
      <c r="D9" s="104"/>
      <c r="E9" s="105"/>
      <c r="F9" s="105"/>
      <c r="G9" s="106"/>
      <c r="H9" s="107"/>
      <c r="I9" s="109"/>
      <c r="J9" s="110"/>
      <c r="K9" s="109"/>
      <c r="L9" s="110"/>
      <c r="M9" s="108"/>
      <c r="N9" s="108"/>
      <c r="O9" s="109"/>
      <c r="P9" s="109"/>
      <c r="Q9" s="109"/>
      <c r="R9" s="109"/>
      <c r="S9" s="109"/>
    </row>
    <row r="10" spans="1:21" ht="27.75" customHeight="1">
      <c r="A10" s="124" t="s">
        <v>110</v>
      </c>
      <c r="B10" s="125">
        <v>255</v>
      </c>
      <c r="C10" s="125"/>
      <c r="D10" s="125"/>
      <c r="E10" s="125"/>
      <c r="F10" s="125"/>
      <c r="G10" s="125"/>
      <c r="H10" s="125"/>
      <c r="I10" s="109"/>
      <c r="K10" s="101"/>
      <c r="M10" s="399" t="s">
        <v>344</v>
      </c>
      <c r="N10" s="399" t="s">
        <v>344</v>
      </c>
      <c r="O10" s="399" t="s">
        <v>344</v>
      </c>
      <c r="P10" s="101"/>
      <c r="Q10" s="111"/>
      <c r="R10" s="111"/>
      <c r="S10" s="111"/>
    </row>
    <row r="11" spans="1:21" ht="30" customHeight="1">
      <c r="A11" s="389" t="s">
        <v>61</v>
      </c>
      <c r="B11" s="695" t="s">
        <v>131</v>
      </c>
      <c r="C11" s="696"/>
      <c r="D11" s="696"/>
      <c r="E11" s="696"/>
      <c r="F11" s="696"/>
      <c r="G11" s="696"/>
      <c r="H11" s="697"/>
      <c r="I11" s="109"/>
      <c r="J11" s="388" t="s">
        <v>111</v>
      </c>
      <c r="K11" s="102"/>
      <c r="L11" s="388" t="s">
        <v>193</v>
      </c>
      <c r="M11" s="126" t="s">
        <v>187</v>
      </c>
      <c r="N11" s="126" t="s">
        <v>188</v>
      </c>
      <c r="O11" s="126" t="s">
        <v>216</v>
      </c>
      <c r="P11" s="102"/>
      <c r="Q11" s="111"/>
    </row>
    <row r="12" spans="1:21" ht="14.25" thickBot="1">
      <c r="A12" s="457" t="s">
        <v>266</v>
      </c>
      <c r="B12" s="630"/>
      <c r="C12" s="456"/>
      <c r="D12" s="456"/>
      <c r="E12" s="456"/>
      <c r="F12" s="456"/>
      <c r="G12" s="456"/>
      <c r="H12" s="119"/>
      <c r="I12" s="109"/>
      <c r="J12" s="113" t="s">
        <v>117</v>
      </c>
      <c r="K12" s="109"/>
      <c r="L12" s="390">
        <f>SUMIF('4-Basis ruimtestaat Kantoren'!G:G,'3-Productie normen'!A12,'4-Basis ruimtestaat Kantoren'!I:I)</f>
        <v>256</v>
      </c>
      <c r="O12" s="109"/>
      <c r="P12" s="109"/>
      <c r="Q12" s="382"/>
      <c r="R12" s="382"/>
      <c r="S12" s="382"/>
      <c r="T12" s="383"/>
    </row>
    <row r="13" spans="1:21" ht="14.25" thickTop="1">
      <c r="A13" s="457" t="s">
        <v>265</v>
      </c>
      <c r="B13" s="630"/>
      <c r="C13" s="456"/>
      <c r="D13" s="456"/>
      <c r="E13" s="456"/>
      <c r="F13" s="456"/>
      <c r="G13" s="456"/>
      <c r="H13" s="119"/>
      <c r="I13" s="109"/>
      <c r="J13" s="113" t="s">
        <v>118</v>
      </c>
      <c r="K13" s="109"/>
      <c r="L13" s="390">
        <f>SUMIF('4-Basis ruimtestaat Kantoren'!G:G,'3-Productie normen'!A13,'4-Basis ruimtestaat Kantoren'!I:I)</f>
        <v>98</v>
      </c>
      <c r="P13" s="109"/>
      <c r="Q13" s="539"/>
      <c r="R13" s="540"/>
      <c r="S13" s="540"/>
      <c r="T13" s="384"/>
      <c r="U13" s="472"/>
    </row>
    <row r="14" spans="1:21">
      <c r="A14" s="457" t="s">
        <v>235</v>
      </c>
      <c r="B14" s="630"/>
      <c r="C14" s="456"/>
      <c r="D14" s="456"/>
      <c r="E14" s="456"/>
      <c r="F14" s="456"/>
      <c r="G14" s="456"/>
      <c r="H14" s="119"/>
      <c r="I14" s="109"/>
      <c r="J14" s="113" t="s">
        <v>118</v>
      </c>
      <c r="K14" s="109"/>
      <c r="L14" s="390">
        <f>SUMIF('4-Basis ruimtestaat Kantoren'!G:G,'3-Productie normen'!A14,'4-Basis ruimtestaat Kantoren'!I:I)</f>
        <v>27</v>
      </c>
      <c r="P14" s="109"/>
      <c r="Q14" s="541"/>
      <c r="R14" s="131" t="s">
        <v>112</v>
      </c>
      <c r="S14" s="132" t="s">
        <v>185</v>
      </c>
      <c r="T14" s="385"/>
      <c r="U14" s="473" t="s">
        <v>213</v>
      </c>
    </row>
    <row r="15" spans="1:21">
      <c r="A15" s="112" t="s">
        <v>17</v>
      </c>
      <c r="B15" s="630"/>
      <c r="C15" s="456"/>
      <c r="D15" s="456"/>
      <c r="E15" s="456"/>
      <c r="F15" s="456"/>
      <c r="G15" s="456"/>
      <c r="H15" s="119"/>
      <c r="I15" s="109"/>
      <c r="J15" s="113" t="s">
        <v>119</v>
      </c>
      <c r="K15" s="109"/>
      <c r="L15" s="390">
        <f>SUMIF('4-Basis ruimtestaat Kantoren'!G:G,'3-Productie normen'!A15,'4-Basis ruimtestaat Kantoren'!I:I)</f>
        <v>120</v>
      </c>
      <c r="P15" s="109"/>
      <c r="Q15" s="541"/>
      <c r="R15" s="116">
        <v>255</v>
      </c>
      <c r="S15" s="133">
        <v>2</v>
      </c>
      <c r="T15" s="385"/>
      <c r="U15" s="474" t="s">
        <v>214</v>
      </c>
    </row>
    <row r="16" spans="1:21">
      <c r="A16" s="457" t="s">
        <v>269</v>
      </c>
      <c r="B16" s="630"/>
      <c r="C16" s="456"/>
      <c r="D16" s="456"/>
      <c r="E16" s="456"/>
      <c r="F16" s="456"/>
      <c r="G16" s="456"/>
      <c r="H16" s="119"/>
      <c r="I16" s="109"/>
      <c r="J16" s="113" t="s">
        <v>118</v>
      </c>
      <c r="K16" s="109"/>
      <c r="L16" s="390">
        <f>SUMIF('4-Basis ruimtestaat Kantoren'!G:G,'3-Productie normen'!A16,'4-Basis ruimtestaat Kantoren'!I:I)</f>
        <v>21</v>
      </c>
      <c r="P16" s="109"/>
      <c r="Q16" s="541"/>
      <c r="R16" s="116"/>
      <c r="S16" s="133">
        <v>3</v>
      </c>
      <c r="T16" s="385"/>
      <c r="U16" s="474"/>
    </row>
    <row r="17" spans="1:21">
      <c r="A17" s="457" t="s">
        <v>202</v>
      </c>
      <c r="B17" s="630"/>
      <c r="C17" s="456"/>
      <c r="D17" s="456"/>
      <c r="E17" s="456"/>
      <c r="F17" s="456"/>
      <c r="G17" s="456"/>
      <c r="H17" s="119"/>
      <c r="I17" s="109"/>
      <c r="J17" s="113" t="s">
        <v>117</v>
      </c>
      <c r="K17" s="109"/>
      <c r="L17" s="390">
        <f>SUMIF('4-Basis ruimtestaat Kantoren'!G:G,'3-Productie normen'!A17,'4-Basis ruimtestaat Kantoren'!I:I)</f>
        <v>129</v>
      </c>
      <c r="P17" s="109"/>
      <c r="Q17" s="541"/>
      <c r="R17" s="116"/>
      <c r="S17" s="133">
        <v>4</v>
      </c>
      <c r="T17" s="385"/>
      <c r="U17" s="474"/>
    </row>
    <row r="18" spans="1:21">
      <c r="A18" s="457" t="s">
        <v>270</v>
      </c>
      <c r="B18" s="630"/>
      <c r="C18" s="456"/>
      <c r="D18" s="456"/>
      <c r="E18" s="456"/>
      <c r="F18" s="456"/>
      <c r="G18" s="456"/>
      <c r="H18" s="119"/>
      <c r="I18" s="109"/>
      <c r="J18" s="113" t="s">
        <v>118</v>
      </c>
      <c r="K18" s="109"/>
      <c r="L18" s="390">
        <f>SUMIF('4-Basis ruimtestaat Kantoren'!G:G,'3-Productie normen'!A18,'4-Basis ruimtestaat Kantoren'!I:I)</f>
        <v>134</v>
      </c>
      <c r="P18" s="109"/>
      <c r="Q18" s="541"/>
      <c r="R18" s="116"/>
      <c r="S18" s="133">
        <v>5</v>
      </c>
      <c r="T18" s="385"/>
      <c r="U18" s="474"/>
    </row>
    <row r="19" spans="1:21">
      <c r="A19" s="457" t="s">
        <v>267</v>
      </c>
      <c r="B19" s="114"/>
      <c r="C19" s="114"/>
      <c r="D19" s="114"/>
      <c r="E19" s="114"/>
      <c r="F19" s="114"/>
      <c r="G19" s="114"/>
      <c r="H19" s="119"/>
      <c r="I19" s="109"/>
      <c r="J19" s="113"/>
      <c r="K19" s="109"/>
      <c r="L19" s="390">
        <f>SUMIF('4-Basis ruimtestaat Kantoren'!G:G,'3-Productie normen'!A19,'4-Basis ruimtestaat Kantoren'!I:I)</f>
        <v>1346</v>
      </c>
      <c r="P19" s="109"/>
      <c r="Q19" s="541"/>
      <c r="R19" s="116"/>
      <c r="S19" s="133">
        <v>6</v>
      </c>
      <c r="T19" s="385"/>
      <c r="U19" s="474"/>
    </row>
    <row r="20" spans="1:21">
      <c r="A20" s="391" t="s">
        <v>8</v>
      </c>
      <c r="B20" s="270"/>
      <c r="C20" s="270"/>
      <c r="D20" s="270"/>
      <c r="E20" s="270"/>
      <c r="F20" s="270"/>
      <c r="G20" s="270"/>
      <c r="H20" s="120"/>
      <c r="I20" s="392"/>
      <c r="J20" s="393"/>
      <c r="K20" s="392"/>
      <c r="L20" s="394">
        <f>SUM(L12:L19)</f>
        <v>2131</v>
      </c>
      <c r="P20" s="392"/>
      <c r="Q20" s="541"/>
      <c r="R20" s="117"/>
      <c r="S20" s="133">
        <v>7</v>
      </c>
      <c r="T20" s="385"/>
      <c r="U20" s="474"/>
    </row>
    <row r="21" spans="1:21">
      <c r="J21" s="3"/>
      <c r="L21" s="3"/>
      <c r="Q21" s="541"/>
      <c r="R21" s="117"/>
      <c r="S21" s="133">
        <v>8</v>
      </c>
      <c r="T21" s="385"/>
      <c r="U21" s="474"/>
    </row>
    <row r="22" spans="1:21" ht="14.25" thickBot="1">
      <c r="J22" s="3"/>
      <c r="L22" s="3"/>
      <c r="Q22" s="542"/>
      <c r="R22" s="383"/>
      <c r="S22" s="383"/>
      <c r="T22" s="386"/>
      <c r="U22" s="475"/>
    </row>
    <row r="23" spans="1:21">
      <c r="A23" s="122" t="s">
        <v>189</v>
      </c>
      <c r="B23" s="123">
        <v>2</v>
      </c>
      <c r="C23" s="123">
        <v>3</v>
      </c>
      <c r="D23" s="123">
        <v>4</v>
      </c>
      <c r="E23" s="123">
        <v>5</v>
      </c>
      <c r="F23" s="123">
        <v>6</v>
      </c>
      <c r="G23" s="123">
        <v>7</v>
      </c>
      <c r="H23" s="123">
        <v>8</v>
      </c>
      <c r="I23" s="109"/>
      <c r="K23" s="109"/>
      <c r="O23" s="476"/>
      <c r="P23" s="109"/>
    </row>
    <row r="24" spans="1:21">
      <c r="I24" s="109"/>
      <c r="K24" s="109"/>
      <c r="O24" s="476"/>
      <c r="P24" s="109"/>
    </row>
    <row r="25" spans="1:21">
      <c r="O25" s="476"/>
    </row>
    <row r="26" spans="1:21">
      <c r="O26" s="109"/>
    </row>
    <row r="27" spans="1:21">
      <c r="O27" s="109"/>
    </row>
    <row r="28" spans="1:21">
      <c r="O28" s="109"/>
    </row>
    <row r="29" spans="1:21">
      <c r="O29" s="109"/>
    </row>
    <row r="30" spans="1:21">
      <c r="O30" s="109"/>
    </row>
    <row r="31" spans="1:21">
      <c r="O31" s="109"/>
    </row>
    <row r="32" spans="1:21">
      <c r="O32" s="109"/>
    </row>
    <row r="33" spans="15:19">
      <c r="O33" s="109"/>
      <c r="Q33" s="111"/>
      <c r="R33" s="109"/>
      <c r="S33" s="109"/>
    </row>
    <row r="34" spans="15:19">
      <c r="O34" s="109"/>
      <c r="Q34" s="109"/>
      <c r="R34" s="109"/>
      <c r="S34" s="109"/>
    </row>
    <row r="35" spans="15:19">
      <c r="O35" s="109"/>
      <c r="Q35" s="109"/>
      <c r="R35" s="109"/>
      <c r="S35" s="109"/>
    </row>
    <row r="36" spans="15:19">
      <c r="O36" s="109"/>
      <c r="Q36" s="109"/>
      <c r="R36" s="109"/>
      <c r="S36" s="109"/>
    </row>
    <row r="37" spans="15:19">
      <c r="O37" s="109"/>
    </row>
    <row r="40" spans="15:19">
      <c r="O40" s="109"/>
      <c r="Q40" s="109"/>
      <c r="R40" s="109"/>
    </row>
    <row r="41" spans="15:19">
      <c r="O41" s="109"/>
      <c r="Q41" s="109"/>
      <c r="R41" s="109"/>
    </row>
    <row r="42" spans="15:19">
      <c r="O42" s="109"/>
      <c r="Q42" s="109"/>
      <c r="R42" s="109"/>
    </row>
    <row r="43" spans="15:19">
      <c r="O43" s="109"/>
      <c r="Q43" s="109"/>
      <c r="R43" s="109"/>
    </row>
    <row r="44" spans="15:19">
      <c r="O44" s="109"/>
      <c r="Q44" s="109"/>
      <c r="R44" s="109"/>
    </row>
    <row r="45" spans="15:19">
      <c r="O45" s="109"/>
      <c r="Q45" s="109"/>
      <c r="R45" s="109"/>
    </row>
    <row r="46" spans="15:19">
      <c r="O46" s="109"/>
      <c r="Q46" s="109"/>
      <c r="R46" s="109"/>
    </row>
    <row r="47" spans="15:19">
      <c r="O47" s="109"/>
      <c r="Q47" s="109"/>
      <c r="R47" s="109"/>
    </row>
    <row r="48" spans="15:19">
      <c r="O48" s="109"/>
      <c r="Q48" s="109"/>
      <c r="R48" s="109"/>
    </row>
  </sheetData>
  <mergeCells count="1">
    <mergeCell ref="B11:H11"/>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372"/>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R12" sqref="R12"/>
    </sheetView>
  </sheetViews>
  <sheetFormatPr defaultColWidth="8.7109375" defaultRowHeight="14.1" customHeight="1"/>
  <cols>
    <col min="1" max="1" width="5" style="3" bestFit="1" customWidth="1"/>
    <col min="2" max="2" width="27.5703125" style="3" customWidth="1"/>
    <col min="3" max="3" width="35.42578125" style="3" customWidth="1"/>
    <col min="4" max="4" width="12" style="3" customWidth="1"/>
    <col min="5" max="5" width="10.140625" style="3" customWidth="1"/>
    <col min="6" max="6" width="29.28515625" style="3" customWidth="1"/>
    <col min="7" max="7" width="19.5703125" style="3" customWidth="1"/>
    <col min="8" max="8" width="12.140625" style="3" bestFit="1" customWidth="1"/>
    <col min="9" max="9" width="8" style="3" bestFit="1" customWidth="1"/>
    <col min="10" max="10" width="10.28515625" style="405" customWidth="1"/>
    <col min="11" max="13" width="10.28515625" style="405" hidden="1" customWidth="1"/>
    <col min="14" max="15" width="9.140625" style="184" customWidth="1"/>
    <col min="16" max="17" width="9.140625" style="184" hidden="1" customWidth="1"/>
    <col min="18" max="18" width="12.5703125" style="3" bestFit="1" customWidth="1"/>
    <col min="19" max="19" width="12.5703125" style="3" hidden="1" customWidth="1"/>
    <col min="20" max="21" width="9.85546875" style="3" hidden="1" customWidth="1"/>
    <col min="22" max="22" width="12" style="3" bestFit="1" customWidth="1"/>
    <col min="23" max="23" width="15.85546875" style="3" hidden="1" customWidth="1"/>
    <col min="24" max="25" width="9.28515625" style="3" hidden="1" customWidth="1"/>
    <col min="26" max="26" width="9.28515625" style="3" customWidth="1"/>
    <col min="27" max="27" width="35.140625" style="3" customWidth="1"/>
    <col min="28" max="28" width="3" style="3" customWidth="1"/>
    <col min="29" max="29" width="11.140625" style="3" customWidth="1"/>
    <col min="30" max="30" width="15.5703125" style="3" bestFit="1" customWidth="1"/>
    <col min="31" max="16384" width="8.7109375" style="3"/>
  </cols>
  <sheetData>
    <row r="1" spans="1:29" ht="13.5">
      <c r="B1" s="398" t="s">
        <v>25</v>
      </c>
      <c r="J1" s="101"/>
      <c r="K1" s="101"/>
      <c r="L1" s="101"/>
      <c r="M1" s="101"/>
      <c r="N1" s="3"/>
      <c r="O1" s="101"/>
      <c r="P1" s="3"/>
      <c r="Q1" s="3"/>
    </row>
    <row r="2" spans="1:29" ht="14.1" customHeight="1">
      <c r="A2" s="135">
        <v>2</v>
      </c>
      <c r="B2" s="136"/>
      <c r="C2" s="136"/>
      <c r="D2" s="137"/>
      <c r="E2" s="138"/>
      <c r="F2" s="139"/>
      <c r="G2" s="139"/>
      <c r="H2" s="140"/>
      <c r="I2" s="141"/>
      <c r="J2" s="402"/>
      <c r="K2" s="402"/>
      <c r="L2" s="402"/>
      <c r="M2" s="402"/>
      <c r="N2" s="142"/>
      <c r="O2" s="142"/>
      <c r="P2" s="142"/>
      <c r="Q2" s="142"/>
      <c r="R2" s="140"/>
      <c r="S2" s="140"/>
      <c r="T2" s="143"/>
      <c r="U2" s="143"/>
      <c r="V2" s="143"/>
      <c r="W2" s="143"/>
      <c r="X2" s="143"/>
      <c r="Y2" s="143"/>
      <c r="Z2" s="139"/>
      <c r="AA2" s="139"/>
    </row>
    <row r="3" spans="1:29" ht="14.1" customHeight="1">
      <c r="A3" s="135">
        <v>3</v>
      </c>
      <c r="B3" s="99" t="str">
        <f>'1-Contractblad totaal'!A3</f>
        <v>Naam opdrachtgever</v>
      </c>
      <c r="C3" s="130" t="str">
        <f>'1-Contractblad totaal'!B3</f>
        <v>GVB Veren</v>
      </c>
      <c r="E3" s="144"/>
      <c r="H3" s="140"/>
      <c r="I3" s="141"/>
      <c r="J3" s="402"/>
      <c r="K3" s="402"/>
      <c r="L3" s="402"/>
      <c r="M3" s="402"/>
      <c r="N3" s="142"/>
      <c r="O3" s="142"/>
      <c r="P3" s="142"/>
      <c r="Q3" s="142"/>
      <c r="R3" s="140"/>
      <c r="S3" s="140"/>
      <c r="T3" s="143"/>
      <c r="U3" s="143"/>
      <c r="V3" s="143"/>
      <c r="W3" s="143"/>
      <c r="X3" s="143"/>
      <c r="Y3" s="143"/>
      <c r="Z3" s="139"/>
      <c r="AA3" s="139"/>
    </row>
    <row r="4" spans="1:29" ht="14.1" customHeight="1">
      <c r="A4" s="135">
        <v>4</v>
      </c>
      <c r="B4" s="99" t="str">
        <f>'1-Contractblad totaal'!A4</f>
        <v>Calculatie onderdeel</v>
      </c>
      <c r="C4" s="130" t="str">
        <f ca="1">MID(CELL("bestandsnaam",$D$9),SEARCH("]",CELL("bestandsnaam",$D$9),1)+1,256)</f>
        <v>4-Basis ruimtestaat Kantoren</v>
      </c>
      <c r="E4" s="145"/>
      <c r="H4" s="140"/>
      <c r="I4" s="141"/>
      <c r="J4" s="402"/>
      <c r="K4" s="402"/>
      <c r="L4" s="402"/>
      <c r="M4" s="402"/>
      <c r="N4" s="142"/>
      <c r="O4" s="142"/>
      <c r="P4" s="142"/>
      <c r="Q4" s="142"/>
      <c r="R4" s="140"/>
      <c r="S4" s="140"/>
      <c r="T4" s="143"/>
      <c r="U4" s="143"/>
      <c r="V4" s="143"/>
      <c r="W4" s="143"/>
      <c r="X4" s="143"/>
      <c r="Y4" s="143"/>
      <c r="Z4" s="139"/>
      <c r="AA4" s="139"/>
    </row>
    <row r="5" spans="1:29" ht="14.1" customHeight="1">
      <c r="A5" s="135">
        <v>5</v>
      </c>
      <c r="B5" s="99" t="str">
        <f>'1-Contractblad totaal'!A5</f>
        <v>Gebouw/plaats</v>
      </c>
      <c r="C5" s="130" t="str">
        <f>'1-Contractblad totaal'!B5</f>
        <v>Amsterdam</v>
      </c>
      <c r="E5" s="144"/>
      <c r="H5" s="140"/>
      <c r="I5" s="141"/>
      <c r="J5" s="402"/>
      <c r="K5" s="402"/>
      <c r="L5" s="402"/>
      <c r="M5" s="402"/>
      <c r="N5" s="142"/>
      <c r="O5" s="142"/>
      <c r="P5" s="142"/>
      <c r="Q5" s="142"/>
      <c r="R5" s="140"/>
      <c r="S5" s="140"/>
      <c r="T5" s="143"/>
      <c r="U5" s="143"/>
      <c r="V5" s="143"/>
      <c r="W5" s="143"/>
      <c r="X5" s="143"/>
      <c r="Y5" s="143"/>
      <c r="Z5" s="139"/>
      <c r="AA5" s="139"/>
    </row>
    <row r="6" spans="1:29" ht="14.1" customHeight="1">
      <c r="A6" s="135">
        <v>6</v>
      </c>
      <c r="B6" s="99" t="str">
        <f>'1-Contractblad totaal'!A6</f>
        <v>Referentie nummer</v>
      </c>
      <c r="C6" s="130" t="str">
        <f>'1-Contractblad totaal'!B6</f>
        <v>2021-42a</v>
      </c>
      <c r="E6" s="144"/>
      <c r="H6" s="140"/>
      <c r="I6" s="141"/>
      <c r="J6" s="402"/>
      <c r="K6" s="402"/>
      <c r="L6" s="402"/>
      <c r="M6" s="402"/>
      <c r="N6" s="142"/>
      <c r="O6" s="142"/>
      <c r="P6" s="142"/>
      <c r="Q6" s="142"/>
      <c r="R6" s="140"/>
      <c r="S6" s="140"/>
      <c r="T6" s="143"/>
      <c r="U6" s="143"/>
      <c r="V6" s="143"/>
      <c r="W6" s="698" t="s">
        <v>113</v>
      </c>
      <c r="X6" s="699"/>
      <c r="Y6" s="700"/>
      <c r="Z6" s="139"/>
      <c r="AA6" s="139"/>
    </row>
    <row r="7" spans="1:29" ht="12.75" customHeight="1">
      <c r="A7" s="135">
        <v>7</v>
      </c>
      <c r="B7" s="99" t="str">
        <f>'1-Contractblad totaal'!A8</f>
        <v>Naam dienstverlener</v>
      </c>
      <c r="C7" s="130">
        <f>'1-Contractblad totaal'!B8</f>
        <v>0</v>
      </c>
      <c r="E7" s="144"/>
      <c r="H7" s="140"/>
      <c r="I7" s="141"/>
      <c r="J7" s="461"/>
      <c r="K7" s="461"/>
      <c r="L7" s="461"/>
      <c r="M7" s="461"/>
      <c r="N7" s="142"/>
      <c r="O7" s="142"/>
      <c r="P7" s="142"/>
      <c r="Q7" s="142"/>
      <c r="R7" s="140"/>
      <c r="S7" s="140"/>
      <c r="T7" s="143"/>
      <c r="U7" s="143"/>
      <c r="V7" s="143"/>
      <c r="W7" s="701"/>
      <c r="X7" s="702"/>
      <c r="Y7" s="703"/>
      <c r="Z7" s="139"/>
      <c r="AA7" s="139"/>
    </row>
    <row r="8" spans="1:29" ht="14.1" customHeight="1">
      <c r="A8" s="135">
        <v>8</v>
      </c>
      <c r="B8" s="139"/>
      <c r="C8" s="139"/>
      <c r="D8" s="137"/>
      <c r="E8" s="138"/>
      <c r="F8" s="139"/>
      <c r="G8" s="139"/>
      <c r="H8" s="140"/>
      <c r="I8" s="141"/>
      <c r="J8" s="461"/>
      <c r="K8" s="461"/>
      <c r="L8" s="461"/>
      <c r="M8" s="461"/>
      <c r="N8" s="142"/>
      <c r="O8" s="142"/>
      <c r="P8" s="142"/>
      <c r="Q8" s="142"/>
      <c r="R8" s="140"/>
      <c r="S8" s="140"/>
      <c r="T8" s="140"/>
      <c r="U8" s="140"/>
      <c r="V8" s="140"/>
      <c r="W8" s="146" t="str">
        <f>'3-Productie normen'!M10</f>
        <v>nvt</v>
      </c>
      <c r="X8" s="146" t="str">
        <f>'3-Productie normen'!N10</f>
        <v>nvt</v>
      </c>
      <c r="Y8" s="146" t="str">
        <f>'3-Productie normen'!O10</f>
        <v>nvt</v>
      </c>
      <c r="Z8" s="139"/>
      <c r="AA8" s="139"/>
    </row>
    <row r="9" spans="1:29" ht="44.1" customHeight="1">
      <c r="A9" s="135">
        <v>9</v>
      </c>
      <c r="B9" s="147" t="s">
        <v>91</v>
      </c>
      <c r="C9" s="147" t="s">
        <v>109</v>
      </c>
      <c r="D9" s="147" t="s">
        <v>92</v>
      </c>
      <c r="E9" s="147" t="s">
        <v>97</v>
      </c>
      <c r="F9" s="147" t="s">
        <v>98</v>
      </c>
      <c r="G9" s="147" t="s">
        <v>99</v>
      </c>
      <c r="H9" s="148" t="s">
        <v>100</v>
      </c>
      <c r="I9" s="149" t="s">
        <v>101</v>
      </c>
      <c r="J9" s="150" t="s">
        <v>207</v>
      </c>
      <c r="K9" s="150" t="s">
        <v>208</v>
      </c>
      <c r="L9" s="150" t="s">
        <v>209</v>
      </c>
      <c r="M9" s="150" t="s">
        <v>222</v>
      </c>
      <c r="N9" s="150" t="s">
        <v>183</v>
      </c>
      <c r="O9" s="150" t="s">
        <v>182</v>
      </c>
      <c r="P9" s="150" t="s">
        <v>218</v>
      </c>
      <c r="Q9" s="150" t="s">
        <v>219</v>
      </c>
      <c r="R9" s="151" t="s">
        <v>102</v>
      </c>
      <c r="S9" s="151" t="s">
        <v>186</v>
      </c>
      <c r="T9" s="151" t="s">
        <v>116</v>
      </c>
      <c r="U9" s="151" t="s">
        <v>217</v>
      </c>
      <c r="V9" s="151" t="s">
        <v>114</v>
      </c>
      <c r="W9" s="151" t="s">
        <v>184</v>
      </c>
      <c r="X9" s="151" t="s">
        <v>220</v>
      </c>
      <c r="Y9" s="151" t="s">
        <v>221</v>
      </c>
      <c r="Z9" s="406" t="s">
        <v>103</v>
      </c>
      <c r="AA9" s="455" t="s">
        <v>201</v>
      </c>
      <c r="AB9" s="134"/>
      <c r="AC9" s="406" t="s">
        <v>104</v>
      </c>
    </row>
    <row r="10" spans="1:29" s="159" customFormat="1" ht="14.1" customHeight="1">
      <c r="A10" s="135">
        <v>10</v>
      </c>
      <c r="B10" s="152" t="s">
        <v>230</v>
      </c>
      <c r="C10" s="152" t="s">
        <v>231</v>
      </c>
      <c r="D10" s="121" t="s">
        <v>233</v>
      </c>
      <c r="E10" s="153">
        <v>1</v>
      </c>
      <c r="F10" s="152" t="s">
        <v>234</v>
      </c>
      <c r="G10" s="152" t="s">
        <v>265</v>
      </c>
      <c r="H10" s="115" t="s">
        <v>428</v>
      </c>
      <c r="I10" s="154">
        <v>77</v>
      </c>
      <c r="J10" s="445">
        <v>1</v>
      </c>
      <c r="K10" s="445"/>
      <c r="L10" s="445"/>
      <c r="M10" s="445"/>
      <c r="N10" s="155">
        <v>255</v>
      </c>
      <c r="O10" s="155"/>
      <c r="P10" s="155"/>
      <c r="Q10" s="155"/>
      <c r="R10" s="156" t="e">
        <f t="shared" ref="R10:R73" si="0">IF(N10="nio",0,IF(N10&gt;0,N10*I10/V10,0))*J10</f>
        <v>#DIV/0!</v>
      </c>
      <c r="S10" s="156">
        <f t="shared" ref="S10:S73" si="1">IF(O10&gt;0,O10*I10/W10,0)*K10</f>
        <v>0</v>
      </c>
      <c r="T10" s="156">
        <f t="shared" ref="T10:T73" si="2">IF(P10&gt;0,P10*I10/X10,0)*L10</f>
        <v>0</v>
      </c>
      <c r="U10" s="156">
        <f t="shared" ref="U10:U73" si="3">IF(Q10&gt;0,Q10*I10/Y10,0)*M10</f>
        <v>0</v>
      </c>
      <c r="V10" s="157">
        <f>IF(N10="nio",0,IF(N10&gt;0,VLOOKUP(G10,'3-Productie normen'!A:N,VLOOKUP(N10,'3-Productie normen'!R:S,2,FALSE),FALSE)))</f>
        <v>0</v>
      </c>
      <c r="W10" s="157">
        <f t="shared" ref="W10:W73" si="4">IF(O10&gt;0,V10*$W$8,0)</f>
        <v>0</v>
      </c>
      <c r="X10" s="157">
        <f t="shared" ref="X10:X73" si="5">IF(P10&gt;0,V10*$X$8,0)</f>
        <v>0</v>
      </c>
      <c r="Y10" s="157">
        <f t="shared" ref="Y10:Y73" si="6">IF(Q10&gt;0,V10*$Y$8,0)</f>
        <v>0</v>
      </c>
      <c r="Z10" s="158" t="str">
        <f>VLOOKUP(G10,'3-Productie normen'!A:N,10,FALSE)</f>
        <v>V</v>
      </c>
      <c r="AA10" s="158"/>
      <c r="AB10" s="3"/>
      <c r="AC10" s="118">
        <f t="shared" ref="AC10:AC73" si="7">SUM(N10:P10)*I10</f>
        <v>19635</v>
      </c>
    </row>
    <row r="11" spans="1:29" ht="14.1" customHeight="1">
      <c r="A11" s="135">
        <v>11</v>
      </c>
      <c r="B11" s="152" t="s">
        <v>230</v>
      </c>
      <c r="C11" s="152" t="s">
        <v>231</v>
      </c>
      <c r="D11" s="121" t="s">
        <v>233</v>
      </c>
      <c r="E11" s="153">
        <v>2</v>
      </c>
      <c r="F11" s="152" t="s">
        <v>235</v>
      </c>
      <c r="G11" s="152" t="s">
        <v>235</v>
      </c>
      <c r="H11" s="115" t="s">
        <v>430</v>
      </c>
      <c r="I11" s="154">
        <v>21</v>
      </c>
      <c r="J11" s="445">
        <v>1</v>
      </c>
      <c r="K11" s="445"/>
      <c r="L11" s="445"/>
      <c r="M11" s="445"/>
      <c r="N11" s="155">
        <v>255</v>
      </c>
      <c r="O11" s="155"/>
      <c r="P11" s="155"/>
      <c r="Q11" s="155"/>
      <c r="R11" s="156" t="e">
        <f t="shared" si="0"/>
        <v>#DIV/0!</v>
      </c>
      <c r="S11" s="156">
        <f t="shared" si="1"/>
        <v>0</v>
      </c>
      <c r="T11" s="156">
        <f t="shared" si="2"/>
        <v>0</v>
      </c>
      <c r="U11" s="156">
        <f t="shared" si="3"/>
        <v>0</v>
      </c>
      <c r="V11" s="157">
        <f>IF(N11="nio",0,IF(N11&gt;0,VLOOKUP(G11,'3-Productie normen'!A:N,VLOOKUP(N11,'3-Productie normen'!R:S,2,FALSE),FALSE)))</f>
        <v>0</v>
      </c>
      <c r="W11" s="157">
        <f t="shared" si="4"/>
        <v>0</v>
      </c>
      <c r="X11" s="157">
        <f t="shared" si="5"/>
        <v>0</v>
      </c>
      <c r="Y11" s="157">
        <f t="shared" si="6"/>
        <v>0</v>
      </c>
      <c r="Z11" s="158" t="str">
        <f>VLOOKUP(G11,'3-Productie normen'!A:N,10,FALSE)</f>
        <v>V</v>
      </c>
      <c r="AA11" s="158"/>
      <c r="AC11" s="118">
        <f t="shared" si="7"/>
        <v>5355</v>
      </c>
    </row>
    <row r="12" spans="1:29" ht="14.1" customHeight="1">
      <c r="A12" s="135">
        <v>12</v>
      </c>
      <c r="B12" s="152" t="s">
        <v>230</v>
      </c>
      <c r="C12" s="152" t="s">
        <v>231</v>
      </c>
      <c r="D12" s="121" t="s">
        <v>233</v>
      </c>
      <c r="E12" s="153">
        <v>3</v>
      </c>
      <c r="F12" s="152" t="s">
        <v>236</v>
      </c>
      <c r="G12" s="152" t="s">
        <v>267</v>
      </c>
      <c r="H12" s="115" t="s">
        <v>430</v>
      </c>
      <c r="I12" s="154">
        <v>5</v>
      </c>
      <c r="J12" s="445">
        <v>1</v>
      </c>
      <c r="K12" s="445"/>
      <c r="L12" s="445"/>
      <c r="M12" s="445"/>
      <c r="N12" s="155" t="s">
        <v>268</v>
      </c>
      <c r="O12" s="155"/>
      <c r="P12" s="155"/>
      <c r="Q12" s="155"/>
      <c r="R12" s="156">
        <f t="shared" si="0"/>
        <v>0</v>
      </c>
      <c r="S12" s="156">
        <f t="shared" si="1"/>
        <v>0</v>
      </c>
      <c r="T12" s="156">
        <f t="shared" si="2"/>
        <v>0</v>
      </c>
      <c r="U12" s="156">
        <f t="shared" si="3"/>
        <v>0</v>
      </c>
      <c r="V12" s="157">
        <f>IF(N12="nio",0,IF(N12&gt;0,VLOOKUP(G12,'3-Productie normen'!A:N,VLOOKUP(N12,'3-Productie normen'!R:S,2,FALSE),FALSE)))</f>
        <v>0</v>
      </c>
      <c r="W12" s="157">
        <f t="shared" si="4"/>
        <v>0</v>
      </c>
      <c r="X12" s="157">
        <f t="shared" si="5"/>
        <v>0</v>
      </c>
      <c r="Y12" s="157">
        <f t="shared" si="6"/>
        <v>0</v>
      </c>
      <c r="Z12" s="158">
        <f>VLOOKUP(G12,'3-Productie normen'!A:N,10,FALSE)</f>
        <v>0</v>
      </c>
      <c r="AA12" s="158"/>
      <c r="AC12" s="118">
        <f t="shared" si="7"/>
        <v>0</v>
      </c>
    </row>
    <row r="13" spans="1:29" ht="14.1" customHeight="1">
      <c r="A13" s="135">
        <v>13</v>
      </c>
      <c r="B13" s="152" t="s">
        <v>230</v>
      </c>
      <c r="C13" s="152" t="s">
        <v>231</v>
      </c>
      <c r="D13" s="121" t="s">
        <v>233</v>
      </c>
      <c r="E13" s="153">
        <v>4</v>
      </c>
      <c r="F13" s="115" t="s">
        <v>237</v>
      </c>
      <c r="G13" s="115" t="s">
        <v>270</v>
      </c>
      <c r="H13" s="115" t="s">
        <v>428</v>
      </c>
      <c r="I13" s="154">
        <v>5</v>
      </c>
      <c r="J13" s="445">
        <v>1</v>
      </c>
      <c r="K13" s="445"/>
      <c r="L13" s="445"/>
      <c r="M13" s="445"/>
      <c r="N13" s="155">
        <v>255</v>
      </c>
      <c r="O13" s="155"/>
      <c r="P13" s="155"/>
      <c r="Q13" s="155"/>
      <c r="R13" s="156" t="e">
        <f t="shared" si="0"/>
        <v>#DIV/0!</v>
      </c>
      <c r="S13" s="156">
        <f t="shared" si="1"/>
        <v>0</v>
      </c>
      <c r="T13" s="156">
        <f t="shared" si="2"/>
        <v>0</v>
      </c>
      <c r="U13" s="156">
        <f t="shared" si="3"/>
        <v>0</v>
      </c>
      <c r="V13" s="157">
        <f>IF(N13="nio",0,IF(N13&gt;0,VLOOKUP(G13,'3-Productie normen'!A:N,VLOOKUP(N13,'3-Productie normen'!R:S,2,FALSE),FALSE)))</f>
        <v>0</v>
      </c>
      <c r="W13" s="157">
        <f t="shared" si="4"/>
        <v>0</v>
      </c>
      <c r="X13" s="157">
        <f t="shared" si="5"/>
        <v>0</v>
      </c>
      <c r="Y13" s="157">
        <f t="shared" si="6"/>
        <v>0</v>
      </c>
      <c r="Z13" s="158" t="str">
        <f>VLOOKUP(G13,'3-Productie normen'!A:N,10,FALSE)</f>
        <v>V</v>
      </c>
      <c r="AA13" s="158"/>
      <c r="AC13" s="118">
        <f t="shared" si="7"/>
        <v>1275</v>
      </c>
    </row>
    <row r="14" spans="1:29" ht="14.1" customHeight="1">
      <c r="A14" s="135">
        <v>14</v>
      </c>
      <c r="B14" s="152" t="s">
        <v>230</v>
      </c>
      <c r="C14" s="152" t="s">
        <v>231</v>
      </c>
      <c r="D14" s="121" t="s">
        <v>233</v>
      </c>
      <c r="E14" s="162">
        <v>5</v>
      </c>
      <c r="F14" s="163" t="s">
        <v>237</v>
      </c>
      <c r="G14" s="115" t="s">
        <v>270</v>
      </c>
      <c r="H14" s="115" t="s">
        <v>428</v>
      </c>
      <c r="I14" s="154">
        <v>4</v>
      </c>
      <c r="J14" s="445">
        <v>1</v>
      </c>
      <c r="K14" s="445"/>
      <c r="L14" s="445"/>
      <c r="M14" s="445"/>
      <c r="N14" s="155">
        <v>255</v>
      </c>
      <c r="O14" s="155"/>
      <c r="P14" s="155"/>
      <c r="Q14" s="155"/>
      <c r="R14" s="156" t="e">
        <f t="shared" si="0"/>
        <v>#DIV/0!</v>
      </c>
      <c r="S14" s="156">
        <f t="shared" si="1"/>
        <v>0</v>
      </c>
      <c r="T14" s="156">
        <f t="shared" si="2"/>
        <v>0</v>
      </c>
      <c r="U14" s="156">
        <f t="shared" si="3"/>
        <v>0</v>
      </c>
      <c r="V14" s="157">
        <f>IF(N14="nio",0,IF(N14&gt;0,VLOOKUP(G14,'3-Productie normen'!A:N,VLOOKUP(N14,'3-Productie normen'!R:S,2,FALSE),FALSE)))</f>
        <v>0</v>
      </c>
      <c r="W14" s="157">
        <f t="shared" si="4"/>
        <v>0</v>
      </c>
      <c r="X14" s="157">
        <f t="shared" si="5"/>
        <v>0</v>
      </c>
      <c r="Y14" s="157">
        <f t="shared" si="6"/>
        <v>0</v>
      </c>
      <c r="Z14" s="158" t="str">
        <f>VLOOKUP(G14,'3-Productie normen'!A:N,10,FALSE)</f>
        <v>V</v>
      </c>
      <c r="AA14" s="158"/>
      <c r="AC14" s="118">
        <f t="shared" si="7"/>
        <v>1020</v>
      </c>
    </row>
    <row r="15" spans="1:29" ht="14.1" customHeight="1">
      <c r="A15" s="135">
        <v>15</v>
      </c>
      <c r="B15" s="152" t="s">
        <v>230</v>
      </c>
      <c r="C15" s="152" t="s">
        <v>231</v>
      </c>
      <c r="D15" s="121" t="s">
        <v>233</v>
      </c>
      <c r="E15" s="153">
        <v>6</v>
      </c>
      <c r="F15" s="115" t="s">
        <v>238</v>
      </c>
      <c r="G15" s="115" t="s">
        <v>17</v>
      </c>
      <c r="H15" s="115" t="s">
        <v>430</v>
      </c>
      <c r="I15" s="154">
        <v>17</v>
      </c>
      <c r="J15" s="445">
        <v>1</v>
      </c>
      <c r="K15" s="445"/>
      <c r="L15" s="445"/>
      <c r="M15" s="445"/>
      <c r="N15" s="155">
        <v>255</v>
      </c>
      <c r="O15" s="155"/>
      <c r="P15" s="155"/>
      <c r="Q15" s="155"/>
      <c r="R15" s="156" t="e">
        <f t="shared" si="0"/>
        <v>#DIV/0!</v>
      </c>
      <c r="S15" s="156">
        <f t="shared" si="1"/>
        <v>0</v>
      </c>
      <c r="T15" s="156">
        <f t="shared" si="2"/>
        <v>0</v>
      </c>
      <c r="U15" s="156">
        <f t="shared" si="3"/>
        <v>0</v>
      </c>
      <c r="V15" s="157">
        <f>IF(N15="nio",0,IF(N15&gt;0,VLOOKUP(G15,'3-Productie normen'!A:N,VLOOKUP(N15,'3-Productie normen'!R:S,2,FALSE),FALSE)))</f>
        <v>0</v>
      </c>
      <c r="W15" s="157">
        <f t="shared" si="4"/>
        <v>0</v>
      </c>
      <c r="X15" s="157">
        <f t="shared" si="5"/>
        <v>0</v>
      </c>
      <c r="Y15" s="157">
        <f t="shared" si="6"/>
        <v>0</v>
      </c>
      <c r="Z15" s="158" t="str">
        <f>VLOOKUP(G15,'3-Productie normen'!A:N,10,FALSE)</f>
        <v>S</v>
      </c>
      <c r="AA15" s="158"/>
      <c r="AC15" s="118">
        <f t="shared" si="7"/>
        <v>4335</v>
      </c>
    </row>
    <row r="16" spans="1:29" ht="14.1" customHeight="1">
      <c r="A16" s="135">
        <v>16</v>
      </c>
      <c r="B16" s="152" t="s">
        <v>230</v>
      </c>
      <c r="C16" s="152" t="s">
        <v>231</v>
      </c>
      <c r="D16" s="121" t="s">
        <v>233</v>
      </c>
      <c r="E16" s="153">
        <v>7</v>
      </c>
      <c r="F16" s="115" t="s">
        <v>237</v>
      </c>
      <c r="G16" s="115" t="s">
        <v>270</v>
      </c>
      <c r="H16" s="115" t="s">
        <v>428</v>
      </c>
      <c r="I16" s="154">
        <v>24</v>
      </c>
      <c r="J16" s="445">
        <v>1</v>
      </c>
      <c r="K16" s="445"/>
      <c r="L16" s="445"/>
      <c r="M16" s="445"/>
      <c r="N16" s="155">
        <v>255</v>
      </c>
      <c r="O16" s="155"/>
      <c r="P16" s="155"/>
      <c r="Q16" s="155"/>
      <c r="R16" s="156" t="e">
        <f t="shared" si="0"/>
        <v>#DIV/0!</v>
      </c>
      <c r="S16" s="156">
        <f t="shared" si="1"/>
        <v>0</v>
      </c>
      <c r="T16" s="156">
        <f t="shared" si="2"/>
        <v>0</v>
      </c>
      <c r="U16" s="156">
        <f t="shared" si="3"/>
        <v>0</v>
      </c>
      <c r="V16" s="157">
        <f>IF(N16="nio",0,IF(N16&gt;0,VLOOKUP(G16,'3-Productie normen'!A:N,VLOOKUP(N16,'3-Productie normen'!R:S,2,FALSE),FALSE)))</f>
        <v>0</v>
      </c>
      <c r="W16" s="157">
        <f t="shared" si="4"/>
        <v>0</v>
      </c>
      <c r="X16" s="157">
        <f t="shared" si="5"/>
        <v>0</v>
      </c>
      <c r="Y16" s="157">
        <f t="shared" si="6"/>
        <v>0</v>
      </c>
      <c r="Z16" s="158" t="str">
        <f>VLOOKUP(G16,'3-Productie normen'!A:N,10,FALSE)</f>
        <v>V</v>
      </c>
      <c r="AA16" s="158"/>
      <c r="AC16" s="118">
        <f t="shared" si="7"/>
        <v>6120</v>
      </c>
    </row>
    <row r="17" spans="1:29" ht="14.1" customHeight="1">
      <c r="A17" s="135">
        <v>17</v>
      </c>
      <c r="B17" s="152" t="s">
        <v>230</v>
      </c>
      <c r="C17" s="152" t="s">
        <v>231</v>
      </c>
      <c r="D17" s="121" t="s">
        <v>233</v>
      </c>
      <c r="E17" s="153" t="s">
        <v>239</v>
      </c>
      <c r="F17" s="115" t="s">
        <v>237</v>
      </c>
      <c r="G17" s="115" t="s">
        <v>270</v>
      </c>
      <c r="H17" s="115" t="s">
        <v>428</v>
      </c>
      <c r="I17" s="154">
        <v>4</v>
      </c>
      <c r="J17" s="445">
        <v>1</v>
      </c>
      <c r="K17" s="445"/>
      <c r="L17" s="445"/>
      <c r="M17" s="445"/>
      <c r="N17" s="155">
        <v>255</v>
      </c>
      <c r="O17" s="155"/>
      <c r="P17" s="155"/>
      <c r="Q17" s="155"/>
      <c r="R17" s="156" t="e">
        <f t="shared" si="0"/>
        <v>#DIV/0!</v>
      </c>
      <c r="S17" s="156">
        <f t="shared" si="1"/>
        <v>0</v>
      </c>
      <c r="T17" s="156">
        <f t="shared" si="2"/>
        <v>0</v>
      </c>
      <c r="U17" s="156">
        <f t="shared" si="3"/>
        <v>0</v>
      </c>
      <c r="V17" s="157">
        <f>IF(N17="nio",0,IF(N17&gt;0,VLOOKUP(G17,'3-Productie normen'!A:N,VLOOKUP(N17,'3-Productie normen'!R:S,2,FALSE),FALSE)))</f>
        <v>0</v>
      </c>
      <c r="W17" s="157">
        <f t="shared" si="4"/>
        <v>0</v>
      </c>
      <c r="X17" s="157">
        <f t="shared" si="5"/>
        <v>0</v>
      </c>
      <c r="Y17" s="157">
        <f t="shared" si="6"/>
        <v>0</v>
      </c>
      <c r="Z17" s="158" t="str">
        <f>VLOOKUP(G17,'3-Productie normen'!A:N,10,FALSE)</f>
        <v>V</v>
      </c>
      <c r="AA17" s="158"/>
      <c r="AC17" s="118">
        <f t="shared" si="7"/>
        <v>1020</v>
      </c>
    </row>
    <row r="18" spans="1:29" ht="14.1" customHeight="1">
      <c r="A18" s="135">
        <v>18</v>
      </c>
      <c r="B18" s="152" t="s">
        <v>230</v>
      </c>
      <c r="C18" s="152" t="s">
        <v>231</v>
      </c>
      <c r="D18" s="121" t="s">
        <v>233</v>
      </c>
      <c r="E18" s="153" t="s">
        <v>240</v>
      </c>
      <c r="F18" s="115" t="s">
        <v>241</v>
      </c>
      <c r="G18" s="152" t="s">
        <v>267</v>
      </c>
      <c r="H18" s="115" t="s">
        <v>430</v>
      </c>
      <c r="I18" s="154">
        <v>3</v>
      </c>
      <c r="J18" s="445">
        <v>1</v>
      </c>
      <c r="K18" s="445"/>
      <c r="L18" s="445"/>
      <c r="M18" s="445"/>
      <c r="N18" s="155" t="s">
        <v>268</v>
      </c>
      <c r="O18" s="155"/>
      <c r="P18" s="155"/>
      <c r="Q18" s="155"/>
      <c r="R18" s="156">
        <f t="shared" si="0"/>
        <v>0</v>
      </c>
      <c r="S18" s="156">
        <f t="shared" si="1"/>
        <v>0</v>
      </c>
      <c r="T18" s="156">
        <f t="shared" si="2"/>
        <v>0</v>
      </c>
      <c r="U18" s="156">
        <f t="shared" si="3"/>
        <v>0</v>
      </c>
      <c r="V18" s="157">
        <f>IF(N18="nio",0,IF(N18&gt;0,VLOOKUP(G18,'3-Productie normen'!A:N,VLOOKUP(N18,'3-Productie normen'!R:S,2,FALSE),FALSE)))</f>
        <v>0</v>
      </c>
      <c r="W18" s="157">
        <f t="shared" si="4"/>
        <v>0</v>
      </c>
      <c r="X18" s="157">
        <f t="shared" si="5"/>
        <v>0</v>
      </c>
      <c r="Y18" s="157">
        <f t="shared" si="6"/>
        <v>0</v>
      </c>
      <c r="Z18" s="158">
        <f>VLOOKUP(G18,'3-Productie normen'!A:N,10,FALSE)</f>
        <v>0</v>
      </c>
      <c r="AA18" s="158"/>
      <c r="AC18" s="118">
        <f t="shared" si="7"/>
        <v>0</v>
      </c>
    </row>
    <row r="19" spans="1:29" ht="14.1" customHeight="1">
      <c r="A19" s="135">
        <v>19</v>
      </c>
      <c r="B19" s="152" t="s">
        <v>230</v>
      </c>
      <c r="C19" s="152" t="s">
        <v>231</v>
      </c>
      <c r="D19" s="121" t="s">
        <v>233</v>
      </c>
      <c r="E19" s="153">
        <v>8</v>
      </c>
      <c r="F19" s="115" t="s">
        <v>238</v>
      </c>
      <c r="G19" s="115" t="s">
        <v>17</v>
      </c>
      <c r="H19" s="115" t="s">
        <v>430</v>
      </c>
      <c r="I19" s="154">
        <v>55</v>
      </c>
      <c r="J19" s="445">
        <v>1</v>
      </c>
      <c r="K19" s="445"/>
      <c r="L19" s="445"/>
      <c r="M19" s="445"/>
      <c r="N19" s="155">
        <v>255</v>
      </c>
      <c r="O19" s="155"/>
      <c r="P19" s="155"/>
      <c r="Q19" s="155"/>
      <c r="R19" s="156" t="e">
        <f t="shared" si="0"/>
        <v>#DIV/0!</v>
      </c>
      <c r="S19" s="156">
        <f t="shared" si="1"/>
        <v>0</v>
      </c>
      <c r="T19" s="156">
        <f t="shared" si="2"/>
        <v>0</v>
      </c>
      <c r="U19" s="156">
        <f t="shared" si="3"/>
        <v>0</v>
      </c>
      <c r="V19" s="157">
        <f>IF(N19="nio",0,IF(N19&gt;0,VLOOKUP(G19,'3-Productie normen'!A:N,VLOOKUP(N19,'3-Productie normen'!R:S,2,FALSE),FALSE)))</f>
        <v>0</v>
      </c>
      <c r="W19" s="157">
        <f t="shared" si="4"/>
        <v>0</v>
      </c>
      <c r="X19" s="157">
        <f t="shared" si="5"/>
        <v>0</v>
      </c>
      <c r="Y19" s="157">
        <f t="shared" si="6"/>
        <v>0</v>
      </c>
      <c r="Z19" s="158" t="str">
        <f>VLOOKUP(G19,'3-Productie normen'!A:N,10,FALSE)</f>
        <v>S</v>
      </c>
      <c r="AA19" s="158"/>
      <c r="AC19" s="118">
        <f t="shared" si="7"/>
        <v>14025</v>
      </c>
    </row>
    <row r="20" spans="1:29" ht="14.1" customHeight="1">
      <c r="A20" s="135">
        <v>20</v>
      </c>
      <c r="B20" s="152" t="s">
        <v>230</v>
      </c>
      <c r="C20" s="152" t="s">
        <v>231</v>
      </c>
      <c r="D20" s="121" t="s">
        <v>233</v>
      </c>
      <c r="E20" s="153">
        <v>9</v>
      </c>
      <c r="F20" s="115" t="s">
        <v>237</v>
      </c>
      <c r="G20" s="115" t="s">
        <v>270</v>
      </c>
      <c r="H20" s="115" t="s">
        <v>428</v>
      </c>
      <c r="I20" s="154">
        <v>5</v>
      </c>
      <c r="J20" s="445">
        <v>1</v>
      </c>
      <c r="K20" s="445"/>
      <c r="L20" s="445"/>
      <c r="M20" s="445"/>
      <c r="N20" s="155">
        <v>255</v>
      </c>
      <c r="O20" s="155"/>
      <c r="P20" s="155"/>
      <c r="Q20" s="155"/>
      <c r="R20" s="156" t="e">
        <f t="shared" si="0"/>
        <v>#DIV/0!</v>
      </c>
      <c r="S20" s="156">
        <f t="shared" si="1"/>
        <v>0</v>
      </c>
      <c r="T20" s="156">
        <f t="shared" si="2"/>
        <v>0</v>
      </c>
      <c r="U20" s="156">
        <f t="shared" si="3"/>
        <v>0</v>
      </c>
      <c r="V20" s="157">
        <f>IF(N20="nio",0,IF(N20&gt;0,VLOOKUP(G20,'3-Productie normen'!A:N,VLOOKUP(N20,'3-Productie normen'!R:S,2,FALSE),FALSE)))</f>
        <v>0</v>
      </c>
      <c r="W20" s="157">
        <f t="shared" si="4"/>
        <v>0</v>
      </c>
      <c r="X20" s="157">
        <f t="shared" si="5"/>
        <v>0</v>
      </c>
      <c r="Y20" s="157">
        <f t="shared" si="6"/>
        <v>0</v>
      </c>
      <c r="Z20" s="158" t="str">
        <f>VLOOKUP(G20,'3-Productie normen'!A:N,10,FALSE)</f>
        <v>V</v>
      </c>
      <c r="AA20" s="158"/>
      <c r="AC20" s="118">
        <f t="shared" si="7"/>
        <v>1275</v>
      </c>
    </row>
    <row r="21" spans="1:29" ht="14.1" customHeight="1">
      <c r="A21" s="135">
        <v>21</v>
      </c>
      <c r="B21" s="152" t="s">
        <v>230</v>
      </c>
      <c r="C21" s="152" t="s">
        <v>231</v>
      </c>
      <c r="D21" s="121" t="s">
        <v>233</v>
      </c>
      <c r="E21" s="153">
        <v>10</v>
      </c>
      <c r="F21" s="115" t="s">
        <v>238</v>
      </c>
      <c r="G21" s="115" t="s">
        <v>17</v>
      </c>
      <c r="H21" s="115" t="s">
        <v>430</v>
      </c>
      <c r="I21" s="154">
        <v>2</v>
      </c>
      <c r="J21" s="445">
        <v>1</v>
      </c>
      <c r="K21" s="445"/>
      <c r="L21" s="445"/>
      <c r="M21" s="445"/>
      <c r="N21" s="155">
        <v>255</v>
      </c>
      <c r="O21" s="155"/>
      <c r="P21" s="155"/>
      <c r="Q21" s="155"/>
      <c r="R21" s="156" t="e">
        <f t="shared" si="0"/>
        <v>#DIV/0!</v>
      </c>
      <c r="S21" s="156">
        <f t="shared" si="1"/>
        <v>0</v>
      </c>
      <c r="T21" s="156">
        <f t="shared" si="2"/>
        <v>0</v>
      </c>
      <c r="U21" s="156">
        <f t="shared" si="3"/>
        <v>0</v>
      </c>
      <c r="V21" s="157">
        <f>IF(N21="nio",0,IF(N21&gt;0,VLOOKUP(G21,'3-Productie normen'!A:N,VLOOKUP(N21,'3-Productie normen'!R:S,2,FALSE),FALSE)))</f>
        <v>0</v>
      </c>
      <c r="W21" s="157">
        <f t="shared" si="4"/>
        <v>0</v>
      </c>
      <c r="X21" s="157">
        <f t="shared" si="5"/>
        <v>0</v>
      </c>
      <c r="Y21" s="157">
        <f t="shared" si="6"/>
        <v>0</v>
      </c>
      <c r="Z21" s="158" t="str">
        <f>VLOOKUP(G21,'3-Productie normen'!A:N,10,FALSE)</f>
        <v>S</v>
      </c>
      <c r="AA21" s="158"/>
      <c r="AC21" s="118">
        <f t="shared" si="7"/>
        <v>510</v>
      </c>
    </row>
    <row r="22" spans="1:29" ht="14.1" customHeight="1">
      <c r="A22" s="135">
        <v>22</v>
      </c>
      <c r="B22" s="152" t="s">
        <v>230</v>
      </c>
      <c r="C22" s="152" t="s">
        <v>231</v>
      </c>
      <c r="D22" s="121" t="s">
        <v>233</v>
      </c>
      <c r="E22" s="153">
        <v>11</v>
      </c>
      <c r="F22" s="115" t="s">
        <v>238</v>
      </c>
      <c r="G22" s="115" t="s">
        <v>17</v>
      </c>
      <c r="H22" s="115" t="s">
        <v>430</v>
      </c>
      <c r="I22" s="154">
        <v>2</v>
      </c>
      <c r="J22" s="445">
        <v>1</v>
      </c>
      <c r="K22" s="445"/>
      <c r="L22" s="445"/>
      <c r="M22" s="445"/>
      <c r="N22" s="155">
        <v>255</v>
      </c>
      <c r="O22" s="155"/>
      <c r="P22" s="155"/>
      <c r="Q22" s="155"/>
      <c r="R22" s="156" t="e">
        <f t="shared" si="0"/>
        <v>#DIV/0!</v>
      </c>
      <c r="S22" s="156">
        <f t="shared" si="1"/>
        <v>0</v>
      </c>
      <c r="T22" s="156">
        <f t="shared" si="2"/>
        <v>0</v>
      </c>
      <c r="U22" s="156">
        <f t="shared" si="3"/>
        <v>0</v>
      </c>
      <c r="V22" s="157">
        <f>IF(N22="nio",0,IF(N22&gt;0,VLOOKUP(G22,'3-Productie normen'!A:N,VLOOKUP(N22,'3-Productie normen'!R:S,2,FALSE),FALSE)))</f>
        <v>0</v>
      </c>
      <c r="W22" s="157">
        <f t="shared" si="4"/>
        <v>0</v>
      </c>
      <c r="X22" s="157">
        <f t="shared" si="5"/>
        <v>0</v>
      </c>
      <c r="Y22" s="157">
        <f t="shared" si="6"/>
        <v>0</v>
      </c>
      <c r="Z22" s="158" t="str">
        <f>VLOOKUP(G22,'3-Productie normen'!A:N,10,FALSE)</f>
        <v>S</v>
      </c>
      <c r="AA22" s="158"/>
      <c r="AC22" s="118">
        <f t="shared" si="7"/>
        <v>510</v>
      </c>
    </row>
    <row r="23" spans="1:29" ht="14.1" customHeight="1">
      <c r="A23" s="135">
        <v>23</v>
      </c>
      <c r="B23" s="152" t="s">
        <v>230</v>
      </c>
      <c r="C23" s="152" t="s">
        <v>231</v>
      </c>
      <c r="D23" s="121" t="s">
        <v>233</v>
      </c>
      <c r="E23" s="153">
        <v>12</v>
      </c>
      <c r="F23" s="115" t="s">
        <v>242</v>
      </c>
      <c r="G23" s="115" t="s">
        <v>266</v>
      </c>
      <c r="H23" s="115" t="s">
        <v>429</v>
      </c>
      <c r="I23" s="154">
        <v>30</v>
      </c>
      <c r="J23" s="445">
        <v>1</v>
      </c>
      <c r="K23" s="445"/>
      <c r="L23" s="445"/>
      <c r="M23" s="445"/>
      <c r="N23" s="155">
        <v>255</v>
      </c>
      <c r="O23" s="155"/>
      <c r="P23" s="155"/>
      <c r="Q23" s="155"/>
      <c r="R23" s="156" t="e">
        <f t="shared" si="0"/>
        <v>#DIV/0!</v>
      </c>
      <c r="S23" s="156">
        <f t="shared" si="1"/>
        <v>0</v>
      </c>
      <c r="T23" s="156">
        <f t="shared" si="2"/>
        <v>0</v>
      </c>
      <c r="U23" s="156">
        <f t="shared" si="3"/>
        <v>0</v>
      </c>
      <c r="V23" s="157">
        <f>IF(N23="nio",0,IF(N23&gt;0,VLOOKUP(G23,'3-Productie normen'!A:N,VLOOKUP(N23,'3-Productie normen'!R:S,2,FALSE),FALSE)))</f>
        <v>0</v>
      </c>
      <c r="W23" s="157">
        <f t="shared" si="4"/>
        <v>0</v>
      </c>
      <c r="X23" s="157">
        <f t="shared" si="5"/>
        <v>0</v>
      </c>
      <c r="Y23" s="157">
        <f t="shared" si="6"/>
        <v>0</v>
      </c>
      <c r="Z23" s="158" t="str">
        <f>VLOOKUP(G23,'3-Productie normen'!A:N,10,FALSE)</f>
        <v>B</v>
      </c>
      <c r="AA23" s="158"/>
      <c r="AC23" s="118">
        <f t="shared" si="7"/>
        <v>7650</v>
      </c>
    </row>
    <row r="24" spans="1:29" ht="14.1" customHeight="1">
      <c r="A24" s="135">
        <v>24</v>
      </c>
      <c r="B24" s="152" t="s">
        <v>230</v>
      </c>
      <c r="C24" s="152" t="s">
        <v>231</v>
      </c>
      <c r="D24" s="121" t="s">
        <v>233</v>
      </c>
      <c r="E24" s="153">
        <v>13</v>
      </c>
      <c r="F24" s="152" t="s">
        <v>238</v>
      </c>
      <c r="G24" s="115" t="s">
        <v>17</v>
      </c>
      <c r="H24" s="115" t="s">
        <v>430</v>
      </c>
      <c r="I24" s="164">
        <v>16</v>
      </c>
      <c r="J24" s="445">
        <v>1</v>
      </c>
      <c r="K24" s="445"/>
      <c r="L24" s="445"/>
      <c r="M24" s="445"/>
      <c r="N24" s="155">
        <v>255</v>
      </c>
      <c r="O24" s="155"/>
      <c r="P24" s="155"/>
      <c r="Q24" s="155"/>
      <c r="R24" s="156" t="e">
        <f t="shared" si="0"/>
        <v>#DIV/0!</v>
      </c>
      <c r="S24" s="156">
        <f t="shared" si="1"/>
        <v>0</v>
      </c>
      <c r="T24" s="156">
        <f t="shared" si="2"/>
        <v>0</v>
      </c>
      <c r="U24" s="156">
        <f t="shared" si="3"/>
        <v>0</v>
      </c>
      <c r="V24" s="157">
        <f>IF(N24="nio",0,IF(N24&gt;0,VLOOKUP(G24,'3-Productie normen'!A:N,VLOOKUP(N24,'3-Productie normen'!R:S,2,FALSE),FALSE)))</f>
        <v>0</v>
      </c>
      <c r="W24" s="157">
        <f t="shared" si="4"/>
        <v>0</v>
      </c>
      <c r="X24" s="157">
        <f t="shared" si="5"/>
        <v>0</v>
      </c>
      <c r="Y24" s="157">
        <f t="shared" si="6"/>
        <v>0</v>
      </c>
      <c r="Z24" s="158" t="str">
        <f>VLOOKUP(G24,'3-Productie normen'!A:N,10,FALSE)</f>
        <v>S</v>
      </c>
      <c r="AA24" s="158"/>
      <c r="AC24" s="118">
        <f t="shared" si="7"/>
        <v>4080</v>
      </c>
    </row>
    <row r="25" spans="1:29" ht="14.1" customHeight="1">
      <c r="A25" s="135">
        <v>25</v>
      </c>
      <c r="B25" s="152" t="s">
        <v>230</v>
      </c>
      <c r="C25" s="152" t="s">
        <v>231</v>
      </c>
      <c r="D25" s="121" t="s">
        <v>233</v>
      </c>
      <c r="E25" s="153">
        <v>14</v>
      </c>
      <c r="F25" s="115" t="s">
        <v>238</v>
      </c>
      <c r="G25" s="115" t="s">
        <v>17</v>
      </c>
      <c r="H25" s="115" t="s">
        <v>430</v>
      </c>
      <c r="I25" s="164">
        <v>2</v>
      </c>
      <c r="J25" s="445">
        <v>1</v>
      </c>
      <c r="K25" s="445"/>
      <c r="L25" s="445"/>
      <c r="M25" s="445"/>
      <c r="N25" s="155">
        <v>255</v>
      </c>
      <c r="O25" s="155"/>
      <c r="P25" s="155"/>
      <c r="Q25" s="155"/>
      <c r="R25" s="156" t="e">
        <f t="shared" si="0"/>
        <v>#DIV/0!</v>
      </c>
      <c r="S25" s="156">
        <f t="shared" si="1"/>
        <v>0</v>
      </c>
      <c r="T25" s="156">
        <f t="shared" si="2"/>
        <v>0</v>
      </c>
      <c r="U25" s="156">
        <f t="shared" si="3"/>
        <v>0</v>
      </c>
      <c r="V25" s="157">
        <f>IF(N25="nio",0,IF(N25&gt;0,VLOOKUP(G25,'3-Productie normen'!A:N,VLOOKUP(N25,'3-Productie normen'!R:S,2,FALSE),FALSE)))</f>
        <v>0</v>
      </c>
      <c r="W25" s="157">
        <f t="shared" si="4"/>
        <v>0</v>
      </c>
      <c r="X25" s="157">
        <f t="shared" si="5"/>
        <v>0</v>
      </c>
      <c r="Y25" s="157">
        <f t="shared" si="6"/>
        <v>0</v>
      </c>
      <c r="Z25" s="158" t="str">
        <f>VLOOKUP(G25,'3-Productie normen'!A:N,10,FALSE)</f>
        <v>S</v>
      </c>
      <c r="AA25" s="158"/>
      <c r="AC25" s="118">
        <f t="shared" si="7"/>
        <v>510</v>
      </c>
    </row>
    <row r="26" spans="1:29" ht="14.1" customHeight="1">
      <c r="A26" s="135">
        <v>26</v>
      </c>
      <c r="B26" s="152" t="s">
        <v>230</v>
      </c>
      <c r="C26" s="152" t="s">
        <v>231</v>
      </c>
      <c r="D26" s="121" t="s">
        <v>233</v>
      </c>
      <c r="E26" s="153">
        <v>15</v>
      </c>
      <c r="F26" s="115" t="s">
        <v>238</v>
      </c>
      <c r="G26" s="115" t="s">
        <v>17</v>
      </c>
      <c r="H26" s="115" t="s">
        <v>430</v>
      </c>
      <c r="I26" s="164">
        <v>8</v>
      </c>
      <c r="J26" s="445">
        <v>1</v>
      </c>
      <c r="K26" s="445"/>
      <c r="L26" s="445"/>
      <c r="M26" s="445"/>
      <c r="N26" s="155">
        <v>255</v>
      </c>
      <c r="O26" s="155"/>
      <c r="P26" s="155"/>
      <c r="Q26" s="155"/>
      <c r="R26" s="156" t="e">
        <f t="shared" si="0"/>
        <v>#DIV/0!</v>
      </c>
      <c r="S26" s="156">
        <f t="shared" si="1"/>
        <v>0</v>
      </c>
      <c r="T26" s="156">
        <f t="shared" si="2"/>
        <v>0</v>
      </c>
      <c r="U26" s="156">
        <f t="shared" si="3"/>
        <v>0</v>
      </c>
      <c r="V26" s="157">
        <f>IF(N26="nio",0,IF(N26&gt;0,VLOOKUP(G26,'3-Productie normen'!A:N,VLOOKUP(N26,'3-Productie normen'!R:S,2,FALSE),FALSE)))</f>
        <v>0</v>
      </c>
      <c r="W26" s="157">
        <f t="shared" si="4"/>
        <v>0</v>
      </c>
      <c r="X26" s="157">
        <f t="shared" si="5"/>
        <v>0</v>
      </c>
      <c r="Y26" s="157">
        <f t="shared" si="6"/>
        <v>0</v>
      </c>
      <c r="Z26" s="158" t="str">
        <f>VLOOKUP(G26,'3-Productie normen'!A:N,10,FALSE)</f>
        <v>S</v>
      </c>
      <c r="AA26" s="158"/>
      <c r="AC26" s="118">
        <f t="shared" si="7"/>
        <v>2040</v>
      </c>
    </row>
    <row r="27" spans="1:29" ht="14.1" customHeight="1">
      <c r="A27" s="135">
        <v>27</v>
      </c>
      <c r="B27" s="152" t="s">
        <v>230</v>
      </c>
      <c r="C27" s="152" t="s">
        <v>231</v>
      </c>
      <c r="D27" s="121" t="s">
        <v>233</v>
      </c>
      <c r="E27" s="153">
        <v>16</v>
      </c>
      <c r="F27" s="115" t="s">
        <v>237</v>
      </c>
      <c r="G27" s="115" t="s">
        <v>270</v>
      </c>
      <c r="H27" s="115" t="s">
        <v>428</v>
      </c>
      <c r="I27" s="164">
        <v>2</v>
      </c>
      <c r="J27" s="445">
        <v>1</v>
      </c>
      <c r="K27" s="445"/>
      <c r="L27" s="445"/>
      <c r="M27" s="445"/>
      <c r="N27" s="155">
        <v>255</v>
      </c>
      <c r="O27" s="155"/>
      <c r="P27" s="155"/>
      <c r="Q27" s="155"/>
      <c r="R27" s="156" t="e">
        <f t="shared" si="0"/>
        <v>#DIV/0!</v>
      </c>
      <c r="S27" s="156">
        <f t="shared" si="1"/>
        <v>0</v>
      </c>
      <c r="T27" s="156">
        <f t="shared" si="2"/>
        <v>0</v>
      </c>
      <c r="U27" s="156">
        <f t="shared" si="3"/>
        <v>0</v>
      </c>
      <c r="V27" s="157">
        <f>IF(N27="nio",0,IF(N27&gt;0,VLOOKUP(G27,'3-Productie normen'!A:N,VLOOKUP(N27,'3-Productie normen'!R:S,2,FALSE),FALSE)))</f>
        <v>0</v>
      </c>
      <c r="W27" s="157">
        <f t="shared" si="4"/>
        <v>0</v>
      </c>
      <c r="X27" s="157">
        <f t="shared" si="5"/>
        <v>0</v>
      </c>
      <c r="Y27" s="157">
        <f t="shared" si="6"/>
        <v>0</v>
      </c>
      <c r="Z27" s="158" t="str">
        <f>VLOOKUP(G27,'3-Productie normen'!A:N,10,FALSE)</f>
        <v>V</v>
      </c>
      <c r="AA27" s="158"/>
      <c r="AC27" s="118">
        <f t="shared" si="7"/>
        <v>510</v>
      </c>
    </row>
    <row r="28" spans="1:29" ht="14.1" customHeight="1">
      <c r="A28" s="135">
        <v>28</v>
      </c>
      <c r="B28" s="152" t="s">
        <v>230</v>
      </c>
      <c r="C28" s="152" t="s">
        <v>231</v>
      </c>
      <c r="D28" s="121" t="s">
        <v>233</v>
      </c>
      <c r="E28" s="153">
        <v>17</v>
      </c>
      <c r="F28" s="115" t="s">
        <v>236</v>
      </c>
      <c r="G28" s="152" t="s">
        <v>267</v>
      </c>
      <c r="H28" s="115" t="s">
        <v>430</v>
      </c>
      <c r="I28" s="164">
        <v>186</v>
      </c>
      <c r="J28" s="445">
        <v>1</v>
      </c>
      <c r="K28" s="445"/>
      <c r="L28" s="445"/>
      <c r="M28" s="445"/>
      <c r="N28" s="155" t="s">
        <v>268</v>
      </c>
      <c r="O28" s="155"/>
      <c r="P28" s="155"/>
      <c r="Q28" s="155"/>
      <c r="R28" s="156">
        <f t="shared" si="0"/>
        <v>0</v>
      </c>
      <c r="S28" s="156">
        <f t="shared" si="1"/>
        <v>0</v>
      </c>
      <c r="T28" s="156">
        <f t="shared" si="2"/>
        <v>0</v>
      </c>
      <c r="U28" s="156">
        <f t="shared" si="3"/>
        <v>0</v>
      </c>
      <c r="V28" s="157">
        <f>IF(N28="nio",0,IF(N28&gt;0,VLOOKUP(G28,'3-Productie normen'!A:N,VLOOKUP(N28,'3-Productie normen'!R:S,2,FALSE),FALSE)))</f>
        <v>0</v>
      </c>
      <c r="W28" s="157">
        <f t="shared" si="4"/>
        <v>0</v>
      </c>
      <c r="X28" s="157">
        <f t="shared" si="5"/>
        <v>0</v>
      </c>
      <c r="Y28" s="157">
        <f t="shared" si="6"/>
        <v>0</v>
      </c>
      <c r="Z28" s="158">
        <f>VLOOKUP(G28,'3-Productie normen'!A:N,10,FALSE)</f>
        <v>0</v>
      </c>
      <c r="AA28" s="158"/>
      <c r="AC28" s="118">
        <f t="shared" si="7"/>
        <v>0</v>
      </c>
    </row>
    <row r="29" spans="1:29" ht="14.1" customHeight="1">
      <c r="A29" s="135">
        <v>29</v>
      </c>
      <c r="B29" s="152" t="s">
        <v>230</v>
      </c>
      <c r="C29" s="152" t="s">
        <v>231</v>
      </c>
      <c r="D29" s="121" t="s">
        <v>233</v>
      </c>
      <c r="E29" s="153">
        <v>18</v>
      </c>
      <c r="F29" s="160" t="s">
        <v>242</v>
      </c>
      <c r="G29" s="115" t="s">
        <v>266</v>
      </c>
      <c r="H29" s="115" t="s">
        <v>429</v>
      </c>
      <c r="I29" s="164">
        <v>20</v>
      </c>
      <c r="J29" s="445">
        <v>1</v>
      </c>
      <c r="K29" s="445"/>
      <c r="L29" s="445"/>
      <c r="M29" s="445"/>
      <c r="N29" s="155">
        <v>255</v>
      </c>
      <c r="O29" s="155"/>
      <c r="P29" s="155"/>
      <c r="Q29" s="155"/>
      <c r="R29" s="156" t="e">
        <f t="shared" si="0"/>
        <v>#DIV/0!</v>
      </c>
      <c r="S29" s="156">
        <f t="shared" si="1"/>
        <v>0</v>
      </c>
      <c r="T29" s="156">
        <f t="shared" si="2"/>
        <v>0</v>
      </c>
      <c r="U29" s="156">
        <f t="shared" si="3"/>
        <v>0</v>
      </c>
      <c r="V29" s="157">
        <f>IF(N29="nio",0,IF(N29&gt;0,VLOOKUP(G29,'3-Productie normen'!A:N,VLOOKUP(N29,'3-Productie normen'!R:S,2,FALSE),FALSE)))</f>
        <v>0</v>
      </c>
      <c r="W29" s="157">
        <f t="shared" si="4"/>
        <v>0</v>
      </c>
      <c r="X29" s="157">
        <f t="shared" si="5"/>
        <v>0</v>
      </c>
      <c r="Y29" s="157">
        <f t="shared" si="6"/>
        <v>0</v>
      </c>
      <c r="Z29" s="158" t="str">
        <f>VLOOKUP(G29,'3-Productie normen'!A:N,10,FALSE)</f>
        <v>B</v>
      </c>
      <c r="AA29" s="158"/>
      <c r="AC29" s="118">
        <f t="shared" si="7"/>
        <v>5100</v>
      </c>
    </row>
    <row r="30" spans="1:29" ht="14.1" customHeight="1">
      <c r="A30" s="135">
        <v>30</v>
      </c>
      <c r="B30" s="152" t="s">
        <v>230</v>
      </c>
      <c r="C30" s="152" t="s">
        <v>231</v>
      </c>
      <c r="D30" s="121" t="s">
        <v>233</v>
      </c>
      <c r="E30" s="153">
        <v>19</v>
      </c>
      <c r="F30" s="115" t="s">
        <v>242</v>
      </c>
      <c r="G30" s="115" t="s">
        <v>266</v>
      </c>
      <c r="H30" s="115" t="s">
        <v>428</v>
      </c>
      <c r="I30" s="164">
        <v>25</v>
      </c>
      <c r="J30" s="445">
        <v>1</v>
      </c>
      <c r="K30" s="445"/>
      <c r="L30" s="445"/>
      <c r="M30" s="445"/>
      <c r="N30" s="155">
        <v>255</v>
      </c>
      <c r="O30" s="155"/>
      <c r="P30" s="155"/>
      <c r="Q30" s="155"/>
      <c r="R30" s="156" t="e">
        <f t="shared" si="0"/>
        <v>#DIV/0!</v>
      </c>
      <c r="S30" s="156">
        <f t="shared" si="1"/>
        <v>0</v>
      </c>
      <c r="T30" s="156">
        <f t="shared" si="2"/>
        <v>0</v>
      </c>
      <c r="U30" s="156">
        <f t="shared" si="3"/>
        <v>0</v>
      </c>
      <c r="V30" s="157">
        <f>IF(N30="nio",0,IF(N30&gt;0,VLOOKUP(G30,'3-Productie normen'!A:N,VLOOKUP(N30,'3-Productie normen'!R:S,2,FALSE),FALSE)))</f>
        <v>0</v>
      </c>
      <c r="W30" s="157">
        <f t="shared" si="4"/>
        <v>0</v>
      </c>
      <c r="X30" s="157">
        <f t="shared" si="5"/>
        <v>0</v>
      </c>
      <c r="Y30" s="157">
        <f t="shared" si="6"/>
        <v>0</v>
      </c>
      <c r="Z30" s="158" t="str">
        <f>VLOOKUP(G30,'3-Productie normen'!A:N,10,FALSE)</f>
        <v>B</v>
      </c>
      <c r="AA30" s="158"/>
      <c r="AC30" s="118">
        <f t="shared" si="7"/>
        <v>6375</v>
      </c>
    </row>
    <row r="31" spans="1:29" ht="14.1" customHeight="1">
      <c r="A31" s="135">
        <v>31</v>
      </c>
      <c r="B31" s="152" t="s">
        <v>230</v>
      </c>
      <c r="C31" s="152" t="s">
        <v>231</v>
      </c>
      <c r="D31" s="165" t="s">
        <v>233</v>
      </c>
      <c r="E31" s="162">
        <v>21</v>
      </c>
      <c r="F31" s="163" t="s">
        <v>242</v>
      </c>
      <c r="G31" s="115" t="s">
        <v>266</v>
      </c>
      <c r="H31" s="115" t="s">
        <v>428</v>
      </c>
      <c r="I31" s="164">
        <v>27</v>
      </c>
      <c r="J31" s="445">
        <v>1</v>
      </c>
      <c r="K31" s="445"/>
      <c r="L31" s="445"/>
      <c r="M31" s="445"/>
      <c r="N31" s="155">
        <v>255</v>
      </c>
      <c r="O31" s="155"/>
      <c r="P31" s="155"/>
      <c r="Q31" s="155"/>
      <c r="R31" s="156" t="e">
        <f t="shared" si="0"/>
        <v>#DIV/0!</v>
      </c>
      <c r="S31" s="156">
        <f t="shared" si="1"/>
        <v>0</v>
      </c>
      <c r="T31" s="156">
        <f t="shared" si="2"/>
        <v>0</v>
      </c>
      <c r="U31" s="156">
        <f t="shared" si="3"/>
        <v>0</v>
      </c>
      <c r="V31" s="157">
        <f>IF(N31="nio",0,IF(N31&gt;0,VLOOKUP(G31,'3-Productie normen'!A:N,VLOOKUP(N31,'3-Productie normen'!R:S,2,FALSE),FALSE)))</f>
        <v>0</v>
      </c>
      <c r="W31" s="157">
        <f t="shared" si="4"/>
        <v>0</v>
      </c>
      <c r="X31" s="157">
        <f t="shared" si="5"/>
        <v>0</v>
      </c>
      <c r="Y31" s="157">
        <f t="shared" si="6"/>
        <v>0</v>
      </c>
      <c r="Z31" s="158" t="str">
        <f>VLOOKUP(G31,'3-Productie normen'!A:N,10,FALSE)</f>
        <v>B</v>
      </c>
      <c r="AA31" s="158"/>
      <c r="AC31" s="118">
        <f t="shared" si="7"/>
        <v>6885</v>
      </c>
    </row>
    <row r="32" spans="1:29" ht="14.1" customHeight="1">
      <c r="A32" s="135">
        <v>32</v>
      </c>
      <c r="B32" s="152" t="s">
        <v>230</v>
      </c>
      <c r="C32" s="152" t="s">
        <v>231</v>
      </c>
      <c r="D32" s="121" t="s">
        <v>233</v>
      </c>
      <c r="E32" s="153">
        <v>22</v>
      </c>
      <c r="F32" s="115" t="s">
        <v>243</v>
      </c>
      <c r="G32" s="152" t="s">
        <v>267</v>
      </c>
      <c r="H32" s="115" t="s">
        <v>430</v>
      </c>
      <c r="I32" s="164">
        <v>91</v>
      </c>
      <c r="J32" s="445">
        <v>1</v>
      </c>
      <c r="K32" s="445"/>
      <c r="L32" s="445"/>
      <c r="M32" s="445"/>
      <c r="N32" s="155" t="s">
        <v>268</v>
      </c>
      <c r="O32" s="155"/>
      <c r="P32" s="155"/>
      <c r="Q32" s="155"/>
      <c r="R32" s="156">
        <f t="shared" si="0"/>
        <v>0</v>
      </c>
      <c r="S32" s="156">
        <f t="shared" si="1"/>
        <v>0</v>
      </c>
      <c r="T32" s="156">
        <f t="shared" si="2"/>
        <v>0</v>
      </c>
      <c r="U32" s="156">
        <f t="shared" si="3"/>
        <v>0</v>
      </c>
      <c r="V32" s="157">
        <f>IF(N32="nio",0,IF(N32&gt;0,VLOOKUP(G32,'3-Productie normen'!A:N,VLOOKUP(N32,'3-Productie normen'!R:S,2,FALSE),FALSE)))</f>
        <v>0</v>
      </c>
      <c r="W32" s="157">
        <f t="shared" si="4"/>
        <v>0</v>
      </c>
      <c r="X32" s="157">
        <f t="shared" si="5"/>
        <v>0</v>
      </c>
      <c r="Y32" s="157">
        <f t="shared" si="6"/>
        <v>0</v>
      </c>
      <c r="Z32" s="158">
        <f>VLOOKUP(G32,'3-Productie normen'!A:N,10,FALSE)</f>
        <v>0</v>
      </c>
      <c r="AA32" s="158"/>
      <c r="AC32" s="118">
        <f t="shared" si="7"/>
        <v>0</v>
      </c>
    </row>
    <row r="33" spans="1:29" ht="14.1" customHeight="1">
      <c r="A33" s="135">
        <v>33</v>
      </c>
      <c r="B33" s="152" t="s">
        <v>230</v>
      </c>
      <c r="C33" s="152" t="s">
        <v>231</v>
      </c>
      <c r="D33" s="121" t="s">
        <v>233</v>
      </c>
      <c r="E33" s="153">
        <v>23</v>
      </c>
      <c r="F33" s="115" t="s">
        <v>244</v>
      </c>
      <c r="G33" s="152" t="s">
        <v>267</v>
      </c>
      <c r="H33" s="115" t="s">
        <v>430</v>
      </c>
      <c r="I33" s="164">
        <v>8</v>
      </c>
      <c r="J33" s="445">
        <v>1</v>
      </c>
      <c r="K33" s="445"/>
      <c r="L33" s="445"/>
      <c r="M33" s="445"/>
      <c r="N33" s="155" t="s">
        <v>268</v>
      </c>
      <c r="O33" s="155"/>
      <c r="P33" s="155"/>
      <c r="Q33" s="155"/>
      <c r="R33" s="156">
        <f t="shared" si="0"/>
        <v>0</v>
      </c>
      <c r="S33" s="156">
        <f t="shared" si="1"/>
        <v>0</v>
      </c>
      <c r="T33" s="156">
        <f t="shared" si="2"/>
        <v>0</v>
      </c>
      <c r="U33" s="156">
        <f t="shared" si="3"/>
        <v>0</v>
      </c>
      <c r="V33" s="157">
        <f>IF(N33="nio",0,IF(N33&gt;0,VLOOKUP(G33,'3-Productie normen'!A:N,VLOOKUP(N33,'3-Productie normen'!R:S,2,FALSE),FALSE)))</f>
        <v>0</v>
      </c>
      <c r="W33" s="157">
        <f t="shared" si="4"/>
        <v>0</v>
      </c>
      <c r="X33" s="157">
        <f t="shared" si="5"/>
        <v>0</v>
      </c>
      <c r="Y33" s="157">
        <f t="shared" si="6"/>
        <v>0</v>
      </c>
      <c r="Z33" s="158">
        <f>VLOOKUP(G33,'3-Productie normen'!A:N,10,FALSE)</f>
        <v>0</v>
      </c>
      <c r="AA33" s="158"/>
      <c r="AC33" s="118">
        <f t="shared" si="7"/>
        <v>0</v>
      </c>
    </row>
    <row r="34" spans="1:29" ht="14.1" customHeight="1">
      <c r="A34" s="135">
        <v>34</v>
      </c>
      <c r="B34" s="152" t="s">
        <v>230</v>
      </c>
      <c r="C34" s="152" t="s">
        <v>231</v>
      </c>
      <c r="D34" s="121" t="s">
        <v>233</v>
      </c>
      <c r="E34" s="153">
        <v>24</v>
      </c>
      <c r="F34" s="115" t="s">
        <v>243</v>
      </c>
      <c r="G34" s="152" t="s">
        <v>267</v>
      </c>
      <c r="H34" s="115" t="s">
        <v>430</v>
      </c>
      <c r="I34" s="164">
        <v>91</v>
      </c>
      <c r="J34" s="445">
        <v>1</v>
      </c>
      <c r="K34" s="445"/>
      <c r="L34" s="445"/>
      <c r="M34" s="445"/>
      <c r="N34" s="155" t="s">
        <v>268</v>
      </c>
      <c r="O34" s="155"/>
      <c r="P34" s="155"/>
      <c r="Q34" s="155"/>
      <c r="R34" s="156">
        <f t="shared" si="0"/>
        <v>0</v>
      </c>
      <c r="S34" s="156">
        <f t="shared" si="1"/>
        <v>0</v>
      </c>
      <c r="T34" s="156">
        <f t="shared" si="2"/>
        <v>0</v>
      </c>
      <c r="U34" s="156">
        <f t="shared" si="3"/>
        <v>0</v>
      </c>
      <c r="V34" s="157">
        <f>IF(N34="nio",0,IF(N34&gt;0,VLOOKUP(G34,'3-Productie normen'!A:N,VLOOKUP(N34,'3-Productie normen'!R:S,2,FALSE),FALSE)))</f>
        <v>0</v>
      </c>
      <c r="W34" s="157">
        <f t="shared" si="4"/>
        <v>0</v>
      </c>
      <c r="X34" s="157">
        <f t="shared" si="5"/>
        <v>0</v>
      </c>
      <c r="Y34" s="157">
        <f t="shared" si="6"/>
        <v>0</v>
      </c>
      <c r="Z34" s="158">
        <f>VLOOKUP(G34,'3-Productie normen'!A:N,10,FALSE)</f>
        <v>0</v>
      </c>
      <c r="AA34" s="158"/>
      <c r="AC34" s="118">
        <f t="shared" si="7"/>
        <v>0</v>
      </c>
    </row>
    <row r="35" spans="1:29" ht="14.1" customHeight="1">
      <c r="A35" s="135">
        <v>35</v>
      </c>
      <c r="B35" s="152" t="s">
        <v>230</v>
      </c>
      <c r="C35" s="152" t="s">
        <v>231</v>
      </c>
      <c r="D35" s="121" t="s">
        <v>233</v>
      </c>
      <c r="E35" s="153">
        <v>25</v>
      </c>
      <c r="F35" s="115" t="s">
        <v>243</v>
      </c>
      <c r="G35" s="152" t="s">
        <v>267</v>
      </c>
      <c r="H35" s="115" t="s">
        <v>430</v>
      </c>
      <c r="I35" s="164">
        <v>100</v>
      </c>
      <c r="J35" s="445">
        <v>1</v>
      </c>
      <c r="K35" s="445"/>
      <c r="L35" s="445"/>
      <c r="M35" s="445"/>
      <c r="N35" s="155" t="s">
        <v>268</v>
      </c>
      <c r="O35" s="155"/>
      <c r="P35" s="155"/>
      <c r="Q35" s="155"/>
      <c r="R35" s="156">
        <f t="shared" si="0"/>
        <v>0</v>
      </c>
      <c r="S35" s="156">
        <f t="shared" si="1"/>
        <v>0</v>
      </c>
      <c r="T35" s="156">
        <f t="shared" si="2"/>
        <v>0</v>
      </c>
      <c r="U35" s="156">
        <f t="shared" si="3"/>
        <v>0</v>
      </c>
      <c r="V35" s="157">
        <f>IF(N35="nio",0,IF(N35&gt;0,VLOOKUP(G35,'3-Productie normen'!A:N,VLOOKUP(N35,'3-Productie normen'!R:S,2,FALSE),FALSE)))</f>
        <v>0</v>
      </c>
      <c r="W35" s="157">
        <f t="shared" si="4"/>
        <v>0</v>
      </c>
      <c r="X35" s="157">
        <f t="shared" si="5"/>
        <v>0</v>
      </c>
      <c r="Y35" s="157">
        <f t="shared" si="6"/>
        <v>0</v>
      </c>
      <c r="Z35" s="158">
        <f>VLOOKUP(G35,'3-Productie normen'!A:N,10,FALSE)</f>
        <v>0</v>
      </c>
      <c r="AA35" s="158"/>
      <c r="AC35" s="118">
        <f t="shared" si="7"/>
        <v>0</v>
      </c>
    </row>
    <row r="36" spans="1:29" ht="14.1" customHeight="1">
      <c r="A36" s="135">
        <v>36</v>
      </c>
      <c r="B36" s="152" t="s">
        <v>230</v>
      </c>
      <c r="C36" s="152" t="s">
        <v>231</v>
      </c>
      <c r="D36" s="121" t="s">
        <v>233</v>
      </c>
      <c r="E36" s="153">
        <v>26</v>
      </c>
      <c r="F36" s="115" t="s">
        <v>242</v>
      </c>
      <c r="G36" s="115" t="s">
        <v>266</v>
      </c>
      <c r="H36" s="115" t="s">
        <v>429</v>
      </c>
      <c r="I36" s="164">
        <v>22</v>
      </c>
      <c r="J36" s="445">
        <v>1</v>
      </c>
      <c r="K36" s="445"/>
      <c r="L36" s="445"/>
      <c r="M36" s="445"/>
      <c r="N36" s="155">
        <v>255</v>
      </c>
      <c r="O36" s="155"/>
      <c r="P36" s="155"/>
      <c r="Q36" s="155"/>
      <c r="R36" s="156" t="e">
        <f t="shared" si="0"/>
        <v>#DIV/0!</v>
      </c>
      <c r="S36" s="156">
        <f t="shared" si="1"/>
        <v>0</v>
      </c>
      <c r="T36" s="156">
        <f t="shared" si="2"/>
        <v>0</v>
      </c>
      <c r="U36" s="156">
        <f t="shared" si="3"/>
        <v>0</v>
      </c>
      <c r="V36" s="157">
        <f>IF(N36="nio",0,IF(N36&gt;0,VLOOKUP(G36,'3-Productie normen'!A:N,VLOOKUP(N36,'3-Productie normen'!R:S,2,FALSE),FALSE)))</f>
        <v>0</v>
      </c>
      <c r="W36" s="157">
        <f t="shared" si="4"/>
        <v>0</v>
      </c>
      <c r="X36" s="157">
        <f t="shared" si="5"/>
        <v>0</v>
      </c>
      <c r="Y36" s="157">
        <f t="shared" si="6"/>
        <v>0</v>
      </c>
      <c r="Z36" s="158" t="str">
        <f>VLOOKUP(G36,'3-Productie normen'!A:N,10,FALSE)</f>
        <v>B</v>
      </c>
      <c r="AA36" s="158"/>
      <c r="AC36" s="118">
        <f t="shared" si="7"/>
        <v>5610</v>
      </c>
    </row>
    <row r="37" spans="1:29" ht="14.1" customHeight="1">
      <c r="A37" s="135">
        <v>37</v>
      </c>
      <c r="B37" s="152" t="s">
        <v>230</v>
      </c>
      <c r="C37" s="152" t="s">
        <v>231</v>
      </c>
      <c r="D37" s="121" t="s">
        <v>233</v>
      </c>
      <c r="E37" s="153">
        <v>27</v>
      </c>
      <c r="F37" s="115" t="s">
        <v>234</v>
      </c>
      <c r="G37" s="152" t="s">
        <v>265</v>
      </c>
      <c r="H37" s="115" t="s">
        <v>428</v>
      </c>
      <c r="I37" s="164">
        <v>21</v>
      </c>
      <c r="J37" s="445">
        <v>1</v>
      </c>
      <c r="K37" s="445"/>
      <c r="L37" s="445"/>
      <c r="M37" s="445"/>
      <c r="N37" s="155">
        <v>255</v>
      </c>
      <c r="O37" s="155"/>
      <c r="P37" s="155"/>
      <c r="Q37" s="155"/>
      <c r="R37" s="156" t="e">
        <f t="shared" si="0"/>
        <v>#DIV/0!</v>
      </c>
      <c r="S37" s="156">
        <f t="shared" si="1"/>
        <v>0</v>
      </c>
      <c r="T37" s="156">
        <f t="shared" si="2"/>
        <v>0</v>
      </c>
      <c r="U37" s="156">
        <f t="shared" si="3"/>
        <v>0</v>
      </c>
      <c r="V37" s="157">
        <f>IF(N37="nio",0,IF(N37&gt;0,VLOOKUP(G37,'3-Productie normen'!A:N,VLOOKUP(N37,'3-Productie normen'!R:S,2,FALSE),FALSE)))</f>
        <v>0</v>
      </c>
      <c r="W37" s="157">
        <f t="shared" si="4"/>
        <v>0</v>
      </c>
      <c r="X37" s="157">
        <f t="shared" si="5"/>
        <v>0</v>
      </c>
      <c r="Y37" s="157">
        <f t="shared" si="6"/>
        <v>0</v>
      </c>
      <c r="Z37" s="158" t="str">
        <f>VLOOKUP(G37,'3-Productie normen'!A:N,10,FALSE)</f>
        <v>V</v>
      </c>
      <c r="AA37" s="158"/>
      <c r="AC37" s="118">
        <f t="shared" si="7"/>
        <v>5355</v>
      </c>
    </row>
    <row r="38" spans="1:29" ht="14.1" customHeight="1">
      <c r="A38" s="135">
        <v>38</v>
      </c>
      <c r="B38" s="152" t="s">
        <v>230</v>
      </c>
      <c r="C38" s="152" t="s">
        <v>231</v>
      </c>
      <c r="D38" s="121" t="s">
        <v>233</v>
      </c>
      <c r="E38" s="153">
        <v>28</v>
      </c>
      <c r="F38" s="115" t="s">
        <v>237</v>
      </c>
      <c r="G38" s="115" t="s">
        <v>270</v>
      </c>
      <c r="H38" s="115" t="s">
        <v>428</v>
      </c>
      <c r="I38" s="164">
        <v>45</v>
      </c>
      <c r="J38" s="445">
        <v>1</v>
      </c>
      <c r="K38" s="445"/>
      <c r="L38" s="445"/>
      <c r="M38" s="445"/>
      <c r="N38" s="155">
        <v>255</v>
      </c>
      <c r="O38" s="155"/>
      <c r="P38" s="155"/>
      <c r="Q38" s="155"/>
      <c r="R38" s="156" t="e">
        <f t="shared" si="0"/>
        <v>#DIV/0!</v>
      </c>
      <c r="S38" s="156">
        <f t="shared" si="1"/>
        <v>0</v>
      </c>
      <c r="T38" s="156">
        <f t="shared" si="2"/>
        <v>0</v>
      </c>
      <c r="U38" s="156">
        <f t="shared" si="3"/>
        <v>0</v>
      </c>
      <c r="V38" s="157">
        <f>IF(N38="nio",0,IF(N38&gt;0,VLOOKUP(G38,'3-Productie normen'!A:N,VLOOKUP(N38,'3-Productie normen'!R:S,2,FALSE),FALSE)))</f>
        <v>0</v>
      </c>
      <c r="W38" s="157">
        <f t="shared" si="4"/>
        <v>0</v>
      </c>
      <c r="X38" s="157">
        <f t="shared" si="5"/>
        <v>0</v>
      </c>
      <c r="Y38" s="157">
        <f t="shared" si="6"/>
        <v>0</v>
      </c>
      <c r="Z38" s="158" t="str">
        <f>VLOOKUP(G38,'3-Productie normen'!A:N,10,FALSE)</f>
        <v>V</v>
      </c>
      <c r="AA38" s="158"/>
      <c r="AC38" s="118">
        <f t="shared" si="7"/>
        <v>11475</v>
      </c>
    </row>
    <row r="39" spans="1:29" ht="14.1" customHeight="1">
      <c r="A39" s="135">
        <v>39</v>
      </c>
      <c r="B39" s="152" t="s">
        <v>230</v>
      </c>
      <c r="C39" s="152" t="s">
        <v>231</v>
      </c>
      <c r="D39" s="121" t="s">
        <v>233</v>
      </c>
      <c r="E39" s="153">
        <v>29</v>
      </c>
      <c r="F39" s="115" t="s">
        <v>243</v>
      </c>
      <c r="G39" s="152" t="s">
        <v>267</v>
      </c>
      <c r="H39" s="115" t="s">
        <v>430</v>
      </c>
      <c r="I39" s="164">
        <v>207</v>
      </c>
      <c r="J39" s="445">
        <v>1</v>
      </c>
      <c r="K39" s="445"/>
      <c r="L39" s="445"/>
      <c r="M39" s="445"/>
      <c r="N39" s="155" t="s">
        <v>268</v>
      </c>
      <c r="O39" s="155"/>
      <c r="P39" s="155"/>
      <c r="Q39" s="155"/>
      <c r="R39" s="156">
        <f t="shared" si="0"/>
        <v>0</v>
      </c>
      <c r="S39" s="156">
        <f t="shared" si="1"/>
        <v>0</v>
      </c>
      <c r="T39" s="156">
        <f t="shared" si="2"/>
        <v>0</v>
      </c>
      <c r="U39" s="156">
        <f t="shared" si="3"/>
        <v>0</v>
      </c>
      <c r="V39" s="157">
        <f>IF(N39="nio",0,IF(N39&gt;0,VLOOKUP(G39,'3-Productie normen'!A:N,VLOOKUP(N39,'3-Productie normen'!R:S,2,FALSE),FALSE)))</f>
        <v>0</v>
      </c>
      <c r="W39" s="157">
        <f t="shared" si="4"/>
        <v>0</v>
      </c>
      <c r="X39" s="157">
        <f t="shared" si="5"/>
        <v>0</v>
      </c>
      <c r="Y39" s="157">
        <f t="shared" si="6"/>
        <v>0</v>
      </c>
      <c r="Z39" s="158">
        <f>VLOOKUP(G39,'3-Productie normen'!A:N,10,FALSE)</f>
        <v>0</v>
      </c>
      <c r="AA39" s="158"/>
      <c r="AC39" s="118">
        <f t="shared" si="7"/>
        <v>0</v>
      </c>
    </row>
    <row r="40" spans="1:29" ht="14.1" customHeight="1">
      <c r="A40" s="135">
        <v>40</v>
      </c>
      <c r="B40" s="152" t="s">
        <v>230</v>
      </c>
      <c r="C40" s="152" t="s">
        <v>231</v>
      </c>
      <c r="D40" s="121" t="s">
        <v>233</v>
      </c>
      <c r="E40" s="153">
        <v>30</v>
      </c>
      <c r="F40" s="115" t="s">
        <v>243</v>
      </c>
      <c r="G40" s="152" t="s">
        <v>267</v>
      </c>
      <c r="H40" s="115" t="s">
        <v>430</v>
      </c>
      <c r="I40" s="164">
        <v>41</v>
      </c>
      <c r="J40" s="445">
        <v>1</v>
      </c>
      <c r="K40" s="445"/>
      <c r="L40" s="445"/>
      <c r="M40" s="445"/>
      <c r="N40" s="155" t="s">
        <v>268</v>
      </c>
      <c r="O40" s="155"/>
      <c r="P40" s="155"/>
      <c r="Q40" s="155"/>
      <c r="R40" s="156">
        <f t="shared" si="0"/>
        <v>0</v>
      </c>
      <c r="S40" s="156">
        <f t="shared" si="1"/>
        <v>0</v>
      </c>
      <c r="T40" s="156">
        <f t="shared" si="2"/>
        <v>0</v>
      </c>
      <c r="U40" s="156">
        <f t="shared" si="3"/>
        <v>0</v>
      </c>
      <c r="V40" s="157">
        <f>IF(N40="nio",0,IF(N40&gt;0,VLOOKUP(G40,'3-Productie normen'!A:N,VLOOKUP(N40,'3-Productie normen'!R:S,2,FALSE),FALSE)))</f>
        <v>0</v>
      </c>
      <c r="W40" s="157">
        <f t="shared" si="4"/>
        <v>0</v>
      </c>
      <c r="X40" s="157">
        <f t="shared" si="5"/>
        <v>0</v>
      </c>
      <c r="Y40" s="157">
        <f t="shared" si="6"/>
        <v>0</v>
      </c>
      <c r="Z40" s="158">
        <f>VLOOKUP(G40,'3-Productie normen'!A:N,10,FALSE)</f>
        <v>0</v>
      </c>
      <c r="AA40" s="158"/>
      <c r="AC40" s="118">
        <f t="shared" si="7"/>
        <v>0</v>
      </c>
    </row>
    <row r="41" spans="1:29" ht="14.1" customHeight="1">
      <c r="A41" s="135">
        <v>41</v>
      </c>
      <c r="B41" s="152" t="s">
        <v>230</v>
      </c>
      <c r="C41" s="152" t="s">
        <v>231</v>
      </c>
      <c r="D41" s="121" t="s">
        <v>233</v>
      </c>
      <c r="E41" s="153">
        <v>31</v>
      </c>
      <c r="F41" s="115" t="s">
        <v>237</v>
      </c>
      <c r="G41" s="115" t="s">
        <v>270</v>
      </c>
      <c r="H41" s="115" t="s">
        <v>428</v>
      </c>
      <c r="I41" s="164">
        <v>4</v>
      </c>
      <c r="J41" s="445">
        <v>1</v>
      </c>
      <c r="K41" s="445"/>
      <c r="L41" s="445"/>
      <c r="M41" s="445"/>
      <c r="N41" s="155">
        <v>255</v>
      </c>
      <c r="O41" s="155"/>
      <c r="P41" s="155"/>
      <c r="Q41" s="155"/>
      <c r="R41" s="156" t="e">
        <f t="shared" si="0"/>
        <v>#DIV/0!</v>
      </c>
      <c r="S41" s="156">
        <f t="shared" si="1"/>
        <v>0</v>
      </c>
      <c r="T41" s="156">
        <f t="shared" si="2"/>
        <v>0</v>
      </c>
      <c r="U41" s="156">
        <f t="shared" si="3"/>
        <v>0</v>
      </c>
      <c r="V41" s="157">
        <f>IF(N41="nio",0,IF(N41&gt;0,VLOOKUP(G41,'3-Productie normen'!A:N,VLOOKUP(N41,'3-Productie normen'!R:S,2,FALSE),FALSE)))</f>
        <v>0</v>
      </c>
      <c r="W41" s="157">
        <f t="shared" si="4"/>
        <v>0</v>
      </c>
      <c r="X41" s="157">
        <f t="shared" si="5"/>
        <v>0</v>
      </c>
      <c r="Y41" s="157">
        <f t="shared" si="6"/>
        <v>0</v>
      </c>
      <c r="Z41" s="158" t="str">
        <f>VLOOKUP(G41,'3-Productie normen'!A:N,10,FALSE)</f>
        <v>V</v>
      </c>
      <c r="AA41" s="158"/>
      <c r="AC41" s="118">
        <f t="shared" si="7"/>
        <v>1020</v>
      </c>
    </row>
    <row r="42" spans="1:29" ht="14.1" customHeight="1">
      <c r="A42" s="135">
        <v>42</v>
      </c>
      <c r="B42" s="152" t="s">
        <v>230</v>
      </c>
      <c r="C42" s="152" t="s">
        <v>231</v>
      </c>
      <c r="D42" s="121" t="s">
        <v>233</v>
      </c>
      <c r="E42" s="153">
        <v>32</v>
      </c>
      <c r="F42" s="115" t="s">
        <v>244</v>
      </c>
      <c r="G42" s="152" t="s">
        <v>267</v>
      </c>
      <c r="H42" s="115" t="s">
        <v>430</v>
      </c>
      <c r="I42" s="164">
        <v>8</v>
      </c>
      <c r="J42" s="445">
        <v>1</v>
      </c>
      <c r="K42" s="445"/>
      <c r="L42" s="445"/>
      <c r="M42" s="445"/>
      <c r="N42" s="155" t="s">
        <v>268</v>
      </c>
      <c r="O42" s="155"/>
      <c r="P42" s="155"/>
      <c r="Q42" s="155"/>
      <c r="R42" s="156">
        <f t="shared" si="0"/>
        <v>0</v>
      </c>
      <c r="S42" s="156">
        <f t="shared" si="1"/>
        <v>0</v>
      </c>
      <c r="T42" s="156">
        <f t="shared" si="2"/>
        <v>0</v>
      </c>
      <c r="U42" s="156">
        <f t="shared" si="3"/>
        <v>0</v>
      </c>
      <c r="V42" s="157">
        <f>IF(N42="nio",0,IF(N42&gt;0,VLOOKUP(G42,'3-Productie normen'!A:N,VLOOKUP(N42,'3-Productie normen'!R:S,2,FALSE),FALSE)))</f>
        <v>0</v>
      </c>
      <c r="W42" s="157">
        <f t="shared" si="4"/>
        <v>0</v>
      </c>
      <c r="X42" s="157">
        <f t="shared" si="5"/>
        <v>0</v>
      </c>
      <c r="Y42" s="157">
        <f t="shared" si="6"/>
        <v>0</v>
      </c>
      <c r="Z42" s="158">
        <f>VLOOKUP(G42,'3-Productie normen'!A:N,10,FALSE)</f>
        <v>0</v>
      </c>
      <c r="AA42" s="158"/>
      <c r="AC42" s="118">
        <f t="shared" si="7"/>
        <v>0</v>
      </c>
    </row>
    <row r="43" spans="1:29" ht="14.1" customHeight="1">
      <c r="A43" s="135">
        <v>43</v>
      </c>
      <c r="B43" s="152" t="s">
        <v>230</v>
      </c>
      <c r="C43" s="152" t="s">
        <v>231</v>
      </c>
      <c r="D43" s="121" t="s">
        <v>233</v>
      </c>
      <c r="E43" s="153">
        <v>33</v>
      </c>
      <c r="F43" s="115" t="s">
        <v>244</v>
      </c>
      <c r="G43" s="152" t="s">
        <v>267</v>
      </c>
      <c r="H43" s="115" t="s">
        <v>430</v>
      </c>
      <c r="I43" s="164">
        <v>332</v>
      </c>
      <c r="J43" s="445">
        <v>1</v>
      </c>
      <c r="K43" s="445"/>
      <c r="L43" s="445"/>
      <c r="M43" s="445"/>
      <c r="N43" s="155" t="s">
        <v>268</v>
      </c>
      <c r="O43" s="155"/>
      <c r="P43" s="155"/>
      <c r="Q43" s="155"/>
      <c r="R43" s="156">
        <f t="shared" si="0"/>
        <v>0</v>
      </c>
      <c r="S43" s="156">
        <f t="shared" si="1"/>
        <v>0</v>
      </c>
      <c r="T43" s="156">
        <f t="shared" si="2"/>
        <v>0</v>
      </c>
      <c r="U43" s="156">
        <f t="shared" si="3"/>
        <v>0</v>
      </c>
      <c r="V43" s="157">
        <f>IF(N43="nio",0,IF(N43&gt;0,VLOOKUP(G43,'3-Productie normen'!A:N,VLOOKUP(N43,'3-Productie normen'!R:S,2,FALSE),FALSE)))</f>
        <v>0</v>
      </c>
      <c r="W43" s="157">
        <f t="shared" si="4"/>
        <v>0</v>
      </c>
      <c r="X43" s="157">
        <f t="shared" si="5"/>
        <v>0</v>
      </c>
      <c r="Y43" s="157">
        <f t="shared" si="6"/>
        <v>0</v>
      </c>
      <c r="Z43" s="158">
        <f>VLOOKUP(G43,'3-Productie normen'!A:N,10,FALSE)</f>
        <v>0</v>
      </c>
      <c r="AA43" s="158"/>
      <c r="AC43" s="118">
        <f t="shared" si="7"/>
        <v>0</v>
      </c>
    </row>
    <row r="44" spans="1:29" ht="14.1" customHeight="1">
      <c r="A44" s="135">
        <v>44</v>
      </c>
      <c r="B44" s="152" t="s">
        <v>230</v>
      </c>
      <c r="C44" s="152" t="s">
        <v>231</v>
      </c>
      <c r="D44" s="121" t="s">
        <v>233</v>
      </c>
      <c r="E44" s="153">
        <v>34</v>
      </c>
      <c r="F44" s="115" t="s">
        <v>245</v>
      </c>
      <c r="G44" s="115" t="s">
        <v>202</v>
      </c>
      <c r="H44" s="115" t="s">
        <v>430</v>
      </c>
      <c r="I44" s="164">
        <v>35</v>
      </c>
      <c r="J44" s="445">
        <v>1</v>
      </c>
      <c r="K44" s="445"/>
      <c r="L44" s="445"/>
      <c r="M44" s="445"/>
      <c r="N44" s="155">
        <v>255</v>
      </c>
      <c r="O44" s="155"/>
      <c r="P44" s="155"/>
      <c r="Q44" s="155"/>
      <c r="R44" s="156" t="e">
        <f t="shared" si="0"/>
        <v>#DIV/0!</v>
      </c>
      <c r="S44" s="156">
        <f t="shared" si="1"/>
        <v>0</v>
      </c>
      <c r="T44" s="156">
        <f t="shared" si="2"/>
        <v>0</v>
      </c>
      <c r="U44" s="156">
        <f t="shared" si="3"/>
        <v>0</v>
      </c>
      <c r="V44" s="157">
        <f>IF(N44="nio",0,IF(N44&gt;0,VLOOKUP(G44,'3-Productie normen'!A:N,VLOOKUP(N44,'3-Productie normen'!R:S,2,FALSE),FALSE)))</f>
        <v>0</v>
      </c>
      <c r="W44" s="157">
        <f t="shared" si="4"/>
        <v>0</v>
      </c>
      <c r="X44" s="157">
        <f t="shared" si="5"/>
        <v>0</v>
      </c>
      <c r="Y44" s="157">
        <f t="shared" si="6"/>
        <v>0</v>
      </c>
      <c r="Z44" s="158" t="str">
        <f>VLOOKUP(G44,'3-Productie normen'!A:N,10,FALSE)</f>
        <v>B</v>
      </c>
      <c r="AA44" s="158"/>
      <c r="AC44" s="118">
        <f t="shared" si="7"/>
        <v>8925</v>
      </c>
    </row>
    <row r="45" spans="1:29" ht="14.1" customHeight="1">
      <c r="A45" s="135">
        <v>45</v>
      </c>
      <c r="B45" s="152" t="s">
        <v>230</v>
      </c>
      <c r="C45" s="152" t="s">
        <v>231</v>
      </c>
      <c r="D45" s="121" t="s">
        <v>233</v>
      </c>
      <c r="E45" s="153">
        <v>35</v>
      </c>
      <c r="F45" s="152" t="s">
        <v>242</v>
      </c>
      <c r="G45" s="115" t="s">
        <v>266</v>
      </c>
      <c r="H45" s="115" t="s">
        <v>429</v>
      </c>
      <c r="I45" s="154">
        <v>11</v>
      </c>
      <c r="J45" s="445">
        <v>1</v>
      </c>
      <c r="K45" s="445"/>
      <c r="L45" s="445"/>
      <c r="M45" s="445"/>
      <c r="N45" s="155">
        <v>255</v>
      </c>
      <c r="O45" s="155"/>
      <c r="P45" s="155"/>
      <c r="Q45" s="155"/>
      <c r="R45" s="156" t="e">
        <f t="shared" si="0"/>
        <v>#DIV/0!</v>
      </c>
      <c r="S45" s="156">
        <f t="shared" si="1"/>
        <v>0</v>
      </c>
      <c r="T45" s="156">
        <f t="shared" si="2"/>
        <v>0</v>
      </c>
      <c r="U45" s="156">
        <f t="shared" si="3"/>
        <v>0</v>
      </c>
      <c r="V45" s="157">
        <f>IF(N45="nio",0,IF(N45&gt;0,VLOOKUP(G45,'3-Productie normen'!A:N,VLOOKUP(N45,'3-Productie normen'!R:S,2,FALSE),FALSE)))</f>
        <v>0</v>
      </c>
      <c r="W45" s="157">
        <f t="shared" si="4"/>
        <v>0</v>
      </c>
      <c r="X45" s="157">
        <f t="shared" si="5"/>
        <v>0</v>
      </c>
      <c r="Y45" s="157">
        <f t="shared" si="6"/>
        <v>0</v>
      </c>
      <c r="Z45" s="158" t="str">
        <f>VLOOKUP(G45,'3-Productie normen'!A:N,10,FALSE)</f>
        <v>B</v>
      </c>
      <c r="AA45" s="158"/>
      <c r="AC45" s="118">
        <f t="shared" si="7"/>
        <v>2805</v>
      </c>
    </row>
    <row r="46" spans="1:29" ht="14.1" customHeight="1">
      <c r="A46" s="135">
        <v>46</v>
      </c>
      <c r="B46" s="152" t="s">
        <v>230</v>
      </c>
      <c r="C46" s="152" t="s">
        <v>231</v>
      </c>
      <c r="D46" s="121" t="s">
        <v>233</v>
      </c>
      <c r="E46" s="153">
        <v>36</v>
      </c>
      <c r="F46" s="152" t="s">
        <v>244</v>
      </c>
      <c r="G46" s="152" t="s">
        <v>267</v>
      </c>
      <c r="H46" s="115" t="s">
        <v>430</v>
      </c>
      <c r="I46" s="154">
        <v>13</v>
      </c>
      <c r="J46" s="445">
        <v>1</v>
      </c>
      <c r="K46" s="445"/>
      <c r="L46" s="445"/>
      <c r="M46" s="445"/>
      <c r="N46" s="155" t="s">
        <v>268</v>
      </c>
      <c r="O46" s="155"/>
      <c r="P46" s="155"/>
      <c r="Q46" s="155"/>
      <c r="R46" s="156">
        <f t="shared" si="0"/>
        <v>0</v>
      </c>
      <c r="S46" s="156">
        <f t="shared" si="1"/>
        <v>0</v>
      </c>
      <c r="T46" s="156">
        <f t="shared" si="2"/>
        <v>0</v>
      </c>
      <c r="U46" s="156">
        <f t="shared" si="3"/>
        <v>0</v>
      </c>
      <c r="V46" s="157">
        <f>IF(N46="nio",0,IF(N46&gt;0,VLOOKUP(G46,'3-Productie normen'!A:N,VLOOKUP(N46,'3-Productie normen'!R:S,2,FALSE),FALSE)))</f>
        <v>0</v>
      </c>
      <c r="W46" s="157">
        <f t="shared" si="4"/>
        <v>0</v>
      </c>
      <c r="X46" s="157">
        <f t="shared" si="5"/>
        <v>0</v>
      </c>
      <c r="Y46" s="157">
        <f t="shared" si="6"/>
        <v>0</v>
      </c>
      <c r="Z46" s="158">
        <f>VLOOKUP(G46,'3-Productie normen'!A:N,10,FALSE)</f>
        <v>0</v>
      </c>
      <c r="AA46" s="158"/>
      <c r="AC46" s="118">
        <f t="shared" si="7"/>
        <v>0</v>
      </c>
    </row>
    <row r="47" spans="1:29" ht="14.1" customHeight="1">
      <c r="A47" s="135">
        <v>47</v>
      </c>
      <c r="B47" s="152" t="s">
        <v>230</v>
      </c>
      <c r="C47" s="152" t="s">
        <v>231</v>
      </c>
      <c r="D47" s="121" t="s">
        <v>233</v>
      </c>
      <c r="E47" s="153">
        <v>37</v>
      </c>
      <c r="F47" s="152" t="s">
        <v>244</v>
      </c>
      <c r="G47" s="152" t="s">
        <v>267</v>
      </c>
      <c r="H47" s="115" t="s">
        <v>430</v>
      </c>
      <c r="I47" s="154">
        <v>3</v>
      </c>
      <c r="J47" s="445">
        <v>1</v>
      </c>
      <c r="K47" s="445"/>
      <c r="L47" s="445"/>
      <c r="M47" s="445"/>
      <c r="N47" s="155" t="s">
        <v>268</v>
      </c>
      <c r="O47" s="155"/>
      <c r="P47" s="155"/>
      <c r="Q47" s="155"/>
      <c r="R47" s="156">
        <f t="shared" si="0"/>
        <v>0</v>
      </c>
      <c r="S47" s="156">
        <f t="shared" si="1"/>
        <v>0</v>
      </c>
      <c r="T47" s="156">
        <f t="shared" si="2"/>
        <v>0</v>
      </c>
      <c r="U47" s="156">
        <f t="shared" si="3"/>
        <v>0</v>
      </c>
      <c r="V47" s="157">
        <f>IF(N47="nio",0,IF(N47&gt;0,VLOOKUP(G47,'3-Productie normen'!A:N,VLOOKUP(N47,'3-Productie normen'!R:S,2,FALSE),FALSE)))</f>
        <v>0</v>
      </c>
      <c r="W47" s="157">
        <f t="shared" si="4"/>
        <v>0</v>
      </c>
      <c r="X47" s="157">
        <f t="shared" si="5"/>
        <v>0</v>
      </c>
      <c r="Y47" s="157">
        <f t="shared" si="6"/>
        <v>0</v>
      </c>
      <c r="Z47" s="158">
        <f>VLOOKUP(G47,'3-Productie normen'!A:N,10,FALSE)</f>
        <v>0</v>
      </c>
      <c r="AA47" s="158"/>
      <c r="AC47" s="118">
        <f t="shared" si="7"/>
        <v>0</v>
      </c>
    </row>
    <row r="48" spans="1:29" ht="14.1" customHeight="1">
      <c r="A48" s="135">
        <v>48</v>
      </c>
      <c r="B48" s="152" t="s">
        <v>230</v>
      </c>
      <c r="C48" s="152" t="s">
        <v>231</v>
      </c>
      <c r="D48" s="121" t="s">
        <v>246</v>
      </c>
      <c r="E48" s="153">
        <v>38</v>
      </c>
      <c r="F48" s="115" t="s">
        <v>242</v>
      </c>
      <c r="G48" s="115" t="s">
        <v>266</v>
      </c>
      <c r="H48" s="115" t="s">
        <v>429</v>
      </c>
      <c r="I48" s="154">
        <v>10</v>
      </c>
      <c r="J48" s="445">
        <v>1</v>
      </c>
      <c r="K48" s="445"/>
      <c r="L48" s="445"/>
      <c r="M48" s="445"/>
      <c r="N48" s="155">
        <v>255</v>
      </c>
      <c r="O48" s="155"/>
      <c r="P48" s="155"/>
      <c r="Q48" s="155"/>
      <c r="R48" s="156" t="e">
        <f t="shared" si="0"/>
        <v>#DIV/0!</v>
      </c>
      <c r="S48" s="156">
        <f t="shared" si="1"/>
        <v>0</v>
      </c>
      <c r="T48" s="156">
        <f t="shared" si="2"/>
        <v>0</v>
      </c>
      <c r="U48" s="156">
        <f t="shared" si="3"/>
        <v>0</v>
      </c>
      <c r="V48" s="157">
        <f>IF(N48="nio",0,IF(N48&gt;0,VLOOKUP(G48,'3-Productie normen'!A:N,VLOOKUP(N48,'3-Productie normen'!R:S,2,FALSE),FALSE)))</f>
        <v>0</v>
      </c>
      <c r="W48" s="157">
        <f t="shared" si="4"/>
        <v>0</v>
      </c>
      <c r="X48" s="157">
        <f t="shared" si="5"/>
        <v>0</v>
      </c>
      <c r="Y48" s="157">
        <f t="shared" si="6"/>
        <v>0</v>
      </c>
      <c r="Z48" s="158" t="str">
        <f>VLOOKUP(G48,'3-Productie normen'!A:N,10,FALSE)</f>
        <v>B</v>
      </c>
      <c r="AA48" s="158"/>
      <c r="AC48" s="118">
        <f t="shared" si="7"/>
        <v>2550</v>
      </c>
    </row>
    <row r="49" spans="1:29" ht="14.1" customHeight="1">
      <c r="A49" s="135">
        <v>49</v>
      </c>
      <c r="B49" s="152" t="s">
        <v>230</v>
      </c>
      <c r="C49" s="152" t="s">
        <v>231</v>
      </c>
      <c r="D49" s="121" t="s">
        <v>233</v>
      </c>
      <c r="E49" s="153">
        <v>39</v>
      </c>
      <c r="F49" s="115" t="s">
        <v>247</v>
      </c>
      <c r="G49" s="115" t="s">
        <v>269</v>
      </c>
      <c r="H49" s="115" t="s">
        <v>430</v>
      </c>
      <c r="I49" s="154">
        <v>16</v>
      </c>
      <c r="J49" s="445">
        <v>1</v>
      </c>
      <c r="K49" s="445"/>
      <c r="L49" s="445"/>
      <c r="M49" s="445"/>
      <c r="N49" s="155">
        <v>255</v>
      </c>
      <c r="O49" s="155"/>
      <c r="P49" s="155"/>
      <c r="Q49" s="155"/>
      <c r="R49" s="156" t="e">
        <f t="shared" si="0"/>
        <v>#DIV/0!</v>
      </c>
      <c r="S49" s="156">
        <f t="shared" si="1"/>
        <v>0</v>
      </c>
      <c r="T49" s="156">
        <f t="shared" si="2"/>
        <v>0</v>
      </c>
      <c r="U49" s="156">
        <f t="shared" si="3"/>
        <v>0</v>
      </c>
      <c r="V49" s="157">
        <f>IF(N49="nio",0,IF(N49&gt;0,VLOOKUP(G49,'3-Productie normen'!A:N,VLOOKUP(N49,'3-Productie normen'!R:S,2,FALSE),FALSE)))</f>
        <v>0</v>
      </c>
      <c r="W49" s="157">
        <f t="shared" si="4"/>
        <v>0</v>
      </c>
      <c r="X49" s="157">
        <f t="shared" si="5"/>
        <v>0</v>
      </c>
      <c r="Y49" s="157">
        <f t="shared" si="6"/>
        <v>0</v>
      </c>
      <c r="Z49" s="158" t="str">
        <f>VLOOKUP(G49,'3-Productie normen'!A:N,10,FALSE)</f>
        <v>V</v>
      </c>
      <c r="AA49" s="158"/>
      <c r="AC49" s="118">
        <f t="shared" si="7"/>
        <v>4080</v>
      </c>
    </row>
    <row r="50" spans="1:29" ht="14.1" customHeight="1">
      <c r="A50" s="135">
        <v>50</v>
      </c>
      <c r="B50" s="152" t="s">
        <v>230</v>
      </c>
      <c r="C50" s="152" t="s">
        <v>231</v>
      </c>
      <c r="D50" s="121" t="s">
        <v>233</v>
      </c>
      <c r="E50" s="153">
        <v>40</v>
      </c>
      <c r="F50" s="115" t="s">
        <v>238</v>
      </c>
      <c r="G50" s="115" t="s">
        <v>17</v>
      </c>
      <c r="H50" s="115" t="s">
        <v>430</v>
      </c>
      <c r="I50" s="154">
        <v>4</v>
      </c>
      <c r="J50" s="445">
        <v>1</v>
      </c>
      <c r="K50" s="445"/>
      <c r="L50" s="445"/>
      <c r="M50" s="445"/>
      <c r="N50" s="155">
        <v>255</v>
      </c>
      <c r="O50" s="155"/>
      <c r="P50" s="155"/>
      <c r="Q50" s="155"/>
      <c r="R50" s="156" t="e">
        <f t="shared" si="0"/>
        <v>#DIV/0!</v>
      </c>
      <c r="S50" s="156">
        <f t="shared" si="1"/>
        <v>0</v>
      </c>
      <c r="T50" s="156">
        <f t="shared" si="2"/>
        <v>0</v>
      </c>
      <c r="U50" s="156">
        <f t="shared" si="3"/>
        <v>0</v>
      </c>
      <c r="V50" s="157">
        <f>IF(N50="nio",0,IF(N50&gt;0,VLOOKUP(G50,'3-Productie normen'!A:N,VLOOKUP(N50,'3-Productie normen'!R:S,2,FALSE),FALSE)))</f>
        <v>0</v>
      </c>
      <c r="W50" s="157">
        <f t="shared" si="4"/>
        <v>0</v>
      </c>
      <c r="X50" s="157">
        <f t="shared" si="5"/>
        <v>0</v>
      </c>
      <c r="Y50" s="157">
        <f t="shared" si="6"/>
        <v>0</v>
      </c>
      <c r="Z50" s="158" t="str">
        <f>VLOOKUP(G50,'3-Productie normen'!A:N,10,FALSE)</f>
        <v>S</v>
      </c>
      <c r="AA50" s="158"/>
      <c r="AC50" s="118">
        <f t="shared" si="7"/>
        <v>1020</v>
      </c>
    </row>
    <row r="51" spans="1:29" ht="14.1" customHeight="1">
      <c r="A51" s="135">
        <v>51</v>
      </c>
      <c r="B51" s="152" t="s">
        <v>230</v>
      </c>
      <c r="C51" s="152" t="s">
        <v>231</v>
      </c>
      <c r="D51" s="121" t="s">
        <v>233</v>
      </c>
      <c r="E51" s="153">
        <v>41</v>
      </c>
      <c r="F51" s="115" t="s">
        <v>238</v>
      </c>
      <c r="G51" s="115" t="s">
        <v>17</v>
      </c>
      <c r="H51" s="115" t="s">
        <v>430</v>
      </c>
      <c r="I51" s="154">
        <v>4</v>
      </c>
      <c r="J51" s="445">
        <v>1</v>
      </c>
      <c r="K51" s="445"/>
      <c r="L51" s="445"/>
      <c r="M51" s="445"/>
      <c r="N51" s="155">
        <v>255</v>
      </c>
      <c r="O51" s="155"/>
      <c r="P51" s="155"/>
      <c r="Q51" s="155"/>
      <c r="R51" s="156" t="e">
        <f t="shared" si="0"/>
        <v>#DIV/0!</v>
      </c>
      <c r="S51" s="156">
        <f t="shared" si="1"/>
        <v>0</v>
      </c>
      <c r="T51" s="156">
        <f t="shared" si="2"/>
        <v>0</v>
      </c>
      <c r="U51" s="156">
        <f t="shared" si="3"/>
        <v>0</v>
      </c>
      <c r="V51" s="157">
        <f>IF(N51="nio",0,IF(N51&gt;0,VLOOKUP(G51,'3-Productie normen'!A:N,VLOOKUP(N51,'3-Productie normen'!R:S,2,FALSE),FALSE)))</f>
        <v>0</v>
      </c>
      <c r="W51" s="157">
        <f t="shared" si="4"/>
        <v>0</v>
      </c>
      <c r="X51" s="157">
        <f t="shared" si="5"/>
        <v>0</v>
      </c>
      <c r="Y51" s="157">
        <f t="shared" si="6"/>
        <v>0</v>
      </c>
      <c r="Z51" s="158" t="str">
        <f>VLOOKUP(G51,'3-Productie normen'!A:N,10,FALSE)</f>
        <v>S</v>
      </c>
      <c r="AA51" s="158"/>
      <c r="AC51" s="118">
        <f t="shared" si="7"/>
        <v>1020</v>
      </c>
    </row>
    <row r="52" spans="1:29" ht="14.1" customHeight="1">
      <c r="A52" s="135">
        <v>52</v>
      </c>
      <c r="B52" s="152" t="s">
        <v>230</v>
      </c>
      <c r="C52" s="152" t="s">
        <v>231</v>
      </c>
      <c r="D52" s="121" t="s">
        <v>233</v>
      </c>
      <c r="E52" s="153">
        <v>42</v>
      </c>
      <c r="F52" s="160" t="s">
        <v>236</v>
      </c>
      <c r="G52" s="152" t="s">
        <v>267</v>
      </c>
      <c r="H52" s="115" t="s">
        <v>430</v>
      </c>
      <c r="I52" s="154">
        <v>10</v>
      </c>
      <c r="J52" s="445">
        <v>1</v>
      </c>
      <c r="K52" s="445"/>
      <c r="L52" s="445"/>
      <c r="M52" s="445"/>
      <c r="N52" s="155" t="s">
        <v>268</v>
      </c>
      <c r="O52" s="155"/>
      <c r="P52" s="155"/>
      <c r="Q52" s="155"/>
      <c r="R52" s="156">
        <f t="shared" si="0"/>
        <v>0</v>
      </c>
      <c r="S52" s="156">
        <f t="shared" si="1"/>
        <v>0</v>
      </c>
      <c r="T52" s="156">
        <f t="shared" si="2"/>
        <v>0</v>
      </c>
      <c r="U52" s="156">
        <f t="shared" si="3"/>
        <v>0</v>
      </c>
      <c r="V52" s="157">
        <f>IF(N52="nio",0,IF(N52&gt;0,VLOOKUP(G52,'3-Productie normen'!A:N,VLOOKUP(N52,'3-Productie normen'!R:S,2,FALSE),FALSE)))</f>
        <v>0</v>
      </c>
      <c r="W52" s="157">
        <f t="shared" si="4"/>
        <v>0</v>
      </c>
      <c r="X52" s="157">
        <f t="shared" si="5"/>
        <v>0</v>
      </c>
      <c r="Y52" s="157">
        <f t="shared" si="6"/>
        <v>0</v>
      </c>
      <c r="Z52" s="158">
        <f>VLOOKUP(G52,'3-Productie normen'!A:N,10,FALSE)</f>
        <v>0</v>
      </c>
      <c r="AA52" s="158"/>
      <c r="AC52" s="118">
        <f t="shared" si="7"/>
        <v>0</v>
      </c>
    </row>
    <row r="53" spans="1:29" ht="14.1" customHeight="1">
      <c r="A53" s="135">
        <v>53</v>
      </c>
      <c r="B53" s="152" t="s">
        <v>230</v>
      </c>
      <c r="C53" s="152" t="s">
        <v>231</v>
      </c>
      <c r="D53" s="121" t="s">
        <v>233</v>
      </c>
      <c r="E53" s="153">
        <v>43</v>
      </c>
      <c r="F53" s="115" t="s">
        <v>244</v>
      </c>
      <c r="G53" s="152" t="s">
        <v>267</v>
      </c>
      <c r="H53" s="115" t="s">
        <v>430</v>
      </c>
      <c r="I53" s="154">
        <v>2</v>
      </c>
      <c r="J53" s="445">
        <v>1</v>
      </c>
      <c r="K53" s="445"/>
      <c r="L53" s="445"/>
      <c r="M53" s="445"/>
      <c r="N53" s="155" t="s">
        <v>268</v>
      </c>
      <c r="O53" s="155"/>
      <c r="P53" s="155"/>
      <c r="Q53" s="155"/>
      <c r="R53" s="156">
        <f t="shared" si="0"/>
        <v>0</v>
      </c>
      <c r="S53" s="156">
        <f t="shared" si="1"/>
        <v>0</v>
      </c>
      <c r="T53" s="156">
        <f t="shared" si="2"/>
        <v>0</v>
      </c>
      <c r="U53" s="156">
        <f t="shared" si="3"/>
        <v>0</v>
      </c>
      <c r="V53" s="157">
        <f>IF(N53="nio",0,IF(N53&gt;0,VLOOKUP(G53,'3-Productie normen'!A:N,VLOOKUP(N53,'3-Productie normen'!R:S,2,FALSE),FALSE)))</f>
        <v>0</v>
      </c>
      <c r="W53" s="157">
        <f t="shared" si="4"/>
        <v>0</v>
      </c>
      <c r="X53" s="157">
        <f t="shared" si="5"/>
        <v>0</v>
      </c>
      <c r="Y53" s="157">
        <f t="shared" si="6"/>
        <v>0</v>
      </c>
      <c r="Z53" s="158">
        <f>VLOOKUP(G53,'3-Productie normen'!A:N,10,FALSE)</f>
        <v>0</v>
      </c>
      <c r="AA53" s="158"/>
      <c r="AC53" s="118">
        <f t="shared" si="7"/>
        <v>0</v>
      </c>
    </row>
    <row r="54" spans="1:29" ht="14.1" customHeight="1">
      <c r="A54" s="135">
        <v>54</v>
      </c>
      <c r="B54" s="152" t="s">
        <v>230</v>
      </c>
      <c r="C54" s="152" t="s">
        <v>231</v>
      </c>
      <c r="D54" s="165" t="s">
        <v>233</v>
      </c>
      <c r="E54" s="162">
        <v>47</v>
      </c>
      <c r="F54" s="163" t="s">
        <v>248</v>
      </c>
      <c r="G54" s="152" t="s">
        <v>267</v>
      </c>
      <c r="H54" s="115" t="s">
        <v>430</v>
      </c>
      <c r="I54" s="154">
        <v>10</v>
      </c>
      <c r="J54" s="445">
        <v>1</v>
      </c>
      <c r="K54" s="445"/>
      <c r="L54" s="445"/>
      <c r="M54" s="445"/>
      <c r="N54" s="155" t="s">
        <v>268</v>
      </c>
      <c r="O54" s="155"/>
      <c r="P54" s="155"/>
      <c r="Q54" s="155"/>
      <c r="R54" s="156">
        <f t="shared" si="0"/>
        <v>0</v>
      </c>
      <c r="S54" s="156">
        <f t="shared" si="1"/>
        <v>0</v>
      </c>
      <c r="T54" s="156">
        <f t="shared" si="2"/>
        <v>0</v>
      </c>
      <c r="U54" s="156">
        <f t="shared" si="3"/>
        <v>0</v>
      </c>
      <c r="V54" s="157">
        <f>IF(N54="nio",0,IF(N54&gt;0,VLOOKUP(G54,'3-Productie normen'!A:N,VLOOKUP(N54,'3-Productie normen'!R:S,2,FALSE),FALSE)))</f>
        <v>0</v>
      </c>
      <c r="W54" s="157">
        <f t="shared" si="4"/>
        <v>0</v>
      </c>
      <c r="X54" s="157">
        <f t="shared" si="5"/>
        <v>0</v>
      </c>
      <c r="Y54" s="157">
        <f t="shared" si="6"/>
        <v>0</v>
      </c>
      <c r="Z54" s="158">
        <f>VLOOKUP(G54,'3-Productie normen'!A:N,10,FALSE)</f>
        <v>0</v>
      </c>
      <c r="AA54" s="158"/>
      <c r="AC54" s="118">
        <f t="shared" si="7"/>
        <v>0</v>
      </c>
    </row>
    <row r="55" spans="1:29" ht="14.1" customHeight="1">
      <c r="A55" s="135">
        <v>55</v>
      </c>
      <c r="B55" s="152" t="s">
        <v>230</v>
      </c>
      <c r="C55" s="152" t="s">
        <v>231</v>
      </c>
      <c r="D55" s="121" t="s">
        <v>233</v>
      </c>
      <c r="E55" s="153">
        <v>50</v>
      </c>
      <c r="F55" s="115" t="s">
        <v>237</v>
      </c>
      <c r="G55" s="115" t="s">
        <v>270</v>
      </c>
      <c r="H55" s="115" t="s">
        <v>428</v>
      </c>
      <c r="I55" s="154">
        <v>1</v>
      </c>
      <c r="J55" s="445">
        <v>1</v>
      </c>
      <c r="K55" s="445"/>
      <c r="L55" s="445"/>
      <c r="M55" s="445"/>
      <c r="N55" s="155">
        <v>255</v>
      </c>
      <c r="O55" s="155"/>
      <c r="P55" s="155"/>
      <c r="Q55" s="155"/>
      <c r="R55" s="156" t="e">
        <f t="shared" si="0"/>
        <v>#DIV/0!</v>
      </c>
      <c r="S55" s="156">
        <f t="shared" si="1"/>
        <v>0</v>
      </c>
      <c r="T55" s="156">
        <f t="shared" si="2"/>
        <v>0</v>
      </c>
      <c r="U55" s="156">
        <f t="shared" si="3"/>
        <v>0</v>
      </c>
      <c r="V55" s="157">
        <f>IF(N55="nio",0,IF(N55&gt;0,VLOOKUP(G55,'3-Productie normen'!A:N,VLOOKUP(N55,'3-Productie normen'!R:S,2,FALSE),FALSE)))</f>
        <v>0</v>
      </c>
      <c r="W55" s="157">
        <f t="shared" si="4"/>
        <v>0</v>
      </c>
      <c r="X55" s="157">
        <f t="shared" si="5"/>
        <v>0</v>
      </c>
      <c r="Y55" s="157">
        <f t="shared" si="6"/>
        <v>0</v>
      </c>
      <c r="Z55" s="158" t="str">
        <f>VLOOKUP(G55,'3-Productie normen'!A:N,10,FALSE)</f>
        <v>V</v>
      </c>
      <c r="AA55" s="158"/>
      <c r="AC55" s="118">
        <f t="shared" si="7"/>
        <v>255</v>
      </c>
    </row>
    <row r="56" spans="1:29" ht="14.1" customHeight="1">
      <c r="A56" s="135">
        <v>56</v>
      </c>
      <c r="B56" s="152" t="s">
        <v>230</v>
      </c>
      <c r="C56" s="152" t="s">
        <v>231</v>
      </c>
      <c r="D56" s="121" t="s">
        <v>233</v>
      </c>
      <c r="E56" s="153">
        <v>51</v>
      </c>
      <c r="F56" s="115" t="s">
        <v>249</v>
      </c>
      <c r="G56" s="115" t="s">
        <v>266</v>
      </c>
      <c r="H56" s="115" t="s">
        <v>430</v>
      </c>
      <c r="I56" s="154">
        <v>15</v>
      </c>
      <c r="J56" s="445">
        <v>1</v>
      </c>
      <c r="K56" s="445"/>
      <c r="L56" s="445"/>
      <c r="M56" s="445"/>
      <c r="N56" s="155">
        <v>255</v>
      </c>
      <c r="O56" s="155"/>
      <c r="P56" s="155"/>
      <c r="Q56" s="155"/>
      <c r="R56" s="156" t="e">
        <f t="shared" si="0"/>
        <v>#DIV/0!</v>
      </c>
      <c r="S56" s="156">
        <f t="shared" si="1"/>
        <v>0</v>
      </c>
      <c r="T56" s="156">
        <f t="shared" si="2"/>
        <v>0</v>
      </c>
      <c r="U56" s="156">
        <f t="shared" si="3"/>
        <v>0</v>
      </c>
      <c r="V56" s="157">
        <f>IF(N56="nio",0,IF(N56&gt;0,VLOOKUP(G56,'3-Productie normen'!A:N,VLOOKUP(N56,'3-Productie normen'!R:S,2,FALSE),FALSE)))</f>
        <v>0</v>
      </c>
      <c r="W56" s="157">
        <f t="shared" si="4"/>
        <v>0</v>
      </c>
      <c r="X56" s="157">
        <f t="shared" si="5"/>
        <v>0</v>
      </c>
      <c r="Y56" s="157">
        <f t="shared" si="6"/>
        <v>0</v>
      </c>
      <c r="Z56" s="158" t="str">
        <f>VLOOKUP(G56,'3-Productie normen'!A:N,10,FALSE)</f>
        <v>B</v>
      </c>
      <c r="AA56" s="158"/>
      <c r="AC56" s="118">
        <f t="shared" si="7"/>
        <v>3825</v>
      </c>
    </row>
    <row r="57" spans="1:29" ht="14.1" customHeight="1">
      <c r="A57" s="135">
        <v>57</v>
      </c>
      <c r="B57" s="152" t="s">
        <v>230</v>
      </c>
      <c r="C57" s="152" t="s">
        <v>231</v>
      </c>
      <c r="D57" s="121" t="s">
        <v>233</v>
      </c>
      <c r="E57" s="153">
        <v>52</v>
      </c>
      <c r="F57" s="115" t="s">
        <v>244</v>
      </c>
      <c r="G57" s="152" t="s">
        <v>267</v>
      </c>
      <c r="H57" s="115" t="s">
        <v>430</v>
      </c>
      <c r="I57" s="154">
        <v>1</v>
      </c>
      <c r="J57" s="445">
        <v>1</v>
      </c>
      <c r="K57" s="445"/>
      <c r="L57" s="445"/>
      <c r="M57" s="445"/>
      <c r="N57" s="155" t="s">
        <v>268</v>
      </c>
      <c r="O57" s="155"/>
      <c r="P57" s="155"/>
      <c r="Q57" s="155"/>
      <c r="R57" s="156">
        <f t="shared" si="0"/>
        <v>0</v>
      </c>
      <c r="S57" s="156">
        <f t="shared" si="1"/>
        <v>0</v>
      </c>
      <c r="T57" s="156">
        <f t="shared" si="2"/>
        <v>0</v>
      </c>
      <c r="U57" s="156">
        <f t="shared" si="3"/>
        <v>0</v>
      </c>
      <c r="V57" s="157">
        <f>IF(N57="nio",0,IF(N57&gt;0,VLOOKUP(G57,'3-Productie normen'!A:N,VLOOKUP(N57,'3-Productie normen'!R:S,2,FALSE),FALSE)))</f>
        <v>0</v>
      </c>
      <c r="W57" s="157">
        <f t="shared" si="4"/>
        <v>0</v>
      </c>
      <c r="X57" s="157">
        <f t="shared" si="5"/>
        <v>0</v>
      </c>
      <c r="Y57" s="157">
        <f t="shared" si="6"/>
        <v>0</v>
      </c>
      <c r="Z57" s="158">
        <f>VLOOKUP(G57,'3-Productie normen'!A:N,10,FALSE)</f>
        <v>0</v>
      </c>
      <c r="AA57" s="158"/>
      <c r="AC57" s="118">
        <f t="shared" si="7"/>
        <v>0</v>
      </c>
    </row>
    <row r="58" spans="1:29" ht="14.1" customHeight="1">
      <c r="A58" s="135">
        <v>58</v>
      </c>
      <c r="B58" s="152" t="s">
        <v>230</v>
      </c>
      <c r="C58" s="152" t="s">
        <v>231</v>
      </c>
      <c r="D58" s="121" t="s">
        <v>233</v>
      </c>
      <c r="E58" s="153">
        <v>53</v>
      </c>
      <c r="F58" s="115" t="s">
        <v>241</v>
      </c>
      <c r="G58" s="152" t="s">
        <v>267</v>
      </c>
      <c r="H58" s="115" t="s">
        <v>430</v>
      </c>
      <c r="I58" s="154">
        <v>10</v>
      </c>
      <c r="J58" s="445">
        <v>1</v>
      </c>
      <c r="K58" s="445"/>
      <c r="L58" s="445"/>
      <c r="M58" s="445"/>
      <c r="N58" s="155" t="s">
        <v>268</v>
      </c>
      <c r="O58" s="155"/>
      <c r="P58" s="155"/>
      <c r="Q58" s="155"/>
      <c r="R58" s="156">
        <f t="shared" si="0"/>
        <v>0</v>
      </c>
      <c r="S58" s="156">
        <f t="shared" si="1"/>
        <v>0</v>
      </c>
      <c r="T58" s="156">
        <f t="shared" si="2"/>
        <v>0</v>
      </c>
      <c r="U58" s="156">
        <f t="shared" si="3"/>
        <v>0</v>
      </c>
      <c r="V58" s="157">
        <f>IF(N58="nio",0,IF(N58&gt;0,VLOOKUP(G58,'3-Productie normen'!A:N,VLOOKUP(N58,'3-Productie normen'!R:S,2,FALSE),FALSE)))</f>
        <v>0</v>
      </c>
      <c r="W58" s="157">
        <f t="shared" si="4"/>
        <v>0</v>
      </c>
      <c r="X58" s="157">
        <f t="shared" si="5"/>
        <v>0</v>
      </c>
      <c r="Y58" s="157">
        <f t="shared" si="6"/>
        <v>0</v>
      </c>
      <c r="Z58" s="158">
        <f>VLOOKUP(G58,'3-Productie normen'!A:N,10,FALSE)</f>
        <v>0</v>
      </c>
      <c r="AA58" s="158"/>
      <c r="AC58" s="118">
        <f t="shared" si="7"/>
        <v>0</v>
      </c>
    </row>
    <row r="59" spans="1:29" ht="14.1" customHeight="1">
      <c r="A59" s="135">
        <v>59</v>
      </c>
      <c r="B59" s="152" t="s">
        <v>230</v>
      </c>
      <c r="C59" s="152" t="s">
        <v>231</v>
      </c>
      <c r="D59" s="121" t="s">
        <v>233</v>
      </c>
      <c r="E59" s="153">
        <v>54</v>
      </c>
      <c r="F59" s="115" t="s">
        <v>241</v>
      </c>
      <c r="G59" s="152" t="s">
        <v>267</v>
      </c>
      <c r="H59" s="115" t="s">
        <v>430</v>
      </c>
      <c r="I59" s="154">
        <v>3</v>
      </c>
      <c r="J59" s="445">
        <v>1</v>
      </c>
      <c r="K59" s="445"/>
      <c r="L59" s="445"/>
      <c r="M59" s="445"/>
      <c r="N59" s="155" t="s">
        <v>268</v>
      </c>
      <c r="O59" s="155"/>
      <c r="P59" s="155"/>
      <c r="Q59" s="155"/>
      <c r="R59" s="156">
        <f t="shared" si="0"/>
        <v>0</v>
      </c>
      <c r="S59" s="156">
        <f t="shared" si="1"/>
        <v>0</v>
      </c>
      <c r="T59" s="156">
        <f t="shared" si="2"/>
        <v>0</v>
      </c>
      <c r="U59" s="156">
        <f t="shared" si="3"/>
        <v>0</v>
      </c>
      <c r="V59" s="157">
        <f>IF(N59="nio",0,IF(N59&gt;0,VLOOKUP(G59,'3-Productie normen'!A:N,VLOOKUP(N59,'3-Productie normen'!R:S,2,FALSE),FALSE)))</f>
        <v>0</v>
      </c>
      <c r="W59" s="157">
        <f t="shared" si="4"/>
        <v>0</v>
      </c>
      <c r="X59" s="157">
        <f t="shared" si="5"/>
        <v>0</v>
      </c>
      <c r="Y59" s="157">
        <f t="shared" si="6"/>
        <v>0</v>
      </c>
      <c r="Z59" s="158">
        <f>VLOOKUP(G59,'3-Productie normen'!A:N,10,FALSE)</f>
        <v>0</v>
      </c>
      <c r="AA59" s="158"/>
      <c r="AC59" s="118">
        <f t="shared" si="7"/>
        <v>0</v>
      </c>
    </row>
    <row r="60" spans="1:29" ht="14.1" customHeight="1">
      <c r="A60" s="135">
        <v>60</v>
      </c>
      <c r="B60" s="152" t="s">
        <v>230</v>
      </c>
      <c r="C60" s="152" t="s">
        <v>231</v>
      </c>
      <c r="D60" s="121" t="s">
        <v>233</v>
      </c>
      <c r="E60" s="153">
        <v>56</v>
      </c>
      <c r="F60" s="115" t="s">
        <v>241</v>
      </c>
      <c r="G60" s="152" t="s">
        <v>267</v>
      </c>
      <c r="H60" s="115" t="s">
        <v>430</v>
      </c>
      <c r="I60" s="154">
        <v>8</v>
      </c>
      <c r="J60" s="445">
        <v>1</v>
      </c>
      <c r="K60" s="445"/>
      <c r="L60" s="445"/>
      <c r="M60" s="445"/>
      <c r="N60" s="155" t="s">
        <v>268</v>
      </c>
      <c r="O60" s="155"/>
      <c r="P60" s="155"/>
      <c r="Q60" s="155"/>
      <c r="R60" s="156">
        <f t="shared" si="0"/>
        <v>0</v>
      </c>
      <c r="S60" s="156">
        <f t="shared" si="1"/>
        <v>0</v>
      </c>
      <c r="T60" s="156">
        <f t="shared" si="2"/>
        <v>0</v>
      </c>
      <c r="U60" s="156">
        <f t="shared" si="3"/>
        <v>0</v>
      </c>
      <c r="V60" s="157">
        <f>IF(N60="nio",0,IF(N60&gt;0,VLOOKUP(G60,'3-Productie normen'!A:N,VLOOKUP(N60,'3-Productie normen'!R:S,2,FALSE),FALSE)))</f>
        <v>0</v>
      </c>
      <c r="W60" s="157">
        <f t="shared" si="4"/>
        <v>0</v>
      </c>
      <c r="X60" s="157">
        <f t="shared" si="5"/>
        <v>0</v>
      </c>
      <c r="Y60" s="157">
        <f t="shared" si="6"/>
        <v>0</v>
      </c>
      <c r="Z60" s="158">
        <f>VLOOKUP(G60,'3-Productie normen'!A:N,10,FALSE)</f>
        <v>0</v>
      </c>
      <c r="AA60" s="158"/>
      <c r="AC60" s="118">
        <f t="shared" si="7"/>
        <v>0</v>
      </c>
    </row>
    <row r="61" spans="1:29" ht="14.1" customHeight="1">
      <c r="A61" s="135">
        <v>61</v>
      </c>
      <c r="B61" s="152" t="s">
        <v>230</v>
      </c>
      <c r="C61" s="152" t="s">
        <v>231</v>
      </c>
      <c r="D61" s="121" t="s">
        <v>233</v>
      </c>
      <c r="E61" s="153">
        <v>57</v>
      </c>
      <c r="F61" s="115" t="s">
        <v>244</v>
      </c>
      <c r="G61" s="152" t="s">
        <v>267</v>
      </c>
      <c r="H61" s="115" t="s">
        <v>430</v>
      </c>
      <c r="I61" s="154">
        <v>8</v>
      </c>
      <c r="J61" s="445">
        <v>1</v>
      </c>
      <c r="K61" s="445"/>
      <c r="L61" s="445"/>
      <c r="M61" s="445"/>
      <c r="N61" s="155" t="s">
        <v>268</v>
      </c>
      <c r="O61" s="155"/>
      <c r="P61" s="155"/>
      <c r="Q61" s="155"/>
      <c r="R61" s="156">
        <f t="shared" si="0"/>
        <v>0</v>
      </c>
      <c r="S61" s="156">
        <f t="shared" si="1"/>
        <v>0</v>
      </c>
      <c r="T61" s="156">
        <f t="shared" si="2"/>
        <v>0</v>
      </c>
      <c r="U61" s="156">
        <f t="shared" si="3"/>
        <v>0</v>
      </c>
      <c r="V61" s="157">
        <f>IF(N61="nio",0,IF(N61&gt;0,VLOOKUP(G61,'3-Productie normen'!A:N,VLOOKUP(N61,'3-Productie normen'!R:S,2,FALSE),FALSE)))</f>
        <v>0</v>
      </c>
      <c r="W61" s="157">
        <f t="shared" si="4"/>
        <v>0</v>
      </c>
      <c r="X61" s="157">
        <f t="shared" si="5"/>
        <v>0</v>
      </c>
      <c r="Y61" s="157">
        <f t="shared" si="6"/>
        <v>0</v>
      </c>
      <c r="Z61" s="158">
        <f>VLOOKUP(G61,'3-Productie normen'!A:N,10,FALSE)</f>
        <v>0</v>
      </c>
      <c r="AA61" s="158"/>
      <c r="AC61" s="118">
        <f t="shared" si="7"/>
        <v>0</v>
      </c>
    </row>
    <row r="62" spans="1:29" ht="14.1" customHeight="1">
      <c r="A62" s="135">
        <v>62</v>
      </c>
      <c r="B62" s="152" t="s">
        <v>230</v>
      </c>
      <c r="C62" s="152" t="s">
        <v>231</v>
      </c>
      <c r="D62" s="121" t="s">
        <v>233</v>
      </c>
      <c r="E62" s="153">
        <v>58</v>
      </c>
      <c r="F62" s="115" t="s">
        <v>244</v>
      </c>
      <c r="G62" s="152" t="s">
        <v>267</v>
      </c>
      <c r="H62" s="115" t="s">
        <v>430</v>
      </c>
      <c r="I62" s="154">
        <v>10</v>
      </c>
      <c r="J62" s="445">
        <v>1</v>
      </c>
      <c r="K62" s="445"/>
      <c r="L62" s="445"/>
      <c r="M62" s="445"/>
      <c r="N62" s="155" t="s">
        <v>268</v>
      </c>
      <c r="O62" s="155"/>
      <c r="P62" s="155"/>
      <c r="Q62" s="155"/>
      <c r="R62" s="156">
        <f t="shared" si="0"/>
        <v>0</v>
      </c>
      <c r="S62" s="156">
        <f t="shared" si="1"/>
        <v>0</v>
      </c>
      <c r="T62" s="156">
        <f t="shared" si="2"/>
        <v>0</v>
      </c>
      <c r="U62" s="156">
        <f t="shared" si="3"/>
        <v>0</v>
      </c>
      <c r="V62" s="157">
        <f>IF(N62="nio",0,IF(N62&gt;0,VLOOKUP(G62,'3-Productie normen'!A:N,VLOOKUP(N62,'3-Productie normen'!R:S,2,FALSE),FALSE)))</f>
        <v>0</v>
      </c>
      <c r="W62" s="157">
        <f t="shared" si="4"/>
        <v>0</v>
      </c>
      <c r="X62" s="157">
        <f t="shared" si="5"/>
        <v>0</v>
      </c>
      <c r="Y62" s="157">
        <f t="shared" si="6"/>
        <v>0</v>
      </c>
      <c r="Z62" s="158">
        <f>VLOOKUP(G62,'3-Productie normen'!A:N,10,FALSE)</f>
        <v>0</v>
      </c>
      <c r="AA62" s="158"/>
      <c r="AC62" s="118">
        <f t="shared" si="7"/>
        <v>0</v>
      </c>
    </row>
    <row r="63" spans="1:29" ht="14.1" customHeight="1">
      <c r="A63" s="135">
        <v>63</v>
      </c>
      <c r="B63" s="152" t="s">
        <v>230</v>
      </c>
      <c r="C63" s="152" t="s">
        <v>231</v>
      </c>
      <c r="D63" s="121" t="s">
        <v>233</v>
      </c>
      <c r="E63" s="153">
        <v>59</v>
      </c>
      <c r="F63" s="115" t="s">
        <v>244</v>
      </c>
      <c r="G63" s="152" t="s">
        <v>267</v>
      </c>
      <c r="H63" s="115" t="s">
        <v>430</v>
      </c>
      <c r="I63" s="154">
        <v>15</v>
      </c>
      <c r="J63" s="445">
        <v>1</v>
      </c>
      <c r="K63" s="445"/>
      <c r="L63" s="445"/>
      <c r="M63" s="445"/>
      <c r="N63" s="155" t="s">
        <v>268</v>
      </c>
      <c r="O63" s="155"/>
      <c r="P63" s="155"/>
      <c r="Q63" s="155"/>
      <c r="R63" s="156">
        <f t="shared" si="0"/>
        <v>0</v>
      </c>
      <c r="S63" s="156">
        <f t="shared" si="1"/>
        <v>0</v>
      </c>
      <c r="T63" s="156">
        <f t="shared" si="2"/>
        <v>0</v>
      </c>
      <c r="U63" s="156">
        <f t="shared" si="3"/>
        <v>0</v>
      </c>
      <c r="V63" s="157">
        <f>IF(N63="nio",0,IF(N63&gt;0,VLOOKUP(G63,'3-Productie normen'!A:N,VLOOKUP(N63,'3-Productie normen'!R:S,2,FALSE),FALSE)))</f>
        <v>0</v>
      </c>
      <c r="W63" s="157">
        <f t="shared" si="4"/>
        <v>0</v>
      </c>
      <c r="X63" s="157">
        <f t="shared" si="5"/>
        <v>0</v>
      </c>
      <c r="Y63" s="157">
        <f t="shared" si="6"/>
        <v>0</v>
      </c>
      <c r="Z63" s="158">
        <f>VLOOKUP(G63,'3-Productie normen'!A:N,10,FALSE)</f>
        <v>0</v>
      </c>
      <c r="AA63" s="158"/>
      <c r="AC63" s="118">
        <f t="shared" si="7"/>
        <v>0</v>
      </c>
    </row>
    <row r="64" spans="1:29" ht="14.1" customHeight="1">
      <c r="A64" s="135">
        <v>64</v>
      </c>
      <c r="B64" s="152" t="s">
        <v>230</v>
      </c>
      <c r="C64" s="152" t="s">
        <v>231</v>
      </c>
      <c r="D64" s="121" t="s">
        <v>233</v>
      </c>
      <c r="E64" s="153">
        <v>60</v>
      </c>
      <c r="F64" s="115" t="s">
        <v>244</v>
      </c>
      <c r="G64" s="152" t="s">
        <v>267</v>
      </c>
      <c r="H64" s="115" t="s">
        <v>430</v>
      </c>
      <c r="I64" s="154">
        <v>11</v>
      </c>
      <c r="J64" s="445">
        <v>1</v>
      </c>
      <c r="K64" s="445"/>
      <c r="L64" s="445"/>
      <c r="M64" s="445"/>
      <c r="N64" s="155" t="s">
        <v>268</v>
      </c>
      <c r="O64" s="155"/>
      <c r="P64" s="155"/>
      <c r="Q64" s="155"/>
      <c r="R64" s="156">
        <f t="shared" si="0"/>
        <v>0</v>
      </c>
      <c r="S64" s="156">
        <f t="shared" si="1"/>
        <v>0</v>
      </c>
      <c r="T64" s="156">
        <f t="shared" si="2"/>
        <v>0</v>
      </c>
      <c r="U64" s="156">
        <f t="shared" si="3"/>
        <v>0</v>
      </c>
      <c r="V64" s="157">
        <f>IF(N64="nio",0,IF(N64&gt;0,VLOOKUP(G64,'3-Productie normen'!A:N,VLOOKUP(N64,'3-Productie normen'!R:S,2,FALSE),FALSE)))</f>
        <v>0</v>
      </c>
      <c r="W64" s="157">
        <f t="shared" si="4"/>
        <v>0</v>
      </c>
      <c r="X64" s="157">
        <f t="shared" si="5"/>
        <v>0</v>
      </c>
      <c r="Y64" s="157">
        <f t="shared" si="6"/>
        <v>0</v>
      </c>
      <c r="Z64" s="158">
        <f>VLOOKUP(G64,'3-Productie normen'!A:N,10,FALSE)</f>
        <v>0</v>
      </c>
      <c r="AA64" s="158"/>
      <c r="AC64" s="118">
        <f t="shared" si="7"/>
        <v>0</v>
      </c>
    </row>
    <row r="65" spans="1:29" ht="14.1" customHeight="1">
      <c r="A65" s="135">
        <v>65</v>
      </c>
      <c r="B65" s="152" t="s">
        <v>230</v>
      </c>
      <c r="C65" s="152" t="s">
        <v>231</v>
      </c>
      <c r="D65" s="121" t="s">
        <v>233</v>
      </c>
      <c r="E65" s="153">
        <v>61</v>
      </c>
      <c r="F65" s="115" t="s">
        <v>244</v>
      </c>
      <c r="G65" s="152" t="s">
        <v>267</v>
      </c>
      <c r="H65" s="115" t="s">
        <v>430</v>
      </c>
      <c r="I65" s="154">
        <v>4</v>
      </c>
      <c r="J65" s="445">
        <v>1</v>
      </c>
      <c r="K65" s="445"/>
      <c r="L65" s="445"/>
      <c r="M65" s="445"/>
      <c r="N65" s="155" t="s">
        <v>268</v>
      </c>
      <c r="O65" s="155"/>
      <c r="P65" s="155"/>
      <c r="Q65" s="155"/>
      <c r="R65" s="156">
        <f t="shared" si="0"/>
        <v>0</v>
      </c>
      <c r="S65" s="156">
        <f t="shared" si="1"/>
        <v>0</v>
      </c>
      <c r="T65" s="156">
        <f t="shared" si="2"/>
        <v>0</v>
      </c>
      <c r="U65" s="156">
        <f t="shared" si="3"/>
        <v>0</v>
      </c>
      <c r="V65" s="157">
        <f>IF(N65="nio",0,IF(N65&gt;0,VLOOKUP(G65,'3-Productie normen'!A:N,VLOOKUP(N65,'3-Productie normen'!R:S,2,FALSE),FALSE)))</f>
        <v>0</v>
      </c>
      <c r="W65" s="157">
        <f t="shared" si="4"/>
        <v>0</v>
      </c>
      <c r="X65" s="157">
        <f t="shared" si="5"/>
        <v>0</v>
      </c>
      <c r="Y65" s="157">
        <f t="shared" si="6"/>
        <v>0</v>
      </c>
      <c r="Z65" s="158">
        <f>VLOOKUP(G65,'3-Productie normen'!A:N,10,FALSE)</f>
        <v>0</v>
      </c>
      <c r="AA65" s="158"/>
      <c r="AC65" s="118">
        <f t="shared" si="7"/>
        <v>0</v>
      </c>
    </row>
    <row r="66" spans="1:29" ht="14.1" customHeight="1">
      <c r="A66" s="135">
        <v>66</v>
      </c>
      <c r="B66" s="152" t="s">
        <v>230</v>
      </c>
      <c r="C66" s="152" t="s">
        <v>231</v>
      </c>
      <c r="D66" s="121" t="s">
        <v>233</v>
      </c>
      <c r="E66" s="153">
        <v>62</v>
      </c>
      <c r="F66" s="115" t="s">
        <v>244</v>
      </c>
      <c r="G66" s="152" t="s">
        <v>267</v>
      </c>
      <c r="H66" s="115" t="s">
        <v>430</v>
      </c>
      <c r="I66" s="154">
        <v>4</v>
      </c>
      <c r="J66" s="445">
        <v>1</v>
      </c>
      <c r="K66" s="445"/>
      <c r="L66" s="445"/>
      <c r="M66" s="445"/>
      <c r="N66" s="155" t="s">
        <v>268</v>
      </c>
      <c r="O66" s="155"/>
      <c r="P66" s="155"/>
      <c r="Q66" s="155"/>
      <c r="R66" s="156">
        <f t="shared" si="0"/>
        <v>0</v>
      </c>
      <c r="S66" s="156">
        <f t="shared" si="1"/>
        <v>0</v>
      </c>
      <c r="T66" s="156">
        <f t="shared" si="2"/>
        <v>0</v>
      </c>
      <c r="U66" s="156">
        <f t="shared" si="3"/>
        <v>0</v>
      </c>
      <c r="V66" s="157">
        <f>IF(N66="nio",0,IF(N66&gt;0,VLOOKUP(G66,'3-Productie normen'!A:N,VLOOKUP(N66,'3-Productie normen'!R:S,2,FALSE),FALSE)))</f>
        <v>0</v>
      </c>
      <c r="W66" s="157">
        <f t="shared" si="4"/>
        <v>0</v>
      </c>
      <c r="X66" s="157">
        <f t="shared" si="5"/>
        <v>0</v>
      </c>
      <c r="Y66" s="157">
        <f t="shared" si="6"/>
        <v>0</v>
      </c>
      <c r="Z66" s="158">
        <f>VLOOKUP(G66,'3-Productie normen'!A:N,10,FALSE)</f>
        <v>0</v>
      </c>
      <c r="AA66" s="158"/>
      <c r="AC66" s="118">
        <f t="shared" si="7"/>
        <v>0</v>
      </c>
    </row>
    <row r="67" spans="1:29" ht="14.1" customHeight="1">
      <c r="A67" s="135">
        <v>67</v>
      </c>
      <c r="B67" s="152" t="s">
        <v>230</v>
      </c>
      <c r="C67" s="152" t="s">
        <v>231</v>
      </c>
      <c r="D67" s="121" t="s">
        <v>233</v>
      </c>
      <c r="E67" s="153">
        <v>63</v>
      </c>
      <c r="F67" s="115" t="s">
        <v>244</v>
      </c>
      <c r="G67" s="152" t="s">
        <v>267</v>
      </c>
      <c r="H67" s="115" t="s">
        <v>430</v>
      </c>
      <c r="I67" s="154">
        <v>7</v>
      </c>
      <c r="J67" s="445">
        <v>1</v>
      </c>
      <c r="K67" s="445"/>
      <c r="L67" s="445"/>
      <c r="M67" s="445"/>
      <c r="N67" s="155" t="s">
        <v>268</v>
      </c>
      <c r="O67" s="155"/>
      <c r="P67" s="155"/>
      <c r="Q67" s="155"/>
      <c r="R67" s="156">
        <f t="shared" si="0"/>
        <v>0</v>
      </c>
      <c r="S67" s="156">
        <f t="shared" si="1"/>
        <v>0</v>
      </c>
      <c r="T67" s="156">
        <f t="shared" si="2"/>
        <v>0</v>
      </c>
      <c r="U67" s="156">
        <f t="shared" si="3"/>
        <v>0</v>
      </c>
      <c r="V67" s="157">
        <f>IF(N67="nio",0,IF(N67&gt;0,VLOOKUP(G67,'3-Productie normen'!A:N,VLOOKUP(N67,'3-Productie normen'!R:S,2,FALSE),FALSE)))</f>
        <v>0</v>
      </c>
      <c r="W67" s="157">
        <f t="shared" si="4"/>
        <v>0</v>
      </c>
      <c r="X67" s="157">
        <f t="shared" si="5"/>
        <v>0</v>
      </c>
      <c r="Y67" s="157">
        <f t="shared" si="6"/>
        <v>0</v>
      </c>
      <c r="Z67" s="158">
        <f>VLOOKUP(G67,'3-Productie normen'!A:N,10,FALSE)</f>
        <v>0</v>
      </c>
      <c r="AA67" s="158"/>
      <c r="AC67" s="118">
        <f t="shared" si="7"/>
        <v>0</v>
      </c>
    </row>
    <row r="68" spans="1:29" ht="14.1" customHeight="1">
      <c r="A68" s="135">
        <v>68</v>
      </c>
      <c r="B68" s="152" t="s">
        <v>230</v>
      </c>
      <c r="C68" s="152" t="s">
        <v>231</v>
      </c>
      <c r="D68" s="121" t="s">
        <v>233</v>
      </c>
      <c r="E68" s="153">
        <v>64</v>
      </c>
      <c r="F68" s="115" t="s">
        <v>244</v>
      </c>
      <c r="G68" s="152" t="s">
        <v>267</v>
      </c>
      <c r="H68" s="115" t="s">
        <v>430</v>
      </c>
      <c r="I68" s="154">
        <v>16</v>
      </c>
      <c r="J68" s="445">
        <v>1</v>
      </c>
      <c r="K68" s="445"/>
      <c r="L68" s="445"/>
      <c r="M68" s="445"/>
      <c r="N68" s="155" t="s">
        <v>268</v>
      </c>
      <c r="O68" s="155"/>
      <c r="P68" s="155"/>
      <c r="Q68" s="155"/>
      <c r="R68" s="156">
        <f t="shared" si="0"/>
        <v>0</v>
      </c>
      <c r="S68" s="156">
        <f t="shared" si="1"/>
        <v>0</v>
      </c>
      <c r="T68" s="156">
        <f t="shared" si="2"/>
        <v>0</v>
      </c>
      <c r="U68" s="156">
        <f t="shared" si="3"/>
        <v>0</v>
      </c>
      <c r="V68" s="157">
        <f>IF(N68="nio",0,IF(N68&gt;0,VLOOKUP(G68,'3-Productie normen'!A:N,VLOOKUP(N68,'3-Productie normen'!R:S,2,FALSE),FALSE)))</f>
        <v>0</v>
      </c>
      <c r="W68" s="157">
        <f t="shared" si="4"/>
        <v>0</v>
      </c>
      <c r="X68" s="157">
        <f t="shared" si="5"/>
        <v>0</v>
      </c>
      <c r="Y68" s="157">
        <f t="shared" si="6"/>
        <v>0</v>
      </c>
      <c r="Z68" s="158">
        <f>VLOOKUP(G68,'3-Productie normen'!A:N,10,FALSE)</f>
        <v>0</v>
      </c>
      <c r="AA68" s="158"/>
      <c r="AC68" s="118">
        <f t="shared" si="7"/>
        <v>0</v>
      </c>
    </row>
    <row r="69" spans="1:29" ht="14.1" customHeight="1">
      <c r="A69" s="135">
        <v>69</v>
      </c>
      <c r="B69" s="152" t="s">
        <v>230</v>
      </c>
      <c r="C69" s="152" t="s">
        <v>231</v>
      </c>
      <c r="D69" s="121" t="s">
        <v>233</v>
      </c>
      <c r="E69" s="153">
        <v>65</v>
      </c>
      <c r="F69" s="115" t="s">
        <v>244</v>
      </c>
      <c r="G69" s="152" t="s">
        <v>267</v>
      </c>
      <c r="H69" s="115" t="s">
        <v>430</v>
      </c>
      <c r="I69" s="154">
        <v>11</v>
      </c>
      <c r="J69" s="445">
        <v>1</v>
      </c>
      <c r="K69" s="445"/>
      <c r="L69" s="445"/>
      <c r="M69" s="445"/>
      <c r="N69" s="155" t="s">
        <v>268</v>
      </c>
      <c r="O69" s="155"/>
      <c r="P69" s="155"/>
      <c r="Q69" s="155"/>
      <c r="R69" s="156">
        <f t="shared" si="0"/>
        <v>0</v>
      </c>
      <c r="S69" s="156">
        <f t="shared" si="1"/>
        <v>0</v>
      </c>
      <c r="T69" s="156">
        <f t="shared" si="2"/>
        <v>0</v>
      </c>
      <c r="U69" s="156">
        <f t="shared" si="3"/>
        <v>0</v>
      </c>
      <c r="V69" s="157">
        <f>IF(N69="nio",0,IF(N69&gt;0,VLOOKUP(G69,'3-Productie normen'!A:N,VLOOKUP(N69,'3-Productie normen'!R:S,2,FALSE),FALSE)))</f>
        <v>0</v>
      </c>
      <c r="W69" s="157">
        <f t="shared" si="4"/>
        <v>0</v>
      </c>
      <c r="X69" s="157">
        <f t="shared" si="5"/>
        <v>0</v>
      </c>
      <c r="Y69" s="157">
        <f t="shared" si="6"/>
        <v>0</v>
      </c>
      <c r="Z69" s="158">
        <f>VLOOKUP(G69,'3-Productie normen'!A:N,10,FALSE)</f>
        <v>0</v>
      </c>
      <c r="AA69" s="158"/>
      <c r="AC69" s="118">
        <f t="shared" si="7"/>
        <v>0</v>
      </c>
    </row>
    <row r="70" spans="1:29" ht="14.1" customHeight="1">
      <c r="A70" s="135">
        <v>70</v>
      </c>
      <c r="B70" s="152" t="s">
        <v>230</v>
      </c>
      <c r="C70" s="152" t="s">
        <v>231</v>
      </c>
      <c r="D70" s="121" t="s">
        <v>233</v>
      </c>
      <c r="E70" s="153">
        <v>66</v>
      </c>
      <c r="F70" s="115" t="s">
        <v>244</v>
      </c>
      <c r="G70" s="152" t="s">
        <v>267</v>
      </c>
      <c r="H70" s="115" t="s">
        <v>430</v>
      </c>
      <c r="I70" s="154">
        <v>36</v>
      </c>
      <c r="J70" s="445">
        <v>1</v>
      </c>
      <c r="K70" s="445"/>
      <c r="L70" s="445"/>
      <c r="M70" s="445"/>
      <c r="N70" s="155" t="s">
        <v>268</v>
      </c>
      <c r="O70" s="155"/>
      <c r="P70" s="155"/>
      <c r="Q70" s="155"/>
      <c r="R70" s="156">
        <f t="shared" si="0"/>
        <v>0</v>
      </c>
      <c r="S70" s="156">
        <f t="shared" si="1"/>
        <v>0</v>
      </c>
      <c r="T70" s="156">
        <f t="shared" si="2"/>
        <v>0</v>
      </c>
      <c r="U70" s="156">
        <f t="shared" si="3"/>
        <v>0</v>
      </c>
      <c r="V70" s="157">
        <f>IF(N70="nio",0,IF(N70&gt;0,VLOOKUP(G70,'3-Productie normen'!A:N,VLOOKUP(N70,'3-Productie normen'!R:S,2,FALSE),FALSE)))</f>
        <v>0</v>
      </c>
      <c r="W70" s="157">
        <f t="shared" si="4"/>
        <v>0</v>
      </c>
      <c r="X70" s="157">
        <f t="shared" si="5"/>
        <v>0</v>
      </c>
      <c r="Y70" s="157">
        <f t="shared" si="6"/>
        <v>0</v>
      </c>
      <c r="Z70" s="158">
        <f>VLOOKUP(G70,'3-Productie normen'!A:N,10,FALSE)</f>
        <v>0</v>
      </c>
      <c r="AA70" s="158"/>
      <c r="AC70" s="118">
        <f t="shared" si="7"/>
        <v>0</v>
      </c>
    </row>
    <row r="71" spans="1:29" ht="14.1" customHeight="1">
      <c r="A71" s="135">
        <v>71</v>
      </c>
      <c r="B71" s="152" t="s">
        <v>230</v>
      </c>
      <c r="C71" s="152" t="s">
        <v>231</v>
      </c>
      <c r="D71" s="121" t="s">
        <v>233</v>
      </c>
      <c r="E71" s="153">
        <v>67</v>
      </c>
      <c r="F71" s="115" t="s">
        <v>244</v>
      </c>
      <c r="G71" s="152" t="s">
        <v>267</v>
      </c>
      <c r="H71" s="115" t="s">
        <v>430</v>
      </c>
      <c r="I71" s="154">
        <v>14</v>
      </c>
      <c r="J71" s="445">
        <v>1</v>
      </c>
      <c r="K71" s="445"/>
      <c r="L71" s="445"/>
      <c r="M71" s="445"/>
      <c r="N71" s="155" t="s">
        <v>268</v>
      </c>
      <c r="O71" s="155"/>
      <c r="P71" s="155"/>
      <c r="Q71" s="155"/>
      <c r="R71" s="156">
        <f t="shared" si="0"/>
        <v>0</v>
      </c>
      <c r="S71" s="156">
        <f t="shared" si="1"/>
        <v>0</v>
      </c>
      <c r="T71" s="156">
        <f t="shared" si="2"/>
        <v>0</v>
      </c>
      <c r="U71" s="156">
        <f t="shared" si="3"/>
        <v>0</v>
      </c>
      <c r="V71" s="157">
        <f>IF(N71="nio",0,IF(N71&gt;0,VLOOKUP(G71,'3-Productie normen'!A:N,VLOOKUP(N71,'3-Productie normen'!R:S,2,FALSE),FALSE)))</f>
        <v>0</v>
      </c>
      <c r="W71" s="157">
        <f t="shared" si="4"/>
        <v>0</v>
      </c>
      <c r="X71" s="157">
        <f t="shared" si="5"/>
        <v>0</v>
      </c>
      <c r="Y71" s="157">
        <f t="shared" si="6"/>
        <v>0</v>
      </c>
      <c r="Z71" s="158">
        <f>VLOOKUP(G71,'3-Productie normen'!A:N,10,FALSE)</f>
        <v>0</v>
      </c>
      <c r="AA71" s="158"/>
      <c r="AC71" s="118">
        <f t="shared" si="7"/>
        <v>0</v>
      </c>
    </row>
    <row r="72" spans="1:29" ht="14.1" customHeight="1">
      <c r="A72" s="135">
        <v>72</v>
      </c>
      <c r="B72" s="152" t="s">
        <v>230</v>
      </c>
      <c r="C72" s="152" t="s">
        <v>231</v>
      </c>
      <c r="D72" s="121" t="s">
        <v>233</v>
      </c>
      <c r="E72" s="153">
        <v>70</v>
      </c>
      <c r="F72" s="115" t="s">
        <v>236</v>
      </c>
      <c r="G72" s="152" t="s">
        <v>267</v>
      </c>
      <c r="H72" s="115" t="s">
        <v>430</v>
      </c>
      <c r="I72" s="154">
        <v>14</v>
      </c>
      <c r="J72" s="445">
        <v>1</v>
      </c>
      <c r="K72" s="445"/>
      <c r="L72" s="445"/>
      <c r="M72" s="445"/>
      <c r="N72" s="155" t="s">
        <v>268</v>
      </c>
      <c r="O72" s="155"/>
      <c r="P72" s="155"/>
      <c r="Q72" s="155"/>
      <c r="R72" s="156">
        <f t="shared" si="0"/>
        <v>0</v>
      </c>
      <c r="S72" s="156">
        <f t="shared" si="1"/>
        <v>0</v>
      </c>
      <c r="T72" s="156">
        <f t="shared" si="2"/>
        <v>0</v>
      </c>
      <c r="U72" s="156">
        <f t="shared" si="3"/>
        <v>0</v>
      </c>
      <c r="V72" s="157">
        <f>IF(N72="nio",0,IF(N72&gt;0,VLOOKUP(G72,'3-Productie normen'!A:N,VLOOKUP(N72,'3-Productie normen'!R:S,2,FALSE),FALSE)))</f>
        <v>0</v>
      </c>
      <c r="W72" s="157">
        <f t="shared" si="4"/>
        <v>0</v>
      </c>
      <c r="X72" s="157">
        <f t="shared" si="5"/>
        <v>0</v>
      </c>
      <c r="Y72" s="157">
        <f t="shared" si="6"/>
        <v>0</v>
      </c>
      <c r="Z72" s="158">
        <f>VLOOKUP(G72,'3-Productie normen'!A:N,10,FALSE)</f>
        <v>0</v>
      </c>
      <c r="AA72" s="158"/>
      <c r="AC72" s="118">
        <f t="shared" si="7"/>
        <v>0</v>
      </c>
    </row>
    <row r="73" spans="1:29" ht="14.1" customHeight="1">
      <c r="A73" s="135">
        <v>73</v>
      </c>
      <c r="B73" s="152" t="s">
        <v>230</v>
      </c>
      <c r="C73" s="152" t="s">
        <v>231</v>
      </c>
      <c r="D73" s="121" t="s">
        <v>233</v>
      </c>
      <c r="E73" s="153">
        <v>71</v>
      </c>
      <c r="F73" s="115" t="s">
        <v>236</v>
      </c>
      <c r="G73" s="152" t="s">
        <v>267</v>
      </c>
      <c r="H73" s="115" t="s">
        <v>430</v>
      </c>
      <c r="I73" s="154">
        <v>4</v>
      </c>
      <c r="J73" s="445">
        <v>1</v>
      </c>
      <c r="K73" s="445"/>
      <c r="L73" s="445"/>
      <c r="M73" s="445"/>
      <c r="N73" s="155" t="s">
        <v>268</v>
      </c>
      <c r="O73" s="155"/>
      <c r="P73" s="155"/>
      <c r="Q73" s="155"/>
      <c r="R73" s="156">
        <f t="shared" si="0"/>
        <v>0</v>
      </c>
      <c r="S73" s="156">
        <f t="shared" si="1"/>
        <v>0</v>
      </c>
      <c r="T73" s="156">
        <f t="shared" si="2"/>
        <v>0</v>
      </c>
      <c r="U73" s="156">
        <f t="shared" si="3"/>
        <v>0</v>
      </c>
      <c r="V73" s="157">
        <f>IF(N73="nio",0,IF(N73&gt;0,VLOOKUP(G73,'3-Productie normen'!A:N,VLOOKUP(N73,'3-Productie normen'!R:S,2,FALSE),FALSE)))</f>
        <v>0</v>
      </c>
      <c r="W73" s="157">
        <f t="shared" si="4"/>
        <v>0</v>
      </c>
      <c r="X73" s="157">
        <f t="shared" si="5"/>
        <v>0</v>
      </c>
      <c r="Y73" s="157">
        <f t="shared" si="6"/>
        <v>0</v>
      </c>
      <c r="Z73" s="158">
        <f>VLOOKUP(G73,'3-Productie normen'!A:N,10,FALSE)</f>
        <v>0</v>
      </c>
      <c r="AA73" s="158"/>
      <c r="AC73" s="118">
        <f t="shared" si="7"/>
        <v>0</v>
      </c>
    </row>
    <row r="74" spans="1:29" ht="14.1" customHeight="1">
      <c r="A74" s="135">
        <v>74</v>
      </c>
      <c r="B74" s="152" t="s">
        <v>230</v>
      </c>
      <c r="C74" s="152" t="s">
        <v>231</v>
      </c>
      <c r="D74" s="121" t="s">
        <v>233</v>
      </c>
      <c r="E74" s="153">
        <v>72</v>
      </c>
      <c r="F74" s="115" t="s">
        <v>236</v>
      </c>
      <c r="G74" s="152" t="s">
        <v>267</v>
      </c>
      <c r="H74" s="115" t="s">
        <v>430</v>
      </c>
      <c r="I74" s="154">
        <v>11</v>
      </c>
      <c r="J74" s="445">
        <v>1</v>
      </c>
      <c r="K74" s="445"/>
      <c r="L74" s="445"/>
      <c r="M74" s="445"/>
      <c r="N74" s="155" t="s">
        <v>268</v>
      </c>
      <c r="O74" s="155"/>
      <c r="P74" s="155"/>
      <c r="Q74" s="155"/>
      <c r="R74" s="156">
        <f t="shared" ref="R74:R95" si="8">IF(N74="nio",0,IF(N74&gt;0,N74*I74/V74,0))*J74</f>
        <v>0</v>
      </c>
      <c r="S74" s="156">
        <f t="shared" ref="S74:S95" si="9">IF(O74&gt;0,O74*I74/W74,0)*K74</f>
        <v>0</v>
      </c>
      <c r="T74" s="156">
        <f t="shared" ref="T74:T95" si="10">IF(P74&gt;0,P74*I74/X74,0)*L74</f>
        <v>0</v>
      </c>
      <c r="U74" s="156">
        <f t="shared" ref="U74:U95" si="11">IF(Q74&gt;0,Q74*I74/Y74,0)*M74</f>
        <v>0</v>
      </c>
      <c r="V74" s="157">
        <f>IF(N74="nio",0,IF(N74&gt;0,VLOOKUP(G74,'3-Productie normen'!A:N,VLOOKUP(N74,'3-Productie normen'!R:S,2,FALSE),FALSE)))</f>
        <v>0</v>
      </c>
      <c r="W74" s="157">
        <f t="shared" ref="W74:W95" si="12">IF(O74&gt;0,V74*$W$8,0)</f>
        <v>0</v>
      </c>
      <c r="X74" s="157">
        <f t="shared" ref="X74:X95" si="13">IF(P74&gt;0,V74*$X$8,0)</f>
        <v>0</v>
      </c>
      <c r="Y74" s="157">
        <f t="shared" ref="Y74:Y95" si="14">IF(Q74&gt;0,V74*$Y$8,0)</f>
        <v>0</v>
      </c>
      <c r="Z74" s="158">
        <f>VLOOKUP(G74,'3-Productie normen'!A:N,10,FALSE)</f>
        <v>0</v>
      </c>
      <c r="AA74" s="158"/>
      <c r="AC74" s="118">
        <f t="shared" ref="AC74:AC95" si="15">SUM(N74:P74)*I74</f>
        <v>0</v>
      </c>
    </row>
    <row r="75" spans="1:29" ht="14.1" customHeight="1">
      <c r="A75" s="135">
        <v>75</v>
      </c>
      <c r="B75" s="152" t="s">
        <v>230</v>
      </c>
      <c r="C75" s="152" t="s">
        <v>231</v>
      </c>
      <c r="D75" s="121" t="s">
        <v>233</v>
      </c>
      <c r="E75" s="153">
        <v>73</v>
      </c>
      <c r="F75" s="115" t="s">
        <v>236</v>
      </c>
      <c r="G75" s="152" t="s">
        <v>267</v>
      </c>
      <c r="H75" s="115" t="s">
        <v>430</v>
      </c>
      <c r="I75" s="154">
        <v>11</v>
      </c>
      <c r="J75" s="445">
        <v>1</v>
      </c>
      <c r="K75" s="445"/>
      <c r="L75" s="445"/>
      <c r="M75" s="445"/>
      <c r="N75" s="155" t="s">
        <v>268</v>
      </c>
      <c r="O75" s="155"/>
      <c r="P75" s="155"/>
      <c r="Q75" s="155"/>
      <c r="R75" s="156">
        <f t="shared" si="8"/>
        <v>0</v>
      </c>
      <c r="S75" s="156">
        <f t="shared" si="9"/>
        <v>0</v>
      </c>
      <c r="T75" s="156">
        <f t="shared" si="10"/>
        <v>0</v>
      </c>
      <c r="U75" s="156">
        <f t="shared" si="11"/>
        <v>0</v>
      </c>
      <c r="V75" s="157">
        <f>IF(N75="nio",0,IF(N75&gt;0,VLOOKUP(G75,'3-Productie normen'!A:N,VLOOKUP(N75,'3-Productie normen'!R:S,2,FALSE),FALSE)))</f>
        <v>0</v>
      </c>
      <c r="W75" s="157">
        <f t="shared" si="12"/>
        <v>0</v>
      </c>
      <c r="X75" s="157">
        <f t="shared" si="13"/>
        <v>0</v>
      </c>
      <c r="Y75" s="157">
        <f t="shared" si="14"/>
        <v>0</v>
      </c>
      <c r="Z75" s="158">
        <f>VLOOKUP(G75,'3-Productie normen'!A:N,10,FALSE)</f>
        <v>0</v>
      </c>
      <c r="AA75" s="158"/>
      <c r="AC75" s="118">
        <f t="shared" si="15"/>
        <v>0</v>
      </c>
    </row>
    <row r="76" spans="1:29" ht="14.1" customHeight="1">
      <c r="A76" s="135">
        <v>76</v>
      </c>
      <c r="B76" s="152" t="s">
        <v>230</v>
      </c>
      <c r="C76" s="152" t="s">
        <v>231</v>
      </c>
      <c r="D76" s="121" t="s">
        <v>233</v>
      </c>
      <c r="E76" s="153">
        <v>74</v>
      </c>
      <c r="F76" s="115" t="s">
        <v>236</v>
      </c>
      <c r="G76" s="152" t="s">
        <v>267</v>
      </c>
      <c r="H76" s="115" t="s">
        <v>430</v>
      </c>
      <c r="I76" s="154">
        <v>6</v>
      </c>
      <c r="J76" s="445">
        <v>1</v>
      </c>
      <c r="K76" s="445"/>
      <c r="L76" s="445"/>
      <c r="M76" s="445"/>
      <c r="N76" s="155" t="s">
        <v>268</v>
      </c>
      <c r="O76" s="155"/>
      <c r="P76" s="155"/>
      <c r="Q76" s="155"/>
      <c r="R76" s="156">
        <f t="shared" si="8"/>
        <v>0</v>
      </c>
      <c r="S76" s="156">
        <f t="shared" si="9"/>
        <v>0</v>
      </c>
      <c r="T76" s="156">
        <f t="shared" si="10"/>
        <v>0</v>
      </c>
      <c r="U76" s="156">
        <f t="shared" si="11"/>
        <v>0</v>
      </c>
      <c r="V76" s="157">
        <f>IF(N76="nio",0,IF(N76&gt;0,VLOOKUP(G76,'3-Productie normen'!A:N,VLOOKUP(N76,'3-Productie normen'!R:S,2,FALSE),FALSE)))</f>
        <v>0</v>
      </c>
      <c r="W76" s="157">
        <f t="shared" si="12"/>
        <v>0</v>
      </c>
      <c r="X76" s="157">
        <f t="shared" si="13"/>
        <v>0</v>
      </c>
      <c r="Y76" s="157">
        <f t="shared" si="14"/>
        <v>0</v>
      </c>
      <c r="Z76" s="158">
        <f>VLOOKUP(G76,'3-Productie normen'!A:N,10,FALSE)</f>
        <v>0</v>
      </c>
      <c r="AA76" s="158"/>
      <c r="AC76" s="118">
        <f t="shared" si="15"/>
        <v>0</v>
      </c>
    </row>
    <row r="77" spans="1:29" ht="14.1" customHeight="1">
      <c r="A77" s="135">
        <v>77</v>
      </c>
      <c r="B77" s="152" t="s">
        <v>230</v>
      </c>
      <c r="C77" s="152" t="s">
        <v>231</v>
      </c>
      <c r="D77" s="121" t="s">
        <v>233</v>
      </c>
      <c r="E77" s="153">
        <v>75</v>
      </c>
      <c r="F77" s="115" t="s">
        <v>236</v>
      </c>
      <c r="G77" s="152" t="s">
        <v>267</v>
      </c>
      <c r="H77" s="115" t="s">
        <v>430</v>
      </c>
      <c r="I77" s="154">
        <v>3</v>
      </c>
      <c r="J77" s="445">
        <v>1</v>
      </c>
      <c r="K77" s="445"/>
      <c r="L77" s="445"/>
      <c r="M77" s="445"/>
      <c r="N77" s="155" t="s">
        <v>268</v>
      </c>
      <c r="O77" s="155"/>
      <c r="P77" s="155"/>
      <c r="Q77" s="155"/>
      <c r="R77" s="156">
        <f t="shared" si="8"/>
        <v>0</v>
      </c>
      <c r="S77" s="156">
        <f t="shared" si="9"/>
        <v>0</v>
      </c>
      <c r="T77" s="156">
        <f t="shared" si="10"/>
        <v>0</v>
      </c>
      <c r="U77" s="156">
        <f t="shared" si="11"/>
        <v>0</v>
      </c>
      <c r="V77" s="157">
        <f>IF(N77="nio",0,IF(N77&gt;0,VLOOKUP(G77,'3-Productie normen'!A:N,VLOOKUP(N77,'3-Productie normen'!R:S,2,FALSE),FALSE)))</f>
        <v>0</v>
      </c>
      <c r="W77" s="157">
        <f t="shared" si="12"/>
        <v>0</v>
      </c>
      <c r="X77" s="157">
        <f t="shared" si="13"/>
        <v>0</v>
      </c>
      <c r="Y77" s="157">
        <f t="shared" si="14"/>
        <v>0</v>
      </c>
      <c r="Z77" s="158">
        <f>VLOOKUP(G77,'3-Productie normen'!A:N,10,FALSE)</f>
        <v>0</v>
      </c>
      <c r="AA77" s="158"/>
      <c r="AC77" s="118">
        <f t="shared" si="15"/>
        <v>0</v>
      </c>
    </row>
    <row r="78" spans="1:29" ht="14.1" customHeight="1">
      <c r="A78" s="135">
        <v>78</v>
      </c>
      <c r="B78" s="152" t="s">
        <v>230</v>
      </c>
      <c r="C78" s="152" t="s">
        <v>231</v>
      </c>
      <c r="D78" s="121" t="s">
        <v>233</v>
      </c>
      <c r="E78" s="153">
        <v>76</v>
      </c>
      <c r="F78" s="115" t="s">
        <v>236</v>
      </c>
      <c r="G78" s="152" t="s">
        <v>267</v>
      </c>
      <c r="H78" s="115" t="s">
        <v>430</v>
      </c>
      <c r="I78" s="154">
        <v>4</v>
      </c>
      <c r="J78" s="445">
        <v>1</v>
      </c>
      <c r="K78" s="445"/>
      <c r="L78" s="445"/>
      <c r="M78" s="445"/>
      <c r="N78" s="155" t="s">
        <v>268</v>
      </c>
      <c r="O78" s="155"/>
      <c r="P78" s="155"/>
      <c r="Q78" s="155"/>
      <c r="R78" s="156">
        <f t="shared" si="8"/>
        <v>0</v>
      </c>
      <c r="S78" s="156">
        <f t="shared" si="9"/>
        <v>0</v>
      </c>
      <c r="T78" s="156">
        <f t="shared" si="10"/>
        <v>0</v>
      </c>
      <c r="U78" s="156">
        <f t="shared" si="11"/>
        <v>0</v>
      </c>
      <c r="V78" s="157">
        <f>IF(N78="nio",0,IF(N78&gt;0,VLOOKUP(G78,'3-Productie normen'!A:N,VLOOKUP(N78,'3-Productie normen'!R:S,2,FALSE),FALSE)))</f>
        <v>0</v>
      </c>
      <c r="W78" s="157">
        <f t="shared" si="12"/>
        <v>0</v>
      </c>
      <c r="X78" s="157">
        <f t="shared" si="13"/>
        <v>0</v>
      </c>
      <c r="Y78" s="157">
        <f t="shared" si="14"/>
        <v>0</v>
      </c>
      <c r="Z78" s="158">
        <f>VLOOKUP(G78,'3-Productie normen'!A:N,10,FALSE)</f>
        <v>0</v>
      </c>
      <c r="AA78" s="158"/>
      <c r="AC78" s="118">
        <f t="shared" si="15"/>
        <v>0</v>
      </c>
    </row>
    <row r="79" spans="1:29" ht="14.1" customHeight="1">
      <c r="A79" s="135">
        <v>79</v>
      </c>
      <c r="B79" s="152" t="s">
        <v>230</v>
      </c>
      <c r="C79" s="152" t="s">
        <v>231</v>
      </c>
      <c r="D79" s="121" t="s">
        <v>233</v>
      </c>
      <c r="E79" s="153" t="s">
        <v>250</v>
      </c>
      <c r="F79" s="115" t="s">
        <v>251</v>
      </c>
      <c r="G79" s="152" t="s">
        <v>267</v>
      </c>
      <c r="H79" s="115" t="s">
        <v>430</v>
      </c>
      <c r="I79" s="154">
        <v>25</v>
      </c>
      <c r="J79" s="445">
        <v>1</v>
      </c>
      <c r="K79" s="445"/>
      <c r="L79" s="445"/>
      <c r="M79" s="445"/>
      <c r="N79" s="155" t="s">
        <v>268</v>
      </c>
      <c r="O79" s="155"/>
      <c r="P79" s="155"/>
      <c r="Q79" s="155"/>
      <c r="R79" s="156">
        <f t="shared" si="8"/>
        <v>0</v>
      </c>
      <c r="S79" s="156">
        <f t="shared" si="9"/>
        <v>0</v>
      </c>
      <c r="T79" s="156">
        <f t="shared" si="10"/>
        <v>0</v>
      </c>
      <c r="U79" s="156">
        <f t="shared" si="11"/>
        <v>0</v>
      </c>
      <c r="V79" s="157">
        <f>IF(N79="nio",0,IF(N79&gt;0,VLOOKUP(G79,'3-Productie normen'!A:N,VLOOKUP(N79,'3-Productie normen'!R:S,2,FALSE),FALSE)))</f>
        <v>0</v>
      </c>
      <c r="W79" s="157">
        <f t="shared" si="12"/>
        <v>0</v>
      </c>
      <c r="X79" s="157">
        <f t="shared" si="13"/>
        <v>0</v>
      </c>
      <c r="Y79" s="157">
        <f t="shared" si="14"/>
        <v>0</v>
      </c>
      <c r="Z79" s="158">
        <f>VLOOKUP(G79,'3-Productie normen'!A:N,10,FALSE)</f>
        <v>0</v>
      </c>
      <c r="AA79" s="158"/>
      <c r="AC79" s="118">
        <f t="shared" si="15"/>
        <v>0</v>
      </c>
    </row>
    <row r="80" spans="1:29" ht="14.1" customHeight="1">
      <c r="A80" s="135">
        <v>80</v>
      </c>
      <c r="B80" s="152" t="s">
        <v>230</v>
      </c>
      <c r="C80" s="152" t="s">
        <v>231</v>
      </c>
      <c r="D80" s="121" t="s">
        <v>246</v>
      </c>
      <c r="E80" s="153" t="s">
        <v>252</v>
      </c>
      <c r="F80" s="115" t="s">
        <v>242</v>
      </c>
      <c r="G80" s="115" t="s">
        <v>266</v>
      </c>
      <c r="H80" s="115" t="s">
        <v>429</v>
      </c>
      <c r="I80" s="154">
        <v>24</v>
      </c>
      <c r="J80" s="445">
        <v>1</v>
      </c>
      <c r="K80" s="445"/>
      <c r="L80" s="445"/>
      <c r="M80" s="445"/>
      <c r="N80" s="155">
        <v>255</v>
      </c>
      <c r="O80" s="155"/>
      <c r="P80" s="155"/>
      <c r="Q80" s="155"/>
      <c r="R80" s="156" t="e">
        <f t="shared" si="8"/>
        <v>#DIV/0!</v>
      </c>
      <c r="S80" s="156">
        <f t="shared" si="9"/>
        <v>0</v>
      </c>
      <c r="T80" s="156">
        <f t="shared" si="10"/>
        <v>0</v>
      </c>
      <c r="U80" s="156">
        <f t="shared" si="11"/>
        <v>0</v>
      </c>
      <c r="V80" s="157">
        <f>IF(N80="nio",0,IF(N80&gt;0,VLOOKUP(G80,'3-Productie normen'!A:N,VLOOKUP(N80,'3-Productie normen'!R:S,2,FALSE),FALSE)))</f>
        <v>0</v>
      </c>
      <c r="W80" s="157">
        <f t="shared" si="12"/>
        <v>0</v>
      </c>
      <c r="X80" s="157">
        <f t="shared" si="13"/>
        <v>0</v>
      </c>
      <c r="Y80" s="157">
        <f t="shared" si="14"/>
        <v>0</v>
      </c>
      <c r="Z80" s="158" t="str">
        <f>VLOOKUP(G80,'3-Productie normen'!A:N,10,FALSE)</f>
        <v>B</v>
      </c>
      <c r="AA80" s="158"/>
      <c r="AC80" s="118">
        <f t="shared" si="15"/>
        <v>6120</v>
      </c>
    </row>
    <row r="81" spans="1:30" ht="14.1" customHeight="1">
      <c r="A81" s="135">
        <v>81</v>
      </c>
      <c r="B81" s="152" t="s">
        <v>230</v>
      </c>
      <c r="C81" s="152" t="s">
        <v>231</v>
      </c>
      <c r="D81" s="121" t="s">
        <v>246</v>
      </c>
      <c r="E81" s="153" t="s">
        <v>253</v>
      </c>
      <c r="F81" s="115" t="s">
        <v>242</v>
      </c>
      <c r="G81" s="115" t="s">
        <v>266</v>
      </c>
      <c r="H81" s="115" t="s">
        <v>429</v>
      </c>
      <c r="I81" s="154">
        <v>24</v>
      </c>
      <c r="J81" s="445">
        <v>1</v>
      </c>
      <c r="K81" s="445"/>
      <c r="L81" s="445"/>
      <c r="M81" s="445"/>
      <c r="N81" s="155">
        <v>255</v>
      </c>
      <c r="O81" s="155"/>
      <c r="P81" s="155"/>
      <c r="Q81" s="155"/>
      <c r="R81" s="156" t="e">
        <f t="shared" si="8"/>
        <v>#DIV/0!</v>
      </c>
      <c r="S81" s="156">
        <f t="shared" si="9"/>
        <v>0</v>
      </c>
      <c r="T81" s="156">
        <f t="shared" si="10"/>
        <v>0</v>
      </c>
      <c r="U81" s="156">
        <f t="shared" si="11"/>
        <v>0</v>
      </c>
      <c r="V81" s="157">
        <f>IF(N81="nio",0,IF(N81&gt;0,VLOOKUP(G81,'3-Productie normen'!A:N,VLOOKUP(N81,'3-Productie normen'!R:S,2,FALSE),FALSE)))</f>
        <v>0</v>
      </c>
      <c r="W81" s="157">
        <f t="shared" si="12"/>
        <v>0</v>
      </c>
      <c r="X81" s="157">
        <f t="shared" si="13"/>
        <v>0</v>
      </c>
      <c r="Y81" s="157">
        <f t="shared" si="14"/>
        <v>0</v>
      </c>
      <c r="Z81" s="158" t="str">
        <f>VLOOKUP(G81,'3-Productie normen'!A:N,10,FALSE)</f>
        <v>B</v>
      </c>
      <c r="AA81" s="158"/>
      <c r="AC81" s="118">
        <f t="shared" si="15"/>
        <v>6120</v>
      </c>
    </row>
    <row r="82" spans="1:30" ht="14.1" customHeight="1">
      <c r="A82" s="135">
        <v>82</v>
      </c>
      <c r="B82" s="152" t="s">
        <v>230</v>
      </c>
      <c r="C82" s="152" t="s">
        <v>231</v>
      </c>
      <c r="D82" s="121" t="s">
        <v>246</v>
      </c>
      <c r="E82" s="153" t="s">
        <v>254</v>
      </c>
      <c r="F82" s="115" t="s">
        <v>242</v>
      </c>
      <c r="G82" s="115" t="s">
        <v>266</v>
      </c>
      <c r="H82" s="115" t="s">
        <v>429</v>
      </c>
      <c r="I82" s="154">
        <v>25</v>
      </c>
      <c r="J82" s="445">
        <v>1</v>
      </c>
      <c r="K82" s="445"/>
      <c r="L82" s="445"/>
      <c r="M82" s="445"/>
      <c r="N82" s="155">
        <v>255</v>
      </c>
      <c r="O82" s="155"/>
      <c r="P82" s="155"/>
      <c r="Q82" s="155"/>
      <c r="R82" s="156" t="e">
        <f t="shared" si="8"/>
        <v>#DIV/0!</v>
      </c>
      <c r="S82" s="156">
        <f t="shared" si="9"/>
        <v>0</v>
      </c>
      <c r="T82" s="156">
        <f t="shared" si="10"/>
        <v>0</v>
      </c>
      <c r="U82" s="156">
        <f t="shared" si="11"/>
        <v>0</v>
      </c>
      <c r="V82" s="157">
        <f>IF(N82="nio",0,IF(N82&gt;0,VLOOKUP(G82,'3-Productie normen'!A:N,VLOOKUP(N82,'3-Productie normen'!R:S,2,FALSE),FALSE)))</f>
        <v>0</v>
      </c>
      <c r="W82" s="157">
        <f t="shared" si="12"/>
        <v>0</v>
      </c>
      <c r="X82" s="157">
        <f t="shared" si="13"/>
        <v>0</v>
      </c>
      <c r="Y82" s="157">
        <f t="shared" si="14"/>
        <v>0</v>
      </c>
      <c r="Z82" s="158" t="str">
        <f>VLOOKUP(G82,'3-Productie normen'!A:N,10,FALSE)</f>
        <v>B</v>
      </c>
      <c r="AA82" s="158"/>
      <c r="AC82" s="118">
        <f t="shared" si="15"/>
        <v>6375</v>
      </c>
    </row>
    <row r="83" spans="1:30" ht="14.1" customHeight="1">
      <c r="A83" s="135">
        <v>83</v>
      </c>
      <c r="B83" s="152" t="s">
        <v>230</v>
      </c>
      <c r="C83" s="152" t="s">
        <v>231</v>
      </c>
      <c r="D83" s="121" t="s">
        <v>246</v>
      </c>
      <c r="E83" s="153" t="s">
        <v>255</v>
      </c>
      <c r="F83" s="115" t="s">
        <v>242</v>
      </c>
      <c r="G83" s="115" t="s">
        <v>266</v>
      </c>
      <c r="H83" s="115" t="s">
        <v>429</v>
      </c>
      <c r="I83" s="154">
        <v>23</v>
      </c>
      <c r="J83" s="445">
        <v>1</v>
      </c>
      <c r="K83" s="445"/>
      <c r="L83" s="445"/>
      <c r="M83" s="445"/>
      <c r="N83" s="155">
        <v>255</v>
      </c>
      <c r="O83" s="155"/>
      <c r="P83" s="155"/>
      <c r="Q83" s="155"/>
      <c r="R83" s="156" t="e">
        <f t="shared" si="8"/>
        <v>#DIV/0!</v>
      </c>
      <c r="S83" s="156">
        <f t="shared" si="9"/>
        <v>0</v>
      </c>
      <c r="T83" s="156">
        <f t="shared" si="10"/>
        <v>0</v>
      </c>
      <c r="U83" s="156">
        <f t="shared" si="11"/>
        <v>0</v>
      </c>
      <c r="V83" s="157">
        <f>IF(N83="nio",0,IF(N83&gt;0,VLOOKUP(G83,'3-Productie normen'!A:N,VLOOKUP(N83,'3-Productie normen'!R:S,2,FALSE),FALSE)))</f>
        <v>0</v>
      </c>
      <c r="W83" s="157">
        <f t="shared" si="12"/>
        <v>0</v>
      </c>
      <c r="X83" s="157">
        <f t="shared" si="13"/>
        <v>0</v>
      </c>
      <c r="Y83" s="157">
        <f t="shared" si="14"/>
        <v>0</v>
      </c>
      <c r="Z83" s="158" t="str">
        <f>VLOOKUP(G83,'3-Productie normen'!A:N,10,FALSE)</f>
        <v>B</v>
      </c>
      <c r="AA83" s="158"/>
      <c r="AC83" s="118">
        <f t="shared" si="15"/>
        <v>5865</v>
      </c>
    </row>
    <row r="84" spans="1:30" ht="14.1" customHeight="1">
      <c r="A84" s="135">
        <v>84</v>
      </c>
      <c r="B84" s="152" t="s">
        <v>230</v>
      </c>
      <c r="C84" s="152" t="s">
        <v>231</v>
      </c>
      <c r="D84" s="121" t="s">
        <v>246</v>
      </c>
      <c r="E84" s="153" t="s">
        <v>256</v>
      </c>
      <c r="F84" s="115" t="s">
        <v>237</v>
      </c>
      <c r="G84" s="115" t="s">
        <v>270</v>
      </c>
      <c r="H84" s="115" t="s">
        <v>428</v>
      </c>
      <c r="I84" s="154">
        <v>25</v>
      </c>
      <c r="J84" s="445">
        <v>1</v>
      </c>
      <c r="K84" s="445"/>
      <c r="L84" s="445"/>
      <c r="M84" s="445"/>
      <c r="N84" s="155">
        <v>255</v>
      </c>
      <c r="O84" s="155"/>
      <c r="P84" s="155"/>
      <c r="Q84" s="155"/>
      <c r="R84" s="156" t="e">
        <f t="shared" si="8"/>
        <v>#DIV/0!</v>
      </c>
      <c r="S84" s="156">
        <f t="shared" si="9"/>
        <v>0</v>
      </c>
      <c r="T84" s="156">
        <f t="shared" si="10"/>
        <v>0</v>
      </c>
      <c r="U84" s="156">
        <f t="shared" si="11"/>
        <v>0</v>
      </c>
      <c r="V84" s="157">
        <f>IF(N84="nio",0,IF(N84&gt;0,VLOOKUP(G84,'3-Productie normen'!A:N,VLOOKUP(N84,'3-Productie normen'!R:S,2,FALSE),FALSE)))</f>
        <v>0</v>
      </c>
      <c r="W84" s="157">
        <f t="shared" si="12"/>
        <v>0</v>
      </c>
      <c r="X84" s="157">
        <f t="shared" si="13"/>
        <v>0</v>
      </c>
      <c r="Y84" s="157">
        <f t="shared" si="14"/>
        <v>0</v>
      </c>
      <c r="Z84" s="158" t="str">
        <f>VLOOKUP(G84,'3-Productie normen'!A:N,10,FALSE)</f>
        <v>V</v>
      </c>
      <c r="AA84" s="158"/>
      <c r="AC84" s="118">
        <f t="shared" si="15"/>
        <v>6375</v>
      </c>
    </row>
    <row r="85" spans="1:30" ht="14.1" customHeight="1">
      <c r="A85" s="135">
        <v>85</v>
      </c>
      <c r="B85" s="152" t="s">
        <v>230</v>
      </c>
      <c r="C85" s="152" t="s">
        <v>231</v>
      </c>
      <c r="D85" s="121" t="s">
        <v>233</v>
      </c>
      <c r="E85" s="153" t="s">
        <v>257</v>
      </c>
      <c r="F85" s="115" t="s">
        <v>258</v>
      </c>
      <c r="G85" s="115" t="s">
        <v>270</v>
      </c>
      <c r="H85" s="115" t="s">
        <v>430</v>
      </c>
      <c r="I85" s="154">
        <v>3</v>
      </c>
      <c r="J85" s="445">
        <v>1</v>
      </c>
      <c r="K85" s="445"/>
      <c r="L85" s="445"/>
      <c r="M85" s="445"/>
      <c r="N85" s="155">
        <v>255</v>
      </c>
      <c r="O85" s="155"/>
      <c r="P85" s="155"/>
      <c r="Q85" s="155"/>
      <c r="R85" s="156" t="e">
        <f t="shared" si="8"/>
        <v>#DIV/0!</v>
      </c>
      <c r="S85" s="156">
        <f t="shared" si="9"/>
        <v>0</v>
      </c>
      <c r="T85" s="156">
        <f t="shared" si="10"/>
        <v>0</v>
      </c>
      <c r="U85" s="156">
        <f t="shared" si="11"/>
        <v>0</v>
      </c>
      <c r="V85" s="157">
        <f>IF(N85="nio",0,IF(N85&gt;0,VLOOKUP(G85,'3-Productie normen'!A:N,VLOOKUP(N85,'3-Productie normen'!R:S,2,FALSE),FALSE)))</f>
        <v>0</v>
      </c>
      <c r="W85" s="157">
        <f t="shared" si="12"/>
        <v>0</v>
      </c>
      <c r="X85" s="157">
        <f t="shared" si="13"/>
        <v>0</v>
      </c>
      <c r="Y85" s="157">
        <f t="shared" si="14"/>
        <v>0</v>
      </c>
      <c r="Z85" s="158" t="str">
        <f>VLOOKUP(G85,'3-Productie normen'!A:N,10,FALSE)</f>
        <v>V</v>
      </c>
      <c r="AA85" s="158"/>
      <c r="AC85" s="118">
        <f t="shared" si="15"/>
        <v>765</v>
      </c>
    </row>
    <row r="86" spans="1:30" ht="14.1" customHeight="1">
      <c r="A86" s="135">
        <v>86</v>
      </c>
      <c r="B86" s="152" t="s">
        <v>230</v>
      </c>
      <c r="C86" s="152" t="s">
        <v>231</v>
      </c>
      <c r="D86" s="121" t="s">
        <v>233</v>
      </c>
      <c r="E86" s="153" t="s">
        <v>257</v>
      </c>
      <c r="F86" s="115" t="s">
        <v>259</v>
      </c>
      <c r="G86" s="152" t="s">
        <v>235</v>
      </c>
      <c r="H86" s="115" t="s">
        <v>430</v>
      </c>
      <c r="I86" s="154">
        <v>6</v>
      </c>
      <c r="J86" s="445">
        <v>1</v>
      </c>
      <c r="K86" s="445"/>
      <c r="L86" s="445"/>
      <c r="M86" s="445"/>
      <c r="N86" s="155">
        <v>255</v>
      </c>
      <c r="O86" s="155"/>
      <c r="P86" s="155"/>
      <c r="Q86" s="155"/>
      <c r="R86" s="156" t="e">
        <f t="shared" si="8"/>
        <v>#DIV/0!</v>
      </c>
      <c r="S86" s="156">
        <f t="shared" si="9"/>
        <v>0</v>
      </c>
      <c r="T86" s="156">
        <f t="shared" si="10"/>
        <v>0</v>
      </c>
      <c r="U86" s="156">
        <f t="shared" si="11"/>
        <v>0</v>
      </c>
      <c r="V86" s="157">
        <f>IF(N86="nio",0,IF(N86&gt;0,VLOOKUP(G86,'3-Productie normen'!A:N,VLOOKUP(N86,'3-Productie normen'!R:S,2,FALSE),FALSE)))</f>
        <v>0</v>
      </c>
      <c r="W86" s="157">
        <f t="shared" si="12"/>
        <v>0</v>
      </c>
      <c r="X86" s="157">
        <f t="shared" si="13"/>
        <v>0</v>
      </c>
      <c r="Y86" s="157">
        <f t="shared" si="14"/>
        <v>0</v>
      </c>
      <c r="Z86" s="158" t="str">
        <f>VLOOKUP(G86,'3-Productie normen'!A:N,10,FALSE)</f>
        <v>V</v>
      </c>
      <c r="AA86" s="158"/>
      <c r="AC86" s="118">
        <f t="shared" si="15"/>
        <v>1530</v>
      </c>
    </row>
    <row r="87" spans="1:30" ht="14.1" customHeight="1">
      <c r="A87" s="135">
        <v>87</v>
      </c>
      <c r="B87" s="152" t="s">
        <v>230</v>
      </c>
      <c r="C87" s="152" t="s">
        <v>231</v>
      </c>
      <c r="D87" s="121" t="s">
        <v>233</v>
      </c>
      <c r="E87" s="153" t="s">
        <v>257</v>
      </c>
      <c r="F87" s="115" t="s">
        <v>258</v>
      </c>
      <c r="G87" s="115" t="s">
        <v>270</v>
      </c>
      <c r="H87" s="115" t="s">
        <v>430</v>
      </c>
      <c r="I87" s="154">
        <v>1</v>
      </c>
      <c r="J87" s="445">
        <v>1</v>
      </c>
      <c r="K87" s="445"/>
      <c r="L87" s="445"/>
      <c r="M87" s="445"/>
      <c r="N87" s="155">
        <v>255</v>
      </c>
      <c r="O87" s="155"/>
      <c r="P87" s="155"/>
      <c r="Q87" s="155"/>
      <c r="R87" s="156" t="e">
        <f t="shared" si="8"/>
        <v>#DIV/0!</v>
      </c>
      <c r="S87" s="156">
        <f t="shared" si="9"/>
        <v>0</v>
      </c>
      <c r="T87" s="156">
        <f t="shared" si="10"/>
        <v>0</v>
      </c>
      <c r="U87" s="156">
        <f t="shared" si="11"/>
        <v>0</v>
      </c>
      <c r="V87" s="157">
        <f>IF(N87="nio",0,IF(N87&gt;0,VLOOKUP(G87,'3-Productie normen'!A:N,VLOOKUP(N87,'3-Productie normen'!R:S,2,FALSE),FALSE)))</f>
        <v>0</v>
      </c>
      <c r="W87" s="157">
        <f t="shared" si="12"/>
        <v>0</v>
      </c>
      <c r="X87" s="157">
        <f t="shared" si="13"/>
        <v>0</v>
      </c>
      <c r="Y87" s="157">
        <f t="shared" si="14"/>
        <v>0</v>
      </c>
      <c r="Z87" s="158" t="str">
        <f>VLOOKUP(G87,'3-Productie normen'!A:N,10,FALSE)</f>
        <v>V</v>
      </c>
      <c r="AA87" s="158"/>
      <c r="AC87" s="118">
        <f t="shared" si="15"/>
        <v>255</v>
      </c>
    </row>
    <row r="88" spans="1:30" ht="14.1" customHeight="1">
      <c r="A88" s="135">
        <v>88</v>
      </c>
      <c r="B88" s="152" t="s">
        <v>230</v>
      </c>
      <c r="C88" s="152" t="s">
        <v>231</v>
      </c>
      <c r="D88" s="121" t="s">
        <v>233</v>
      </c>
      <c r="E88" s="153" t="s">
        <v>257</v>
      </c>
      <c r="F88" s="115" t="s">
        <v>260</v>
      </c>
      <c r="G88" s="115" t="s">
        <v>270</v>
      </c>
      <c r="H88" s="115" t="s">
        <v>430</v>
      </c>
      <c r="I88" s="154">
        <v>8</v>
      </c>
      <c r="J88" s="445">
        <v>1</v>
      </c>
      <c r="K88" s="445"/>
      <c r="L88" s="445"/>
      <c r="M88" s="445"/>
      <c r="N88" s="155">
        <v>255</v>
      </c>
      <c r="O88" s="155"/>
      <c r="P88" s="155"/>
      <c r="Q88" s="155"/>
      <c r="R88" s="156" t="e">
        <f t="shared" si="8"/>
        <v>#DIV/0!</v>
      </c>
      <c r="S88" s="156">
        <f t="shared" si="9"/>
        <v>0</v>
      </c>
      <c r="T88" s="156">
        <f t="shared" si="10"/>
        <v>0</v>
      </c>
      <c r="U88" s="156">
        <f t="shared" si="11"/>
        <v>0</v>
      </c>
      <c r="V88" s="157">
        <f>IF(N88="nio",0,IF(N88&gt;0,VLOOKUP(G88,'3-Productie normen'!A:N,VLOOKUP(N88,'3-Productie normen'!R:S,2,FALSE),FALSE)))</f>
        <v>0</v>
      </c>
      <c r="W88" s="157">
        <f t="shared" si="12"/>
        <v>0</v>
      </c>
      <c r="X88" s="157">
        <f t="shared" si="13"/>
        <v>0</v>
      </c>
      <c r="Y88" s="157">
        <f t="shared" si="14"/>
        <v>0</v>
      </c>
      <c r="Z88" s="158" t="str">
        <f>VLOOKUP(G88,'3-Productie normen'!A:N,10,FALSE)</f>
        <v>V</v>
      </c>
      <c r="AA88" s="158"/>
      <c r="AC88" s="118">
        <f t="shared" si="15"/>
        <v>2040</v>
      </c>
    </row>
    <row r="89" spans="1:30" ht="14.1" customHeight="1">
      <c r="A89" s="135">
        <v>89</v>
      </c>
      <c r="B89" s="152" t="s">
        <v>230</v>
      </c>
      <c r="C89" s="152" t="s">
        <v>231</v>
      </c>
      <c r="D89" s="121" t="s">
        <v>233</v>
      </c>
      <c r="E89" s="153" t="s">
        <v>257</v>
      </c>
      <c r="F89" s="115" t="s">
        <v>261</v>
      </c>
      <c r="G89" s="115" t="s">
        <v>202</v>
      </c>
      <c r="H89" s="115" t="s">
        <v>430</v>
      </c>
      <c r="I89" s="154">
        <v>50</v>
      </c>
      <c r="J89" s="445">
        <v>1</v>
      </c>
      <c r="K89" s="445"/>
      <c r="L89" s="445"/>
      <c r="M89" s="445"/>
      <c r="N89" s="155">
        <v>255</v>
      </c>
      <c r="O89" s="155"/>
      <c r="P89" s="155"/>
      <c r="Q89" s="155"/>
      <c r="R89" s="156" t="e">
        <f t="shared" si="8"/>
        <v>#DIV/0!</v>
      </c>
      <c r="S89" s="156">
        <f t="shared" si="9"/>
        <v>0</v>
      </c>
      <c r="T89" s="156">
        <f t="shared" si="10"/>
        <v>0</v>
      </c>
      <c r="U89" s="156">
        <f t="shared" si="11"/>
        <v>0</v>
      </c>
      <c r="V89" s="157">
        <f>IF(N89="nio",0,IF(N89&gt;0,VLOOKUP(G89,'3-Productie normen'!A:N,VLOOKUP(N89,'3-Productie normen'!R:S,2,FALSE),FALSE)))</f>
        <v>0</v>
      </c>
      <c r="W89" s="157">
        <f t="shared" si="12"/>
        <v>0</v>
      </c>
      <c r="X89" s="157">
        <f t="shared" si="13"/>
        <v>0</v>
      </c>
      <c r="Y89" s="157">
        <f t="shared" si="14"/>
        <v>0</v>
      </c>
      <c r="Z89" s="158" t="str">
        <f>VLOOKUP(G89,'3-Productie normen'!A:N,10,FALSE)</f>
        <v>B</v>
      </c>
      <c r="AA89" s="158"/>
      <c r="AC89" s="118">
        <f t="shared" si="15"/>
        <v>12750</v>
      </c>
    </row>
    <row r="90" spans="1:30" ht="14.1" customHeight="1">
      <c r="A90" s="135">
        <v>90</v>
      </c>
      <c r="B90" s="152" t="s">
        <v>230</v>
      </c>
      <c r="C90" s="152" t="s">
        <v>231</v>
      </c>
      <c r="D90" s="121" t="s">
        <v>246</v>
      </c>
      <c r="E90" s="153" t="s">
        <v>262</v>
      </c>
      <c r="F90" s="115" t="s">
        <v>263</v>
      </c>
      <c r="G90" s="115" t="s">
        <v>269</v>
      </c>
      <c r="H90" s="115" t="s">
        <v>430</v>
      </c>
      <c r="I90" s="154">
        <v>5</v>
      </c>
      <c r="J90" s="445">
        <v>1</v>
      </c>
      <c r="K90" s="445"/>
      <c r="L90" s="445"/>
      <c r="M90" s="445"/>
      <c r="N90" s="155">
        <v>255</v>
      </c>
      <c r="O90" s="155"/>
      <c r="P90" s="155"/>
      <c r="Q90" s="155"/>
      <c r="R90" s="156" t="e">
        <f t="shared" si="8"/>
        <v>#DIV/0!</v>
      </c>
      <c r="S90" s="156">
        <f t="shared" si="9"/>
        <v>0</v>
      </c>
      <c r="T90" s="156">
        <f t="shared" si="10"/>
        <v>0</v>
      </c>
      <c r="U90" s="156">
        <f t="shared" si="11"/>
        <v>0</v>
      </c>
      <c r="V90" s="157">
        <f>IF(N90="nio",0,IF(N90&gt;0,VLOOKUP(G90,'3-Productie normen'!A:N,VLOOKUP(N90,'3-Productie normen'!R:S,2,FALSE),FALSE)))</f>
        <v>0</v>
      </c>
      <c r="W90" s="157">
        <f t="shared" si="12"/>
        <v>0</v>
      </c>
      <c r="X90" s="157">
        <f t="shared" si="13"/>
        <v>0</v>
      </c>
      <c r="Y90" s="157">
        <f t="shared" si="14"/>
        <v>0</v>
      </c>
      <c r="Z90" s="158" t="str">
        <f>VLOOKUP(G90,'3-Productie normen'!A:N,10,FALSE)</f>
        <v>V</v>
      </c>
      <c r="AA90" s="158"/>
      <c r="AC90" s="118">
        <f t="shared" si="15"/>
        <v>1275</v>
      </c>
    </row>
    <row r="91" spans="1:30" ht="14.1" customHeight="1">
      <c r="A91" s="135">
        <v>91</v>
      </c>
      <c r="B91" s="152" t="s">
        <v>230</v>
      </c>
      <c r="C91" s="152" t="s">
        <v>231</v>
      </c>
      <c r="D91" s="121" t="s">
        <v>246</v>
      </c>
      <c r="E91" s="153" t="s">
        <v>262</v>
      </c>
      <c r="F91" s="115" t="s">
        <v>260</v>
      </c>
      <c r="G91" s="115" t="s">
        <v>270</v>
      </c>
      <c r="H91" s="115" t="s">
        <v>430</v>
      </c>
      <c r="I91" s="154">
        <v>3</v>
      </c>
      <c r="J91" s="445">
        <v>1</v>
      </c>
      <c r="K91" s="445"/>
      <c r="L91" s="445"/>
      <c r="M91" s="445"/>
      <c r="N91" s="155">
        <v>255</v>
      </c>
      <c r="O91" s="155"/>
      <c r="P91" s="155"/>
      <c r="Q91" s="155"/>
      <c r="R91" s="156" t="e">
        <f t="shared" si="8"/>
        <v>#DIV/0!</v>
      </c>
      <c r="S91" s="156">
        <f t="shared" si="9"/>
        <v>0</v>
      </c>
      <c r="T91" s="156">
        <f t="shared" si="10"/>
        <v>0</v>
      </c>
      <c r="U91" s="156">
        <f t="shared" si="11"/>
        <v>0</v>
      </c>
      <c r="V91" s="157">
        <f>IF(N91="nio",0,IF(N91&gt;0,VLOOKUP(G91,'3-Productie normen'!A:N,VLOOKUP(N91,'3-Productie normen'!R:S,2,FALSE),FALSE)))</f>
        <v>0</v>
      </c>
      <c r="W91" s="157">
        <f t="shared" si="12"/>
        <v>0</v>
      </c>
      <c r="X91" s="157">
        <f t="shared" si="13"/>
        <v>0</v>
      </c>
      <c r="Y91" s="157">
        <f t="shared" si="14"/>
        <v>0</v>
      </c>
      <c r="Z91" s="158" t="str">
        <f>VLOOKUP(G91,'3-Productie normen'!A:N,10,FALSE)</f>
        <v>V</v>
      </c>
      <c r="AA91" s="158"/>
      <c r="AC91" s="118">
        <f t="shared" si="15"/>
        <v>765</v>
      </c>
    </row>
    <row r="92" spans="1:30" ht="14.1" customHeight="1">
      <c r="A92" s="135">
        <v>92</v>
      </c>
      <c r="B92" s="152" t="s">
        <v>230</v>
      </c>
      <c r="C92" s="152" t="s">
        <v>231</v>
      </c>
      <c r="D92" s="121" t="s">
        <v>246</v>
      </c>
      <c r="E92" s="153" t="s">
        <v>262</v>
      </c>
      <c r="F92" s="115" t="s">
        <v>261</v>
      </c>
      <c r="G92" s="115" t="s">
        <v>202</v>
      </c>
      <c r="H92" s="115" t="s">
        <v>430</v>
      </c>
      <c r="I92" s="154">
        <v>29</v>
      </c>
      <c r="J92" s="445">
        <v>1</v>
      </c>
      <c r="K92" s="445"/>
      <c r="L92" s="445"/>
      <c r="M92" s="445"/>
      <c r="N92" s="155">
        <v>255</v>
      </c>
      <c r="O92" s="155"/>
      <c r="P92" s="155"/>
      <c r="Q92" s="155"/>
      <c r="R92" s="156" t="e">
        <f t="shared" si="8"/>
        <v>#DIV/0!</v>
      </c>
      <c r="S92" s="156">
        <f t="shared" si="9"/>
        <v>0</v>
      </c>
      <c r="T92" s="156">
        <f t="shared" si="10"/>
        <v>0</v>
      </c>
      <c r="U92" s="156">
        <f t="shared" si="11"/>
        <v>0</v>
      </c>
      <c r="V92" s="157">
        <f>IF(N92="nio",0,IF(N92&gt;0,VLOOKUP(G92,'3-Productie normen'!A:N,VLOOKUP(N92,'3-Productie normen'!R:S,2,FALSE),FALSE)))</f>
        <v>0</v>
      </c>
      <c r="W92" s="157">
        <f t="shared" si="12"/>
        <v>0</v>
      </c>
      <c r="X92" s="157">
        <f t="shared" si="13"/>
        <v>0</v>
      </c>
      <c r="Y92" s="157">
        <f t="shared" si="14"/>
        <v>0</v>
      </c>
      <c r="Z92" s="158" t="str">
        <f>VLOOKUP(G92,'3-Productie normen'!A:N,10,FALSE)</f>
        <v>B</v>
      </c>
      <c r="AA92" s="158"/>
      <c r="AC92" s="118">
        <f t="shared" si="15"/>
        <v>7395</v>
      </c>
    </row>
    <row r="93" spans="1:30" ht="14.1" customHeight="1">
      <c r="A93" s="135">
        <v>93</v>
      </c>
      <c r="B93" s="152" t="s">
        <v>230</v>
      </c>
      <c r="C93" s="152" t="s">
        <v>231</v>
      </c>
      <c r="D93" s="121" t="s">
        <v>246</v>
      </c>
      <c r="E93" s="153" t="s">
        <v>262</v>
      </c>
      <c r="F93" s="115" t="s">
        <v>264</v>
      </c>
      <c r="G93" s="115" t="s">
        <v>17</v>
      </c>
      <c r="H93" s="115" t="s">
        <v>430</v>
      </c>
      <c r="I93" s="154">
        <v>4</v>
      </c>
      <c r="J93" s="445">
        <v>1</v>
      </c>
      <c r="K93" s="445"/>
      <c r="L93" s="445"/>
      <c r="M93" s="445"/>
      <c r="N93" s="155">
        <v>255</v>
      </c>
      <c r="O93" s="155"/>
      <c r="P93" s="155"/>
      <c r="Q93" s="155"/>
      <c r="R93" s="156" t="e">
        <f t="shared" si="8"/>
        <v>#DIV/0!</v>
      </c>
      <c r="S93" s="156">
        <f t="shared" si="9"/>
        <v>0</v>
      </c>
      <c r="T93" s="156">
        <f t="shared" si="10"/>
        <v>0</v>
      </c>
      <c r="U93" s="156">
        <f t="shared" si="11"/>
        <v>0</v>
      </c>
      <c r="V93" s="157">
        <f>IF(N93="nio",0,IF(N93&gt;0,VLOOKUP(G93,'3-Productie normen'!A:N,VLOOKUP(N93,'3-Productie normen'!R:S,2,FALSE),FALSE)))</f>
        <v>0</v>
      </c>
      <c r="W93" s="157">
        <f t="shared" si="12"/>
        <v>0</v>
      </c>
      <c r="X93" s="157">
        <f t="shared" si="13"/>
        <v>0</v>
      </c>
      <c r="Y93" s="157">
        <f t="shared" si="14"/>
        <v>0</v>
      </c>
      <c r="Z93" s="158" t="str">
        <f>VLOOKUP(G93,'3-Productie normen'!A:N,10,FALSE)</f>
        <v>S</v>
      </c>
      <c r="AA93" s="158"/>
      <c r="AC93" s="118">
        <f t="shared" si="15"/>
        <v>1020</v>
      </c>
    </row>
    <row r="94" spans="1:30" ht="14.1" customHeight="1">
      <c r="A94" s="135">
        <v>94</v>
      </c>
      <c r="B94" s="152" t="s">
        <v>230</v>
      </c>
      <c r="C94" s="152" t="s">
        <v>231</v>
      </c>
      <c r="D94" s="121" t="s">
        <v>246</v>
      </c>
      <c r="E94" s="153" t="s">
        <v>262</v>
      </c>
      <c r="F94" s="115" t="s">
        <v>264</v>
      </c>
      <c r="G94" s="115" t="s">
        <v>17</v>
      </c>
      <c r="H94" s="115" t="s">
        <v>430</v>
      </c>
      <c r="I94" s="154">
        <v>6</v>
      </c>
      <c r="J94" s="445">
        <v>1</v>
      </c>
      <c r="K94" s="445"/>
      <c r="L94" s="445"/>
      <c r="M94" s="445"/>
      <c r="N94" s="155">
        <v>255</v>
      </c>
      <c r="O94" s="155"/>
      <c r="P94" s="155"/>
      <c r="Q94" s="155"/>
      <c r="R94" s="156" t="e">
        <f t="shared" si="8"/>
        <v>#DIV/0!</v>
      </c>
      <c r="S94" s="156">
        <f t="shared" si="9"/>
        <v>0</v>
      </c>
      <c r="T94" s="156">
        <f t="shared" si="10"/>
        <v>0</v>
      </c>
      <c r="U94" s="156">
        <f t="shared" si="11"/>
        <v>0</v>
      </c>
      <c r="V94" s="157">
        <f>IF(N94="nio",0,IF(N94&gt;0,VLOOKUP(G94,'3-Productie normen'!A:N,VLOOKUP(N94,'3-Productie normen'!R:S,2,FALSE),FALSE)))</f>
        <v>0</v>
      </c>
      <c r="W94" s="157">
        <f t="shared" si="12"/>
        <v>0</v>
      </c>
      <c r="X94" s="157">
        <f t="shared" si="13"/>
        <v>0</v>
      </c>
      <c r="Y94" s="157">
        <f t="shared" si="14"/>
        <v>0</v>
      </c>
      <c r="Z94" s="158" t="str">
        <f>VLOOKUP(G94,'3-Productie normen'!A:N,10,FALSE)</f>
        <v>S</v>
      </c>
      <c r="AA94" s="158"/>
      <c r="AC94" s="118">
        <f t="shared" si="15"/>
        <v>1530</v>
      </c>
    </row>
    <row r="95" spans="1:30" ht="14.1" customHeight="1">
      <c r="A95" s="135">
        <v>95</v>
      </c>
      <c r="B95" s="152" t="s">
        <v>230</v>
      </c>
      <c r="C95" s="152" t="s">
        <v>231</v>
      </c>
      <c r="D95" s="121" t="s">
        <v>246</v>
      </c>
      <c r="E95" s="153" t="s">
        <v>262</v>
      </c>
      <c r="F95" s="115" t="s">
        <v>261</v>
      </c>
      <c r="G95" s="115" t="s">
        <v>202</v>
      </c>
      <c r="H95" s="115" t="s">
        <v>430</v>
      </c>
      <c r="I95" s="154">
        <v>15</v>
      </c>
      <c r="J95" s="445">
        <v>1</v>
      </c>
      <c r="K95" s="445"/>
      <c r="L95" s="445"/>
      <c r="M95" s="445"/>
      <c r="N95" s="155">
        <v>255</v>
      </c>
      <c r="O95" s="155"/>
      <c r="P95" s="155"/>
      <c r="Q95" s="155"/>
      <c r="R95" s="156" t="e">
        <f t="shared" si="8"/>
        <v>#DIV/0!</v>
      </c>
      <c r="S95" s="156">
        <f t="shared" si="9"/>
        <v>0</v>
      </c>
      <c r="T95" s="156">
        <f t="shared" si="10"/>
        <v>0</v>
      </c>
      <c r="U95" s="156">
        <f t="shared" si="11"/>
        <v>0</v>
      </c>
      <c r="V95" s="157">
        <f>IF(N95="nio",0,IF(N95&gt;0,VLOOKUP(G95,'3-Productie normen'!A:N,VLOOKUP(N95,'3-Productie normen'!R:S,2,FALSE),FALSE)))</f>
        <v>0</v>
      </c>
      <c r="W95" s="157">
        <f t="shared" si="12"/>
        <v>0</v>
      </c>
      <c r="X95" s="157">
        <f t="shared" si="13"/>
        <v>0</v>
      </c>
      <c r="Y95" s="157">
        <f t="shared" si="14"/>
        <v>0</v>
      </c>
      <c r="Z95" s="158" t="str">
        <f>VLOOKUP(G95,'3-Productie normen'!A:N,10,FALSE)</f>
        <v>B</v>
      </c>
      <c r="AA95" s="158"/>
      <c r="AC95" s="118">
        <f t="shared" si="15"/>
        <v>3825</v>
      </c>
    </row>
    <row r="96" spans="1:30" ht="14.1" customHeight="1">
      <c r="B96" s="166"/>
      <c r="C96" s="166"/>
      <c r="D96" s="167"/>
      <c r="E96" s="168"/>
      <c r="F96" s="169"/>
      <c r="G96" s="169"/>
      <c r="H96" s="170"/>
      <c r="I96" s="171"/>
      <c r="J96" s="403"/>
      <c r="K96" s="403"/>
      <c r="L96" s="403"/>
      <c r="M96" s="403"/>
      <c r="N96" s="172"/>
      <c r="O96" s="172"/>
      <c r="P96" s="172"/>
      <c r="Q96" s="172"/>
      <c r="R96" s="173"/>
      <c r="S96" s="173"/>
      <c r="T96" s="174"/>
      <c r="U96" s="174"/>
      <c r="V96" s="174"/>
      <c r="W96" s="174"/>
      <c r="X96" s="182"/>
      <c r="Y96" s="182"/>
      <c r="Z96" s="183"/>
      <c r="AA96" s="183"/>
      <c r="AB96" s="183"/>
      <c r="AC96" s="183"/>
      <c r="AD96" s="183"/>
    </row>
    <row r="97" spans="2:30" ht="14.1" customHeight="1">
      <c r="B97" s="175"/>
      <c r="C97" s="175"/>
      <c r="D97" s="176"/>
      <c r="E97" s="177"/>
      <c r="F97" s="178"/>
      <c r="G97" s="178"/>
      <c r="I97" s="179"/>
      <c r="J97" s="404"/>
      <c r="K97" s="404"/>
      <c r="L97" s="404"/>
      <c r="M97" s="404"/>
      <c r="N97" s="180"/>
      <c r="O97" s="180"/>
      <c r="P97" s="180"/>
      <c r="Q97" s="180"/>
      <c r="R97" s="181"/>
      <c r="S97" s="181"/>
      <c r="T97" s="182"/>
      <c r="U97" s="182"/>
      <c r="V97" s="182"/>
      <c r="W97" s="182"/>
      <c r="X97" s="182"/>
      <c r="Y97" s="182"/>
      <c r="Z97" s="183"/>
      <c r="AA97" s="183"/>
      <c r="AB97" s="183"/>
      <c r="AC97" s="183"/>
      <c r="AD97" s="183"/>
    </row>
    <row r="98" spans="2:30" ht="14.1" customHeight="1">
      <c r="B98" s="175"/>
      <c r="C98" s="175"/>
      <c r="D98" s="176"/>
      <c r="E98" s="177"/>
      <c r="F98" s="178"/>
      <c r="G98" s="178"/>
      <c r="I98" s="179"/>
      <c r="J98" s="404"/>
      <c r="K98" s="404"/>
      <c r="L98" s="404"/>
      <c r="M98" s="404"/>
      <c r="N98" s="180"/>
      <c r="O98" s="180"/>
      <c r="P98" s="180"/>
      <c r="Q98" s="180"/>
      <c r="R98" s="181"/>
      <c r="S98" s="181"/>
      <c r="T98" s="182"/>
      <c r="U98" s="182"/>
      <c r="V98" s="182"/>
      <c r="W98" s="182"/>
      <c r="X98" s="182"/>
      <c r="Y98" s="182"/>
      <c r="Z98" s="183"/>
      <c r="AA98" s="183"/>
      <c r="AB98" s="183"/>
      <c r="AC98" s="183"/>
      <c r="AD98" s="183"/>
    </row>
    <row r="99" spans="2:30" ht="14.1" customHeight="1">
      <c r="B99" s="175"/>
      <c r="C99" s="175"/>
      <c r="D99" s="176"/>
      <c r="E99" s="177"/>
      <c r="F99" s="178"/>
      <c r="G99" s="178"/>
      <c r="I99" s="179"/>
      <c r="J99" s="404"/>
      <c r="K99" s="404"/>
      <c r="L99" s="404"/>
      <c r="M99" s="404"/>
      <c r="N99" s="180"/>
      <c r="O99" s="180"/>
      <c r="P99" s="180"/>
      <c r="Q99" s="180"/>
      <c r="R99" s="181"/>
      <c r="S99" s="181"/>
      <c r="T99" s="182"/>
      <c r="U99" s="182"/>
      <c r="V99" s="182"/>
      <c r="W99" s="182"/>
      <c r="X99" s="182"/>
      <c r="Y99" s="182"/>
      <c r="Z99" s="183"/>
      <c r="AA99" s="183"/>
      <c r="AB99" s="183"/>
      <c r="AC99" s="183"/>
      <c r="AD99" s="183"/>
    </row>
    <row r="100" spans="2:30" ht="14.1" customHeight="1">
      <c r="B100" s="175"/>
      <c r="C100" s="175"/>
      <c r="D100" s="176"/>
      <c r="E100" s="177"/>
      <c r="F100" s="178"/>
      <c r="G100" s="178"/>
      <c r="I100" s="179"/>
      <c r="J100" s="404"/>
      <c r="K100" s="404"/>
      <c r="L100" s="404"/>
      <c r="M100" s="404"/>
      <c r="N100" s="180"/>
      <c r="O100" s="180"/>
      <c r="P100" s="180"/>
      <c r="Q100" s="180"/>
      <c r="R100" s="181"/>
      <c r="S100" s="181"/>
      <c r="T100" s="182"/>
      <c r="U100" s="182"/>
      <c r="V100" s="182"/>
      <c r="W100" s="182"/>
      <c r="X100" s="182"/>
      <c r="Y100" s="182"/>
      <c r="Z100" s="183"/>
      <c r="AA100" s="183"/>
      <c r="AB100" s="183"/>
      <c r="AC100" s="183"/>
      <c r="AD100" s="183"/>
    </row>
    <row r="101" spans="2:30" ht="14.1" customHeight="1">
      <c r="B101" s="175"/>
      <c r="C101" s="175"/>
      <c r="D101" s="176"/>
      <c r="E101" s="177"/>
      <c r="F101" s="178"/>
      <c r="G101" s="178"/>
      <c r="I101" s="179"/>
      <c r="J101" s="404"/>
      <c r="K101" s="404"/>
      <c r="L101" s="404"/>
      <c r="M101" s="404"/>
      <c r="N101" s="180"/>
      <c r="O101" s="180"/>
      <c r="P101" s="180"/>
      <c r="Q101" s="180"/>
      <c r="R101" s="181"/>
      <c r="S101" s="181"/>
      <c r="T101" s="182"/>
      <c r="U101" s="182"/>
      <c r="V101" s="182"/>
      <c r="W101" s="182"/>
      <c r="X101" s="182"/>
      <c r="Y101" s="182"/>
      <c r="Z101" s="183"/>
      <c r="AA101" s="183"/>
    </row>
    <row r="102" spans="2:30" ht="14.1" customHeight="1">
      <c r="B102" s="175"/>
      <c r="C102" s="175"/>
      <c r="D102" s="176"/>
      <c r="E102" s="177"/>
      <c r="F102" s="178"/>
      <c r="G102" s="178"/>
      <c r="I102" s="179"/>
      <c r="J102" s="404"/>
      <c r="K102" s="404"/>
      <c r="L102" s="404"/>
      <c r="M102" s="404"/>
      <c r="N102" s="180"/>
      <c r="O102" s="180"/>
      <c r="P102" s="180"/>
      <c r="Q102" s="180"/>
      <c r="R102" s="181"/>
      <c r="S102" s="181"/>
      <c r="T102" s="182"/>
      <c r="U102" s="182"/>
      <c r="V102" s="182"/>
      <c r="W102" s="182"/>
      <c r="X102" s="182"/>
      <c r="Y102" s="182"/>
      <c r="Z102" s="183"/>
      <c r="AA102" s="183"/>
    </row>
    <row r="103" spans="2:30" ht="14.1" customHeight="1">
      <c r="B103" s="175"/>
      <c r="C103" s="175"/>
      <c r="D103" s="176"/>
      <c r="E103" s="177"/>
      <c r="F103" s="178"/>
      <c r="G103" s="178"/>
      <c r="I103" s="179"/>
      <c r="J103" s="404"/>
      <c r="K103" s="404"/>
      <c r="L103" s="404"/>
      <c r="M103" s="404"/>
      <c r="N103" s="180"/>
      <c r="O103" s="180"/>
      <c r="P103" s="180"/>
      <c r="Q103" s="180"/>
      <c r="R103" s="181"/>
      <c r="S103" s="181"/>
      <c r="T103" s="182"/>
      <c r="U103" s="182"/>
      <c r="V103" s="182"/>
      <c r="W103" s="182"/>
      <c r="X103" s="182"/>
      <c r="Y103" s="182"/>
      <c r="Z103" s="183"/>
      <c r="AA103" s="183"/>
    </row>
    <row r="104" spans="2:30" ht="14.1" customHeight="1">
      <c r="B104" s="175"/>
      <c r="C104" s="175"/>
      <c r="D104" s="176"/>
      <c r="E104" s="177"/>
      <c r="F104" s="178"/>
      <c r="G104" s="178"/>
      <c r="I104" s="179"/>
      <c r="J104" s="404"/>
      <c r="K104" s="404"/>
      <c r="L104" s="404"/>
      <c r="M104" s="404"/>
      <c r="N104" s="180"/>
      <c r="O104" s="180"/>
      <c r="P104" s="180"/>
      <c r="Q104" s="180"/>
      <c r="R104" s="181"/>
      <c r="S104" s="181"/>
      <c r="T104" s="182"/>
      <c r="U104" s="182"/>
      <c r="V104" s="182"/>
      <c r="W104" s="182"/>
      <c r="X104" s="182"/>
      <c r="Y104" s="182"/>
      <c r="Z104" s="183"/>
      <c r="AA104" s="183"/>
    </row>
    <row r="105" spans="2:30" ht="14.1" customHeight="1">
      <c r="B105" s="175"/>
      <c r="C105" s="175"/>
      <c r="D105" s="176"/>
      <c r="E105" s="177"/>
      <c r="F105" s="178"/>
      <c r="G105" s="178"/>
      <c r="I105" s="179"/>
      <c r="J105" s="404"/>
      <c r="K105" s="404"/>
      <c r="L105" s="404"/>
      <c r="M105" s="404"/>
      <c r="N105" s="180"/>
      <c r="O105" s="180"/>
      <c r="P105" s="180"/>
      <c r="Q105" s="180"/>
      <c r="R105" s="181"/>
      <c r="S105" s="181"/>
      <c r="T105" s="182"/>
      <c r="U105" s="182"/>
      <c r="V105" s="182"/>
      <c r="W105" s="182"/>
      <c r="X105" s="182"/>
      <c r="Y105" s="182"/>
      <c r="Z105" s="183"/>
      <c r="AA105" s="183"/>
    </row>
    <row r="106" spans="2:30" ht="14.1" customHeight="1">
      <c r="B106" s="175"/>
      <c r="C106" s="175"/>
      <c r="D106" s="176"/>
      <c r="E106" s="177"/>
      <c r="F106" s="178"/>
      <c r="G106" s="178"/>
      <c r="I106" s="179"/>
      <c r="J106" s="404"/>
      <c r="K106" s="404"/>
      <c r="L106" s="404"/>
      <c r="M106" s="404"/>
      <c r="N106" s="180"/>
      <c r="O106" s="180"/>
      <c r="P106" s="180"/>
      <c r="Q106" s="180"/>
      <c r="R106" s="181"/>
      <c r="S106" s="181"/>
      <c r="T106" s="182"/>
      <c r="U106" s="182"/>
      <c r="V106" s="182"/>
      <c r="W106" s="182"/>
      <c r="X106" s="182"/>
      <c r="Y106" s="182"/>
      <c r="Z106" s="183"/>
      <c r="AA106" s="183"/>
    </row>
    <row r="107" spans="2:30" ht="14.1" customHeight="1">
      <c r="B107" s="175"/>
      <c r="C107" s="175"/>
      <c r="D107" s="176"/>
      <c r="E107" s="177"/>
      <c r="F107" s="178"/>
      <c r="G107" s="178"/>
      <c r="I107" s="179"/>
      <c r="J107" s="404"/>
      <c r="K107" s="404"/>
      <c r="L107" s="404"/>
      <c r="M107" s="404"/>
      <c r="N107" s="180"/>
      <c r="O107" s="180"/>
      <c r="P107" s="180"/>
      <c r="Q107" s="180"/>
      <c r="R107" s="181"/>
      <c r="S107" s="181"/>
      <c r="T107" s="182"/>
      <c r="U107" s="182"/>
      <c r="V107" s="182"/>
      <c r="W107" s="182"/>
      <c r="X107" s="182"/>
      <c r="Y107" s="182"/>
      <c r="Z107" s="183"/>
      <c r="AA107" s="183"/>
    </row>
    <row r="108" spans="2:30" ht="14.1" customHeight="1">
      <c r="B108" s="175"/>
      <c r="C108" s="175"/>
      <c r="D108" s="176"/>
      <c r="E108" s="177"/>
      <c r="F108" s="178"/>
      <c r="G108" s="178"/>
      <c r="I108" s="179"/>
      <c r="J108" s="404"/>
      <c r="K108" s="404"/>
      <c r="L108" s="404"/>
      <c r="M108" s="404"/>
      <c r="N108" s="180"/>
      <c r="O108" s="180"/>
      <c r="P108" s="180"/>
      <c r="Q108" s="180"/>
      <c r="R108" s="181"/>
      <c r="S108" s="181"/>
      <c r="T108" s="182"/>
      <c r="U108" s="182"/>
      <c r="V108" s="182"/>
      <c r="W108" s="182"/>
      <c r="X108" s="182"/>
      <c r="Y108" s="182"/>
      <c r="Z108" s="183"/>
      <c r="AA108" s="183"/>
    </row>
    <row r="109" spans="2:30" ht="14.1" customHeight="1">
      <c r="B109" s="175"/>
      <c r="C109" s="175"/>
      <c r="D109" s="176"/>
      <c r="E109" s="177"/>
      <c r="F109" s="178"/>
      <c r="G109" s="178"/>
      <c r="I109" s="179"/>
      <c r="J109" s="404"/>
      <c r="K109" s="404"/>
      <c r="L109" s="404"/>
      <c r="M109" s="404"/>
      <c r="N109" s="180"/>
      <c r="O109" s="180"/>
      <c r="P109" s="180"/>
      <c r="Q109" s="180"/>
      <c r="R109" s="181"/>
      <c r="S109" s="181"/>
      <c r="T109" s="182"/>
      <c r="U109" s="182"/>
      <c r="V109" s="182"/>
      <c r="W109" s="182"/>
      <c r="X109" s="182"/>
      <c r="Y109" s="182"/>
      <c r="Z109" s="183"/>
      <c r="AA109" s="183"/>
    </row>
    <row r="110" spans="2:30" ht="14.1" customHeight="1">
      <c r="B110" s="175"/>
      <c r="C110" s="175"/>
      <c r="D110" s="176"/>
      <c r="E110" s="177"/>
      <c r="F110" s="178"/>
      <c r="G110" s="178"/>
      <c r="I110" s="179"/>
      <c r="J110" s="404"/>
      <c r="K110" s="404"/>
      <c r="L110" s="404"/>
      <c r="M110" s="404"/>
      <c r="N110" s="180"/>
      <c r="O110" s="180"/>
      <c r="P110" s="180"/>
      <c r="Q110" s="180"/>
      <c r="R110" s="181"/>
      <c r="S110" s="181"/>
      <c r="T110" s="182"/>
      <c r="U110" s="182"/>
      <c r="V110" s="182"/>
      <c r="W110" s="182"/>
      <c r="X110" s="182"/>
      <c r="Y110" s="182"/>
      <c r="Z110" s="183"/>
      <c r="AA110" s="183"/>
    </row>
    <row r="111" spans="2:30" ht="14.1" customHeight="1">
      <c r="B111" s="175"/>
      <c r="C111" s="175"/>
      <c r="D111" s="176"/>
      <c r="E111" s="177"/>
      <c r="F111" s="178"/>
      <c r="G111" s="178"/>
      <c r="I111" s="179"/>
      <c r="J111" s="404"/>
      <c r="K111" s="404"/>
      <c r="L111" s="404"/>
      <c r="M111" s="404"/>
      <c r="N111" s="180"/>
      <c r="O111" s="180"/>
      <c r="P111" s="180"/>
      <c r="Q111" s="180"/>
      <c r="R111" s="181"/>
      <c r="S111" s="181"/>
      <c r="T111" s="182"/>
      <c r="U111" s="182"/>
      <c r="V111" s="182"/>
      <c r="W111" s="182"/>
      <c r="X111" s="182"/>
      <c r="Y111" s="182"/>
      <c r="Z111" s="183"/>
      <c r="AA111" s="183"/>
    </row>
    <row r="112" spans="2:30" ht="14.1" customHeight="1">
      <c r="B112" s="175"/>
      <c r="C112" s="175"/>
      <c r="D112" s="176"/>
      <c r="E112" s="177"/>
      <c r="F112" s="178"/>
      <c r="G112" s="178"/>
      <c r="I112" s="179"/>
      <c r="J112" s="404"/>
      <c r="K112" s="404"/>
      <c r="L112" s="404"/>
      <c r="M112" s="404"/>
      <c r="N112" s="180"/>
      <c r="O112" s="180"/>
      <c r="P112" s="180"/>
      <c r="Q112" s="180"/>
      <c r="R112" s="181"/>
      <c r="S112" s="181"/>
      <c r="T112" s="182"/>
      <c r="U112" s="182"/>
      <c r="V112" s="182"/>
      <c r="W112" s="182"/>
      <c r="X112" s="182"/>
      <c r="Y112" s="182"/>
      <c r="Z112" s="183"/>
      <c r="AA112" s="183"/>
    </row>
    <row r="113" spans="2:27" ht="14.1" customHeight="1">
      <c r="B113" s="175"/>
      <c r="C113" s="175"/>
      <c r="D113" s="176"/>
      <c r="E113" s="177"/>
      <c r="F113" s="178"/>
      <c r="G113" s="178"/>
      <c r="I113" s="179"/>
      <c r="J113" s="404"/>
      <c r="K113" s="404"/>
      <c r="L113" s="404"/>
      <c r="M113" s="404"/>
      <c r="N113" s="180"/>
      <c r="O113" s="180"/>
      <c r="P113" s="180"/>
      <c r="Q113" s="180"/>
      <c r="R113" s="181"/>
      <c r="S113" s="181"/>
      <c r="T113" s="182"/>
      <c r="U113" s="182"/>
      <c r="V113" s="182"/>
      <c r="W113" s="182"/>
      <c r="X113" s="182"/>
      <c r="Y113" s="182"/>
      <c r="Z113" s="183"/>
      <c r="AA113" s="183"/>
    </row>
    <row r="114" spans="2:27" ht="14.1" customHeight="1">
      <c r="B114" s="175"/>
      <c r="C114" s="175"/>
      <c r="D114" s="176"/>
      <c r="E114" s="177"/>
      <c r="F114" s="178"/>
      <c r="G114" s="178"/>
      <c r="I114" s="179"/>
      <c r="J114" s="404"/>
      <c r="K114" s="404"/>
      <c r="L114" s="404"/>
      <c r="M114" s="404"/>
      <c r="N114" s="180"/>
      <c r="O114" s="180"/>
      <c r="P114" s="180"/>
      <c r="Q114" s="180"/>
      <c r="R114" s="181"/>
      <c r="S114" s="181"/>
      <c r="T114" s="182"/>
      <c r="U114" s="182"/>
      <c r="V114" s="182"/>
      <c r="W114" s="182"/>
      <c r="X114" s="182"/>
      <c r="Y114" s="182"/>
      <c r="Z114" s="183"/>
      <c r="AA114" s="183"/>
    </row>
    <row r="115" spans="2:27" ht="14.1" customHeight="1">
      <c r="B115" s="175"/>
      <c r="C115" s="175"/>
      <c r="D115" s="176"/>
      <c r="E115" s="177"/>
      <c r="F115" s="178"/>
      <c r="G115" s="178"/>
      <c r="I115" s="179"/>
      <c r="J115" s="404"/>
      <c r="K115" s="404"/>
      <c r="L115" s="404"/>
      <c r="M115" s="404"/>
      <c r="N115" s="180"/>
      <c r="O115" s="180"/>
      <c r="P115" s="180"/>
      <c r="Q115" s="180"/>
      <c r="R115" s="181"/>
      <c r="S115" s="181"/>
      <c r="T115" s="182"/>
      <c r="U115" s="182"/>
      <c r="V115" s="182"/>
      <c r="W115" s="182"/>
      <c r="X115" s="182"/>
      <c r="Y115" s="182"/>
      <c r="Z115" s="183"/>
      <c r="AA115" s="183"/>
    </row>
    <row r="116" spans="2:27" ht="14.1" customHeight="1">
      <c r="B116" s="175"/>
      <c r="C116" s="175"/>
      <c r="D116" s="176"/>
      <c r="E116" s="177"/>
      <c r="F116" s="178"/>
      <c r="G116" s="178"/>
      <c r="I116" s="179"/>
      <c r="J116" s="404"/>
      <c r="K116" s="404"/>
      <c r="L116" s="404"/>
      <c r="M116" s="404"/>
      <c r="N116" s="180"/>
      <c r="O116" s="180"/>
      <c r="P116" s="180"/>
      <c r="Q116" s="180"/>
      <c r="R116" s="181"/>
      <c r="S116" s="181"/>
      <c r="T116" s="182"/>
      <c r="U116" s="182"/>
      <c r="V116" s="182"/>
      <c r="W116" s="182"/>
      <c r="X116" s="182"/>
      <c r="Y116" s="182"/>
      <c r="Z116" s="183"/>
      <c r="AA116" s="183"/>
    </row>
    <row r="117" spans="2:27" ht="14.1" customHeight="1">
      <c r="B117" s="175"/>
      <c r="C117" s="175"/>
      <c r="D117" s="176"/>
      <c r="E117" s="177"/>
      <c r="F117" s="178"/>
      <c r="G117" s="178"/>
      <c r="I117" s="179"/>
      <c r="J117" s="404"/>
      <c r="K117" s="404"/>
      <c r="L117" s="404"/>
      <c r="M117" s="404"/>
      <c r="N117" s="180"/>
      <c r="O117" s="180"/>
      <c r="P117" s="180"/>
      <c r="Q117" s="180"/>
      <c r="R117" s="181"/>
      <c r="S117" s="181"/>
      <c r="T117" s="182"/>
      <c r="U117" s="182"/>
      <c r="V117" s="182"/>
      <c r="W117" s="182"/>
      <c r="X117" s="182"/>
      <c r="Y117" s="182"/>
      <c r="Z117" s="183"/>
      <c r="AA117" s="183"/>
    </row>
    <row r="118" spans="2:27" ht="14.1" customHeight="1">
      <c r="B118" s="175"/>
      <c r="C118" s="175"/>
      <c r="D118" s="176"/>
      <c r="E118" s="177"/>
      <c r="F118" s="178"/>
      <c r="G118" s="178"/>
      <c r="I118" s="179"/>
      <c r="J118" s="404"/>
      <c r="K118" s="404"/>
      <c r="L118" s="404"/>
      <c r="M118" s="404"/>
      <c r="N118" s="180"/>
      <c r="O118" s="180"/>
      <c r="P118" s="180"/>
      <c r="Q118" s="180"/>
      <c r="R118" s="181"/>
      <c r="S118" s="181"/>
      <c r="T118" s="182"/>
      <c r="U118" s="182"/>
      <c r="V118" s="182"/>
      <c r="W118" s="182"/>
      <c r="X118" s="182"/>
      <c r="Y118" s="182"/>
      <c r="Z118" s="183"/>
      <c r="AA118" s="183"/>
    </row>
    <row r="119" spans="2:27" ht="14.1" customHeight="1">
      <c r="B119" s="175"/>
      <c r="C119" s="175"/>
      <c r="D119" s="176"/>
      <c r="E119" s="177"/>
      <c r="F119" s="178"/>
      <c r="G119" s="178"/>
      <c r="I119" s="179"/>
      <c r="J119" s="404"/>
      <c r="K119" s="404"/>
      <c r="L119" s="404"/>
      <c r="M119" s="404"/>
      <c r="N119" s="180"/>
      <c r="O119" s="180"/>
      <c r="P119" s="180"/>
      <c r="Q119" s="180"/>
      <c r="R119" s="181"/>
      <c r="S119" s="181"/>
      <c r="T119" s="182"/>
      <c r="U119" s="182"/>
      <c r="V119" s="182"/>
      <c r="W119" s="182"/>
      <c r="X119" s="182"/>
      <c r="Y119" s="182"/>
      <c r="Z119" s="183"/>
      <c r="AA119" s="183"/>
    </row>
    <row r="120" spans="2:27" ht="14.1" customHeight="1">
      <c r="B120" s="175"/>
      <c r="C120" s="175"/>
      <c r="D120" s="176"/>
      <c r="E120" s="177"/>
      <c r="F120" s="178"/>
      <c r="G120" s="178"/>
      <c r="I120" s="179"/>
      <c r="J120" s="404"/>
      <c r="K120" s="404"/>
      <c r="L120" s="404"/>
      <c r="M120" s="404"/>
      <c r="N120" s="180"/>
      <c r="O120" s="180"/>
      <c r="P120" s="180"/>
      <c r="Q120" s="180"/>
      <c r="R120" s="181"/>
      <c r="S120" s="181"/>
      <c r="T120" s="182"/>
      <c r="U120" s="182"/>
      <c r="V120" s="182"/>
      <c r="W120" s="182"/>
      <c r="X120" s="182"/>
      <c r="Y120" s="182"/>
      <c r="Z120" s="183"/>
      <c r="AA120" s="183"/>
    </row>
    <row r="121" spans="2:27" ht="14.1" customHeight="1">
      <c r="B121" s="175"/>
      <c r="C121" s="175"/>
      <c r="D121" s="176"/>
      <c r="E121" s="177"/>
      <c r="F121" s="178"/>
      <c r="G121" s="178"/>
      <c r="I121" s="179"/>
      <c r="J121" s="404"/>
      <c r="K121" s="404"/>
      <c r="L121" s="404"/>
      <c r="M121" s="404"/>
      <c r="N121" s="180"/>
      <c r="O121" s="180"/>
      <c r="P121" s="180"/>
      <c r="Q121" s="180"/>
      <c r="R121" s="181"/>
      <c r="S121" s="181"/>
      <c r="T121" s="182"/>
      <c r="U121" s="182"/>
      <c r="V121" s="182"/>
      <c r="W121" s="182"/>
      <c r="X121" s="182"/>
      <c r="Y121" s="182"/>
      <c r="Z121" s="183"/>
      <c r="AA121" s="183"/>
    </row>
    <row r="122" spans="2:27" ht="14.1" customHeight="1">
      <c r="B122" s="175"/>
      <c r="C122" s="175"/>
      <c r="D122" s="176"/>
      <c r="E122" s="177"/>
      <c r="F122" s="178"/>
      <c r="G122" s="178"/>
      <c r="I122" s="179"/>
      <c r="J122" s="404"/>
      <c r="K122" s="404"/>
      <c r="L122" s="404"/>
      <c r="M122" s="404"/>
      <c r="N122" s="180"/>
      <c r="O122" s="180"/>
      <c r="P122" s="180"/>
      <c r="Q122" s="180"/>
      <c r="R122" s="181"/>
      <c r="S122" s="181"/>
      <c r="T122" s="182"/>
      <c r="U122" s="182"/>
      <c r="V122" s="182"/>
      <c r="W122" s="182"/>
      <c r="X122" s="182"/>
      <c r="Y122" s="182"/>
      <c r="Z122" s="183"/>
      <c r="AA122" s="183"/>
    </row>
    <row r="123" spans="2:27" ht="14.1" customHeight="1">
      <c r="B123" s="175"/>
      <c r="C123" s="175"/>
      <c r="D123" s="176"/>
      <c r="E123" s="177"/>
      <c r="F123" s="178"/>
      <c r="G123" s="178"/>
      <c r="I123" s="179"/>
      <c r="J123" s="404"/>
      <c r="K123" s="404"/>
      <c r="L123" s="404"/>
      <c r="M123" s="404"/>
      <c r="N123" s="180"/>
      <c r="O123" s="180"/>
      <c r="P123" s="180"/>
      <c r="Q123" s="180"/>
      <c r="R123" s="181"/>
      <c r="S123" s="181"/>
      <c r="T123" s="182"/>
      <c r="U123" s="182"/>
      <c r="V123" s="182"/>
      <c r="W123" s="182"/>
      <c r="X123" s="182"/>
      <c r="Y123" s="182"/>
      <c r="Z123" s="183"/>
      <c r="AA123" s="183"/>
    </row>
    <row r="124" spans="2:27" ht="14.1" customHeight="1">
      <c r="B124" s="175"/>
      <c r="C124" s="175"/>
      <c r="D124" s="176"/>
      <c r="E124" s="177"/>
      <c r="F124" s="178"/>
      <c r="G124" s="178"/>
      <c r="I124" s="179"/>
      <c r="J124" s="404"/>
      <c r="K124" s="404"/>
      <c r="L124" s="404"/>
      <c r="M124" s="404"/>
      <c r="N124" s="180"/>
      <c r="O124" s="180"/>
      <c r="P124" s="180"/>
      <c r="Q124" s="180"/>
      <c r="R124" s="181"/>
      <c r="S124" s="181"/>
      <c r="T124" s="182"/>
      <c r="U124" s="182"/>
      <c r="V124" s="182"/>
      <c r="W124" s="182"/>
      <c r="X124" s="182"/>
      <c r="Y124" s="182"/>
      <c r="Z124" s="183"/>
      <c r="AA124" s="183"/>
    </row>
    <row r="125" spans="2:27" ht="14.1" customHeight="1">
      <c r="B125" s="175"/>
      <c r="C125" s="175"/>
      <c r="D125" s="176"/>
      <c r="E125" s="177"/>
      <c r="F125" s="178"/>
      <c r="G125" s="178"/>
      <c r="I125" s="179"/>
      <c r="J125" s="404"/>
      <c r="K125" s="404"/>
      <c r="L125" s="404"/>
      <c r="M125" s="404"/>
      <c r="N125" s="180"/>
      <c r="O125" s="180"/>
      <c r="P125" s="180"/>
      <c r="Q125" s="180"/>
      <c r="R125" s="181"/>
      <c r="S125" s="181"/>
      <c r="T125" s="182"/>
      <c r="U125" s="182"/>
      <c r="V125" s="182"/>
      <c r="W125" s="182"/>
      <c r="X125" s="182"/>
      <c r="Y125" s="182"/>
      <c r="Z125" s="183"/>
      <c r="AA125" s="183"/>
    </row>
    <row r="126" spans="2:27" ht="14.1" customHeight="1">
      <c r="B126" s="175"/>
      <c r="C126" s="175"/>
      <c r="D126" s="176"/>
      <c r="E126" s="177"/>
      <c r="F126" s="178"/>
      <c r="G126" s="178"/>
      <c r="I126" s="179"/>
      <c r="J126" s="404"/>
      <c r="K126" s="404"/>
      <c r="L126" s="404"/>
      <c r="M126" s="404"/>
      <c r="N126" s="180"/>
      <c r="O126" s="180"/>
      <c r="P126" s="180"/>
      <c r="Q126" s="180"/>
      <c r="R126" s="181"/>
      <c r="S126" s="181"/>
      <c r="T126" s="182"/>
      <c r="U126" s="182"/>
      <c r="V126" s="182"/>
      <c r="W126" s="182"/>
      <c r="X126" s="182"/>
      <c r="Y126" s="182"/>
      <c r="Z126" s="183"/>
      <c r="AA126" s="183"/>
    </row>
    <row r="127" spans="2:27" ht="14.1" customHeight="1">
      <c r="B127" s="175"/>
      <c r="C127" s="175"/>
      <c r="D127" s="176"/>
      <c r="E127" s="177"/>
      <c r="F127" s="178"/>
      <c r="G127" s="178"/>
      <c r="I127" s="179"/>
      <c r="J127" s="404"/>
      <c r="K127" s="404"/>
      <c r="L127" s="404"/>
      <c r="M127" s="404"/>
      <c r="N127" s="180"/>
      <c r="O127" s="180"/>
      <c r="P127" s="180"/>
      <c r="Q127" s="180"/>
      <c r="R127" s="181"/>
      <c r="S127" s="181"/>
      <c r="T127" s="182"/>
      <c r="U127" s="182"/>
      <c r="V127" s="182"/>
      <c r="W127" s="182"/>
      <c r="X127" s="182"/>
      <c r="Y127" s="182"/>
      <c r="Z127" s="183"/>
      <c r="AA127" s="183"/>
    </row>
    <row r="128" spans="2:27" ht="14.1" customHeight="1">
      <c r="B128" s="175"/>
      <c r="C128" s="175"/>
      <c r="D128" s="176"/>
      <c r="E128" s="177"/>
      <c r="F128" s="178"/>
      <c r="G128" s="178"/>
      <c r="I128" s="179"/>
      <c r="J128" s="404"/>
      <c r="K128" s="404"/>
      <c r="L128" s="404"/>
      <c r="M128" s="404"/>
      <c r="N128" s="180"/>
      <c r="O128" s="180"/>
      <c r="P128" s="180"/>
      <c r="Q128" s="180"/>
      <c r="R128" s="181"/>
      <c r="S128" s="181"/>
      <c r="T128" s="182"/>
      <c r="U128" s="182"/>
      <c r="V128" s="182"/>
      <c r="W128" s="182"/>
      <c r="X128" s="182"/>
      <c r="Y128" s="182"/>
      <c r="Z128" s="183"/>
      <c r="AA128" s="183"/>
    </row>
    <row r="129" spans="2:27" ht="14.1" customHeight="1">
      <c r="B129" s="175"/>
      <c r="C129" s="175"/>
      <c r="D129" s="176"/>
      <c r="E129" s="177"/>
      <c r="F129" s="178"/>
      <c r="G129" s="178"/>
      <c r="I129" s="179"/>
      <c r="J129" s="404"/>
      <c r="K129" s="404"/>
      <c r="L129" s="404"/>
      <c r="M129" s="404"/>
      <c r="N129" s="180"/>
      <c r="O129" s="180"/>
      <c r="P129" s="180"/>
      <c r="Q129" s="180"/>
      <c r="R129" s="181"/>
      <c r="S129" s="181"/>
      <c r="T129" s="182"/>
      <c r="U129" s="182"/>
      <c r="V129" s="182"/>
      <c r="W129" s="182"/>
      <c r="X129" s="182"/>
      <c r="Y129" s="182"/>
      <c r="Z129" s="183"/>
      <c r="AA129" s="183"/>
    </row>
    <row r="130" spans="2:27" ht="14.1" customHeight="1">
      <c r="B130" s="175"/>
      <c r="C130" s="175"/>
      <c r="D130" s="176"/>
      <c r="E130" s="177"/>
      <c r="F130" s="178"/>
      <c r="G130" s="178"/>
      <c r="I130" s="179"/>
      <c r="J130" s="404"/>
      <c r="K130" s="404"/>
      <c r="L130" s="404"/>
      <c r="M130" s="404"/>
      <c r="N130" s="180"/>
      <c r="O130" s="180"/>
      <c r="P130" s="180"/>
      <c r="Q130" s="180"/>
      <c r="R130" s="181"/>
      <c r="S130" s="181"/>
      <c r="T130" s="182"/>
      <c r="U130" s="182"/>
      <c r="V130" s="182"/>
      <c r="W130" s="182"/>
      <c r="X130" s="182"/>
      <c r="Y130" s="182"/>
      <c r="Z130" s="183"/>
      <c r="AA130" s="183"/>
    </row>
    <row r="131" spans="2:27" ht="14.1" customHeight="1">
      <c r="B131" s="175"/>
      <c r="C131" s="175"/>
      <c r="D131" s="176"/>
      <c r="E131" s="177"/>
      <c r="F131" s="178"/>
      <c r="G131" s="178"/>
      <c r="I131" s="179"/>
      <c r="J131" s="404"/>
      <c r="K131" s="404"/>
      <c r="L131" s="404"/>
      <c r="M131" s="404"/>
      <c r="N131" s="180"/>
      <c r="O131" s="180"/>
      <c r="P131" s="180"/>
      <c r="Q131" s="180"/>
      <c r="R131" s="181"/>
      <c r="S131" s="181"/>
      <c r="T131" s="182"/>
      <c r="U131" s="182"/>
      <c r="V131" s="182"/>
      <c r="W131" s="182"/>
      <c r="X131" s="182"/>
      <c r="Y131" s="182"/>
      <c r="Z131" s="183"/>
      <c r="AA131" s="183"/>
    </row>
    <row r="132" spans="2:27" ht="14.1" customHeight="1">
      <c r="B132" s="175"/>
      <c r="C132" s="175"/>
      <c r="D132" s="176"/>
      <c r="E132" s="177"/>
      <c r="F132" s="178"/>
      <c r="G132" s="178"/>
      <c r="I132" s="179"/>
      <c r="J132" s="404"/>
      <c r="K132" s="404"/>
      <c r="L132" s="404"/>
      <c r="M132" s="404"/>
      <c r="N132" s="180"/>
      <c r="O132" s="180"/>
      <c r="P132" s="180"/>
      <c r="Q132" s="180"/>
      <c r="R132" s="181"/>
      <c r="S132" s="181"/>
      <c r="T132" s="182"/>
      <c r="U132" s="182"/>
      <c r="V132" s="182"/>
      <c r="W132" s="182"/>
      <c r="X132" s="182"/>
      <c r="Y132" s="182"/>
      <c r="Z132" s="183"/>
      <c r="AA132" s="183"/>
    </row>
    <row r="133" spans="2:27" ht="14.1" customHeight="1">
      <c r="B133" s="175"/>
      <c r="C133" s="175"/>
      <c r="D133" s="176"/>
      <c r="E133" s="177"/>
      <c r="F133" s="178"/>
      <c r="G133" s="178"/>
      <c r="I133" s="179"/>
      <c r="J133" s="404"/>
      <c r="K133" s="404"/>
      <c r="L133" s="404"/>
      <c r="M133" s="404"/>
      <c r="N133" s="180"/>
      <c r="O133" s="180"/>
      <c r="P133" s="180"/>
      <c r="Q133" s="180"/>
      <c r="R133" s="181"/>
      <c r="S133" s="181"/>
      <c r="T133" s="182"/>
      <c r="U133" s="182"/>
      <c r="V133" s="182"/>
      <c r="W133" s="182"/>
      <c r="X133" s="182"/>
      <c r="Y133" s="182"/>
      <c r="Z133" s="183"/>
      <c r="AA133" s="183"/>
    </row>
    <row r="134" spans="2:27" ht="14.1" customHeight="1">
      <c r="B134" s="175"/>
      <c r="C134" s="175"/>
      <c r="D134" s="176"/>
      <c r="E134" s="177"/>
      <c r="F134" s="178"/>
      <c r="G134" s="178"/>
      <c r="I134" s="179"/>
      <c r="J134" s="404"/>
      <c r="K134" s="404"/>
      <c r="L134" s="404"/>
      <c r="M134" s="404"/>
      <c r="N134" s="180"/>
      <c r="O134" s="180"/>
      <c r="P134" s="180"/>
      <c r="Q134" s="180"/>
      <c r="R134" s="181"/>
      <c r="S134" s="181"/>
      <c r="T134" s="182"/>
      <c r="U134" s="182"/>
      <c r="V134" s="182"/>
      <c r="W134" s="182"/>
      <c r="X134" s="182"/>
      <c r="Y134" s="182"/>
      <c r="Z134" s="183"/>
      <c r="AA134" s="183"/>
    </row>
    <row r="135" spans="2:27" ht="14.1" customHeight="1">
      <c r="B135" s="175"/>
      <c r="C135" s="175"/>
      <c r="D135" s="176"/>
      <c r="E135" s="177"/>
      <c r="F135" s="178"/>
      <c r="G135" s="178"/>
      <c r="I135" s="179"/>
      <c r="J135" s="404"/>
      <c r="K135" s="404"/>
      <c r="L135" s="404"/>
      <c r="M135" s="404"/>
      <c r="N135" s="180"/>
      <c r="O135" s="180"/>
      <c r="P135" s="180"/>
      <c r="Q135" s="180"/>
      <c r="R135" s="181"/>
      <c r="S135" s="181"/>
      <c r="T135" s="182"/>
      <c r="U135" s="182"/>
      <c r="V135" s="182"/>
      <c r="W135" s="182"/>
      <c r="X135" s="182"/>
      <c r="Y135" s="182"/>
      <c r="Z135" s="183"/>
      <c r="AA135" s="183"/>
    </row>
    <row r="136" spans="2:27" ht="14.1" customHeight="1">
      <c r="B136" s="175"/>
      <c r="C136" s="175"/>
      <c r="D136" s="176"/>
      <c r="E136" s="177"/>
      <c r="F136" s="178"/>
      <c r="G136" s="178"/>
      <c r="I136" s="179"/>
      <c r="J136" s="404"/>
      <c r="K136" s="404"/>
      <c r="L136" s="404"/>
      <c r="M136" s="404"/>
      <c r="N136" s="180"/>
      <c r="O136" s="180"/>
      <c r="P136" s="180"/>
      <c r="Q136" s="180"/>
      <c r="R136" s="181"/>
      <c r="S136" s="181"/>
      <c r="T136" s="182"/>
      <c r="U136" s="182"/>
      <c r="V136" s="182"/>
      <c r="W136" s="182"/>
      <c r="X136" s="182"/>
      <c r="Y136" s="182"/>
      <c r="Z136" s="183"/>
      <c r="AA136" s="183"/>
    </row>
    <row r="137" spans="2:27" ht="14.1" customHeight="1">
      <c r="B137" s="175"/>
      <c r="C137" s="175"/>
      <c r="D137" s="176"/>
      <c r="E137" s="177"/>
      <c r="F137" s="178"/>
      <c r="G137" s="178"/>
      <c r="I137" s="179"/>
      <c r="J137" s="404"/>
      <c r="K137" s="404"/>
      <c r="L137" s="404"/>
      <c r="M137" s="404"/>
      <c r="N137" s="180"/>
      <c r="O137" s="180"/>
      <c r="P137" s="180"/>
      <c r="Q137" s="180"/>
      <c r="R137" s="181"/>
      <c r="S137" s="181"/>
      <c r="T137" s="182"/>
      <c r="U137" s="182"/>
      <c r="V137" s="182"/>
      <c r="W137" s="182"/>
      <c r="X137" s="182"/>
      <c r="Y137" s="182"/>
      <c r="Z137" s="183"/>
      <c r="AA137" s="183"/>
    </row>
    <row r="138" spans="2:27" ht="14.1" customHeight="1">
      <c r="B138" s="175"/>
      <c r="C138" s="175"/>
      <c r="D138" s="176"/>
      <c r="E138" s="177"/>
      <c r="F138" s="178"/>
      <c r="G138" s="178"/>
      <c r="I138" s="179"/>
      <c r="J138" s="404"/>
      <c r="K138" s="404"/>
      <c r="L138" s="404"/>
      <c r="M138" s="404"/>
      <c r="N138" s="180"/>
      <c r="O138" s="180"/>
      <c r="P138" s="180"/>
      <c r="Q138" s="180"/>
      <c r="R138" s="181"/>
      <c r="S138" s="181"/>
      <c r="T138" s="182"/>
      <c r="U138" s="182"/>
      <c r="V138" s="182"/>
      <c r="W138" s="182"/>
      <c r="X138" s="182"/>
      <c r="Y138" s="182"/>
      <c r="Z138" s="183"/>
      <c r="AA138" s="183"/>
    </row>
    <row r="139" spans="2:27" ht="14.1" customHeight="1">
      <c r="B139" s="175"/>
      <c r="C139" s="175"/>
      <c r="D139" s="176"/>
      <c r="E139" s="177"/>
      <c r="F139" s="178"/>
      <c r="G139" s="178"/>
      <c r="I139" s="179"/>
      <c r="J139" s="404"/>
      <c r="K139" s="404"/>
      <c r="L139" s="404"/>
      <c r="M139" s="404"/>
      <c r="N139" s="180"/>
      <c r="O139" s="180"/>
      <c r="P139" s="180"/>
      <c r="Q139" s="180"/>
      <c r="R139" s="181"/>
      <c r="S139" s="181"/>
      <c r="T139" s="182"/>
      <c r="U139" s="182"/>
      <c r="V139" s="182"/>
      <c r="W139" s="182"/>
      <c r="X139" s="182"/>
      <c r="Y139" s="182"/>
      <c r="Z139" s="183"/>
      <c r="AA139" s="183"/>
    </row>
    <row r="140" spans="2:27" ht="14.1" customHeight="1">
      <c r="B140" s="175"/>
      <c r="C140" s="175"/>
      <c r="D140" s="176"/>
      <c r="E140" s="177"/>
      <c r="F140" s="178"/>
      <c r="G140" s="178"/>
      <c r="I140" s="179"/>
      <c r="J140" s="404"/>
      <c r="K140" s="404"/>
      <c r="L140" s="404"/>
      <c r="M140" s="404"/>
      <c r="N140" s="180"/>
      <c r="O140" s="180"/>
      <c r="P140" s="180"/>
      <c r="Q140" s="180"/>
      <c r="R140" s="181"/>
      <c r="S140" s="181"/>
      <c r="T140" s="182"/>
      <c r="U140" s="182"/>
      <c r="V140" s="182"/>
      <c r="W140" s="182"/>
      <c r="X140" s="182"/>
      <c r="Y140" s="182"/>
      <c r="Z140" s="183"/>
      <c r="AA140" s="183"/>
    </row>
    <row r="141" spans="2:27" ht="14.1" customHeight="1">
      <c r="B141" s="175"/>
      <c r="C141" s="175"/>
      <c r="D141" s="176"/>
      <c r="E141" s="177"/>
      <c r="F141" s="178"/>
      <c r="G141" s="178"/>
      <c r="I141" s="179"/>
      <c r="J141" s="404"/>
      <c r="K141" s="404"/>
      <c r="L141" s="404"/>
      <c r="M141" s="404"/>
      <c r="N141" s="180"/>
      <c r="O141" s="180"/>
      <c r="P141" s="180"/>
      <c r="Q141" s="180"/>
      <c r="R141" s="181"/>
      <c r="S141" s="181"/>
      <c r="T141" s="182"/>
      <c r="U141" s="182"/>
      <c r="V141" s="182"/>
      <c r="W141" s="182"/>
      <c r="X141" s="182"/>
      <c r="Y141" s="182"/>
      <c r="Z141" s="183"/>
      <c r="AA141" s="183"/>
    </row>
    <row r="142" spans="2:27" ht="14.1" customHeight="1">
      <c r="B142" s="175"/>
      <c r="C142" s="175"/>
      <c r="D142" s="176"/>
      <c r="E142" s="177"/>
      <c r="F142" s="178"/>
      <c r="G142" s="178"/>
      <c r="I142" s="179"/>
      <c r="J142" s="404"/>
      <c r="K142" s="404"/>
      <c r="L142" s="404"/>
      <c r="M142" s="404"/>
      <c r="N142" s="180"/>
      <c r="O142" s="180"/>
      <c r="P142" s="180"/>
      <c r="Q142" s="180"/>
      <c r="R142" s="181"/>
      <c r="S142" s="181"/>
      <c r="T142" s="182"/>
      <c r="U142" s="182"/>
      <c r="V142" s="182"/>
      <c r="W142" s="182"/>
      <c r="X142" s="182"/>
      <c r="Y142" s="182"/>
      <c r="Z142" s="183"/>
      <c r="AA142" s="183"/>
    </row>
    <row r="143" spans="2:27" ht="14.1" customHeight="1">
      <c r="B143" s="175"/>
      <c r="C143" s="175"/>
      <c r="D143" s="176"/>
      <c r="E143" s="177"/>
      <c r="F143" s="178"/>
      <c r="G143" s="178"/>
      <c r="I143" s="179"/>
      <c r="J143" s="404"/>
      <c r="K143" s="404"/>
      <c r="L143" s="404"/>
      <c r="M143" s="404"/>
      <c r="N143" s="180"/>
      <c r="O143" s="180"/>
      <c r="P143" s="180"/>
      <c r="Q143" s="180"/>
      <c r="R143" s="181"/>
      <c r="S143" s="181"/>
      <c r="T143" s="182"/>
      <c r="U143" s="182"/>
      <c r="V143" s="182"/>
      <c r="W143" s="182"/>
      <c r="X143" s="182"/>
      <c r="Y143" s="182"/>
      <c r="Z143" s="183"/>
      <c r="AA143" s="183"/>
    </row>
    <row r="144" spans="2:27" ht="14.1" customHeight="1">
      <c r="B144" s="175"/>
      <c r="C144" s="175"/>
      <c r="D144" s="176"/>
      <c r="E144" s="177"/>
      <c r="F144" s="178"/>
      <c r="G144" s="178"/>
      <c r="I144" s="179"/>
      <c r="J144" s="404"/>
      <c r="K144" s="404"/>
      <c r="L144" s="404"/>
      <c r="M144" s="404"/>
      <c r="N144" s="180"/>
      <c r="O144" s="180"/>
      <c r="P144" s="180"/>
      <c r="Q144" s="180"/>
      <c r="R144" s="181"/>
      <c r="S144" s="181"/>
      <c r="T144" s="182"/>
      <c r="U144" s="182"/>
      <c r="V144" s="182"/>
      <c r="W144" s="182"/>
      <c r="X144" s="182"/>
      <c r="Y144" s="182"/>
      <c r="Z144" s="183"/>
      <c r="AA144" s="183"/>
    </row>
    <row r="145" spans="2:27" ht="14.1" customHeight="1">
      <c r="B145" s="175"/>
      <c r="C145" s="175"/>
      <c r="D145" s="176"/>
      <c r="E145" s="177"/>
      <c r="F145" s="178"/>
      <c r="G145" s="178"/>
      <c r="I145" s="179"/>
      <c r="J145" s="404"/>
      <c r="K145" s="404"/>
      <c r="L145" s="404"/>
      <c r="M145" s="404"/>
      <c r="N145" s="180"/>
      <c r="O145" s="180"/>
      <c r="P145" s="180"/>
      <c r="Q145" s="180"/>
      <c r="R145" s="181"/>
      <c r="S145" s="181"/>
      <c r="T145" s="182"/>
      <c r="U145" s="182"/>
      <c r="V145" s="182"/>
      <c r="W145" s="182"/>
      <c r="X145" s="182"/>
      <c r="Y145" s="182"/>
      <c r="Z145" s="183"/>
      <c r="AA145" s="183"/>
    </row>
    <row r="146" spans="2:27" ht="14.1" customHeight="1">
      <c r="B146" s="175"/>
      <c r="C146" s="175"/>
      <c r="D146" s="176"/>
      <c r="E146" s="177"/>
      <c r="F146" s="178"/>
      <c r="G146" s="178"/>
      <c r="I146" s="179"/>
      <c r="J146" s="404"/>
      <c r="K146" s="404"/>
      <c r="L146" s="404"/>
      <c r="M146" s="404"/>
      <c r="N146" s="180"/>
      <c r="O146" s="180"/>
      <c r="P146" s="180"/>
      <c r="Q146" s="180"/>
      <c r="R146" s="181"/>
      <c r="S146" s="181"/>
      <c r="T146" s="182"/>
      <c r="U146" s="182"/>
      <c r="V146" s="182"/>
      <c r="W146" s="182"/>
      <c r="X146" s="182"/>
      <c r="Y146" s="182"/>
      <c r="Z146" s="183"/>
      <c r="AA146" s="183"/>
    </row>
    <row r="147" spans="2:27" ht="14.1" customHeight="1">
      <c r="B147" s="175"/>
      <c r="C147" s="175"/>
      <c r="D147" s="176"/>
      <c r="E147" s="177"/>
      <c r="F147" s="178"/>
      <c r="G147" s="178"/>
      <c r="I147" s="179"/>
      <c r="J147" s="404"/>
      <c r="K147" s="404"/>
      <c r="L147" s="404"/>
      <c r="M147" s="404"/>
      <c r="N147" s="180"/>
      <c r="O147" s="180"/>
      <c r="P147" s="180"/>
      <c r="Q147" s="180"/>
      <c r="R147" s="181"/>
      <c r="S147" s="181"/>
      <c r="T147" s="182"/>
      <c r="U147" s="182"/>
      <c r="V147" s="182"/>
      <c r="W147" s="182"/>
      <c r="X147" s="182"/>
      <c r="Y147" s="182"/>
      <c r="Z147" s="183"/>
      <c r="AA147" s="183"/>
    </row>
    <row r="148" spans="2:27" ht="14.1" customHeight="1">
      <c r="B148" s="175"/>
      <c r="C148" s="175"/>
      <c r="D148" s="176"/>
      <c r="E148" s="177"/>
      <c r="F148" s="178"/>
      <c r="G148" s="178"/>
      <c r="I148" s="179"/>
      <c r="J148" s="404"/>
      <c r="K148" s="404"/>
      <c r="L148" s="404"/>
      <c r="M148" s="404"/>
      <c r="N148" s="180"/>
      <c r="O148" s="180"/>
      <c r="P148" s="180"/>
      <c r="Q148" s="180"/>
      <c r="R148" s="181"/>
      <c r="S148" s="181"/>
      <c r="T148" s="182"/>
      <c r="U148" s="182"/>
      <c r="V148" s="182"/>
      <c r="W148" s="182"/>
      <c r="X148" s="182"/>
      <c r="Y148" s="182"/>
      <c r="Z148" s="183"/>
      <c r="AA148" s="183"/>
    </row>
    <row r="149" spans="2:27" ht="14.1" customHeight="1">
      <c r="B149" s="175"/>
      <c r="C149" s="175"/>
      <c r="D149" s="176"/>
      <c r="E149" s="177"/>
      <c r="F149" s="178"/>
      <c r="G149" s="178"/>
      <c r="I149" s="179"/>
      <c r="J149" s="404"/>
      <c r="K149" s="404"/>
      <c r="L149" s="404"/>
      <c r="M149" s="404"/>
      <c r="N149" s="180"/>
      <c r="O149" s="180"/>
      <c r="P149" s="180"/>
      <c r="Q149" s="180"/>
      <c r="R149" s="181"/>
      <c r="S149" s="181"/>
      <c r="T149" s="182"/>
      <c r="U149" s="182"/>
      <c r="V149" s="182"/>
      <c r="W149" s="182"/>
      <c r="X149" s="182"/>
      <c r="Y149" s="182"/>
      <c r="Z149" s="183"/>
      <c r="AA149" s="183"/>
    </row>
    <row r="150" spans="2:27" ht="14.1" customHeight="1">
      <c r="B150" s="175"/>
      <c r="C150" s="175"/>
      <c r="D150" s="176"/>
      <c r="E150" s="177"/>
      <c r="F150" s="178"/>
      <c r="G150" s="178"/>
      <c r="I150" s="179"/>
      <c r="J150" s="404"/>
      <c r="K150" s="404"/>
      <c r="L150" s="404"/>
      <c r="M150" s="404"/>
      <c r="N150" s="180"/>
      <c r="O150" s="180"/>
      <c r="P150" s="180"/>
      <c r="Q150" s="180"/>
      <c r="R150" s="181"/>
      <c r="S150" s="181"/>
      <c r="T150" s="182"/>
      <c r="U150" s="182"/>
      <c r="V150" s="182"/>
      <c r="W150" s="182"/>
      <c r="X150" s="182"/>
      <c r="Y150" s="182"/>
      <c r="Z150" s="183"/>
      <c r="AA150" s="183"/>
    </row>
    <row r="151" spans="2:27" ht="14.1" customHeight="1">
      <c r="B151" s="175"/>
      <c r="C151" s="175"/>
      <c r="D151" s="176"/>
      <c r="E151" s="177"/>
      <c r="F151" s="178"/>
      <c r="G151" s="178"/>
      <c r="I151" s="179"/>
      <c r="J151" s="404"/>
      <c r="K151" s="404"/>
      <c r="L151" s="404"/>
      <c r="M151" s="404"/>
      <c r="N151" s="180"/>
      <c r="O151" s="180"/>
      <c r="P151" s="180"/>
      <c r="Q151" s="180"/>
      <c r="R151" s="181"/>
      <c r="S151" s="181"/>
      <c r="T151" s="182"/>
      <c r="U151" s="182"/>
      <c r="V151" s="182"/>
      <c r="W151" s="182"/>
      <c r="X151" s="182"/>
      <c r="Y151" s="182"/>
      <c r="Z151" s="183"/>
      <c r="AA151" s="183"/>
    </row>
    <row r="152" spans="2:27" ht="14.1" customHeight="1">
      <c r="B152" s="175"/>
      <c r="C152" s="175"/>
      <c r="D152" s="176"/>
      <c r="E152" s="177"/>
      <c r="F152" s="178"/>
      <c r="G152" s="178"/>
      <c r="I152" s="179"/>
      <c r="J152" s="404"/>
      <c r="K152" s="404"/>
      <c r="L152" s="404"/>
      <c r="M152" s="404"/>
      <c r="N152" s="180"/>
      <c r="O152" s="180"/>
      <c r="P152" s="180"/>
      <c r="Q152" s="180"/>
      <c r="R152" s="181"/>
      <c r="S152" s="181"/>
      <c r="T152" s="182"/>
      <c r="U152" s="182"/>
      <c r="V152" s="182"/>
      <c r="W152" s="182"/>
      <c r="X152" s="182"/>
      <c r="Y152" s="182"/>
      <c r="Z152" s="183"/>
      <c r="AA152" s="183"/>
    </row>
    <row r="153" spans="2:27" ht="14.1" customHeight="1">
      <c r="B153" s="175"/>
      <c r="C153" s="175"/>
      <c r="D153" s="176"/>
      <c r="E153" s="177"/>
      <c r="F153" s="178"/>
      <c r="G153" s="178"/>
      <c r="I153" s="179"/>
      <c r="J153" s="404"/>
      <c r="K153" s="404"/>
      <c r="L153" s="404"/>
      <c r="M153" s="404"/>
      <c r="N153" s="180"/>
      <c r="O153" s="180"/>
      <c r="P153" s="180"/>
      <c r="Q153" s="180"/>
      <c r="R153" s="181"/>
      <c r="S153" s="181"/>
      <c r="T153" s="182"/>
      <c r="U153" s="182"/>
      <c r="V153" s="182"/>
      <c r="W153" s="182"/>
      <c r="X153" s="182"/>
      <c r="Y153" s="182"/>
      <c r="Z153" s="183"/>
      <c r="AA153" s="183"/>
    </row>
    <row r="154" spans="2:27" ht="14.1" customHeight="1">
      <c r="B154" s="175"/>
      <c r="C154" s="175"/>
      <c r="D154" s="176"/>
      <c r="E154" s="177"/>
      <c r="F154" s="178"/>
      <c r="G154" s="178"/>
      <c r="I154" s="179"/>
      <c r="J154" s="404"/>
      <c r="K154" s="404"/>
      <c r="L154" s="404"/>
      <c r="M154" s="404"/>
      <c r="N154" s="180"/>
      <c r="O154" s="180"/>
      <c r="P154" s="180"/>
      <c r="Q154" s="180"/>
      <c r="R154" s="181"/>
      <c r="S154" s="181"/>
      <c r="T154" s="182"/>
      <c r="U154" s="182"/>
      <c r="V154" s="182"/>
      <c r="W154" s="182"/>
      <c r="X154" s="182"/>
      <c r="Y154" s="182"/>
      <c r="Z154" s="183"/>
      <c r="AA154" s="183"/>
    </row>
    <row r="155" spans="2:27" ht="14.1" customHeight="1">
      <c r="B155" s="175"/>
      <c r="C155" s="175"/>
      <c r="D155" s="176"/>
      <c r="E155" s="177"/>
      <c r="F155" s="178"/>
      <c r="G155" s="178"/>
      <c r="I155" s="179"/>
      <c r="J155" s="404"/>
      <c r="K155" s="404"/>
      <c r="L155" s="404"/>
      <c r="M155" s="404"/>
      <c r="N155" s="180"/>
      <c r="O155" s="180"/>
      <c r="P155" s="180"/>
      <c r="Q155" s="180"/>
      <c r="R155" s="181"/>
      <c r="S155" s="181"/>
      <c r="T155" s="182"/>
      <c r="U155" s="182"/>
      <c r="V155" s="182"/>
      <c r="W155" s="182"/>
      <c r="X155" s="182"/>
      <c r="Y155" s="182"/>
      <c r="Z155" s="183"/>
      <c r="AA155" s="183"/>
    </row>
    <row r="156" spans="2:27" ht="14.1" customHeight="1">
      <c r="B156" s="175"/>
      <c r="C156" s="175"/>
      <c r="D156" s="176"/>
      <c r="E156" s="177"/>
      <c r="F156" s="178"/>
      <c r="G156" s="178"/>
      <c r="I156" s="179"/>
      <c r="J156" s="404"/>
      <c r="K156" s="404"/>
      <c r="L156" s="404"/>
      <c r="M156" s="404"/>
      <c r="N156" s="180"/>
      <c r="O156" s="180"/>
      <c r="P156" s="180"/>
      <c r="Q156" s="180"/>
      <c r="R156" s="181"/>
      <c r="S156" s="181"/>
      <c r="T156" s="182"/>
      <c r="U156" s="182"/>
      <c r="V156" s="182"/>
      <c r="W156" s="182"/>
      <c r="X156" s="182"/>
      <c r="Y156" s="182"/>
      <c r="Z156" s="183"/>
      <c r="AA156" s="183"/>
    </row>
    <row r="157" spans="2:27" ht="14.1" customHeight="1">
      <c r="B157" s="175"/>
      <c r="C157" s="175"/>
      <c r="D157" s="176"/>
      <c r="E157" s="177"/>
      <c r="F157" s="178"/>
      <c r="G157" s="178"/>
      <c r="I157" s="179"/>
      <c r="J157" s="404"/>
      <c r="K157" s="404"/>
      <c r="L157" s="404"/>
      <c r="M157" s="404"/>
      <c r="N157" s="180"/>
      <c r="O157" s="180"/>
      <c r="P157" s="180"/>
      <c r="Q157" s="180"/>
      <c r="R157" s="181"/>
      <c r="S157" s="181"/>
      <c r="T157" s="182"/>
      <c r="U157" s="182"/>
      <c r="V157" s="182"/>
      <c r="W157" s="182"/>
      <c r="X157" s="182"/>
      <c r="Y157" s="182"/>
      <c r="Z157" s="183"/>
      <c r="AA157" s="183"/>
    </row>
    <row r="158" spans="2:27" ht="14.1" customHeight="1">
      <c r="B158" s="175"/>
      <c r="C158" s="175"/>
      <c r="D158" s="176"/>
      <c r="E158" s="177"/>
      <c r="F158" s="178"/>
      <c r="G158" s="178"/>
      <c r="I158" s="179"/>
      <c r="J158" s="404"/>
      <c r="K158" s="404"/>
      <c r="L158" s="404"/>
      <c r="M158" s="404"/>
      <c r="N158" s="180"/>
      <c r="O158" s="180"/>
      <c r="P158" s="180"/>
      <c r="Q158" s="180"/>
      <c r="R158" s="181"/>
      <c r="S158" s="181"/>
      <c r="T158" s="182"/>
      <c r="U158" s="182"/>
      <c r="V158" s="182"/>
      <c r="W158" s="182"/>
      <c r="X158" s="182"/>
      <c r="Y158" s="182"/>
      <c r="Z158" s="183"/>
      <c r="AA158" s="183"/>
    </row>
    <row r="159" spans="2:27" ht="14.1" customHeight="1">
      <c r="B159" s="175"/>
      <c r="C159" s="175"/>
      <c r="D159" s="176"/>
      <c r="E159" s="177"/>
      <c r="F159" s="178"/>
      <c r="G159" s="178"/>
      <c r="I159" s="179"/>
      <c r="J159" s="404"/>
      <c r="K159" s="404"/>
      <c r="L159" s="404"/>
      <c r="M159" s="404"/>
      <c r="N159" s="180"/>
      <c r="O159" s="180"/>
      <c r="P159" s="180"/>
      <c r="Q159" s="180"/>
      <c r="R159" s="181"/>
      <c r="S159" s="181"/>
      <c r="T159" s="182"/>
      <c r="U159" s="182"/>
      <c r="V159" s="182"/>
      <c r="W159" s="182"/>
      <c r="X159" s="182"/>
      <c r="Y159" s="182"/>
      <c r="Z159" s="183"/>
      <c r="AA159" s="183"/>
    </row>
    <row r="160" spans="2:27" ht="14.1" customHeight="1">
      <c r="B160" s="175"/>
      <c r="C160" s="175"/>
      <c r="D160" s="176"/>
      <c r="E160" s="177"/>
      <c r="F160" s="178"/>
      <c r="G160" s="178"/>
      <c r="I160" s="179"/>
      <c r="J160" s="404"/>
      <c r="K160" s="404"/>
      <c r="L160" s="404"/>
      <c r="M160" s="404"/>
      <c r="N160" s="180"/>
      <c r="O160" s="180"/>
      <c r="P160" s="180"/>
      <c r="Q160" s="180"/>
      <c r="R160" s="181"/>
      <c r="S160" s="181"/>
      <c r="T160" s="182"/>
      <c r="U160" s="182"/>
      <c r="V160" s="182"/>
      <c r="W160" s="182"/>
      <c r="X160" s="182"/>
      <c r="Y160" s="182"/>
      <c r="Z160" s="183"/>
      <c r="AA160" s="183"/>
    </row>
    <row r="161" spans="2:27" ht="14.1" customHeight="1">
      <c r="B161" s="175"/>
      <c r="C161" s="175"/>
      <c r="D161" s="176"/>
      <c r="E161" s="177"/>
      <c r="F161" s="178"/>
      <c r="G161" s="178"/>
      <c r="I161" s="179"/>
      <c r="J161" s="404"/>
      <c r="K161" s="404"/>
      <c r="L161" s="404"/>
      <c r="M161" s="404"/>
      <c r="N161" s="180"/>
      <c r="O161" s="180"/>
      <c r="P161" s="180"/>
      <c r="Q161" s="180"/>
      <c r="R161" s="181"/>
      <c r="S161" s="181"/>
      <c r="T161" s="182"/>
      <c r="U161" s="182"/>
      <c r="V161" s="182"/>
      <c r="W161" s="182"/>
      <c r="X161" s="182"/>
      <c r="Y161" s="182"/>
      <c r="Z161" s="183"/>
      <c r="AA161" s="183"/>
    </row>
    <row r="162" spans="2:27" ht="14.1" customHeight="1">
      <c r="B162" s="175"/>
      <c r="C162" s="175"/>
      <c r="D162" s="176"/>
      <c r="E162" s="177"/>
      <c r="F162" s="178"/>
      <c r="G162" s="178"/>
      <c r="I162" s="179"/>
      <c r="J162" s="404"/>
      <c r="K162" s="404"/>
      <c r="L162" s="404"/>
      <c r="M162" s="404"/>
      <c r="N162" s="180"/>
      <c r="O162" s="180"/>
      <c r="P162" s="180"/>
      <c r="Q162" s="180"/>
      <c r="R162" s="181"/>
      <c r="S162" s="181"/>
      <c r="T162" s="182"/>
      <c r="U162" s="182"/>
      <c r="V162" s="182"/>
      <c r="W162" s="182"/>
      <c r="X162" s="182"/>
      <c r="Y162" s="182"/>
      <c r="Z162" s="183"/>
      <c r="AA162" s="183"/>
    </row>
    <row r="163" spans="2:27" ht="14.1" customHeight="1">
      <c r="B163" s="175"/>
      <c r="C163" s="175"/>
      <c r="D163" s="176"/>
      <c r="E163" s="177"/>
      <c r="F163" s="178"/>
      <c r="G163" s="178"/>
      <c r="I163" s="179"/>
      <c r="J163" s="404"/>
      <c r="K163" s="404"/>
      <c r="L163" s="404"/>
      <c r="M163" s="404"/>
      <c r="N163" s="180"/>
      <c r="O163" s="180"/>
      <c r="P163" s="180"/>
      <c r="Q163" s="180"/>
      <c r="R163" s="181"/>
      <c r="S163" s="181"/>
      <c r="T163" s="182"/>
      <c r="U163" s="182"/>
      <c r="V163" s="182"/>
      <c r="W163" s="182"/>
      <c r="X163" s="182"/>
      <c r="Y163" s="182"/>
      <c r="Z163" s="183"/>
      <c r="AA163" s="183"/>
    </row>
    <row r="164" spans="2:27" ht="14.1" customHeight="1">
      <c r="B164" s="175"/>
      <c r="C164" s="175"/>
      <c r="D164" s="176"/>
      <c r="E164" s="177"/>
      <c r="F164" s="178"/>
      <c r="G164" s="178"/>
      <c r="I164" s="179"/>
      <c r="J164" s="404"/>
      <c r="K164" s="404"/>
      <c r="L164" s="404"/>
      <c r="M164" s="404"/>
      <c r="N164" s="180"/>
      <c r="O164" s="180"/>
      <c r="P164" s="180"/>
      <c r="Q164" s="180"/>
      <c r="R164" s="181"/>
      <c r="S164" s="181"/>
      <c r="T164" s="182"/>
      <c r="U164" s="182"/>
      <c r="V164" s="182"/>
      <c r="W164" s="182"/>
      <c r="X164" s="182"/>
      <c r="Y164" s="182"/>
      <c r="Z164" s="183"/>
      <c r="AA164" s="183"/>
    </row>
    <row r="165" spans="2:27" ht="14.1" customHeight="1">
      <c r="B165" s="175"/>
      <c r="C165" s="175"/>
      <c r="D165" s="176"/>
      <c r="E165" s="177"/>
      <c r="F165" s="178"/>
      <c r="G165" s="178"/>
      <c r="I165" s="179"/>
      <c r="J165" s="404"/>
      <c r="K165" s="404"/>
      <c r="L165" s="404"/>
      <c r="M165" s="404"/>
      <c r="N165" s="180"/>
      <c r="O165" s="180"/>
      <c r="P165" s="180"/>
      <c r="Q165" s="180"/>
      <c r="R165" s="181"/>
      <c r="S165" s="181"/>
      <c r="T165" s="182"/>
      <c r="U165" s="182"/>
      <c r="V165" s="182"/>
      <c r="W165" s="182"/>
      <c r="X165" s="182"/>
      <c r="Y165" s="182"/>
      <c r="Z165" s="183"/>
      <c r="AA165" s="183"/>
    </row>
    <row r="166" spans="2:27" ht="14.1" customHeight="1">
      <c r="B166" s="175"/>
      <c r="C166" s="175"/>
      <c r="D166" s="176"/>
      <c r="E166" s="177"/>
      <c r="F166" s="178"/>
      <c r="G166" s="178"/>
      <c r="I166" s="179"/>
      <c r="J166" s="404"/>
      <c r="K166" s="404"/>
      <c r="L166" s="404"/>
      <c r="M166" s="404"/>
      <c r="N166" s="180"/>
      <c r="O166" s="180"/>
      <c r="P166" s="180"/>
      <c r="Q166" s="180"/>
      <c r="R166" s="181"/>
      <c r="S166" s="181"/>
      <c r="T166" s="182"/>
      <c r="U166" s="182"/>
      <c r="V166" s="182"/>
      <c r="W166" s="182"/>
      <c r="X166" s="182"/>
      <c r="Y166" s="182"/>
      <c r="Z166" s="183"/>
      <c r="AA166" s="183"/>
    </row>
    <row r="167" spans="2:27" ht="14.1" customHeight="1">
      <c r="B167" s="175"/>
      <c r="C167" s="175"/>
      <c r="D167" s="176"/>
      <c r="E167" s="177"/>
      <c r="F167" s="178"/>
      <c r="G167" s="178"/>
      <c r="I167" s="179"/>
      <c r="J167" s="404"/>
      <c r="K167" s="404"/>
      <c r="L167" s="404"/>
      <c r="M167" s="404"/>
      <c r="N167" s="180"/>
      <c r="O167" s="180"/>
      <c r="P167" s="180"/>
      <c r="Q167" s="180"/>
      <c r="R167" s="181"/>
      <c r="S167" s="181"/>
      <c r="T167" s="182"/>
      <c r="U167" s="182"/>
      <c r="V167" s="182"/>
      <c r="W167" s="182"/>
      <c r="X167" s="182"/>
      <c r="Y167" s="182"/>
      <c r="Z167" s="183"/>
      <c r="AA167" s="183"/>
    </row>
    <row r="168" spans="2:27" ht="14.1" customHeight="1">
      <c r="B168" s="175"/>
      <c r="C168" s="175"/>
      <c r="D168" s="176"/>
      <c r="E168" s="177"/>
      <c r="F168" s="178"/>
      <c r="G168" s="178"/>
      <c r="I168" s="179"/>
      <c r="J168" s="404"/>
      <c r="K168" s="404"/>
      <c r="L168" s="404"/>
      <c r="M168" s="404"/>
      <c r="N168" s="180"/>
      <c r="O168" s="180"/>
      <c r="P168" s="180"/>
      <c r="Q168" s="180"/>
      <c r="R168" s="181"/>
      <c r="S168" s="181"/>
      <c r="T168" s="182"/>
      <c r="U168" s="182"/>
      <c r="V168" s="182"/>
      <c r="W168" s="182"/>
      <c r="X168" s="182"/>
      <c r="Y168" s="182"/>
      <c r="Z168" s="183"/>
      <c r="AA168" s="183"/>
    </row>
    <row r="169" spans="2:27" ht="14.1" customHeight="1">
      <c r="B169" s="175"/>
      <c r="C169" s="175"/>
      <c r="D169" s="176"/>
      <c r="E169" s="177"/>
      <c r="F169" s="178"/>
      <c r="G169" s="178"/>
      <c r="I169" s="179"/>
      <c r="J169" s="404"/>
      <c r="K169" s="404"/>
      <c r="L169" s="404"/>
      <c r="M169" s="404"/>
      <c r="N169" s="180"/>
      <c r="O169" s="180"/>
      <c r="P169" s="180"/>
      <c r="Q169" s="180"/>
      <c r="R169" s="181"/>
      <c r="S169" s="181"/>
      <c r="T169" s="182"/>
      <c r="U169" s="182"/>
      <c r="V169" s="182"/>
      <c r="W169" s="182"/>
      <c r="X169" s="182"/>
      <c r="Y169" s="182"/>
      <c r="Z169" s="183"/>
      <c r="AA169" s="183"/>
    </row>
    <row r="170" spans="2:27" ht="14.1" customHeight="1">
      <c r="B170" s="175"/>
      <c r="C170" s="175"/>
      <c r="D170" s="176"/>
      <c r="E170" s="177"/>
      <c r="F170" s="178"/>
      <c r="G170" s="178"/>
      <c r="I170" s="179"/>
      <c r="J170" s="404"/>
      <c r="K170" s="404"/>
      <c r="L170" s="404"/>
      <c r="M170" s="404"/>
      <c r="N170" s="180"/>
      <c r="O170" s="180"/>
      <c r="P170" s="180"/>
      <c r="Q170" s="180"/>
      <c r="R170" s="181"/>
      <c r="S170" s="181"/>
      <c r="T170" s="182"/>
      <c r="U170" s="182"/>
      <c r="V170" s="182"/>
      <c r="W170" s="182"/>
      <c r="X170" s="182"/>
      <c r="Y170" s="182"/>
      <c r="Z170" s="183"/>
      <c r="AA170" s="183"/>
    </row>
    <row r="171" spans="2:27" ht="14.1" customHeight="1">
      <c r="B171" s="175"/>
      <c r="C171" s="175"/>
      <c r="D171" s="176"/>
      <c r="E171" s="177"/>
      <c r="F171" s="178"/>
      <c r="G171" s="178"/>
      <c r="I171" s="179"/>
      <c r="J171" s="404"/>
      <c r="K171" s="404"/>
      <c r="L171" s="404"/>
      <c r="M171" s="404"/>
      <c r="N171" s="180"/>
      <c r="O171" s="180"/>
      <c r="P171" s="180"/>
      <c r="Q171" s="180"/>
      <c r="R171" s="181"/>
      <c r="S171" s="181"/>
      <c r="T171" s="182"/>
      <c r="U171" s="182"/>
      <c r="V171" s="182"/>
      <c r="W171" s="182"/>
      <c r="X171" s="182"/>
      <c r="Y171" s="182"/>
      <c r="Z171" s="183"/>
      <c r="AA171" s="183"/>
    </row>
    <row r="172" spans="2:27" ht="14.1" customHeight="1">
      <c r="B172" s="175"/>
      <c r="C172" s="175"/>
      <c r="D172" s="176"/>
      <c r="E172" s="177"/>
      <c r="F172" s="178"/>
      <c r="G172" s="178"/>
      <c r="I172" s="179"/>
      <c r="J172" s="404"/>
      <c r="K172" s="404"/>
      <c r="L172" s="404"/>
      <c r="M172" s="404"/>
      <c r="N172" s="180"/>
      <c r="O172" s="180"/>
      <c r="P172" s="180"/>
      <c r="Q172" s="180"/>
      <c r="R172" s="181"/>
      <c r="S172" s="181"/>
      <c r="T172" s="182"/>
      <c r="U172" s="182"/>
      <c r="V172" s="182"/>
      <c r="W172" s="182"/>
      <c r="X172" s="182"/>
      <c r="Y172" s="182"/>
      <c r="Z172" s="183"/>
      <c r="AA172" s="183"/>
    </row>
    <row r="173" spans="2:27" ht="14.1" customHeight="1">
      <c r="B173" s="175"/>
      <c r="C173" s="175"/>
      <c r="D173" s="176"/>
      <c r="E173" s="177"/>
      <c r="F173" s="178"/>
      <c r="G173" s="178"/>
      <c r="I173" s="179"/>
      <c r="J173" s="404"/>
      <c r="K173" s="404"/>
      <c r="L173" s="404"/>
      <c r="M173" s="404"/>
      <c r="N173" s="180"/>
      <c r="O173" s="180"/>
      <c r="P173" s="180"/>
      <c r="Q173" s="180"/>
      <c r="R173" s="181"/>
      <c r="S173" s="181"/>
      <c r="T173" s="182"/>
      <c r="U173" s="182"/>
      <c r="V173" s="182"/>
      <c r="W173" s="182"/>
      <c r="X173" s="182"/>
      <c r="Y173" s="182"/>
      <c r="Z173" s="183"/>
      <c r="AA173" s="183"/>
    </row>
    <row r="174" spans="2:27" ht="14.1" customHeight="1">
      <c r="B174" s="175"/>
      <c r="C174" s="175"/>
      <c r="D174" s="176"/>
      <c r="E174" s="177"/>
      <c r="F174" s="178"/>
      <c r="G174" s="178"/>
      <c r="I174" s="179"/>
      <c r="J174" s="404"/>
      <c r="K174" s="404"/>
      <c r="L174" s="404"/>
      <c r="M174" s="404"/>
      <c r="N174" s="180"/>
      <c r="O174" s="180"/>
      <c r="P174" s="180"/>
      <c r="Q174" s="180"/>
      <c r="R174" s="181"/>
      <c r="S174" s="181"/>
      <c r="T174" s="182"/>
      <c r="U174" s="182"/>
      <c r="V174" s="182"/>
      <c r="W174" s="182"/>
      <c r="X174" s="182"/>
      <c r="Y174" s="182"/>
      <c r="Z174" s="183"/>
      <c r="AA174" s="183"/>
    </row>
    <row r="175" spans="2:27" ht="14.1" customHeight="1">
      <c r="B175" s="175"/>
      <c r="C175" s="175"/>
      <c r="D175" s="176"/>
      <c r="E175" s="177"/>
      <c r="F175" s="178"/>
      <c r="G175" s="178"/>
      <c r="I175" s="179"/>
      <c r="J175" s="404"/>
      <c r="K175" s="404"/>
      <c r="L175" s="404"/>
      <c r="M175" s="404"/>
      <c r="N175" s="180"/>
      <c r="O175" s="180"/>
      <c r="P175" s="180"/>
      <c r="Q175" s="180"/>
      <c r="R175" s="181"/>
      <c r="S175" s="181"/>
      <c r="T175" s="182"/>
      <c r="U175" s="182"/>
      <c r="V175" s="182"/>
      <c r="W175" s="182"/>
      <c r="X175" s="182"/>
      <c r="Y175" s="182"/>
      <c r="Z175" s="183"/>
      <c r="AA175" s="183"/>
    </row>
    <row r="176" spans="2:27" ht="14.1" customHeight="1">
      <c r="B176" s="175"/>
      <c r="C176" s="175"/>
      <c r="D176" s="176"/>
      <c r="E176" s="177"/>
      <c r="F176" s="178"/>
      <c r="G176" s="178"/>
      <c r="I176" s="179"/>
      <c r="J176" s="404"/>
      <c r="K176" s="404"/>
      <c r="L176" s="404"/>
      <c r="M176" s="404"/>
      <c r="N176" s="180"/>
      <c r="O176" s="180"/>
      <c r="P176" s="180"/>
      <c r="Q176" s="180"/>
      <c r="R176" s="181"/>
      <c r="S176" s="181"/>
      <c r="T176" s="182"/>
      <c r="U176" s="182"/>
      <c r="V176" s="182"/>
      <c r="W176" s="182"/>
      <c r="X176" s="182"/>
      <c r="Y176" s="182"/>
      <c r="Z176" s="183"/>
      <c r="AA176" s="183"/>
    </row>
    <row r="177" spans="2:27" ht="14.1" customHeight="1">
      <c r="B177" s="175"/>
      <c r="C177" s="175"/>
      <c r="D177" s="176"/>
      <c r="E177" s="177"/>
      <c r="F177" s="178"/>
      <c r="G177" s="178"/>
      <c r="I177" s="179"/>
      <c r="J177" s="404"/>
      <c r="K177" s="404"/>
      <c r="L177" s="404"/>
      <c r="M177" s="404"/>
      <c r="N177" s="180"/>
      <c r="O177" s="180"/>
      <c r="P177" s="180"/>
      <c r="Q177" s="180"/>
      <c r="R177" s="181"/>
      <c r="S177" s="181"/>
      <c r="T177" s="182"/>
      <c r="U177" s="182"/>
      <c r="V177" s="182"/>
      <c r="W177" s="182"/>
      <c r="X177" s="182"/>
      <c r="Y177" s="182"/>
      <c r="Z177" s="183"/>
      <c r="AA177" s="183"/>
    </row>
    <row r="178" spans="2:27" ht="14.1" customHeight="1">
      <c r="B178" s="175"/>
      <c r="C178" s="175"/>
      <c r="D178" s="176"/>
      <c r="E178" s="177"/>
      <c r="F178" s="178"/>
      <c r="G178" s="178"/>
      <c r="I178" s="179"/>
      <c r="J178" s="404"/>
      <c r="K178" s="404"/>
      <c r="L178" s="404"/>
      <c r="M178" s="404"/>
      <c r="N178" s="180"/>
      <c r="O178" s="180"/>
      <c r="P178" s="180"/>
      <c r="Q178" s="180"/>
      <c r="R178" s="181"/>
      <c r="S178" s="181"/>
      <c r="T178" s="182"/>
      <c r="U178" s="182"/>
      <c r="V178" s="182"/>
      <c r="W178" s="182"/>
      <c r="X178" s="182"/>
      <c r="Y178" s="182"/>
      <c r="Z178" s="183"/>
      <c r="AA178" s="183"/>
    </row>
    <row r="179" spans="2:27" ht="14.1" customHeight="1">
      <c r="B179" s="175"/>
      <c r="C179" s="175"/>
      <c r="D179" s="176"/>
      <c r="E179" s="177"/>
      <c r="F179" s="178"/>
      <c r="G179" s="178"/>
      <c r="I179" s="179"/>
      <c r="J179" s="404"/>
      <c r="K179" s="404"/>
      <c r="L179" s="404"/>
      <c r="M179" s="404"/>
      <c r="N179" s="180"/>
      <c r="O179" s="180"/>
      <c r="P179" s="180"/>
      <c r="Q179" s="180"/>
      <c r="R179" s="181"/>
      <c r="S179" s="181"/>
      <c r="T179" s="182"/>
      <c r="U179" s="182"/>
      <c r="V179" s="182"/>
      <c r="W179" s="182"/>
      <c r="X179" s="182"/>
      <c r="Y179" s="182"/>
      <c r="Z179" s="183"/>
      <c r="AA179" s="183"/>
    </row>
    <row r="180" spans="2:27" ht="14.1" customHeight="1">
      <c r="B180" s="175"/>
      <c r="C180" s="175"/>
      <c r="D180" s="176"/>
      <c r="E180" s="177"/>
      <c r="F180" s="178"/>
      <c r="G180" s="178"/>
      <c r="I180" s="179"/>
      <c r="J180" s="404"/>
      <c r="K180" s="404"/>
      <c r="L180" s="404"/>
      <c r="M180" s="404"/>
      <c r="N180" s="180"/>
      <c r="O180" s="180"/>
      <c r="P180" s="180"/>
      <c r="Q180" s="180"/>
      <c r="R180" s="181"/>
      <c r="S180" s="181"/>
      <c r="T180" s="182"/>
      <c r="U180" s="182"/>
      <c r="V180" s="182"/>
      <c r="W180" s="182"/>
      <c r="X180" s="182"/>
      <c r="Y180" s="182"/>
      <c r="Z180" s="183"/>
      <c r="AA180" s="183"/>
    </row>
    <row r="181" spans="2:27" ht="14.1" customHeight="1">
      <c r="B181" s="175"/>
      <c r="C181" s="175"/>
      <c r="D181" s="176"/>
      <c r="E181" s="177"/>
      <c r="F181" s="178"/>
      <c r="G181" s="178"/>
      <c r="I181" s="179"/>
      <c r="J181" s="404"/>
      <c r="K181" s="404"/>
      <c r="L181" s="404"/>
      <c r="M181" s="404"/>
      <c r="N181" s="180"/>
      <c r="O181" s="180"/>
      <c r="P181" s="180"/>
      <c r="Q181" s="180"/>
      <c r="R181" s="181"/>
      <c r="S181" s="181"/>
      <c r="T181" s="182"/>
      <c r="U181" s="182"/>
      <c r="V181" s="182"/>
      <c r="W181" s="182"/>
      <c r="X181" s="182"/>
      <c r="Y181" s="182"/>
      <c r="Z181" s="183"/>
      <c r="AA181" s="183"/>
    </row>
    <row r="182" spans="2:27" ht="14.1" customHeight="1">
      <c r="B182" s="175"/>
      <c r="C182" s="175"/>
      <c r="D182" s="176"/>
      <c r="E182" s="177"/>
      <c r="F182" s="178"/>
      <c r="G182" s="178"/>
      <c r="I182" s="179"/>
      <c r="J182" s="404"/>
      <c r="K182" s="404"/>
      <c r="L182" s="404"/>
      <c r="M182" s="404"/>
      <c r="N182" s="180"/>
      <c r="O182" s="180"/>
      <c r="P182" s="180"/>
      <c r="Q182" s="180"/>
      <c r="R182" s="181"/>
      <c r="S182" s="181"/>
      <c r="T182" s="182"/>
      <c r="U182" s="182"/>
      <c r="V182" s="182"/>
      <c r="W182" s="182"/>
      <c r="X182" s="182"/>
      <c r="Y182" s="182"/>
      <c r="Z182" s="183"/>
      <c r="AA182" s="183"/>
    </row>
    <row r="183" spans="2:27" ht="14.1" customHeight="1">
      <c r="B183" s="175"/>
      <c r="C183" s="175"/>
      <c r="D183" s="176"/>
      <c r="E183" s="177"/>
      <c r="F183" s="178"/>
      <c r="G183" s="178"/>
      <c r="I183" s="179"/>
      <c r="J183" s="404"/>
      <c r="K183" s="404"/>
      <c r="L183" s="404"/>
      <c r="M183" s="404"/>
      <c r="N183" s="180"/>
      <c r="O183" s="180"/>
      <c r="P183" s="180"/>
      <c r="Q183" s="180"/>
      <c r="R183" s="181"/>
      <c r="S183" s="181"/>
      <c r="T183" s="182"/>
      <c r="U183" s="182"/>
      <c r="V183" s="182"/>
      <c r="W183" s="182"/>
      <c r="X183" s="182"/>
      <c r="Y183" s="182"/>
      <c r="Z183" s="183"/>
      <c r="AA183" s="183"/>
    </row>
    <row r="184" spans="2:27" ht="14.1" customHeight="1">
      <c r="B184" s="175"/>
      <c r="C184" s="175"/>
      <c r="D184" s="176"/>
      <c r="E184" s="177"/>
      <c r="F184" s="178"/>
      <c r="G184" s="178"/>
      <c r="I184" s="179"/>
      <c r="J184" s="404"/>
      <c r="K184" s="404"/>
      <c r="L184" s="404"/>
      <c r="M184" s="404"/>
      <c r="N184" s="180"/>
      <c r="O184" s="180"/>
      <c r="P184" s="180"/>
      <c r="Q184" s="180"/>
      <c r="R184" s="181"/>
      <c r="S184" s="181"/>
      <c r="T184" s="182"/>
      <c r="U184" s="182"/>
      <c r="V184" s="182"/>
      <c r="W184" s="182"/>
      <c r="X184" s="182"/>
      <c r="Y184" s="182"/>
      <c r="Z184" s="183"/>
      <c r="AA184" s="183"/>
    </row>
    <row r="185" spans="2:27" ht="14.1" customHeight="1">
      <c r="B185" s="175"/>
      <c r="C185" s="175"/>
      <c r="D185" s="176"/>
      <c r="E185" s="177"/>
      <c r="F185" s="178"/>
      <c r="G185" s="178"/>
      <c r="I185" s="179"/>
      <c r="J185" s="404"/>
      <c r="K185" s="404"/>
      <c r="L185" s="404"/>
      <c r="M185" s="404"/>
      <c r="N185" s="180"/>
      <c r="O185" s="180"/>
      <c r="P185" s="180"/>
      <c r="Q185" s="180"/>
      <c r="R185" s="181"/>
      <c r="S185" s="181"/>
      <c r="T185" s="182"/>
      <c r="U185" s="182"/>
      <c r="V185" s="182"/>
      <c r="W185" s="182"/>
      <c r="X185" s="182"/>
      <c r="Y185" s="182"/>
      <c r="Z185" s="183"/>
      <c r="AA185" s="183"/>
    </row>
    <row r="186" spans="2:27" ht="14.1" customHeight="1">
      <c r="B186" s="175"/>
      <c r="C186" s="175"/>
      <c r="D186" s="176"/>
      <c r="E186" s="177"/>
      <c r="F186" s="178"/>
      <c r="G186" s="178"/>
      <c r="I186" s="179"/>
      <c r="J186" s="404"/>
      <c r="K186" s="404"/>
      <c r="L186" s="404"/>
      <c r="M186" s="404"/>
      <c r="N186" s="180"/>
      <c r="O186" s="180"/>
      <c r="P186" s="180"/>
      <c r="Q186" s="180"/>
      <c r="R186" s="181"/>
      <c r="S186" s="181"/>
      <c r="T186" s="182"/>
      <c r="U186" s="182"/>
      <c r="V186" s="182"/>
      <c r="W186" s="182"/>
      <c r="X186" s="182"/>
      <c r="Y186" s="182"/>
      <c r="Z186" s="183"/>
      <c r="AA186" s="183"/>
    </row>
    <row r="187" spans="2:27" ht="14.1" customHeight="1">
      <c r="B187" s="175"/>
      <c r="C187" s="175"/>
      <c r="D187" s="176"/>
      <c r="E187" s="177"/>
      <c r="F187" s="178"/>
      <c r="G187" s="178"/>
      <c r="I187" s="179"/>
      <c r="J187" s="404"/>
      <c r="K187" s="404"/>
      <c r="L187" s="404"/>
      <c r="M187" s="404"/>
      <c r="N187" s="180"/>
      <c r="O187" s="180"/>
      <c r="P187" s="180"/>
      <c r="Q187" s="180"/>
      <c r="R187" s="181"/>
      <c r="S187" s="181"/>
      <c r="T187" s="182"/>
      <c r="U187" s="182"/>
      <c r="V187" s="182"/>
      <c r="W187" s="182"/>
      <c r="X187" s="182"/>
      <c r="Y187" s="182"/>
      <c r="Z187" s="183"/>
      <c r="AA187" s="183"/>
    </row>
    <row r="188" spans="2:27" ht="14.1" customHeight="1">
      <c r="B188" s="175"/>
      <c r="C188" s="175"/>
      <c r="D188" s="176"/>
      <c r="E188" s="177"/>
      <c r="F188" s="178"/>
      <c r="G188" s="178"/>
      <c r="I188" s="179"/>
      <c r="J188" s="404"/>
      <c r="K188" s="404"/>
      <c r="L188" s="404"/>
      <c r="M188" s="404"/>
      <c r="N188" s="180"/>
      <c r="O188" s="180"/>
      <c r="P188" s="180"/>
      <c r="Q188" s="180"/>
      <c r="R188" s="181"/>
      <c r="S188" s="181"/>
      <c r="T188" s="182"/>
      <c r="U188" s="182"/>
      <c r="V188" s="182"/>
      <c r="W188" s="182"/>
      <c r="X188" s="182"/>
      <c r="Y188" s="182"/>
      <c r="Z188" s="183"/>
      <c r="AA188" s="183"/>
    </row>
    <row r="189" spans="2:27" ht="14.1" customHeight="1">
      <c r="B189" s="175"/>
      <c r="C189" s="175"/>
      <c r="D189" s="176"/>
      <c r="E189" s="177"/>
      <c r="F189" s="178"/>
      <c r="G189" s="178"/>
      <c r="I189" s="179"/>
      <c r="J189" s="404"/>
      <c r="K189" s="404"/>
      <c r="L189" s="404"/>
      <c r="M189" s="404"/>
      <c r="N189" s="180"/>
      <c r="O189" s="180"/>
      <c r="P189" s="180"/>
      <c r="Q189" s="180"/>
      <c r="R189" s="181"/>
      <c r="S189" s="181"/>
      <c r="T189" s="182"/>
      <c r="U189" s="182"/>
      <c r="V189" s="182"/>
      <c r="W189" s="182"/>
      <c r="X189" s="182"/>
      <c r="Y189" s="182"/>
      <c r="Z189" s="183"/>
      <c r="AA189" s="183"/>
    </row>
    <row r="190" spans="2:27" ht="14.1" customHeight="1">
      <c r="B190" s="175"/>
      <c r="C190" s="175"/>
      <c r="D190" s="176"/>
      <c r="E190" s="177"/>
      <c r="F190" s="178"/>
      <c r="G190" s="178"/>
      <c r="I190" s="179"/>
      <c r="J190" s="404"/>
      <c r="K190" s="404"/>
      <c r="L190" s="404"/>
      <c r="M190" s="404"/>
      <c r="N190" s="180"/>
      <c r="O190" s="180"/>
      <c r="P190" s="180"/>
      <c r="Q190" s="180"/>
      <c r="R190" s="181"/>
      <c r="S190" s="181"/>
      <c r="T190" s="182"/>
      <c r="U190" s="182"/>
      <c r="V190" s="182"/>
      <c r="W190" s="182"/>
      <c r="X190" s="182"/>
      <c r="Y190" s="182"/>
      <c r="Z190" s="183"/>
      <c r="AA190" s="183"/>
    </row>
    <row r="191" spans="2:27" ht="14.1" customHeight="1">
      <c r="B191" s="175"/>
      <c r="C191" s="175"/>
      <c r="D191" s="176"/>
      <c r="E191" s="177"/>
      <c r="F191" s="178"/>
      <c r="G191" s="178"/>
      <c r="I191" s="179"/>
      <c r="J191" s="404"/>
      <c r="K191" s="404"/>
      <c r="L191" s="404"/>
      <c r="M191" s="404"/>
      <c r="N191" s="180"/>
      <c r="O191" s="180"/>
      <c r="P191" s="180"/>
      <c r="Q191" s="180"/>
      <c r="R191" s="181"/>
      <c r="S191" s="181"/>
      <c r="T191" s="182"/>
      <c r="U191" s="182"/>
      <c r="V191" s="182"/>
      <c r="W191" s="182"/>
      <c r="X191" s="182"/>
      <c r="Y191" s="182"/>
      <c r="Z191" s="183"/>
      <c r="AA191" s="183"/>
    </row>
    <row r="192" spans="2:27" ht="14.1" customHeight="1">
      <c r="B192" s="175"/>
      <c r="C192" s="175"/>
      <c r="D192" s="176"/>
      <c r="E192" s="177"/>
      <c r="F192" s="178"/>
      <c r="G192" s="178"/>
      <c r="I192" s="179"/>
      <c r="J192" s="404"/>
      <c r="K192" s="404"/>
      <c r="L192" s="404"/>
      <c r="M192" s="404"/>
      <c r="N192" s="180"/>
      <c r="O192" s="180"/>
      <c r="P192" s="180"/>
      <c r="Q192" s="180"/>
      <c r="R192" s="181"/>
      <c r="S192" s="181"/>
      <c r="T192" s="182"/>
      <c r="U192" s="182"/>
      <c r="V192" s="182"/>
      <c r="W192" s="182"/>
      <c r="X192" s="182"/>
      <c r="Y192" s="182"/>
      <c r="Z192" s="183"/>
      <c r="AA192" s="183"/>
    </row>
    <row r="193" spans="2:27" ht="14.1" customHeight="1">
      <c r="B193" s="175"/>
      <c r="C193" s="175"/>
      <c r="D193" s="176"/>
      <c r="E193" s="177"/>
      <c r="F193" s="178"/>
      <c r="G193" s="178"/>
      <c r="I193" s="179"/>
      <c r="J193" s="404"/>
      <c r="K193" s="404"/>
      <c r="L193" s="404"/>
      <c r="M193" s="404"/>
      <c r="N193" s="180"/>
      <c r="O193" s="180"/>
      <c r="P193" s="180"/>
      <c r="Q193" s="180"/>
      <c r="R193" s="181"/>
      <c r="S193" s="181"/>
      <c r="T193" s="182"/>
      <c r="U193" s="182"/>
      <c r="V193" s="182"/>
      <c r="W193" s="182"/>
      <c r="X193" s="182"/>
      <c r="Y193" s="182"/>
      <c r="Z193" s="183"/>
      <c r="AA193" s="183"/>
    </row>
    <row r="194" spans="2:27" ht="14.1" customHeight="1">
      <c r="B194" s="175"/>
      <c r="C194" s="175"/>
      <c r="D194" s="176"/>
      <c r="E194" s="177"/>
      <c r="F194" s="178"/>
      <c r="G194" s="178"/>
      <c r="I194" s="179"/>
      <c r="J194" s="404"/>
      <c r="K194" s="404"/>
      <c r="L194" s="404"/>
      <c r="M194" s="404"/>
      <c r="N194" s="180"/>
      <c r="O194" s="180"/>
      <c r="P194" s="180"/>
      <c r="Q194" s="180"/>
      <c r="R194" s="181"/>
      <c r="S194" s="181"/>
      <c r="T194" s="182"/>
      <c r="U194" s="182"/>
      <c r="V194" s="182"/>
      <c r="W194" s="182"/>
      <c r="X194" s="182"/>
      <c r="Y194" s="182"/>
      <c r="Z194" s="183"/>
      <c r="AA194" s="183"/>
    </row>
    <row r="195" spans="2:27" ht="14.1" customHeight="1">
      <c r="B195" s="175"/>
      <c r="C195" s="175"/>
      <c r="D195" s="176"/>
      <c r="E195" s="177"/>
      <c r="F195" s="178"/>
      <c r="G195" s="178"/>
      <c r="I195" s="179"/>
      <c r="J195" s="404"/>
      <c r="K195" s="404"/>
      <c r="L195" s="404"/>
      <c r="M195" s="404"/>
      <c r="N195" s="180"/>
      <c r="O195" s="180"/>
      <c r="P195" s="180"/>
      <c r="Q195" s="180"/>
      <c r="R195" s="181"/>
      <c r="S195" s="181"/>
      <c r="T195" s="182"/>
      <c r="U195" s="182"/>
      <c r="V195" s="182"/>
      <c r="W195" s="182"/>
      <c r="X195" s="182"/>
      <c r="Y195" s="182"/>
      <c r="Z195" s="183"/>
      <c r="AA195" s="183"/>
    </row>
    <row r="196" spans="2:27" ht="14.1" customHeight="1">
      <c r="B196" s="175"/>
      <c r="C196" s="175"/>
      <c r="D196" s="176"/>
      <c r="E196" s="177"/>
      <c r="F196" s="178"/>
      <c r="G196" s="178"/>
      <c r="I196" s="179"/>
      <c r="J196" s="404"/>
      <c r="K196" s="404"/>
      <c r="L196" s="404"/>
      <c r="M196" s="404"/>
      <c r="N196" s="180"/>
      <c r="O196" s="180"/>
      <c r="P196" s="180"/>
      <c r="Q196" s="180"/>
      <c r="R196" s="181"/>
      <c r="S196" s="181"/>
      <c r="T196" s="182"/>
      <c r="U196" s="182"/>
      <c r="V196" s="182"/>
      <c r="W196" s="182"/>
      <c r="X196" s="182"/>
      <c r="Y196" s="182"/>
      <c r="Z196" s="183"/>
      <c r="AA196" s="183"/>
    </row>
    <row r="197" spans="2:27" ht="14.1" customHeight="1">
      <c r="B197" s="175"/>
      <c r="C197" s="175"/>
      <c r="D197" s="176"/>
      <c r="E197" s="177"/>
      <c r="F197" s="178"/>
      <c r="G197" s="178"/>
      <c r="I197" s="179"/>
      <c r="J197" s="404"/>
      <c r="K197" s="404"/>
      <c r="L197" s="404"/>
      <c r="M197" s="404"/>
      <c r="N197" s="180"/>
      <c r="O197" s="180"/>
      <c r="P197" s="180"/>
      <c r="Q197" s="180"/>
      <c r="R197" s="181"/>
      <c r="S197" s="181"/>
      <c r="T197" s="182"/>
      <c r="U197" s="182"/>
      <c r="V197" s="182"/>
      <c r="W197" s="182"/>
      <c r="X197" s="182"/>
      <c r="Y197" s="182"/>
      <c r="Z197" s="183"/>
      <c r="AA197" s="183"/>
    </row>
    <row r="198" spans="2:27" ht="14.1" customHeight="1">
      <c r="B198" s="175"/>
      <c r="C198" s="175"/>
      <c r="D198" s="176"/>
      <c r="E198" s="177"/>
      <c r="F198" s="178"/>
      <c r="G198" s="178"/>
      <c r="I198" s="179"/>
      <c r="J198" s="404"/>
      <c r="K198" s="404"/>
      <c r="L198" s="404"/>
      <c r="M198" s="404"/>
      <c r="N198" s="180"/>
      <c r="O198" s="180"/>
      <c r="P198" s="180"/>
      <c r="Q198" s="180"/>
      <c r="R198" s="181"/>
      <c r="S198" s="181"/>
      <c r="T198" s="182"/>
      <c r="U198" s="182"/>
      <c r="V198" s="182"/>
      <c r="W198" s="182"/>
      <c r="X198" s="182"/>
      <c r="Y198" s="182"/>
      <c r="Z198" s="183"/>
      <c r="AA198" s="183"/>
    </row>
    <row r="199" spans="2:27" ht="14.1" customHeight="1">
      <c r="B199" s="175"/>
      <c r="C199" s="175"/>
      <c r="D199" s="176"/>
      <c r="E199" s="177"/>
      <c r="F199" s="178"/>
      <c r="G199" s="178"/>
      <c r="I199" s="179"/>
      <c r="J199" s="404"/>
      <c r="K199" s="404"/>
      <c r="L199" s="404"/>
      <c r="M199" s="404"/>
      <c r="N199" s="180"/>
      <c r="O199" s="180"/>
      <c r="P199" s="180"/>
      <c r="Q199" s="180"/>
      <c r="R199" s="181"/>
      <c r="S199" s="181"/>
      <c r="T199" s="182"/>
      <c r="U199" s="182"/>
      <c r="V199" s="182"/>
      <c r="W199" s="182"/>
      <c r="X199" s="182"/>
      <c r="Y199" s="182"/>
      <c r="Z199" s="183"/>
      <c r="AA199" s="183"/>
    </row>
    <row r="200" spans="2:27" ht="14.1" customHeight="1">
      <c r="B200" s="175"/>
      <c r="C200" s="175"/>
      <c r="D200" s="176"/>
      <c r="E200" s="177"/>
      <c r="F200" s="178"/>
      <c r="G200" s="178"/>
      <c r="I200" s="179"/>
      <c r="J200" s="404"/>
      <c r="K200" s="404"/>
      <c r="L200" s="404"/>
      <c r="M200" s="404"/>
      <c r="N200" s="180"/>
      <c r="O200" s="180"/>
      <c r="P200" s="180"/>
      <c r="Q200" s="180"/>
      <c r="R200" s="181"/>
      <c r="S200" s="181"/>
      <c r="T200" s="182"/>
      <c r="U200" s="182"/>
      <c r="V200" s="182"/>
      <c r="W200" s="182"/>
      <c r="X200" s="182"/>
      <c r="Y200" s="182"/>
      <c r="Z200" s="183"/>
      <c r="AA200" s="183"/>
    </row>
    <row r="201" spans="2:27" ht="14.1" customHeight="1">
      <c r="B201" s="175"/>
      <c r="C201" s="175"/>
      <c r="D201" s="176"/>
      <c r="E201" s="177"/>
      <c r="F201" s="178"/>
      <c r="G201" s="178"/>
      <c r="I201" s="179"/>
      <c r="J201" s="404"/>
      <c r="K201" s="404"/>
      <c r="L201" s="404"/>
      <c r="M201" s="404"/>
      <c r="N201" s="180"/>
      <c r="O201" s="180"/>
      <c r="P201" s="180"/>
      <c r="Q201" s="180"/>
      <c r="R201" s="181"/>
      <c r="S201" s="181"/>
      <c r="T201" s="182"/>
      <c r="U201" s="182"/>
      <c r="V201" s="182"/>
      <c r="W201" s="182"/>
      <c r="X201" s="182"/>
      <c r="Y201" s="182"/>
      <c r="Z201" s="183"/>
      <c r="AA201" s="183"/>
    </row>
    <row r="202" spans="2:27" ht="14.1" customHeight="1">
      <c r="B202" s="175"/>
      <c r="C202" s="175"/>
      <c r="D202" s="176"/>
      <c r="E202" s="177"/>
      <c r="F202" s="178"/>
      <c r="G202" s="178"/>
      <c r="I202" s="179"/>
      <c r="J202" s="404"/>
      <c r="K202" s="404"/>
      <c r="L202" s="404"/>
      <c r="M202" s="404"/>
      <c r="N202" s="180"/>
      <c r="O202" s="180"/>
      <c r="P202" s="180"/>
      <c r="Q202" s="180"/>
      <c r="R202" s="181"/>
      <c r="S202" s="181"/>
      <c r="T202" s="182"/>
      <c r="U202" s="182"/>
      <c r="V202" s="182"/>
      <c r="W202" s="182"/>
      <c r="X202" s="182"/>
      <c r="Y202" s="182"/>
      <c r="Z202" s="183"/>
      <c r="AA202" s="183"/>
    </row>
    <row r="203" spans="2:27" ht="14.1" customHeight="1">
      <c r="B203" s="175"/>
      <c r="C203" s="175"/>
      <c r="D203" s="176"/>
      <c r="E203" s="177"/>
      <c r="F203" s="178"/>
      <c r="G203" s="178"/>
      <c r="I203" s="179"/>
      <c r="J203" s="404"/>
      <c r="K203" s="404"/>
      <c r="L203" s="404"/>
      <c r="M203" s="404"/>
      <c r="N203" s="180"/>
      <c r="O203" s="180"/>
      <c r="P203" s="180"/>
      <c r="Q203" s="180"/>
      <c r="R203" s="181"/>
      <c r="S203" s="181"/>
      <c r="T203" s="182"/>
      <c r="U203" s="182"/>
      <c r="V203" s="182"/>
      <c r="W203" s="182"/>
      <c r="X203" s="182"/>
      <c r="Y203" s="182"/>
      <c r="Z203" s="183"/>
      <c r="AA203" s="183"/>
    </row>
    <row r="204" spans="2:27" ht="14.1" customHeight="1">
      <c r="B204" s="175"/>
      <c r="C204" s="175"/>
      <c r="D204" s="176"/>
      <c r="E204" s="177"/>
      <c r="F204" s="178"/>
      <c r="G204" s="178"/>
      <c r="I204" s="179"/>
      <c r="J204" s="404"/>
      <c r="K204" s="404"/>
      <c r="L204" s="404"/>
      <c r="M204" s="404"/>
      <c r="N204" s="180"/>
      <c r="O204" s="180"/>
      <c r="P204" s="180"/>
      <c r="Q204" s="180"/>
      <c r="R204" s="181"/>
      <c r="S204" s="181"/>
      <c r="T204" s="182"/>
      <c r="U204" s="182"/>
      <c r="V204" s="182"/>
      <c r="W204" s="182"/>
      <c r="X204" s="182"/>
      <c r="Y204" s="182"/>
      <c r="Z204" s="183"/>
      <c r="AA204" s="183"/>
    </row>
    <row r="205" spans="2:27" ht="14.1" customHeight="1">
      <c r="B205" s="175"/>
      <c r="C205" s="175"/>
      <c r="D205" s="176"/>
      <c r="E205" s="177"/>
      <c r="F205" s="178"/>
      <c r="G205" s="178"/>
      <c r="I205" s="179"/>
      <c r="J205" s="404"/>
      <c r="K205" s="404"/>
      <c r="L205" s="404"/>
      <c r="M205" s="404"/>
      <c r="N205" s="180"/>
      <c r="O205" s="180"/>
      <c r="P205" s="180"/>
      <c r="Q205" s="180"/>
      <c r="R205" s="181"/>
      <c r="S205" s="181"/>
      <c r="T205" s="182"/>
      <c r="U205" s="182"/>
      <c r="V205" s="182"/>
      <c r="W205" s="182"/>
      <c r="X205" s="182"/>
      <c r="Y205" s="182"/>
      <c r="Z205" s="183"/>
      <c r="AA205" s="183"/>
    </row>
    <row r="206" spans="2:27" ht="14.1" customHeight="1">
      <c r="B206" s="175"/>
      <c r="C206" s="175"/>
      <c r="D206" s="176"/>
      <c r="E206" s="177"/>
      <c r="F206" s="178"/>
      <c r="G206" s="178"/>
      <c r="I206" s="179"/>
      <c r="J206" s="404"/>
      <c r="K206" s="404"/>
      <c r="L206" s="404"/>
      <c r="M206" s="404"/>
      <c r="N206" s="180"/>
      <c r="O206" s="180"/>
      <c r="P206" s="180"/>
      <c r="Q206" s="180"/>
      <c r="R206" s="181"/>
      <c r="S206" s="181"/>
      <c r="T206" s="182"/>
      <c r="U206" s="182"/>
      <c r="V206" s="182"/>
      <c r="W206" s="182"/>
      <c r="X206" s="182"/>
      <c r="Y206" s="182"/>
      <c r="Z206" s="183"/>
      <c r="AA206" s="183"/>
    </row>
    <row r="207" spans="2:27" ht="14.1" customHeight="1">
      <c r="B207" s="175"/>
      <c r="C207" s="175"/>
      <c r="D207" s="176"/>
      <c r="E207" s="177"/>
      <c r="F207" s="178"/>
      <c r="G207" s="178"/>
      <c r="I207" s="179"/>
      <c r="J207" s="404"/>
      <c r="K207" s="404"/>
      <c r="L207" s="404"/>
      <c r="M207" s="404"/>
      <c r="N207" s="180"/>
      <c r="O207" s="180"/>
      <c r="P207" s="180"/>
      <c r="Q207" s="180"/>
      <c r="R207" s="181"/>
      <c r="S207" s="181"/>
      <c r="T207" s="182"/>
      <c r="U207" s="182"/>
      <c r="V207" s="182"/>
      <c r="W207" s="182"/>
      <c r="X207" s="182"/>
      <c r="Y207" s="182"/>
      <c r="Z207" s="183"/>
      <c r="AA207" s="183"/>
    </row>
    <row r="208" spans="2:27" ht="14.1" customHeight="1">
      <c r="B208" s="175"/>
      <c r="C208" s="175"/>
      <c r="D208" s="176"/>
      <c r="E208" s="177"/>
      <c r="F208" s="178"/>
      <c r="G208" s="178"/>
      <c r="I208" s="179"/>
      <c r="J208" s="404"/>
      <c r="K208" s="404"/>
      <c r="L208" s="404"/>
      <c r="M208" s="404"/>
      <c r="N208" s="180"/>
      <c r="O208" s="180"/>
      <c r="P208" s="180"/>
      <c r="Q208" s="180"/>
      <c r="R208" s="181"/>
      <c r="S208" s="181"/>
      <c r="T208" s="182"/>
      <c r="U208" s="182"/>
      <c r="V208" s="182"/>
      <c r="W208" s="182"/>
      <c r="X208" s="182"/>
      <c r="Y208" s="182"/>
      <c r="Z208" s="183"/>
      <c r="AA208" s="183"/>
    </row>
    <row r="209" spans="2:27" ht="14.1" customHeight="1">
      <c r="B209" s="175"/>
      <c r="C209" s="175"/>
      <c r="D209" s="176"/>
      <c r="E209" s="177"/>
      <c r="F209" s="178"/>
      <c r="G209" s="178"/>
      <c r="I209" s="179"/>
      <c r="J209" s="404"/>
      <c r="K209" s="404"/>
      <c r="L209" s="404"/>
      <c r="M209" s="404"/>
      <c r="N209" s="180"/>
      <c r="O209" s="180"/>
      <c r="P209" s="180"/>
      <c r="Q209" s="180"/>
      <c r="R209" s="181"/>
      <c r="S209" s="181"/>
      <c r="T209" s="182"/>
      <c r="U209" s="182"/>
      <c r="V209" s="182"/>
      <c r="W209" s="182"/>
      <c r="X209" s="182"/>
      <c r="Y209" s="182"/>
      <c r="Z209" s="183"/>
      <c r="AA209" s="183"/>
    </row>
    <row r="210" spans="2:27" ht="14.1" customHeight="1">
      <c r="B210" s="175"/>
      <c r="C210" s="175"/>
      <c r="D210" s="176"/>
      <c r="E210" s="177"/>
      <c r="F210" s="178"/>
      <c r="G210" s="178"/>
      <c r="I210" s="179"/>
      <c r="J210" s="404"/>
      <c r="K210" s="404"/>
      <c r="L210" s="404"/>
      <c r="M210" s="404"/>
      <c r="N210" s="180"/>
      <c r="O210" s="180"/>
      <c r="P210" s="180"/>
      <c r="Q210" s="180"/>
      <c r="R210" s="181"/>
      <c r="S210" s="181"/>
      <c r="T210" s="182"/>
      <c r="U210" s="182"/>
      <c r="V210" s="182"/>
      <c r="W210" s="182"/>
      <c r="X210" s="182"/>
      <c r="Y210" s="182"/>
      <c r="Z210" s="183"/>
      <c r="AA210" s="183"/>
    </row>
    <row r="211" spans="2:27" ht="14.1" customHeight="1">
      <c r="B211" s="175"/>
      <c r="C211" s="175"/>
      <c r="D211" s="176"/>
      <c r="E211" s="177"/>
      <c r="F211" s="178"/>
      <c r="G211" s="178"/>
      <c r="I211" s="179"/>
      <c r="J211" s="404"/>
      <c r="K211" s="404"/>
      <c r="L211" s="404"/>
      <c r="M211" s="404"/>
      <c r="N211" s="180"/>
      <c r="O211" s="180"/>
      <c r="P211" s="180"/>
      <c r="Q211" s="180"/>
      <c r="R211" s="181"/>
      <c r="S211" s="181"/>
      <c r="T211" s="182"/>
      <c r="U211" s="182"/>
      <c r="V211" s="182"/>
      <c r="W211" s="182"/>
      <c r="X211" s="182"/>
      <c r="Y211" s="182"/>
      <c r="Z211" s="183"/>
      <c r="AA211" s="183"/>
    </row>
    <row r="212" spans="2:27" ht="14.1" customHeight="1">
      <c r="B212" s="175"/>
      <c r="C212" s="175"/>
      <c r="D212" s="176"/>
      <c r="E212" s="177"/>
      <c r="F212" s="178"/>
      <c r="G212" s="178"/>
      <c r="I212" s="179"/>
      <c r="J212" s="404"/>
      <c r="K212" s="404"/>
      <c r="L212" s="404"/>
      <c r="M212" s="404"/>
      <c r="N212" s="180"/>
      <c r="O212" s="180"/>
      <c r="P212" s="180"/>
      <c r="Q212" s="180"/>
      <c r="R212" s="181"/>
      <c r="S212" s="181"/>
      <c r="T212" s="182"/>
      <c r="U212" s="182"/>
      <c r="V212" s="182"/>
      <c r="W212" s="182"/>
      <c r="X212" s="182"/>
      <c r="Y212" s="182"/>
      <c r="Z212" s="183"/>
      <c r="AA212" s="183"/>
    </row>
    <row r="213" spans="2:27" ht="14.1" customHeight="1">
      <c r="B213" s="175"/>
      <c r="C213" s="175"/>
      <c r="D213" s="176"/>
      <c r="E213" s="177"/>
      <c r="F213" s="178"/>
      <c r="G213" s="178"/>
      <c r="I213" s="179"/>
      <c r="J213" s="404"/>
      <c r="K213" s="404"/>
      <c r="L213" s="404"/>
      <c r="M213" s="404"/>
      <c r="N213" s="180"/>
      <c r="O213" s="180"/>
      <c r="P213" s="180"/>
      <c r="Q213" s="180"/>
      <c r="R213" s="181"/>
      <c r="S213" s="181"/>
      <c r="T213" s="182"/>
      <c r="U213" s="182"/>
      <c r="V213" s="182"/>
      <c r="W213" s="182"/>
      <c r="X213" s="182"/>
      <c r="Y213" s="182"/>
      <c r="Z213" s="183"/>
      <c r="AA213" s="183"/>
    </row>
    <row r="214" spans="2:27" ht="14.1" customHeight="1">
      <c r="B214" s="175"/>
      <c r="C214" s="175"/>
      <c r="D214" s="176"/>
      <c r="E214" s="177"/>
      <c r="F214" s="178"/>
      <c r="G214" s="178"/>
      <c r="I214" s="179"/>
      <c r="J214" s="404"/>
      <c r="K214" s="404"/>
      <c r="L214" s="404"/>
      <c r="M214" s="404"/>
      <c r="N214" s="180"/>
      <c r="O214" s="180"/>
      <c r="P214" s="180"/>
      <c r="Q214" s="180"/>
      <c r="R214" s="181"/>
      <c r="S214" s="181"/>
      <c r="T214" s="182"/>
      <c r="U214" s="182"/>
      <c r="V214" s="182"/>
      <c r="W214" s="182"/>
      <c r="X214" s="182"/>
      <c r="Y214" s="182"/>
      <c r="Z214" s="183"/>
      <c r="AA214" s="183"/>
    </row>
    <row r="215" spans="2:27" ht="14.1" customHeight="1">
      <c r="B215" s="175"/>
      <c r="C215" s="175"/>
      <c r="D215" s="176"/>
      <c r="E215" s="177"/>
      <c r="F215" s="178"/>
      <c r="G215" s="178"/>
      <c r="I215" s="179"/>
      <c r="J215" s="404"/>
      <c r="K215" s="404"/>
      <c r="L215" s="404"/>
      <c r="M215" s="404"/>
      <c r="N215" s="180"/>
      <c r="O215" s="180"/>
      <c r="P215" s="180"/>
      <c r="Q215" s="180"/>
      <c r="R215" s="181"/>
      <c r="S215" s="181"/>
      <c r="T215" s="182"/>
      <c r="U215" s="182"/>
      <c r="V215" s="182"/>
      <c r="W215" s="182"/>
      <c r="X215" s="182"/>
      <c r="Y215" s="182"/>
      <c r="Z215" s="183"/>
      <c r="AA215" s="183"/>
    </row>
    <row r="216" spans="2:27" ht="14.1" customHeight="1">
      <c r="B216" s="175"/>
      <c r="C216" s="175"/>
      <c r="D216" s="176"/>
      <c r="E216" s="177"/>
      <c r="F216" s="178"/>
      <c r="G216" s="178"/>
      <c r="I216" s="179"/>
      <c r="J216" s="404"/>
      <c r="K216" s="404"/>
      <c r="L216" s="404"/>
      <c r="M216" s="404"/>
      <c r="N216" s="180"/>
      <c r="O216" s="180"/>
      <c r="P216" s="180"/>
      <c r="Q216" s="180"/>
      <c r="R216" s="181"/>
      <c r="S216" s="181"/>
      <c r="T216" s="182"/>
      <c r="U216" s="182"/>
      <c r="V216" s="182"/>
      <c r="W216" s="182"/>
      <c r="X216" s="182"/>
      <c r="Y216" s="182"/>
      <c r="Z216" s="183"/>
      <c r="AA216" s="183"/>
    </row>
    <row r="217" spans="2:27" ht="14.1" customHeight="1">
      <c r="B217" s="175"/>
      <c r="C217" s="175"/>
      <c r="D217" s="176"/>
      <c r="E217" s="177"/>
      <c r="F217" s="178"/>
      <c r="G217" s="178"/>
      <c r="I217" s="179"/>
      <c r="J217" s="404"/>
      <c r="K217" s="404"/>
      <c r="L217" s="404"/>
      <c r="M217" s="404"/>
      <c r="N217" s="180"/>
      <c r="O217" s="180"/>
      <c r="P217" s="180"/>
      <c r="Q217" s="180"/>
      <c r="R217" s="181"/>
      <c r="S217" s="181"/>
      <c r="T217" s="182"/>
      <c r="U217" s="182"/>
      <c r="V217" s="182"/>
      <c r="W217" s="182"/>
      <c r="X217" s="182"/>
      <c r="Y217" s="182"/>
      <c r="Z217" s="183"/>
      <c r="AA217" s="183"/>
    </row>
    <row r="218" spans="2:27" ht="14.1" customHeight="1">
      <c r="B218" s="175"/>
      <c r="C218" s="175"/>
      <c r="D218" s="176"/>
      <c r="E218" s="177"/>
      <c r="F218" s="178"/>
      <c r="G218" s="178"/>
      <c r="I218" s="179"/>
      <c r="J218" s="404"/>
      <c r="K218" s="404"/>
      <c r="L218" s="404"/>
      <c r="M218" s="404"/>
      <c r="N218" s="180"/>
      <c r="O218" s="180"/>
      <c r="P218" s="180"/>
      <c r="Q218" s="180"/>
      <c r="R218" s="181"/>
      <c r="S218" s="181"/>
      <c r="T218" s="182"/>
      <c r="U218" s="182"/>
      <c r="V218" s="182"/>
      <c r="W218" s="182"/>
      <c r="X218" s="182"/>
      <c r="Y218" s="182"/>
      <c r="Z218" s="183"/>
      <c r="AA218" s="183"/>
    </row>
    <row r="219" spans="2:27" ht="14.1" customHeight="1">
      <c r="B219" s="175"/>
      <c r="C219" s="175"/>
      <c r="D219" s="176"/>
      <c r="E219" s="177"/>
      <c r="F219" s="178"/>
      <c r="G219" s="178"/>
      <c r="I219" s="179"/>
      <c r="J219" s="404"/>
      <c r="K219" s="404"/>
      <c r="L219" s="404"/>
      <c r="M219" s="404"/>
      <c r="N219" s="180"/>
      <c r="O219" s="180"/>
      <c r="P219" s="180"/>
      <c r="Q219" s="180"/>
      <c r="R219" s="181"/>
      <c r="S219" s="181"/>
      <c r="T219" s="182"/>
      <c r="U219" s="182"/>
      <c r="V219" s="182"/>
      <c r="W219" s="182"/>
      <c r="X219" s="182"/>
      <c r="Y219" s="182"/>
      <c r="Z219" s="183"/>
      <c r="AA219" s="183"/>
    </row>
    <row r="220" spans="2:27" ht="14.1" customHeight="1">
      <c r="B220" s="175"/>
      <c r="C220" s="175"/>
      <c r="D220" s="176"/>
      <c r="E220" s="177"/>
      <c r="F220" s="178"/>
      <c r="G220" s="178"/>
      <c r="I220" s="179"/>
      <c r="J220" s="404"/>
      <c r="K220" s="404"/>
      <c r="L220" s="404"/>
      <c r="M220" s="404"/>
      <c r="N220" s="180"/>
      <c r="O220" s="180"/>
      <c r="P220" s="180"/>
      <c r="Q220" s="180"/>
      <c r="R220" s="181"/>
      <c r="S220" s="181"/>
      <c r="T220" s="182"/>
      <c r="U220" s="182"/>
      <c r="V220" s="182"/>
      <c r="W220" s="182"/>
      <c r="X220" s="182"/>
      <c r="Y220" s="182"/>
      <c r="Z220" s="183"/>
      <c r="AA220" s="183"/>
    </row>
    <row r="221" spans="2:27" ht="14.1" customHeight="1">
      <c r="B221" s="175"/>
      <c r="C221" s="175"/>
      <c r="D221" s="176"/>
      <c r="E221" s="177"/>
      <c r="F221" s="178"/>
      <c r="G221" s="178"/>
      <c r="I221" s="179"/>
      <c r="J221" s="404"/>
      <c r="K221" s="404"/>
      <c r="L221" s="404"/>
      <c r="M221" s="404"/>
      <c r="N221" s="180"/>
      <c r="O221" s="180"/>
      <c r="P221" s="180"/>
      <c r="Q221" s="180"/>
      <c r="R221" s="181"/>
      <c r="S221" s="181"/>
      <c r="T221" s="182"/>
      <c r="U221" s="182"/>
      <c r="V221" s="182"/>
      <c r="W221" s="182"/>
      <c r="X221" s="182"/>
      <c r="Y221" s="182"/>
      <c r="Z221" s="183"/>
      <c r="AA221" s="183"/>
    </row>
    <row r="222" spans="2:27" ht="14.1" customHeight="1">
      <c r="B222" s="175"/>
      <c r="C222" s="175"/>
      <c r="D222" s="176"/>
      <c r="E222" s="177"/>
      <c r="F222" s="178"/>
      <c r="G222" s="178"/>
      <c r="I222" s="179"/>
      <c r="J222" s="404"/>
      <c r="K222" s="404"/>
      <c r="L222" s="404"/>
      <c r="M222" s="404"/>
      <c r="N222" s="180"/>
      <c r="O222" s="180"/>
      <c r="P222" s="180"/>
      <c r="Q222" s="180"/>
      <c r="R222" s="181"/>
      <c r="S222" s="181"/>
      <c r="T222" s="182"/>
      <c r="U222" s="182"/>
      <c r="V222" s="182"/>
      <c r="W222" s="182"/>
      <c r="X222" s="182"/>
      <c r="Y222" s="182"/>
      <c r="Z222" s="183"/>
      <c r="AA222" s="183"/>
    </row>
    <row r="223" spans="2:27" ht="14.1" customHeight="1">
      <c r="B223" s="175"/>
      <c r="C223" s="175"/>
      <c r="D223" s="176"/>
      <c r="E223" s="177"/>
      <c r="F223" s="178"/>
      <c r="G223" s="178"/>
      <c r="I223" s="179"/>
      <c r="J223" s="404"/>
      <c r="K223" s="404"/>
      <c r="L223" s="404"/>
      <c r="M223" s="404"/>
      <c r="N223" s="180"/>
      <c r="O223" s="180"/>
      <c r="P223" s="180"/>
      <c r="Q223" s="180"/>
      <c r="R223" s="181"/>
      <c r="S223" s="181"/>
      <c r="T223" s="182"/>
      <c r="U223" s="182"/>
      <c r="V223" s="182"/>
      <c r="W223" s="182"/>
      <c r="X223" s="182"/>
      <c r="Y223" s="182"/>
      <c r="Z223" s="183"/>
      <c r="AA223" s="183"/>
    </row>
    <row r="224" spans="2:27" ht="14.1" customHeight="1">
      <c r="B224" s="175"/>
      <c r="C224" s="175"/>
      <c r="D224" s="176"/>
      <c r="E224" s="177"/>
      <c r="F224" s="178"/>
      <c r="G224" s="178"/>
      <c r="I224" s="179"/>
      <c r="J224" s="404"/>
      <c r="K224" s="404"/>
      <c r="L224" s="404"/>
      <c r="M224" s="404"/>
      <c r="N224" s="180"/>
      <c r="O224" s="180"/>
      <c r="P224" s="180"/>
      <c r="Q224" s="180"/>
      <c r="R224" s="181"/>
      <c r="S224" s="181"/>
      <c r="T224" s="182"/>
      <c r="U224" s="182"/>
      <c r="V224" s="182"/>
      <c r="W224" s="182"/>
      <c r="X224" s="182"/>
      <c r="Y224" s="182"/>
      <c r="Z224" s="183"/>
      <c r="AA224" s="183"/>
    </row>
    <row r="225" spans="2:27" ht="14.1" customHeight="1">
      <c r="B225" s="175"/>
      <c r="C225" s="175"/>
      <c r="D225" s="176"/>
      <c r="E225" s="177"/>
      <c r="F225" s="178"/>
      <c r="G225" s="178"/>
      <c r="I225" s="179"/>
      <c r="J225" s="404"/>
      <c r="K225" s="404"/>
      <c r="L225" s="404"/>
      <c r="M225" s="404"/>
      <c r="N225" s="180"/>
      <c r="O225" s="180"/>
      <c r="P225" s="180"/>
      <c r="Q225" s="180"/>
      <c r="R225" s="181"/>
      <c r="S225" s="181"/>
      <c r="T225" s="182"/>
      <c r="U225" s="182"/>
      <c r="V225" s="182"/>
      <c r="W225" s="182"/>
      <c r="X225" s="182"/>
      <c r="Y225" s="182"/>
      <c r="Z225" s="183"/>
      <c r="AA225" s="183"/>
    </row>
    <row r="226" spans="2:27" ht="14.1" customHeight="1">
      <c r="B226" s="175"/>
      <c r="C226" s="175"/>
      <c r="D226" s="176"/>
      <c r="E226" s="177"/>
      <c r="F226" s="178"/>
      <c r="G226" s="178"/>
      <c r="I226" s="179"/>
      <c r="J226" s="404"/>
      <c r="K226" s="404"/>
      <c r="L226" s="404"/>
      <c r="M226" s="404"/>
      <c r="N226" s="180"/>
      <c r="O226" s="180"/>
      <c r="P226" s="180"/>
      <c r="Q226" s="180"/>
      <c r="R226" s="181"/>
      <c r="S226" s="181"/>
      <c r="T226" s="182"/>
      <c r="U226" s="182"/>
      <c r="V226" s="182"/>
      <c r="W226" s="182"/>
      <c r="X226" s="182"/>
      <c r="Y226" s="182"/>
      <c r="Z226" s="183"/>
      <c r="AA226" s="183"/>
    </row>
    <row r="227" spans="2:27" ht="14.1" customHeight="1">
      <c r="B227" s="175"/>
      <c r="C227" s="175"/>
      <c r="D227" s="176"/>
      <c r="E227" s="177"/>
      <c r="F227" s="178"/>
      <c r="G227" s="178"/>
      <c r="I227" s="179"/>
      <c r="J227" s="404"/>
      <c r="K227" s="404"/>
      <c r="L227" s="404"/>
      <c r="M227" s="404"/>
      <c r="N227" s="180"/>
      <c r="O227" s="180"/>
      <c r="P227" s="180"/>
      <c r="Q227" s="180"/>
      <c r="R227" s="181"/>
      <c r="S227" s="181"/>
      <c r="T227" s="182"/>
      <c r="U227" s="182"/>
      <c r="V227" s="182"/>
      <c r="W227" s="182"/>
      <c r="X227" s="182"/>
      <c r="Y227" s="182"/>
      <c r="Z227" s="183"/>
      <c r="AA227" s="183"/>
    </row>
    <row r="228" spans="2:27" ht="14.1" customHeight="1">
      <c r="B228" s="175"/>
      <c r="C228" s="175"/>
      <c r="D228" s="176"/>
      <c r="E228" s="177"/>
      <c r="F228" s="178"/>
      <c r="G228" s="178"/>
      <c r="I228" s="179"/>
      <c r="J228" s="404"/>
      <c r="K228" s="404"/>
      <c r="L228" s="404"/>
      <c r="M228" s="404"/>
      <c r="N228" s="180"/>
      <c r="O228" s="180"/>
      <c r="P228" s="180"/>
      <c r="Q228" s="180"/>
      <c r="R228" s="181"/>
      <c r="S228" s="181"/>
      <c r="T228" s="182"/>
      <c r="U228" s="182"/>
      <c r="V228" s="182"/>
      <c r="W228" s="182"/>
      <c r="X228" s="182"/>
      <c r="Y228" s="182"/>
      <c r="Z228" s="183"/>
      <c r="AA228" s="183"/>
    </row>
    <row r="229" spans="2:27" ht="14.1" customHeight="1">
      <c r="B229" s="175"/>
      <c r="C229" s="175"/>
      <c r="D229" s="176"/>
      <c r="E229" s="177"/>
      <c r="F229" s="178"/>
      <c r="G229" s="178"/>
      <c r="I229" s="179"/>
      <c r="J229" s="404"/>
      <c r="K229" s="404"/>
      <c r="L229" s="404"/>
      <c r="M229" s="404"/>
      <c r="N229" s="180"/>
      <c r="O229" s="180"/>
      <c r="P229" s="180"/>
      <c r="Q229" s="180"/>
      <c r="R229" s="181"/>
      <c r="S229" s="181"/>
      <c r="T229" s="182"/>
      <c r="U229" s="182"/>
      <c r="V229" s="182"/>
      <c r="W229" s="182"/>
      <c r="X229" s="182"/>
      <c r="Y229" s="182"/>
      <c r="Z229" s="183"/>
      <c r="AA229" s="183"/>
    </row>
    <row r="230" spans="2:27" ht="14.1" customHeight="1">
      <c r="B230" s="175"/>
      <c r="C230" s="175"/>
      <c r="D230" s="176"/>
      <c r="E230" s="177"/>
      <c r="F230" s="178"/>
      <c r="G230" s="178"/>
      <c r="I230" s="179"/>
      <c r="J230" s="404"/>
      <c r="K230" s="404"/>
      <c r="L230" s="404"/>
      <c r="M230" s="404"/>
      <c r="N230" s="180"/>
      <c r="O230" s="180"/>
      <c r="P230" s="180"/>
      <c r="Q230" s="180"/>
      <c r="R230" s="181"/>
      <c r="S230" s="181"/>
      <c r="T230" s="182"/>
      <c r="U230" s="182"/>
      <c r="V230" s="182"/>
      <c r="W230" s="182"/>
      <c r="X230" s="182"/>
      <c r="Y230" s="182"/>
      <c r="Z230" s="183"/>
      <c r="AA230" s="183"/>
    </row>
    <row r="231" spans="2:27" ht="14.1" customHeight="1">
      <c r="B231" s="175"/>
      <c r="C231" s="175"/>
      <c r="D231" s="176"/>
      <c r="E231" s="177"/>
      <c r="F231" s="178"/>
      <c r="G231" s="178"/>
      <c r="I231" s="179"/>
      <c r="J231" s="404"/>
      <c r="K231" s="404"/>
      <c r="L231" s="404"/>
      <c r="M231" s="404"/>
      <c r="N231" s="180"/>
      <c r="O231" s="180"/>
      <c r="P231" s="180"/>
      <c r="Q231" s="180"/>
      <c r="R231" s="181"/>
      <c r="S231" s="181"/>
      <c r="T231" s="182"/>
      <c r="U231" s="182"/>
      <c r="V231" s="182"/>
      <c r="W231" s="182"/>
      <c r="X231" s="182"/>
      <c r="Y231" s="182"/>
      <c r="Z231" s="183"/>
      <c r="AA231" s="183"/>
    </row>
    <row r="232" spans="2:27" ht="14.1" customHeight="1">
      <c r="B232" s="175"/>
      <c r="C232" s="175"/>
      <c r="D232" s="176"/>
      <c r="E232" s="177"/>
      <c r="F232" s="178"/>
      <c r="G232" s="178"/>
      <c r="I232" s="179"/>
      <c r="J232" s="404"/>
      <c r="K232" s="404"/>
      <c r="L232" s="404"/>
      <c r="M232" s="404"/>
      <c r="N232" s="180"/>
      <c r="O232" s="180"/>
      <c r="P232" s="180"/>
      <c r="Q232" s="180"/>
      <c r="R232" s="181"/>
      <c r="S232" s="181"/>
      <c r="T232" s="182"/>
      <c r="U232" s="182"/>
      <c r="V232" s="182"/>
      <c r="W232" s="182"/>
      <c r="X232" s="182"/>
      <c r="Y232" s="182"/>
      <c r="Z232" s="183"/>
      <c r="AA232" s="183"/>
    </row>
    <row r="233" spans="2:27" ht="14.1" customHeight="1">
      <c r="B233" s="175"/>
      <c r="C233" s="175"/>
      <c r="D233" s="176"/>
      <c r="E233" s="177"/>
      <c r="F233" s="178"/>
      <c r="G233" s="178"/>
      <c r="I233" s="179"/>
      <c r="J233" s="404"/>
      <c r="K233" s="404"/>
      <c r="L233" s="404"/>
      <c r="M233" s="404"/>
      <c r="N233" s="180"/>
      <c r="O233" s="180"/>
      <c r="P233" s="180"/>
      <c r="Q233" s="180"/>
      <c r="R233" s="181"/>
      <c r="S233" s="181"/>
      <c r="T233" s="182"/>
      <c r="U233" s="182"/>
      <c r="V233" s="182"/>
      <c r="W233" s="182"/>
      <c r="X233" s="182"/>
      <c r="Y233" s="182"/>
      <c r="Z233" s="183"/>
      <c r="AA233" s="183"/>
    </row>
    <row r="234" spans="2:27" ht="14.1" customHeight="1">
      <c r="B234" s="175"/>
      <c r="C234" s="175"/>
      <c r="D234" s="176"/>
      <c r="E234" s="177"/>
      <c r="F234" s="178"/>
      <c r="G234" s="178"/>
      <c r="I234" s="179"/>
      <c r="J234" s="404"/>
      <c r="K234" s="404"/>
      <c r="L234" s="404"/>
      <c r="M234" s="404"/>
      <c r="N234" s="180"/>
      <c r="O234" s="180"/>
      <c r="P234" s="180"/>
      <c r="Q234" s="180"/>
      <c r="R234" s="181"/>
      <c r="S234" s="181"/>
      <c r="T234" s="182"/>
      <c r="U234" s="182"/>
      <c r="V234" s="182"/>
      <c r="W234" s="182"/>
      <c r="X234" s="182"/>
      <c r="Y234" s="182"/>
      <c r="Z234" s="183"/>
      <c r="AA234" s="183"/>
    </row>
    <row r="235" spans="2:27" ht="14.1" customHeight="1">
      <c r="B235" s="175"/>
      <c r="C235" s="175"/>
      <c r="D235" s="176"/>
      <c r="E235" s="177"/>
      <c r="F235" s="178"/>
      <c r="G235" s="178"/>
      <c r="I235" s="179"/>
      <c r="J235" s="404"/>
      <c r="K235" s="404"/>
      <c r="L235" s="404"/>
      <c r="M235" s="404"/>
      <c r="N235" s="180"/>
      <c r="O235" s="180"/>
      <c r="P235" s="180"/>
      <c r="Q235" s="180"/>
      <c r="R235" s="181"/>
      <c r="S235" s="181"/>
      <c r="T235" s="182"/>
      <c r="U235" s="182"/>
      <c r="V235" s="182"/>
      <c r="W235" s="182"/>
      <c r="X235" s="182"/>
      <c r="Y235" s="182"/>
      <c r="Z235" s="183"/>
      <c r="AA235" s="183"/>
    </row>
    <row r="236" spans="2:27" ht="14.1" customHeight="1">
      <c r="B236" s="175"/>
      <c r="C236" s="175"/>
      <c r="D236" s="176"/>
      <c r="E236" s="177"/>
      <c r="F236" s="178"/>
      <c r="G236" s="178"/>
      <c r="I236" s="179"/>
      <c r="J236" s="404"/>
      <c r="K236" s="404"/>
      <c r="L236" s="404"/>
      <c r="M236" s="404"/>
      <c r="N236" s="180"/>
      <c r="O236" s="180"/>
      <c r="P236" s="180"/>
      <c r="Q236" s="180"/>
      <c r="R236" s="181"/>
      <c r="S236" s="181"/>
      <c r="T236" s="182"/>
      <c r="U236" s="182"/>
      <c r="V236" s="182"/>
      <c r="W236" s="182"/>
      <c r="X236" s="182"/>
      <c r="Y236" s="182"/>
      <c r="Z236" s="183"/>
      <c r="AA236" s="183"/>
    </row>
    <row r="237" spans="2:27" ht="14.1" customHeight="1">
      <c r="B237" s="175"/>
      <c r="C237" s="175"/>
      <c r="D237" s="176"/>
      <c r="E237" s="177"/>
      <c r="F237" s="178"/>
      <c r="G237" s="178"/>
      <c r="I237" s="179"/>
      <c r="J237" s="404"/>
      <c r="K237" s="404"/>
      <c r="L237" s="404"/>
      <c r="M237" s="404"/>
      <c r="N237" s="180"/>
      <c r="O237" s="180"/>
      <c r="P237" s="180"/>
      <c r="Q237" s="180"/>
      <c r="R237" s="181"/>
      <c r="S237" s="181"/>
      <c r="T237" s="182"/>
      <c r="U237" s="182"/>
      <c r="V237" s="182"/>
      <c r="W237" s="182"/>
      <c r="X237" s="182"/>
      <c r="Y237" s="182"/>
      <c r="Z237" s="183"/>
      <c r="AA237" s="183"/>
    </row>
    <row r="238" spans="2:27" ht="14.1" customHeight="1">
      <c r="B238" s="175"/>
      <c r="C238" s="175"/>
      <c r="D238" s="176"/>
      <c r="E238" s="177"/>
      <c r="F238" s="178"/>
      <c r="G238" s="178"/>
      <c r="I238" s="179"/>
      <c r="J238" s="404"/>
      <c r="K238" s="404"/>
      <c r="L238" s="404"/>
      <c r="M238" s="404"/>
      <c r="N238" s="180"/>
      <c r="O238" s="180"/>
      <c r="P238" s="180"/>
      <c r="Q238" s="180"/>
      <c r="R238" s="181"/>
      <c r="S238" s="181"/>
      <c r="T238" s="182"/>
      <c r="U238" s="182"/>
      <c r="V238" s="182"/>
      <c r="W238" s="182"/>
      <c r="X238" s="182"/>
      <c r="Y238" s="182"/>
      <c r="Z238" s="183"/>
      <c r="AA238" s="183"/>
    </row>
    <row r="239" spans="2:27" ht="14.1" customHeight="1">
      <c r="B239" s="175"/>
      <c r="C239" s="175"/>
      <c r="D239" s="176"/>
      <c r="E239" s="177"/>
      <c r="F239" s="178"/>
      <c r="G239" s="178"/>
      <c r="I239" s="179"/>
      <c r="J239" s="404"/>
      <c r="K239" s="404"/>
      <c r="L239" s="404"/>
      <c r="M239" s="404"/>
      <c r="N239" s="180"/>
      <c r="O239" s="180"/>
      <c r="P239" s="180"/>
      <c r="Q239" s="180"/>
      <c r="R239" s="181"/>
      <c r="S239" s="181"/>
      <c r="T239" s="182"/>
      <c r="U239" s="182"/>
      <c r="V239" s="182"/>
      <c r="W239" s="182"/>
      <c r="X239" s="182"/>
      <c r="Y239" s="182"/>
      <c r="Z239" s="183"/>
      <c r="AA239" s="183"/>
    </row>
    <row r="240" spans="2:27" ht="14.1" customHeight="1">
      <c r="B240" s="175"/>
      <c r="C240" s="175"/>
      <c r="D240" s="176"/>
      <c r="E240" s="177"/>
      <c r="F240" s="178"/>
      <c r="G240" s="178"/>
      <c r="I240" s="179"/>
      <c r="J240" s="404"/>
      <c r="K240" s="404"/>
      <c r="L240" s="404"/>
      <c r="M240" s="404"/>
      <c r="N240" s="180"/>
      <c r="O240" s="180"/>
      <c r="P240" s="180"/>
      <c r="Q240" s="180"/>
      <c r="R240" s="181"/>
      <c r="S240" s="181"/>
      <c r="T240" s="182"/>
      <c r="U240" s="182"/>
      <c r="V240" s="182"/>
      <c r="W240" s="182"/>
      <c r="X240" s="182"/>
      <c r="Y240" s="182"/>
      <c r="Z240" s="183"/>
      <c r="AA240" s="183"/>
    </row>
    <row r="241" spans="2:27" ht="14.1" customHeight="1">
      <c r="B241" s="175"/>
      <c r="C241" s="175"/>
      <c r="D241" s="176"/>
      <c r="E241" s="177"/>
      <c r="F241" s="178"/>
      <c r="G241" s="178"/>
      <c r="I241" s="179"/>
      <c r="J241" s="404"/>
      <c r="K241" s="404"/>
      <c r="L241" s="404"/>
      <c r="M241" s="404"/>
      <c r="N241" s="180"/>
      <c r="O241" s="180"/>
      <c r="P241" s="180"/>
      <c r="Q241" s="180"/>
      <c r="R241" s="181"/>
      <c r="S241" s="181"/>
      <c r="T241" s="182"/>
      <c r="U241" s="182"/>
      <c r="V241" s="182"/>
      <c r="W241" s="182"/>
      <c r="X241" s="182"/>
      <c r="Y241" s="182"/>
      <c r="Z241" s="183"/>
      <c r="AA241" s="183"/>
    </row>
    <row r="242" spans="2:27" ht="14.1" customHeight="1">
      <c r="B242" s="175"/>
      <c r="C242" s="175"/>
      <c r="D242" s="176"/>
      <c r="E242" s="177"/>
      <c r="F242" s="178"/>
      <c r="G242" s="178"/>
      <c r="I242" s="179"/>
      <c r="J242" s="404"/>
      <c r="K242" s="404"/>
      <c r="L242" s="404"/>
      <c r="M242" s="404"/>
      <c r="N242" s="180"/>
      <c r="O242" s="180"/>
      <c r="P242" s="180"/>
      <c r="Q242" s="180"/>
      <c r="R242" s="181"/>
      <c r="S242" s="181"/>
      <c r="T242" s="182"/>
      <c r="U242" s="182"/>
      <c r="V242" s="182"/>
      <c r="W242" s="182"/>
      <c r="X242" s="182"/>
      <c r="Y242" s="182"/>
      <c r="Z242" s="183"/>
      <c r="AA242" s="183"/>
    </row>
    <row r="243" spans="2:27" ht="14.1" customHeight="1">
      <c r="B243" s="175"/>
      <c r="C243" s="175"/>
      <c r="D243" s="176"/>
      <c r="E243" s="177"/>
      <c r="F243" s="178"/>
      <c r="G243" s="178"/>
      <c r="I243" s="179"/>
      <c r="J243" s="404"/>
      <c r="K243" s="404"/>
      <c r="L243" s="404"/>
      <c r="M243" s="404"/>
      <c r="N243" s="180"/>
      <c r="O243" s="180"/>
      <c r="P243" s="180"/>
      <c r="Q243" s="180"/>
      <c r="R243" s="181"/>
      <c r="S243" s="181"/>
      <c r="T243" s="182"/>
      <c r="U243" s="182"/>
      <c r="V243" s="182"/>
      <c r="W243" s="182"/>
      <c r="X243" s="182"/>
      <c r="Y243" s="182"/>
      <c r="Z243" s="183"/>
      <c r="AA243" s="183"/>
    </row>
    <row r="244" spans="2:27" ht="14.1" customHeight="1">
      <c r="B244" s="175"/>
      <c r="C244" s="175"/>
      <c r="D244" s="176"/>
      <c r="E244" s="177"/>
      <c r="F244" s="178"/>
      <c r="G244" s="178"/>
      <c r="I244" s="179"/>
      <c r="J244" s="404"/>
      <c r="K244" s="404"/>
      <c r="L244" s="404"/>
      <c r="M244" s="404"/>
      <c r="N244" s="180"/>
      <c r="O244" s="180"/>
      <c r="P244" s="180"/>
      <c r="Q244" s="180"/>
      <c r="R244" s="181"/>
      <c r="S244" s="181"/>
      <c r="T244" s="182"/>
      <c r="U244" s="182"/>
      <c r="V244" s="182"/>
      <c r="W244" s="182"/>
      <c r="X244" s="182"/>
      <c r="Y244" s="182"/>
      <c r="Z244" s="183"/>
      <c r="AA244" s="183"/>
    </row>
    <row r="245" spans="2:27" ht="14.1" customHeight="1">
      <c r="B245" s="175"/>
      <c r="C245" s="175"/>
      <c r="D245" s="176"/>
      <c r="E245" s="177"/>
      <c r="F245" s="178"/>
      <c r="G245" s="178"/>
      <c r="I245" s="179"/>
      <c r="J245" s="404"/>
      <c r="K245" s="404"/>
      <c r="L245" s="404"/>
      <c r="M245" s="404"/>
      <c r="N245" s="180"/>
      <c r="O245" s="180"/>
      <c r="P245" s="180"/>
      <c r="Q245" s="180"/>
      <c r="R245" s="181"/>
      <c r="S245" s="181"/>
      <c r="T245" s="182"/>
      <c r="U245" s="182"/>
      <c r="V245" s="182"/>
      <c r="W245" s="182"/>
      <c r="X245" s="182"/>
      <c r="Y245" s="182"/>
      <c r="Z245" s="183"/>
      <c r="AA245" s="183"/>
    </row>
    <row r="246" spans="2:27" ht="14.1" customHeight="1">
      <c r="B246" s="175"/>
      <c r="C246" s="175"/>
      <c r="D246" s="176"/>
      <c r="E246" s="177"/>
      <c r="F246" s="178"/>
      <c r="G246" s="178"/>
      <c r="I246" s="179"/>
      <c r="J246" s="404"/>
      <c r="K246" s="404"/>
      <c r="L246" s="404"/>
      <c r="M246" s="404"/>
      <c r="N246" s="180"/>
      <c r="O246" s="180"/>
      <c r="P246" s="180"/>
      <c r="Q246" s="180"/>
      <c r="R246" s="181"/>
      <c r="S246" s="181"/>
      <c r="T246" s="182"/>
      <c r="U246" s="182"/>
      <c r="V246" s="182"/>
      <c r="W246" s="182"/>
      <c r="X246" s="182"/>
      <c r="Y246" s="182"/>
      <c r="Z246" s="183"/>
      <c r="AA246" s="183"/>
    </row>
    <row r="247" spans="2:27" ht="14.1" customHeight="1">
      <c r="B247" s="175"/>
      <c r="C247" s="175"/>
      <c r="D247" s="176"/>
      <c r="E247" s="177"/>
      <c r="F247" s="178"/>
      <c r="G247" s="178"/>
      <c r="I247" s="179"/>
      <c r="J247" s="404"/>
      <c r="K247" s="404"/>
      <c r="L247" s="404"/>
      <c r="M247" s="404"/>
      <c r="N247" s="180"/>
      <c r="O247" s="180"/>
      <c r="P247" s="180"/>
      <c r="Q247" s="180"/>
      <c r="R247" s="181"/>
      <c r="S247" s="181"/>
      <c r="T247" s="182"/>
      <c r="U247" s="182"/>
      <c r="V247" s="182"/>
      <c r="W247" s="182"/>
      <c r="X247" s="182"/>
      <c r="Y247" s="182"/>
      <c r="Z247" s="183"/>
      <c r="AA247" s="183"/>
    </row>
    <row r="248" spans="2:27" ht="14.1" customHeight="1">
      <c r="B248" s="175"/>
      <c r="C248" s="175"/>
      <c r="D248" s="176"/>
      <c r="E248" s="177"/>
      <c r="F248" s="178"/>
      <c r="G248" s="178"/>
      <c r="I248" s="179"/>
      <c r="J248" s="404"/>
      <c r="K248" s="404"/>
      <c r="L248" s="404"/>
      <c r="M248" s="404"/>
      <c r="N248" s="180"/>
      <c r="O248" s="180"/>
      <c r="P248" s="180"/>
      <c r="Q248" s="180"/>
      <c r="R248" s="181"/>
      <c r="S248" s="181"/>
      <c r="T248" s="182"/>
      <c r="U248" s="182"/>
      <c r="V248" s="182"/>
      <c r="W248" s="182"/>
      <c r="X248" s="182"/>
      <c r="Y248" s="182"/>
      <c r="Z248" s="183"/>
      <c r="AA248" s="183"/>
    </row>
    <row r="249" spans="2:27" ht="14.1" customHeight="1">
      <c r="B249" s="175"/>
      <c r="C249" s="175"/>
      <c r="D249" s="176"/>
      <c r="E249" s="177"/>
      <c r="F249" s="178"/>
      <c r="G249" s="178"/>
      <c r="I249" s="179"/>
      <c r="J249" s="404"/>
      <c r="K249" s="404"/>
      <c r="L249" s="404"/>
      <c r="M249" s="404"/>
      <c r="N249" s="180"/>
      <c r="O249" s="180"/>
      <c r="P249" s="180"/>
      <c r="Q249" s="180"/>
      <c r="R249" s="181"/>
      <c r="S249" s="181"/>
      <c r="T249" s="182"/>
      <c r="U249" s="182"/>
      <c r="V249" s="182"/>
      <c r="W249" s="182"/>
      <c r="X249" s="182"/>
      <c r="Y249" s="182"/>
      <c r="Z249" s="183"/>
      <c r="AA249" s="183"/>
    </row>
    <row r="250" spans="2:27" ht="14.1" customHeight="1">
      <c r="B250" s="175"/>
      <c r="C250" s="175"/>
      <c r="D250" s="176"/>
      <c r="E250" s="177"/>
      <c r="F250" s="178"/>
      <c r="G250" s="178"/>
      <c r="I250" s="179"/>
      <c r="J250" s="404"/>
      <c r="K250" s="404"/>
      <c r="L250" s="404"/>
      <c r="M250" s="404"/>
      <c r="N250" s="180"/>
      <c r="O250" s="180"/>
      <c r="P250" s="180"/>
      <c r="Q250" s="180"/>
      <c r="R250" s="181"/>
      <c r="S250" s="181"/>
      <c r="T250" s="182"/>
      <c r="U250" s="182"/>
      <c r="V250" s="182"/>
      <c r="W250" s="182"/>
      <c r="X250" s="182"/>
      <c r="Y250" s="182"/>
      <c r="Z250" s="183"/>
      <c r="AA250" s="183"/>
    </row>
    <row r="251" spans="2:27" ht="14.1" customHeight="1">
      <c r="B251" s="175"/>
      <c r="C251" s="175"/>
      <c r="D251" s="176"/>
      <c r="E251" s="177"/>
      <c r="F251" s="178"/>
      <c r="G251" s="178"/>
      <c r="I251" s="179"/>
      <c r="J251" s="404"/>
      <c r="K251" s="404"/>
      <c r="L251" s="404"/>
      <c r="M251" s="404"/>
      <c r="N251" s="180"/>
      <c r="O251" s="180"/>
      <c r="P251" s="180"/>
      <c r="Q251" s="180"/>
      <c r="R251" s="181"/>
      <c r="S251" s="181"/>
      <c r="T251" s="182"/>
      <c r="U251" s="182"/>
      <c r="V251" s="182"/>
      <c r="W251" s="182"/>
      <c r="X251" s="182"/>
      <c r="Y251" s="182"/>
      <c r="Z251" s="183"/>
      <c r="AA251" s="183"/>
    </row>
    <row r="252" spans="2:27" ht="14.1" customHeight="1">
      <c r="B252" s="175"/>
      <c r="C252" s="175"/>
      <c r="D252" s="176"/>
      <c r="E252" s="177"/>
      <c r="F252" s="178"/>
      <c r="G252" s="178"/>
      <c r="I252" s="179"/>
      <c r="J252" s="404"/>
      <c r="K252" s="404"/>
      <c r="L252" s="404"/>
      <c r="M252" s="404"/>
      <c r="N252" s="180"/>
      <c r="O252" s="180"/>
      <c r="P252" s="180"/>
      <c r="Q252" s="180"/>
      <c r="R252" s="181"/>
      <c r="S252" s="181"/>
      <c r="T252" s="182"/>
      <c r="U252" s="182"/>
      <c r="V252" s="182"/>
      <c r="W252" s="182"/>
      <c r="X252" s="182"/>
      <c r="Y252" s="182"/>
      <c r="Z252" s="183"/>
      <c r="AA252" s="183"/>
    </row>
    <row r="253" spans="2:27" ht="14.1" customHeight="1">
      <c r="B253" s="175"/>
      <c r="C253" s="175"/>
      <c r="D253" s="176"/>
      <c r="E253" s="177"/>
      <c r="F253" s="178"/>
      <c r="G253" s="178"/>
      <c r="I253" s="179"/>
      <c r="J253" s="404"/>
      <c r="K253" s="404"/>
      <c r="L253" s="404"/>
      <c r="M253" s="404"/>
      <c r="N253" s="180"/>
      <c r="O253" s="180"/>
      <c r="P253" s="180"/>
      <c r="Q253" s="180"/>
      <c r="R253" s="181"/>
      <c r="S253" s="181"/>
      <c r="T253" s="182"/>
      <c r="U253" s="182"/>
      <c r="V253" s="182"/>
      <c r="W253" s="182"/>
      <c r="X253" s="182"/>
      <c r="Y253" s="182"/>
      <c r="Z253" s="183"/>
      <c r="AA253" s="183"/>
    </row>
    <row r="254" spans="2:27" ht="14.1" customHeight="1">
      <c r="B254" s="175"/>
      <c r="C254" s="175"/>
      <c r="D254" s="176"/>
      <c r="E254" s="177"/>
      <c r="F254" s="178"/>
      <c r="G254" s="178"/>
      <c r="I254" s="179"/>
      <c r="J254" s="404"/>
      <c r="K254" s="404"/>
      <c r="L254" s="404"/>
      <c r="M254" s="404"/>
      <c r="N254" s="180"/>
      <c r="O254" s="180"/>
      <c r="P254" s="180"/>
      <c r="Q254" s="180"/>
      <c r="R254" s="181"/>
      <c r="S254" s="181"/>
      <c r="T254" s="182"/>
      <c r="U254" s="182"/>
      <c r="V254" s="182"/>
      <c r="W254" s="182"/>
      <c r="X254" s="182"/>
      <c r="Y254" s="182"/>
      <c r="Z254" s="183"/>
      <c r="AA254" s="183"/>
    </row>
    <row r="255" spans="2:27" ht="14.1" customHeight="1">
      <c r="B255" s="175"/>
      <c r="C255" s="175"/>
      <c r="D255" s="176"/>
      <c r="E255" s="177"/>
      <c r="F255" s="178"/>
      <c r="G255" s="178"/>
      <c r="I255" s="179"/>
      <c r="J255" s="404"/>
      <c r="K255" s="404"/>
      <c r="L255" s="404"/>
      <c r="M255" s="404"/>
      <c r="N255" s="180"/>
      <c r="O255" s="180"/>
      <c r="P255" s="180"/>
      <c r="Q255" s="180"/>
      <c r="R255" s="181"/>
      <c r="S255" s="181"/>
      <c r="T255" s="182"/>
      <c r="U255" s="182"/>
      <c r="V255" s="182"/>
      <c r="W255" s="182"/>
      <c r="X255" s="182"/>
      <c r="Y255" s="182"/>
      <c r="Z255" s="183"/>
      <c r="AA255" s="183"/>
    </row>
    <row r="256" spans="2:27" ht="14.1" customHeight="1">
      <c r="B256" s="175"/>
      <c r="C256" s="175"/>
      <c r="D256" s="176"/>
      <c r="E256" s="177"/>
      <c r="F256" s="178"/>
      <c r="G256" s="178"/>
      <c r="I256" s="179"/>
      <c r="J256" s="404"/>
      <c r="K256" s="404"/>
      <c r="L256" s="404"/>
      <c r="M256" s="404"/>
      <c r="N256" s="180"/>
      <c r="O256" s="180"/>
      <c r="P256" s="180"/>
      <c r="Q256" s="180"/>
      <c r="R256" s="181"/>
      <c r="S256" s="181"/>
      <c r="T256" s="182"/>
      <c r="U256" s="182"/>
      <c r="V256" s="182"/>
      <c r="W256" s="182"/>
      <c r="X256" s="182"/>
      <c r="Y256" s="182"/>
      <c r="Z256" s="183"/>
      <c r="AA256" s="183"/>
    </row>
    <row r="257" spans="2:27" ht="14.1" customHeight="1">
      <c r="B257" s="175"/>
      <c r="C257" s="175"/>
      <c r="D257" s="176"/>
      <c r="E257" s="177"/>
      <c r="F257" s="178"/>
      <c r="G257" s="178"/>
      <c r="I257" s="179"/>
      <c r="J257" s="404"/>
      <c r="K257" s="404"/>
      <c r="L257" s="404"/>
      <c r="M257" s="404"/>
      <c r="N257" s="180"/>
      <c r="O257" s="180"/>
      <c r="P257" s="180"/>
      <c r="Q257" s="180"/>
      <c r="R257" s="181"/>
      <c r="S257" s="181"/>
      <c r="T257" s="182"/>
      <c r="U257" s="182"/>
      <c r="V257" s="182"/>
      <c r="W257" s="182"/>
      <c r="X257" s="182"/>
      <c r="Y257" s="182"/>
      <c r="Z257" s="183"/>
      <c r="AA257" s="183"/>
    </row>
    <row r="258" spans="2:27" ht="14.1" customHeight="1">
      <c r="B258" s="175"/>
      <c r="C258" s="175"/>
      <c r="D258" s="176"/>
      <c r="E258" s="177"/>
      <c r="F258" s="178"/>
      <c r="G258" s="178"/>
      <c r="I258" s="179"/>
      <c r="J258" s="404"/>
      <c r="K258" s="404"/>
      <c r="L258" s="404"/>
      <c r="M258" s="404"/>
      <c r="N258" s="180"/>
      <c r="O258" s="180"/>
      <c r="P258" s="180"/>
      <c r="Q258" s="180"/>
      <c r="R258" s="181"/>
      <c r="S258" s="181"/>
      <c r="T258" s="182"/>
      <c r="U258" s="182"/>
      <c r="V258" s="182"/>
      <c r="W258" s="182"/>
      <c r="X258" s="182"/>
      <c r="Y258" s="182"/>
      <c r="Z258" s="183"/>
      <c r="AA258" s="183"/>
    </row>
    <row r="259" spans="2:27" ht="14.1" customHeight="1">
      <c r="B259" s="175"/>
      <c r="C259" s="175"/>
      <c r="D259" s="176"/>
      <c r="E259" s="177"/>
      <c r="F259" s="178"/>
      <c r="G259" s="178"/>
      <c r="I259" s="179"/>
      <c r="J259" s="404"/>
      <c r="K259" s="404"/>
      <c r="L259" s="404"/>
      <c r="M259" s="404"/>
      <c r="N259" s="180"/>
      <c r="O259" s="180"/>
      <c r="P259" s="180"/>
      <c r="Q259" s="180"/>
      <c r="R259" s="181"/>
      <c r="S259" s="181"/>
      <c r="T259" s="182"/>
      <c r="U259" s="182"/>
      <c r="V259" s="182"/>
      <c r="W259" s="182"/>
      <c r="X259" s="182"/>
      <c r="Y259" s="182"/>
      <c r="Z259" s="183"/>
      <c r="AA259" s="183"/>
    </row>
    <row r="260" spans="2:27" ht="14.1" customHeight="1">
      <c r="B260" s="175"/>
      <c r="C260" s="175"/>
      <c r="D260" s="176"/>
      <c r="E260" s="177"/>
      <c r="F260" s="178"/>
      <c r="G260" s="178"/>
      <c r="I260" s="179"/>
      <c r="J260" s="404"/>
      <c r="K260" s="404"/>
      <c r="L260" s="404"/>
      <c r="M260" s="404"/>
      <c r="N260" s="180"/>
      <c r="O260" s="180"/>
      <c r="P260" s="180"/>
      <c r="Q260" s="180"/>
      <c r="R260" s="181"/>
      <c r="S260" s="181"/>
      <c r="T260" s="182"/>
      <c r="U260" s="182"/>
      <c r="V260" s="182"/>
      <c r="W260" s="182"/>
      <c r="X260" s="182"/>
      <c r="Y260" s="182"/>
      <c r="Z260" s="183"/>
      <c r="AA260" s="183"/>
    </row>
    <row r="261" spans="2:27" ht="14.1" customHeight="1">
      <c r="B261" s="175"/>
      <c r="C261" s="175"/>
      <c r="D261" s="176"/>
      <c r="E261" s="177"/>
      <c r="F261" s="178"/>
      <c r="G261" s="178"/>
      <c r="I261" s="179"/>
      <c r="J261" s="404"/>
      <c r="K261" s="404"/>
      <c r="L261" s="404"/>
      <c r="M261" s="404"/>
      <c r="N261" s="180"/>
      <c r="O261" s="180"/>
      <c r="P261" s="180"/>
      <c r="Q261" s="180"/>
      <c r="R261" s="181"/>
      <c r="S261" s="181"/>
      <c r="T261" s="182"/>
      <c r="U261" s="182"/>
      <c r="V261" s="182"/>
      <c r="W261" s="182"/>
      <c r="X261" s="182"/>
      <c r="Y261" s="182"/>
      <c r="Z261" s="183"/>
      <c r="AA261" s="183"/>
    </row>
    <row r="262" spans="2:27" ht="14.1" customHeight="1">
      <c r="B262" s="175"/>
      <c r="C262" s="175"/>
      <c r="D262" s="176"/>
      <c r="E262" s="177"/>
      <c r="F262" s="178"/>
      <c r="G262" s="178"/>
      <c r="I262" s="179"/>
      <c r="J262" s="404"/>
      <c r="K262" s="404"/>
      <c r="L262" s="404"/>
      <c r="M262" s="404"/>
      <c r="N262" s="180"/>
      <c r="O262" s="180"/>
      <c r="P262" s="180"/>
      <c r="Q262" s="180"/>
      <c r="R262" s="181"/>
      <c r="S262" s="181"/>
      <c r="T262" s="182"/>
      <c r="U262" s="182"/>
      <c r="V262" s="182"/>
      <c r="W262" s="182"/>
      <c r="X262" s="182"/>
      <c r="Y262" s="182"/>
      <c r="Z262" s="183"/>
      <c r="AA262" s="183"/>
    </row>
    <row r="263" spans="2:27" ht="14.1" customHeight="1">
      <c r="B263" s="175"/>
      <c r="C263" s="175"/>
      <c r="D263" s="176"/>
      <c r="E263" s="177"/>
      <c r="F263" s="178"/>
      <c r="G263" s="178"/>
      <c r="I263" s="179"/>
      <c r="J263" s="404"/>
      <c r="K263" s="404"/>
      <c r="L263" s="404"/>
      <c r="M263" s="404"/>
      <c r="N263" s="180"/>
      <c r="O263" s="180"/>
      <c r="P263" s="180"/>
      <c r="Q263" s="180"/>
      <c r="R263" s="181"/>
      <c r="S263" s="181"/>
      <c r="T263" s="182"/>
      <c r="U263" s="182"/>
      <c r="V263" s="182"/>
      <c r="W263" s="182"/>
      <c r="X263" s="182"/>
      <c r="Y263" s="182"/>
      <c r="Z263" s="183"/>
      <c r="AA263" s="183"/>
    </row>
    <row r="264" spans="2:27" ht="14.1" customHeight="1">
      <c r="B264" s="175"/>
      <c r="C264" s="175"/>
      <c r="D264" s="176"/>
      <c r="E264" s="177"/>
      <c r="F264" s="178"/>
      <c r="G264" s="178"/>
      <c r="I264" s="179"/>
      <c r="J264" s="404"/>
      <c r="K264" s="404"/>
      <c r="L264" s="404"/>
      <c r="M264" s="404"/>
      <c r="N264" s="180"/>
      <c r="O264" s="180"/>
      <c r="P264" s="180"/>
      <c r="Q264" s="180"/>
      <c r="R264" s="181"/>
      <c r="S264" s="181"/>
      <c r="T264" s="182"/>
      <c r="U264" s="182"/>
      <c r="V264" s="182"/>
      <c r="W264" s="182"/>
      <c r="X264" s="182"/>
      <c r="Y264" s="182"/>
      <c r="Z264" s="183"/>
      <c r="AA264" s="183"/>
    </row>
    <row r="265" spans="2:27" ht="14.1" customHeight="1">
      <c r="B265" s="175"/>
      <c r="C265" s="175"/>
      <c r="D265" s="176"/>
      <c r="E265" s="177"/>
      <c r="F265" s="178"/>
      <c r="G265" s="178"/>
      <c r="I265" s="179"/>
      <c r="J265" s="404"/>
      <c r="K265" s="404"/>
      <c r="L265" s="404"/>
      <c r="M265" s="404"/>
      <c r="N265" s="180"/>
      <c r="O265" s="180"/>
      <c r="P265" s="180"/>
      <c r="Q265" s="180"/>
      <c r="R265" s="181"/>
      <c r="S265" s="181"/>
      <c r="T265" s="182"/>
      <c r="U265" s="182"/>
      <c r="V265" s="182"/>
      <c r="W265" s="182"/>
      <c r="X265" s="182"/>
      <c r="Y265" s="182"/>
      <c r="Z265" s="183"/>
      <c r="AA265" s="183"/>
    </row>
    <row r="266" spans="2:27" ht="14.1" customHeight="1">
      <c r="B266" s="175"/>
      <c r="C266" s="175"/>
      <c r="D266" s="176"/>
      <c r="E266" s="177"/>
      <c r="F266" s="178"/>
      <c r="G266" s="178"/>
      <c r="I266" s="179"/>
      <c r="J266" s="404"/>
      <c r="K266" s="404"/>
      <c r="L266" s="404"/>
      <c r="M266" s="404"/>
      <c r="N266" s="180"/>
      <c r="O266" s="180"/>
      <c r="P266" s="180"/>
      <c r="Q266" s="180"/>
      <c r="R266" s="181"/>
      <c r="S266" s="181"/>
      <c r="T266" s="182"/>
      <c r="U266" s="182"/>
      <c r="V266" s="182"/>
      <c r="W266" s="182"/>
      <c r="X266" s="182"/>
      <c r="Y266" s="182"/>
      <c r="Z266" s="183"/>
      <c r="AA266" s="183"/>
    </row>
    <row r="267" spans="2:27" ht="14.1" customHeight="1">
      <c r="B267" s="175"/>
      <c r="C267" s="175"/>
      <c r="D267" s="176"/>
      <c r="E267" s="177"/>
      <c r="F267" s="178"/>
      <c r="G267" s="178"/>
      <c r="I267" s="179"/>
      <c r="J267" s="404"/>
      <c r="K267" s="404"/>
      <c r="L267" s="404"/>
      <c r="M267" s="404"/>
      <c r="N267" s="180"/>
      <c r="O267" s="180"/>
      <c r="P267" s="180"/>
      <c r="Q267" s="180"/>
      <c r="R267" s="181"/>
      <c r="S267" s="181"/>
      <c r="T267" s="182"/>
      <c r="U267" s="182"/>
      <c r="V267" s="182"/>
      <c r="W267" s="182"/>
      <c r="X267" s="182"/>
      <c r="Y267" s="182"/>
      <c r="Z267" s="183"/>
      <c r="AA267" s="183"/>
    </row>
    <row r="268" spans="2:27" ht="14.1" customHeight="1">
      <c r="B268" s="175"/>
      <c r="C268" s="175"/>
      <c r="D268" s="176"/>
      <c r="E268" s="177"/>
      <c r="F268" s="178"/>
      <c r="G268" s="178"/>
      <c r="I268" s="179"/>
      <c r="J268" s="404"/>
      <c r="K268" s="404"/>
      <c r="L268" s="404"/>
      <c r="M268" s="404"/>
      <c r="N268" s="180"/>
      <c r="O268" s="180"/>
      <c r="P268" s="180"/>
      <c r="Q268" s="180"/>
      <c r="R268" s="181"/>
      <c r="S268" s="181"/>
      <c r="T268" s="182"/>
      <c r="U268" s="182"/>
      <c r="V268" s="182"/>
      <c r="W268" s="182"/>
      <c r="X268" s="182"/>
      <c r="Y268" s="182"/>
      <c r="Z268" s="183"/>
      <c r="AA268" s="183"/>
    </row>
    <row r="269" spans="2:27" ht="14.1" customHeight="1">
      <c r="B269" s="175"/>
      <c r="C269" s="175"/>
      <c r="D269" s="176"/>
      <c r="E269" s="177"/>
      <c r="F269" s="178"/>
      <c r="G269" s="178"/>
      <c r="I269" s="179"/>
      <c r="J269" s="404"/>
      <c r="K269" s="404"/>
      <c r="L269" s="404"/>
      <c r="M269" s="404"/>
      <c r="N269" s="180"/>
      <c r="O269" s="180"/>
      <c r="P269" s="180"/>
      <c r="Q269" s="180"/>
      <c r="R269" s="181"/>
      <c r="S269" s="181"/>
      <c r="T269" s="182"/>
      <c r="U269" s="182"/>
      <c r="V269" s="182"/>
      <c r="W269" s="182"/>
      <c r="X269" s="182"/>
      <c r="Y269" s="182"/>
      <c r="Z269" s="183"/>
      <c r="AA269" s="183"/>
    </row>
    <row r="270" spans="2:27" ht="14.1" customHeight="1">
      <c r="B270" s="175"/>
      <c r="C270" s="175"/>
      <c r="D270" s="176"/>
      <c r="E270" s="177"/>
      <c r="F270" s="178"/>
      <c r="G270" s="178"/>
      <c r="I270" s="179"/>
      <c r="J270" s="404"/>
      <c r="K270" s="404"/>
      <c r="L270" s="404"/>
      <c r="M270" s="404"/>
      <c r="N270" s="180"/>
      <c r="O270" s="180"/>
      <c r="P270" s="180"/>
      <c r="Q270" s="180"/>
      <c r="R270" s="181"/>
      <c r="S270" s="181"/>
      <c r="T270" s="182"/>
      <c r="U270" s="182"/>
      <c r="V270" s="182"/>
      <c r="W270" s="182"/>
      <c r="X270" s="182"/>
      <c r="Y270" s="182"/>
      <c r="Z270" s="183"/>
      <c r="AA270" s="183"/>
    </row>
    <row r="271" spans="2:27" ht="14.1" customHeight="1">
      <c r="B271" s="175"/>
      <c r="C271" s="175"/>
      <c r="D271" s="176"/>
      <c r="E271" s="177"/>
      <c r="F271" s="178"/>
      <c r="G271" s="178"/>
      <c r="I271" s="179"/>
      <c r="J271" s="404"/>
      <c r="K271" s="404"/>
      <c r="L271" s="404"/>
      <c r="M271" s="404"/>
      <c r="N271" s="180"/>
      <c r="O271" s="180"/>
      <c r="P271" s="180"/>
      <c r="Q271" s="180"/>
      <c r="R271" s="181"/>
      <c r="S271" s="181"/>
      <c r="T271" s="182"/>
      <c r="U271" s="182"/>
      <c r="V271" s="182"/>
      <c r="W271" s="182"/>
      <c r="X271" s="182"/>
      <c r="Y271" s="182"/>
      <c r="Z271" s="183"/>
      <c r="AA271" s="183"/>
    </row>
    <row r="272" spans="2:27" ht="14.1" customHeight="1">
      <c r="B272" s="175"/>
      <c r="C272" s="175"/>
      <c r="D272" s="176"/>
      <c r="E272" s="177"/>
      <c r="F272" s="178"/>
      <c r="G272" s="178"/>
      <c r="I272" s="179"/>
      <c r="J272" s="404"/>
      <c r="K272" s="404"/>
      <c r="L272" s="404"/>
      <c r="M272" s="404"/>
      <c r="N272" s="180"/>
      <c r="O272" s="180"/>
      <c r="P272" s="180"/>
      <c r="Q272" s="180"/>
      <c r="R272" s="181"/>
      <c r="S272" s="181"/>
      <c r="T272" s="182"/>
      <c r="U272" s="182"/>
      <c r="V272" s="182"/>
      <c r="W272" s="182"/>
      <c r="X272" s="182"/>
      <c r="Y272" s="182"/>
      <c r="Z272" s="183"/>
      <c r="AA272" s="183"/>
    </row>
    <row r="273" spans="2:27" ht="14.1" customHeight="1">
      <c r="B273" s="175"/>
      <c r="C273" s="175"/>
      <c r="D273" s="176"/>
      <c r="E273" s="177"/>
      <c r="F273" s="178"/>
      <c r="G273" s="178"/>
      <c r="I273" s="179"/>
      <c r="J273" s="404"/>
      <c r="K273" s="404"/>
      <c r="L273" s="404"/>
      <c r="M273" s="404"/>
      <c r="N273" s="180"/>
      <c r="O273" s="180"/>
      <c r="P273" s="180"/>
      <c r="Q273" s="180"/>
      <c r="R273" s="181"/>
      <c r="S273" s="181"/>
      <c r="T273" s="182"/>
      <c r="U273" s="182"/>
      <c r="V273" s="182"/>
      <c r="W273" s="182"/>
      <c r="X273" s="182"/>
      <c r="Y273" s="182"/>
      <c r="Z273" s="183"/>
      <c r="AA273" s="183"/>
    </row>
    <row r="274" spans="2:27" ht="14.1" customHeight="1">
      <c r="B274" s="175"/>
      <c r="C274" s="175"/>
      <c r="D274" s="176"/>
      <c r="E274" s="177"/>
      <c r="F274" s="178"/>
      <c r="G274" s="178"/>
      <c r="I274" s="179"/>
      <c r="J274" s="404"/>
      <c r="K274" s="404"/>
      <c r="L274" s="404"/>
      <c r="M274" s="404"/>
      <c r="N274" s="180"/>
      <c r="O274" s="180"/>
      <c r="P274" s="180"/>
      <c r="Q274" s="180"/>
      <c r="R274" s="181"/>
      <c r="S274" s="181"/>
      <c r="T274" s="182"/>
      <c r="U274" s="182"/>
      <c r="V274" s="182"/>
      <c r="W274" s="182"/>
      <c r="X274" s="182"/>
      <c r="Y274" s="182"/>
      <c r="Z274" s="183"/>
      <c r="AA274" s="183"/>
    </row>
    <row r="275" spans="2:27" ht="14.1" customHeight="1">
      <c r="B275" s="175"/>
      <c r="C275" s="175"/>
      <c r="D275" s="176"/>
      <c r="E275" s="177"/>
      <c r="F275" s="178"/>
      <c r="G275" s="178"/>
      <c r="I275" s="179"/>
      <c r="J275" s="404"/>
      <c r="K275" s="404"/>
      <c r="L275" s="404"/>
      <c r="M275" s="404"/>
      <c r="N275" s="180"/>
      <c r="O275" s="180"/>
      <c r="P275" s="180"/>
      <c r="Q275" s="180"/>
      <c r="R275" s="181"/>
      <c r="S275" s="181"/>
      <c r="T275" s="182"/>
      <c r="U275" s="182"/>
      <c r="V275" s="182"/>
      <c r="W275" s="182"/>
      <c r="X275" s="182"/>
      <c r="Y275" s="182"/>
      <c r="Z275" s="183"/>
      <c r="AA275" s="183"/>
    </row>
    <row r="276" spans="2:27" ht="14.1" customHeight="1">
      <c r="B276" s="175"/>
      <c r="C276" s="175"/>
      <c r="D276" s="176"/>
      <c r="E276" s="177"/>
      <c r="F276" s="178"/>
      <c r="G276" s="178"/>
      <c r="I276" s="179"/>
      <c r="J276" s="404"/>
      <c r="K276" s="404"/>
      <c r="L276" s="404"/>
      <c r="M276" s="404"/>
      <c r="N276" s="180"/>
      <c r="O276" s="180"/>
      <c r="P276" s="180"/>
      <c r="Q276" s="180"/>
      <c r="R276" s="181"/>
      <c r="S276" s="181"/>
      <c r="T276" s="182"/>
      <c r="U276" s="182"/>
      <c r="V276" s="182"/>
      <c r="W276" s="182"/>
      <c r="X276" s="182"/>
      <c r="Y276" s="182"/>
      <c r="Z276" s="183"/>
      <c r="AA276" s="183"/>
    </row>
    <row r="277" spans="2:27" ht="14.1" customHeight="1">
      <c r="B277" s="175"/>
      <c r="C277" s="175"/>
      <c r="D277" s="176"/>
      <c r="E277" s="177"/>
      <c r="F277" s="178"/>
      <c r="G277" s="178"/>
      <c r="I277" s="179"/>
      <c r="J277" s="404"/>
      <c r="K277" s="404"/>
      <c r="L277" s="404"/>
      <c r="M277" s="404"/>
      <c r="N277" s="180"/>
      <c r="O277" s="180"/>
      <c r="P277" s="180"/>
      <c r="Q277" s="180"/>
      <c r="R277" s="181"/>
      <c r="S277" s="181"/>
      <c r="T277" s="182"/>
      <c r="U277" s="182"/>
      <c r="V277" s="182"/>
      <c r="W277" s="182"/>
      <c r="X277" s="182"/>
      <c r="Y277" s="182"/>
      <c r="Z277" s="183"/>
      <c r="AA277" s="183"/>
    </row>
    <row r="278" spans="2:27" ht="14.1" customHeight="1">
      <c r="B278" s="175"/>
      <c r="C278" s="175"/>
      <c r="D278" s="176"/>
      <c r="E278" s="177"/>
      <c r="F278" s="178"/>
      <c r="G278" s="178"/>
      <c r="I278" s="179"/>
      <c r="J278" s="404"/>
      <c r="K278" s="404"/>
      <c r="L278" s="404"/>
      <c r="M278" s="404"/>
      <c r="N278" s="180"/>
      <c r="O278" s="180"/>
      <c r="P278" s="180"/>
      <c r="Q278" s="180"/>
      <c r="R278" s="181"/>
      <c r="S278" s="181"/>
      <c r="T278" s="182"/>
      <c r="U278" s="182"/>
      <c r="V278" s="182"/>
      <c r="W278" s="182"/>
      <c r="X278" s="182"/>
      <c r="Y278" s="182"/>
      <c r="Z278" s="183"/>
      <c r="AA278" s="183"/>
    </row>
    <row r="279" spans="2:27" ht="14.1" customHeight="1">
      <c r="B279" s="175"/>
      <c r="C279" s="175"/>
      <c r="D279" s="176"/>
      <c r="E279" s="177"/>
      <c r="F279" s="178"/>
      <c r="G279" s="178"/>
      <c r="I279" s="179"/>
      <c r="J279" s="404"/>
      <c r="K279" s="404"/>
      <c r="L279" s="404"/>
      <c r="M279" s="404"/>
      <c r="N279" s="180"/>
      <c r="O279" s="180"/>
      <c r="P279" s="180"/>
      <c r="Q279" s="180"/>
      <c r="R279" s="181"/>
      <c r="S279" s="181"/>
      <c r="T279" s="182"/>
      <c r="U279" s="182"/>
      <c r="V279" s="182"/>
      <c r="W279" s="182"/>
      <c r="X279" s="182"/>
      <c r="Y279" s="182"/>
      <c r="Z279" s="183"/>
      <c r="AA279" s="183"/>
    </row>
    <row r="280" spans="2:27" ht="14.1" customHeight="1">
      <c r="B280" s="175"/>
      <c r="C280" s="175"/>
      <c r="D280" s="176"/>
      <c r="E280" s="177"/>
      <c r="F280" s="178"/>
      <c r="G280" s="178"/>
      <c r="I280" s="179"/>
      <c r="J280" s="404"/>
      <c r="K280" s="404"/>
      <c r="L280" s="404"/>
      <c r="M280" s="404"/>
      <c r="N280" s="180"/>
      <c r="O280" s="180"/>
      <c r="P280" s="180"/>
      <c r="Q280" s="180"/>
      <c r="R280" s="181"/>
      <c r="S280" s="181"/>
      <c r="T280" s="182"/>
      <c r="U280" s="182"/>
      <c r="V280" s="182"/>
      <c r="W280" s="182"/>
      <c r="X280" s="182"/>
      <c r="Y280" s="182"/>
      <c r="Z280" s="183"/>
      <c r="AA280" s="183"/>
    </row>
    <row r="281" spans="2:27" ht="14.1" customHeight="1">
      <c r="B281" s="175"/>
      <c r="C281" s="175"/>
      <c r="D281" s="176"/>
      <c r="E281" s="177"/>
      <c r="F281" s="178"/>
      <c r="G281" s="178"/>
      <c r="I281" s="179"/>
      <c r="J281" s="404"/>
      <c r="K281" s="404"/>
      <c r="L281" s="404"/>
      <c r="M281" s="404"/>
      <c r="N281" s="180"/>
      <c r="O281" s="180"/>
      <c r="P281" s="180"/>
      <c r="Q281" s="180"/>
      <c r="R281" s="181"/>
      <c r="S281" s="181"/>
      <c r="T281" s="182"/>
      <c r="U281" s="182"/>
      <c r="V281" s="182"/>
      <c r="W281" s="182"/>
      <c r="X281" s="182"/>
      <c r="Y281" s="182"/>
      <c r="Z281" s="183"/>
      <c r="AA281" s="183"/>
    </row>
    <row r="282" spans="2:27" ht="14.1" customHeight="1">
      <c r="B282" s="175"/>
      <c r="C282" s="175"/>
      <c r="D282" s="176"/>
      <c r="E282" s="177"/>
      <c r="F282" s="178"/>
      <c r="G282" s="178"/>
      <c r="I282" s="179"/>
      <c r="J282" s="404"/>
      <c r="K282" s="404"/>
      <c r="L282" s="404"/>
      <c r="M282" s="404"/>
      <c r="N282" s="180"/>
      <c r="O282" s="180"/>
      <c r="P282" s="180"/>
      <c r="Q282" s="180"/>
      <c r="R282" s="181"/>
      <c r="S282" s="181"/>
      <c r="T282" s="182"/>
      <c r="U282" s="182"/>
      <c r="V282" s="182"/>
      <c r="W282" s="182"/>
      <c r="X282" s="182"/>
      <c r="Y282" s="182"/>
      <c r="Z282" s="183"/>
      <c r="AA282" s="183"/>
    </row>
    <row r="283" spans="2:27" ht="14.1" customHeight="1">
      <c r="B283" s="175"/>
      <c r="C283" s="175"/>
      <c r="D283" s="176"/>
      <c r="E283" s="177"/>
      <c r="F283" s="178"/>
      <c r="G283" s="178"/>
      <c r="I283" s="179"/>
      <c r="J283" s="404"/>
      <c r="K283" s="404"/>
      <c r="L283" s="404"/>
      <c r="M283" s="404"/>
      <c r="N283" s="180"/>
      <c r="O283" s="180"/>
      <c r="P283" s="180"/>
      <c r="Q283" s="180"/>
      <c r="R283" s="181"/>
      <c r="S283" s="181"/>
      <c r="T283" s="182"/>
      <c r="U283" s="182"/>
      <c r="V283" s="182"/>
      <c r="W283" s="182"/>
      <c r="X283" s="182"/>
      <c r="Y283" s="182"/>
      <c r="Z283" s="183"/>
      <c r="AA283" s="183"/>
    </row>
    <row r="284" spans="2:27" ht="14.1" customHeight="1">
      <c r="B284" s="175"/>
      <c r="C284" s="175"/>
      <c r="D284" s="176"/>
      <c r="E284" s="177"/>
      <c r="F284" s="178"/>
      <c r="G284" s="178"/>
      <c r="I284" s="179"/>
      <c r="J284" s="404"/>
      <c r="K284" s="404"/>
      <c r="L284" s="404"/>
      <c r="M284" s="404"/>
      <c r="N284" s="180"/>
      <c r="O284" s="180"/>
      <c r="P284" s="180"/>
      <c r="Q284" s="180"/>
      <c r="R284" s="181"/>
      <c r="S284" s="181"/>
      <c r="T284" s="182"/>
      <c r="U284" s="182"/>
      <c r="V284" s="182"/>
      <c r="W284" s="182"/>
      <c r="X284" s="182"/>
      <c r="Y284" s="182"/>
      <c r="Z284" s="183"/>
      <c r="AA284" s="183"/>
    </row>
    <row r="285" spans="2:27" ht="14.1" customHeight="1">
      <c r="B285" s="175"/>
      <c r="C285" s="175"/>
      <c r="D285" s="176"/>
      <c r="E285" s="177"/>
      <c r="F285" s="178"/>
      <c r="G285" s="178"/>
      <c r="I285" s="179"/>
      <c r="J285" s="404"/>
      <c r="K285" s="404"/>
      <c r="L285" s="404"/>
      <c r="M285" s="404"/>
      <c r="N285" s="180"/>
      <c r="O285" s="180"/>
      <c r="P285" s="180"/>
      <c r="Q285" s="180"/>
      <c r="R285" s="181"/>
      <c r="S285" s="181"/>
      <c r="T285" s="182"/>
      <c r="U285" s="182"/>
      <c r="V285" s="182"/>
      <c r="W285" s="182"/>
      <c r="X285" s="182"/>
      <c r="Y285" s="182"/>
      <c r="Z285" s="183"/>
      <c r="AA285" s="183"/>
    </row>
    <row r="286" spans="2:27" ht="14.1" customHeight="1">
      <c r="B286" s="175"/>
      <c r="C286" s="175"/>
      <c r="D286" s="176"/>
      <c r="E286" s="177"/>
      <c r="F286" s="178"/>
      <c r="G286" s="178"/>
      <c r="I286" s="179"/>
      <c r="J286" s="404"/>
      <c r="K286" s="404"/>
      <c r="L286" s="404"/>
      <c r="M286" s="404"/>
      <c r="N286" s="180"/>
      <c r="O286" s="180"/>
      <c r="P286" s="180"/>
      <c r="Q286" s="180"/>
      <c r="R286" s="181"/>
      <c r="S286" s="181"/>
      <c r="T286" s="182"/>
      <c r="U286" s="182"/>
      <c r="V286" s="182"/>
      <c r="W286" s="182"/>
      <c r="X286" s="182"/>
      <c r="Y286" s="182"/>
      <c r="Z286" s="183"/>
      <c r="AA286" s="183"/>
    </row>
    <row r="287" spans="2:27" ht="14.1" customHeight="1">
      <c r="B287" s="175"/>
      <c r="C287" s="175"/>
      <c r="D287" s="176"/>
      <c r="E287" s="177"/>
      <c r="F287" s="178"/>
      <c r="G287" s="178"/>
      <c r="I287" s="179"/>
      <c r="J287" s="404"/>
      <c r="K287" s="404"/>
      <c r="L287" s="404"/>
      <c r="M287" s="404"/>
      <c r="N287" s="180"/>
      <c r="O287" s="180"/>
      <c r="P287" s="180"/>
      <c r="Q287" s="180"/>
      <c r="R287" s="181"/>
      <c r="S287" s="181"/>
      <c r="T287" s="182"/>
      <c r="U287" s="182"/>
      <c r="V287" s="182"/>
      <c r="W287" s="182"/>
      <c r="X287" s="182"/>
      <c r="Y287" s="182"/>
      <c r="Z287" s="183"/>
      <c r="AA287" s="183"/>
    </row>
    <row r="288" spans="2:27" ht="14.1" customHeight="1">
      <c r="B288" s="175"/>
      <c r="C288" s="175"/>
      <c r="D288" s="176"/>
      <c r="E288" s="177"/>
      <c r="F288" s="178"/>
      <c r="G288" s="178"/>
      <c r="I288" s="179"/>
      <c r="J288" s="404"/>
      <c r="K288" s="404"/>
      <c r="L288" s="404"/>
      <c r="M288" s="404"/>
      <c r="N288" s="180"/>
      <c r="O288" s="180"/>
      <c r="P288" s="180"/>
      <c r="Q288" s="180"/>
      <c r="R288" s="181"/>
      <c r="S288" s="181"/>
      <c r="T288" s="182"/>
      <c r="U288" s="182"/>
      <c r="V288" s="182"/>
      <c r="W288" s="182"/>
      <c r="X288" s="182"/>
      <c r="Y288" s="182"/>
      <c r="Z288" s="183"/>
      <c r="AA288" s="183"/>
    </row>
    <row r="289" spans="2:27" ht="14.1" customHeight="1">
      <c r="B289" s="175"/>
      <c r="C289" s="175"/>
      <c r="D289" s="176"/>
      <c r="E289" s="177"/>
      <c r="F289" s="178"/>
      <c r="G289" s="178"/>
      <c r="I289" s="179"/>
      <c r="J289" s="404"/>
      <c r="K289" s="404"/>
      <c r="L289" s="404"/>
      <c r="M289" s="404"/>
      <c r="N289" s="180"/>
      <c r="O289" s="180"/>
      <c r="P289" s="180"/>
      <c r="Q289" s="180"/>
      <c r="R289" s="181"/>
      <c r="S289" s="181"/>
      <c r="T289" s="182"/>
      <c r="U289" s="182"/>
      <c r="V289" s="182"/>
      <c r="W289" s="182"/>
      <c r="X289" s="182"/>
      <c r="Y289" s="182"/>
      <c r="Z289" s="183"/>
      <c r="AA289" s="183"/>
    </row>
    <row r="290" spans="2:27" ht="14.1" customHeight="1">
      <c r="B290" s="175"/>
      <c r="C290" s="175"/>
      <c r="D290" s="176"/>
      <c r="E290" s="177"/>
      <c r="F290" s="178"/>
      <c r="G290" s="178"/>
      <c r="I290" s="179"/>
      <c r="J290" s="404"/>
      <c r="K290" s="404"/>
      <c r="L290" s="404"/>
      <c r="M290" s="404"/>
      <c r="N290" s="180"/>
      <c r="O290" s="180"/>
      <c r="P290" s="180"/>
      <c r="Q290" s="180"/>
      <c r="R290" s="181"/>
      <c r="S290" s="181"/>
      <c r="T290" s="182"/>
      <c r="U290" s="182"/>
      <c r="V290" s="182"/>
      <c r="W290" s="182"/>
      <c r="X290" s="182"/>
      <c r="Y290" s="182"/>
      <c r="Z290" s="183"/>
      <c r="AA290" s="183"/>
    </row>
    <row r="291" spans="2:27" ht="14.1" customHeight="1">
      <c r="B291" s="175"/>
      <c r="C291" s="175"/>
      <c r="D291" s="176"/>
      <c r="E291" s="177"/>
      <c r="F291" s="178"/>
      <c r="G291" s="178"/>
      <c r="I291" s="179"/>
      <c r="J291" s="404"/>
      <c r="K291" s="404"/>
      <c r="L291" s="404"/>
      <c r="M291" s="404"/>
      <c r="N291" s="180"/>
      <c r="O291" s="180"/>
      <c r="P291" s="180"/>
      <c r="Q291" s="180"/>
      <c r="R291" s="181"/>
      <c r="S291" s="181"/>
      <c r="T291" s="182"/>
      <c r="U291" s="182"/>
      <c r="V291" s="182"/>
      <c r="W291" s="182"/>
      <c r="X291" s="182"/>
      <c r="Y291" s="182"/>
      <c r="Z291" s="183"/>
      <c r="AA291" s="183"/>
    </row>
    <row r="292" spans="2:27" ht="14.1" customHeight="1">
      <c r="B292" s="175"/>
      <c r="C292" s="175"/>
      <c r="D292" s="176"/>
      <c r="E292" s="177"/>
      <c r="F292" s="178"/>
      <c r="G292" s="178"/>
      <c r="I292" s="179"/>
      <c r="J292" s="404"/>
      <c r="K292" s="404"/>
      <c r="L292" s="404"/>
      <c r="M292" s="404"/>
      <c r="N292" s="180"/>
      <c r="O292" s="180"/>
      <c r="P292" s="180"/>
      <c r="Q292" s="180"/>
      <c r="R292" s="181"/>
      <c r="S292" s="181"/>
      <c r="T292" s="182"/>
      <c r="U292" s="182"/>
      <c r="V292" s="182"/>
      <c r="W292" s="182"/>
      <c r="X292" s="182"/>
      <c r="Y292" s="182"/>
      <c r="Z292" s="183"/>
      <c r="AA292" s="183"/>
    </row>
    <row r="293" spans="2:27" ht="14.1" customHeight="1">
      <c r="B293" s="175"/>
      <c r="C293" s="175"/>
      <c r="D293" s="176"/>
      <c r="E293" s="177"/>
      <c r="F293" s="178"/>
      <c r="G293" s="178"/>
      <c r="I293" s="179"/>
      <c r="J293" s="404"/>
      <c r="K293" s="404"/>
      <c r="L293" s="404"/>
      <c r="M293" s="404"/>
      <c r="N293" s="180"/>
      <c r="O293" s="180"/>
      <c r="P293" s="180"/>
      <c r="Q293" s="180"/>
      <c r="R293" s="181"/>
      <c r="S293" s="181"/>
      <c r="T293" s="182"/>
      <c r="U293" s="182"/>
      <c r="V293" s="182"/>
      <c r="W293" s="182"/>
      <c r="X293" s="182"/>
      <c r="Y293" s="182"/>
      <c r="Z293" s="183"/>
      <c r="AA293" s="183"/>
    </row>
    <row r="294" spans="2:27" ht="14.1" customHeight="1">
      <c r="B294" s="175"/>
      <c r="C294" s="175"/>
      <c r="D294" s="176"/>
      <c r="E294" s="177"/>
      <c r="F294" s="178"/>
      <c r="G294" s="178"/>
      <c r="I294" s="179"/>
      <c r="J294" s="404"/>
      <c r="K294" s="404"/>
      <c r="L294" s="404"/>
      <c r="M294" s="404"/>
      <c r="N294" s="180"/>
      <c r="O294" s="180"/>
      <c r="P294" s="180"/>
      <c r="Q294" s="180"/>
      <c r="R294" s="181"/>
      <c r="S294" s="181"/>
      <c r="T294" s="182"/>
      <c r="U294" s="182"/>
      <c r="V294" s="182"/>
      <c r="W294" s="182"/>
      <c r="X294" s="182"/>
      <c r="Y294" s="182"/>
      <c r="Z294" s="183"/>
      <c r="AA294" s="183"/>
    </row>
    <row r="295" spans="2:27" ht="14.1" customHeight="1">
      <c r="B295" s="175"/>
      <c r="C295" s="175"/>
      <c r="D295" s="176"/>
      <c r="E295" s="177"/>
      <c r="F295" s="178"/>
      <c r="G295" s="178"/>
      <c r="I295" s="179"/>
      <c r="J295" s="404"/>
      <c r="K295" s="404"/>
      <c r="L295" s="404"/>
      <c r="M295" s="404"/>
      <c r="N295" s="180"/>
      <c r="O295" s="180"/>
      <c r="P295" s="180"/>
      <c r="Q295" s="180"/>
      <c r="R295" s="181"/>
      <c r="S295" s="181"/>
      <c r="T295" s="182"/>
      <c r="U295" s="182"/>
      <c r="V295" s="182"/>
      <c r="W295" s="182"/>
      <c r="X295" s="182"/>
      <c r="Y295" s="182"/>
      <c r="Z295" s="183"/>
      <c r="AA295" s="183"/>
    </row>
    <row r="296" spans="2:27" ht="14.1" customHeight="1">
      <c r="B296" s="175"/>
      <c r="C296" s="175"/>
      <c r="D296" s="176"/>
      <c r="E296" s="177"/>
      <c r="F296" s="178"/>
      <c r="G296" s="178"/>
      <c r="I296" s="179"/>
      <c r="J296" s="404"/>
      <c r="K296" s="404"/>
      <c r="L296" s="404"/>
      <c r="M296" s="404"/>
      <c r="N296" s="180"/>
      <c r="O296" s="180"/>
      <c r="P296" s="180"/>
      <c r="Q296" s="180"/>
      <c r="R296" s="181"/>
      <c r="S296" s="181"/>
      <c r="T296" s="182"/>
      <c r="U296" s="182"/>
      <c r="V296" s="182"/>
      <c r="W296" s="182"/>
      <c r="X296" s="182"/>
      <c r="Y296" s="182"/>
      <c r="Z296" s="183"/>
      <c r="AA296" s="183"/>
    </row>
    <row r="297" spans="2:27" ht="14.1" customHeight="1">
      <c r="B297" s="175"/>
      <c r="C297" s="175"/>
      <c r="D297" s="176"/>
      <c r="E297" s="177"/>
      <c r="F297" s="178"/>
      <c r="G297" s="178"/>
      <c r="I297" s="179"/>
      <c r="J297" s="404"/>
      <c r="K297" s="404"/>
      <c r="L297" s="404"/>
      <c r="M297" s="404"/>
      <c r="N297" s="180"/>
      <c r="O297" s="180"/>
      <c r="P297" s="180"/>
      <c r="Q297" s="180"/>
      <c r="R297" s="181"/>
      <c r="S297" s="181"/>
      <c r="T297" s="182"/>
      <c r="U297" s="182"/>
      <c r="V297" s="182"/>
      <c r="W297" s="182"/>
      <c r="X297" s="182"/>
      <c r="Y297" s="182"/>
      <c r="Z297" s="183"/>
      <c r="AA297" s="183"/>
    </row>
    <row r="298" spans="2:27" ht="14.1" customHeight="1">
      <c r="B298" s="175"/>
      <c r="C298" s="175"/>
      <c r="D298" s="176"/>
      <c r="E298" s="177"/>
      <c r="F298" s="178"/>
      <c r="G298" s="178"/>
      <c r="I298" s="179"/>
      <c r="J298" s="404"/>
      <c r="K298" s="404"/>
      <c r="L298" s="404"/>
      <c r="M298" s="404"/>
      <c r="N298" s="180"/>
      <c r="O298" s="180"/>
      <c r="P298" s="180"/>
      <c r="Q298" s="180"/>
      <c r="R298" s="181"/>
      <c r="S298" s="181"/>
      <c r="T298" s="182"/>
      <c r="U298" s="182"/>
      <c r="V298" s="182"/>
      <c r="W298" s="182"/>
      <c r="X298" s="182"/>
      <c r="Y298" s="182"/>
      <c r="Z298" s="183"/>
      <c r="AA298" s="183"/>
    </row>
    <row r="299" spans="2:27" ht="14.1" customHeight="1">
      <c r="B299" s="175"/>
      <c r="C299" s="175"/>
      <c r="D299" s="176"/>
      <c r="E299" s="177"/>
      <c r="F299" s="178"/>
      <c r="G299" s="178"/>
      <c r="I299" s="179"/>
      <c r="J299" s="404"/>
      <c r="K299" s="404"/>
      <c r="L299" s="404"/>
      <c r="M299" s="404"/>
      <c r="N299" s="180"/>
      <c r="O299" s="180"/>
      <c r="P299" s="180"/>
      <c r="Q299" s="180"/>
      <c r="R299" s="181"/>
      <c r="S299" s="181"/>
      <c r="T299" s="182"/>
      <c r="U299" s="182"/>
      <c r="V299" s="182"/>
      <c r="W299" s="182"/>
      <c r="X299" s="182"/>
      <c r="Y299" s="182"/>
      <c r="Z299" s="183"/>
      <c r="AA299" s="183"/>
    </row>
    <row r="300" spans="2:27" ht="14.1" customHeight="1">
      <c r="B300" s="175"/>
      <c r="C300" s="175"/>
      <c r="D300" s="176"/>
      <c r="E300" s="177"/>
      <c r="F300" s="178"/>
      <c r="G300" s="178"/>
      <c r="I300" s="179"/>
      <c r="J300" s="404"/>
      <c r="K300" s="404"/>
      <c r="L300" s="404"/>
      <c r="M300" s="404"/>
      <c r="N300" s="180"/>
      <c r="O300" s="180"/>
      <c r="P300" s="180"/>
      <c r="Q300" s="180"/>
      <c r="R300" s="181"/>
      <c r="S300" s="181"/>
      <c r="T300" s="182"/>
      <c r="U300" s="182"/>
      <c r="V300" s="182"/>
      <c r="W300" s="182"/>
      <c r="X300" s="182"/>
      <c r="Y300" s="182"/>
      <c r="Z300" s="183"/>
      <c r="AA300" s="183"/>
    </row>
    <row r="301" spans="2:27" ht="14.1" customHeight="1">
      <c r="B301" s="175"/>
      <c r="C301" s="175"/>
      <c r="D301" s="176"/>
      <c r="E301" s="177"/>
      <c r="F301" s="178"/>
      <c r="G301" s="178"/>
      <c r="I301" s="179"/>
      <c r="J301" s="404"/>
      <c r="K301" s="404"/>
      <c r="L301" s="404"/>
      <c r="M301" s="404"/>
      <c r="N301" s="180"/>
      <c r="O301" s="180"/>
      <c r="P301" s="180"/>
      <c r="Q301" s="180"/>
      <c r="R301" s="181"/>
      <c r="S301" s="181"/>
      <c r="T301" s="182"/>
      <c r="U301" s="182"/>
      <c r="V301" s="182"/>
      <c r="W301" s="182"/>
      <c r="X301" s="182"/>
      <c r="Y301" s="182"/>
      <c r="Z301" s="183"/>
      <c r="AA301" s="183"/>
    </row>
    <row r="302" spans="2:27" ht="14.1" customHeight="1">
      <c r="B302" s="175"/>
      <c r="C302" s="175"/>
      <c r="D302" s="176"/>
      <c r="E302" s="177"/>
      <c r="F302" s="178"/>
      <c r="G302" s="178"/>
      <c r="I302" s="179"/>
      <c r="J302" s="404"/>
      <c r="K302" s="404"/>
      <c r="L302" s="404"/>
      <c r="M302" s="404"/>
      <c r="N302" s="180"/>
      <c r="O302" s="180"/>
      <c r="P302" s="180"/>
      <c r="Q302" s="180"/>
      <c r="R302" s="181"/>
      <c r="S302" s="181"/>
      <c r="T302" s="182"/>
      <c r="U302" s="182"/>
      <c r="V302" s="182"/>
      <c r="W302" s="182"/>
      <c r="X302" s="182"/>
      <c r="Y302" s="182"/>
      <c r="Z302" s="183"/>
      <c r="AA302" s="183"/>
    </row>
    <row r="303" spans="2:27" ht="14.1" customHeight="1">
      <c r="B303" s="175"/>
      <c r="C303" s="175"/>
      <c r="D303" s="176"/>
      <c r="E303" s="177"/>
      <c r="F303" s="178"/>
      <c r="G303" s="178"/>
      <c r="I303" s="179"/>
      <c r="J303" s="404"/>
      <c r="K303" s="404"/>
      <c r="L303" s="404"/>
      <c r="M303" s="404"/>
      <c r="N303" s="180"/>
      <c r="O303" s="180"/>
      <c r="P303" s="180"/>
      <c r="Q303" s="180"/>
      <c r="R303" s="181"/>
      <c r="S303" s="181"/>
      <c r="T303" s="182"/>
      <c r="U303" s="182"/>
      <c r="V303" s="182"/>
      <c r="W303" s="182"/>
      <c r="X303" s="182"/>
      <c r="Y303" s="182"/>
      <c r="Z303" s="183"/>
      <c r="AA303" s="183"/>
    </row>
    <row r="304" spans="2:27" ht="14.1" customHeight="1">
      <c r="B304" s="175"/>
      <c r="C304" s="175"/>
      <c r="D304" s="176"/>
      <c r="E304" s="177"/>
      <c r="F304" s="178"/>
      <c r="G304" s="178"/>
      <c r="I304" s="179"/>
      <c r="J304" s="404"/>
      <c r="K304" s="404"/>
      <c r="L304" s="404"/>
      <c r="M304" s="404"/>
      <c r="N304" s="180"/>
      <c r="O304" s="180"/>
      <c r="P304" s="180"/>
      <c r="Q304" s="180"/>
      <c r="R304" s="181"/>
      <c r="S304" s="181"/>
      <c r="T304" s="182"/>
      <c r="U304" s="182"/>
      <c r="V304" s="182"/>
      <c r="W304" s="182"/>
      <c r="X304" s="182"/>
      <c r="Y304" s="182"/>
      <c r="Z304" s="183"/>
      <c r="AA304" s="183"/>
    </row>
    <row r="305" spans="2:27" ht="14.1" customHeight="1">
      <c r="B305" s="175"/>
      <c r="C305" s="175"/>
      <c r="D305" s="176"/>
      <c r="E305" s="177"/>
      <c r="F305" s="178"/>
      <c r="G305" s="178"/>
      <c r="I305" s="179"/>
      <c r="J305" s="404"/>
      <c r="K305" s="404"/>
      <c r="L305" s="404"/>
      <c r="M305" s="404"/>
      <c r="N305" s="180"/>
      <c r="O305" s="180"/>
      <c r="P305" s="180"/>
      <c r="Q305" s="180"/>
      <c r="R305" s="181"/>
      <c r="S305" s="181"/>
      <c r="T305" s="182"/>
      <c r="U305" s="182"/>
      <c r="V305" s="182"/>
      <c r="W305" s="182"/>
      <c r="X305" s="182"/>
      <c r="Y305" s="182"/>
      <c r="Z305" s="183"/>
      <c r="AA305" s="183"/>
    </row>
    <row r="306" spans="2:27" ht="14.1" customHeight="1">
      <c r="B306" s="175"/>
      <c r="C306" s="175"/>
      <c r="D306" s="176"/>
      <c r="E306" s="177"/>
      <c r="F306" s="178"/>
      <c r="G306" s="178"/>
      <c r="I306" s="179"/>
      <c r="J306" s="404"/>
      <c r="K306" s="404"/>
      <c r="L306" s="404"/>
      <c r="M306" s="404"/>
      <c r="N306" s="180"/>
      <c r="O306" s="180"/>
      <c r="P306" s="180"/>
      <c r="Q306" s="180"/>
      <c r="R306" s="181"/>
      <c r="S306" s="181"/>
      <c r="T306" s="182"/>
      <c r="U306" s="182"/>
      <c r="V306" s="182"/>
      <c r="W306" s="182"/>
      <c r="X306" s="182"/>
      <c r="Y306" s="182"/>
      <c r="Z306" s="183"/>
      <c r="AA306" s="183"/>
    </row>
    <row r="307" spans="2:27" ht="14.1" customHeight="1">
      <c r="B307" s="175"/>
      <c r="C307" s="175"/>
      <c r="D307" s="176"/>
      <c r="E307" s="177"/>
      <c r="F307" s="178"/>
      <c r="G307" s="178"/>
      <c r="I307" s="179"/>
      <c r="J307" s="404"/>
      <c r="K307" s="404"/>
      <c r="L307" s="404"/>
      <c r="M307" s="404"/>
      <c r="N307" s="180"/>
      <c r="O307" s="180"/>
      <c r="P307" s="180"/>
      <c r="Q307" s="180"/>
      <c r="R307" s="181"/>
      <c r="S307" s="181"/>
      <c r="T307" s="182"/>
      <c r="U307" s="182"/>
      <c r="V307" s="182"/>
      <c r="W307" s="182"/>
      <c r="X307" s="182"/>
      <c r="Y307" s="182"/>
      <c r="Z307" s="183"/>
      <c r="AA307" s="183"/>
    </row>
    <row r="308" spans="2:27" ht="14.1" customHeight="1">
      <c r="B308" s="175"/>
      <c r="C308" s="175"/>
      <c r="D308" s="176"/>
      <c r="E308" s="177"/>
      <c r="F308" s="178"/>
      <c r="G308" s="178"/>
      <c r="I308" s="179"/>
      <c r="J308" s="404"/>
      <c r="K308" s="404"/>
      <c r="L308" s="404"/>
      <c r="M308" s="404"/>
      <c r="N308" s="180"/>
      <c r="O308" s="180"/>
      <c r="P308" s="180"/>
      <c r="Q308" s="180"/>
      <c r="R308" s="181"/>
      <c r="S308" s="181"/>
      <c r="T308" s="182"/>
      <c r="U308" s="182"/>
      <c r="V308" s="182"/>
      <c r="W308" s="182"/>
      <c r="X308" s="182"/>
      <c r="Y308" s="182"/>
      <c r="Z308" s="183"/>
      <c r="AA308" s="183"/>
    </row>
    <row r="309" spans="2:27" ht="14.1" customHeight="1">
      <c r="B309" s="175"/>
      <c r="C309" s="175"/>
      <c r="D309" s="176"/>
      <c r="E309" s="177"/>
      <c r="F309" s="178"/>
      <c r="G309" s="178"/>
      <c r="I309" s="179"/>
      <c r="J309" s="404"/>
      <c r="K309" s="404"/>
      <c r="L309" s="404"/>
      <c r="M309" s="404"/>
      <c r="N309" s="180"/>
      <c r="O309" s="180"/>
      <c r="P309" s="180"/>
      <c r="Q309" s="180"/>
      <c r="R309" s="181"/>
      <c r="S309" s="181"/>
      <c r="T309" s="182"/>
      <c r="U309" s="182"/>
      <c r="V309" s="182"/>
      <c r="W309" s="182"/>
      <c r="X309" s="182"/>
      <c r="Y309" s="182"/>
      <c r="Z309" s="183"/>
      <c r="AA309" s="183"/>
    </row>
    <row r="310" spans="2:27" ht="14.1" customHeight="1">
      <c r="B310" s="175"/>
      <c r="C310" s="175"/>
      <c r="D310" s="176"/>
      <c r="E310" s="177"/>
      <c r="F310" s="178"/>
      <c r="G310" s="178"/>
      <c r="I310" s="179"/>
      <c r="J310" s="404"/>
      <c r="K310" s="404"/>
      <c r="L310" s="404"/>
      <c r="M310" s="404"/>
      <c r="N310" s="180"/>
      <c r="O310" s="180"/>
      <c r="P310" s="180"/>
      <c r="Q310" s="180"/>
      <c r="R310" s="181"/>
      <c r="S310" s="181"/>
      <c r="T310" s="182"/>
      <c r="U310" s="182"/>
      <c r="V310" s="182"/>
      <c r="W310" s="182"/>
      <c r="X310" s="182"/>
      <c r="Y310" s="182"/>
      <c r="Z310" s="183"/>
      <c r="AA310" s="183"/>
    </row>
    <row r="311" spans="2:27" ht="14.1" customHeight="1">
      <c r="B311" s="175"/>
      <c r="C311" s="175"/>
      <c r="D311" s="176"/>
      <c r="E311" s="177"/>
      <c r="F311" s="178"/>
      <c r="G311" s="178"/>
      <c r="I311" s="179"/>
      <c r="J311" s="404"/>
      <c r="K311" s="404"/>
      <c r="L311" s="404"/>
      <c r="M311" s="404"/>
      <c r="N311" s="180"/>
      <c r="O311" s="180"/>
      <c r="P311" s="180"/>
      <c r="Q311" s="180"/>
      <c r="R311" s="181"/>
      <c r="S311" s="181"/>
      <c r="T311" s="182"/>
      <c r="U311" s="182"/>
      <c r="V311" s="182"/>
      <c r="W311" s="182"/>
      <c r="X311" s="182"/>
      <c r="Y311" s="182"/>
      <c r="Z311" s="183"/>
      <c r="AA311" s="183"/>
    </row>
    <row r="312" spans="2:27" ht="14.1" customHeight="1">
      <c r="B312" s="175"/>
      <c r="C312" s="175"/>
      <c r="D312" s="176"/>
      <c r="E312" s="177"/>
      <c r="F312" s="178"/>
      <c r="G312" s="178"/>
      <c r="I312" s="179"/>
      <c r="J312" s="404"/>
      <c r="K312" s="404"/>
      <c r="L312" s="404"/>
      <c r="M312" s="404"/>
      <c r="N312" s="180"/>
      <c r="O312" s="180"/>
      <c r="P312" s="180"/>
      <c r="Q312" s="180"/>
      <c r="R312" s="181"/>
      <c r="S312" s="181"/>
      <c r="T312" s="182"/>
      <c r="U312" s="182"/>
      <c r="V312" s="182"/>
      <c r="W312" s="182"/>
      <c r="X312" s="182"/>
      <c r="Y312" s="182"/>
      <c r="Z312" s="183"/>
      <c r="AA312" s="183"/>
    </row>
    <row r="313" spans="2:27" ht="14.1" customHeight="1">
      <c r="B313" s="175"/>
      <c r="C313" s="175"/>
      <c r="D313" s="176"/>
      <c r="E313" s="177"/>
      <c r="F313" s="178"/>
      <c r="G313" s="178"/>
      <c r="I313" s="179"/>
      <c r="J313" s="404"/>
      <c r="K313" s="404"/>
      <c r="L313" s="404"/>
      <c r="M313" s="404"/>
      <c r="N313" s="180"/>
      <c r="O313" s="180"/>
      <c r="P313" s="180"/>
      <c r="Q313" s="180"/>
      <c r="R313" s="181"/>
      <c r="S313" s="181"/>
      <c r="T313" s="182"/>
      <c r="U313" s="182"/>
      <c r="V313" s="182"/>
      <c r="W313" s="182"/>
      <c r="X313" s="182"/>
      <c r="Y313" s="182"/>
      <c r="Z313" s="183"/>
      <c r="AA313" s="183"/>
    </row>
    <row r="314" spans="2:27" ht="14.1" customHeight="1">
      <c r="B314" s="175"/>
      <c r="C314" s="175"/>
      <c r="D314" s="176"/>
      <c r="E314" s="177"/>
      <c r="F314" s="178"/>
      <c r="G314" s="178"/>
      <c r="I314" s="179"/>
      <c r="J314" s="404"/>
      <c r="K314" s="404"/>
      <c r="L314" s="404"/>
      <c r="M314" s="404"/>
      <c r="N314" s="180"/>
      <c r="O314" s="180"/>
      <c r="P314" s="180"/>
      <c r="Q314" s="180"/>
      <c r="R314" s="181"/>
      <c r="S314" s="181"/>
      <c r="T314" s="182"/>
      <c r="U314" s="182"/>
      <c r="V314" s="182"/>
      <c r="W314" s="182"/>
      <c r="X314" s="182"/>
      <c r="Y314" s="182"/>
      <c r="Z314" s="183"/>
      <c r="AA314" s="183"/>
    </row>
    <row r="315" spans="2:27" ht="14.1" customHeight="1">
      <c r="B315" s="175"/>
      <c r="C315" s="175"/>
      <c r="D315" s="176"/>
      <c r="E315" s="177"/>
      <c r="F315" s="178"/>
      <c r="G315" s="178"/>
      <c r="I315" s="179"/>
      <c r="J315" s="404"/>
      <c r="K315" s="404"/>
      <c r="L315" s="404"/>
      <c r="M315" s="404"/>
      <c r="N315" s="180"/>
      <c r="O315" s="180"/>
      <c r="P315" s="180"/>
      <c r="Q315" s="180"/>
      <c r="R315" s="181"/>
      <c r="S315" s="181"/>
      <c r="T315" s="182"/>
      <c r="U315" s="182"/>
      <c r="V315" s="182"/>
      <c r="W315" s="182"/>
      <c r="X315" s="182"/>
      <c r="Y315" s="182"/>
      <c r="Z315" s="183"/>
      <c r="AA315" s="183"/>
    </row>
    <row r="316" spans="2:27" ht="14.1" customHeight="1">
      <c r="B316" s="175"/>
      <c r="C316" s="175"/>
      <c r="D316" s="176"/>
      <c r="E316" s="177"/>
      <c r="F316" s="178"/>
      <c r="G316" s="178"/>
      <c r="I316" s="179"/>
      <c r="J316" s="404"/>
      <c r="K316" s="404"/>
      <c r="L316" s="404"/>
      <c r="M316" s="404"/>
      <c r="N316" s="180"/>
      <c r="O316" s="180"/>
      <c r="P316" s="180"/>
      <c r="Q316" s="180"/>
      <c r="R316" s="181"/>
      <c r="S316" s="181"/>
      <c r="T316" s="182"/>
      <c r="U316" s="182"/>
      <c r="V316" s="182"/>
      <c r="W316" s="182"/>
      <c r="X316" s="182"/>
      <c r="Y316" s="182"/>
      <c r="Z316" s="183"/>
      <c r="AA316" s="183"/>
    </row>
    <row r="317" spans="2:27" ht="14.1" customHeight="1">
      <c r="B317" s="175"/>
      <c r="C317" s="175"/>
      <c r="D317" s="176"/>
      <c r="E317" s="177"/>
      <c r="F317" s="178"/>
      <c r="G317" s="178"/>
      <c r="I317" s="179"/>
      <c r="J317" s="404"/>
      <c r="K317" s="404"/>
      <c r="L317" s="404"/>
      <c r="M317" s="404"/>
      <c r="N317" s="180"/>
      <c r="O317" s="180"/>
      <c r="P317" s="180"/>
      <c r="Q317" s="180"/>
      <c r="R317" s="181"/>
      <c r="S317" s="181"/>
      <c r="T317" s="182"/>
      <c r="U317" s="182"/>
      <c r="V317" s="182"/>
      <c r="W317" s="182"/>
      <c r="X317" s="182"/>
      <c r="Y317" s="182"/>
      <c r="Z317" s="183"/>
      <c r="AA317" s="183"/>
    </row>
    <row r="318" spans="2:27" ht="14.1" customHeight="1">
      <c r="B318" s="175"/>
      <c r="C318" s="175"/>
      <c r="D318" s="176"/>
      <c r="E318" s="177"/>
      <c r="F318" s="178"/>
      <c r="G318" s="178"/>
      <c r="I318" s="179"/>
      <c r="J318" s="404"/>
      <c r="K318" s="404"/>
      <c r="L318" s="404"/>
      <c r="M318" s="404"/>
      <c r="N318" s="180"/>
      <c r="O318" s="180"/>
      <c r="P318" s="180"/>
      <c r="Q318" s="180"/>
      <c r="R318" s="181"/>
      <c r="S318" s="181"/>
      <c r="T318" s="182"/>
      <c r="U318" s="182"/>
      <c r="V318" s="182"/>
      <c r="W318" s="182"/>
      <c r="X318" s="182"/>
      <c r="Y318" s="182"/>
      <c r="Z318" s="183"/>
      <c r="AA318" s="183"/>
    </row>
    <row r="319" spans="2:27" ht="14.1" customHeight="1">
      <c r="B319" s="175"/>
      <c r="C319" s="175"/>
      <c r="D319" s="176"/>
      <c r="E319" s="177"/>
      <c r="F319" s="178"/>
      <c r="G319" s="178"/>
      <c r="I319" s="179"/>
      <c r="J319" s="404"/>
      <c r="K319" s="404"/>
      <c r="L319" s="404"/>
      <c r="M319" s="404"/>
      <c r="N319" s="180"/>
      <c r="O319" s="180"/>
      <c r="P319" s="180"/>
      <c r="Q319" s="180"/>
      <c r="R319" s="181"/>
      <c r="S319" s="181"/>
      <c r="T319" s="182"/>
      <c r="U319" s="182"/>
      <c r="V319" s="182"/>
      <c r="W319" s="182"/>
      <c r="X319" s="182"/>
      <c r="Y319" s="182"/>
      <c r="Z319" s="183"/>
      <c r="AA319" s="183"/>
    </row>
    <row r="320" spans="2:27" ht="14.1" customHeight="1">
      <c r="B320" s="175"/>
      <c r="C320" s="175"/>
      <c r="D320" s="176"/>
      <c r="E320" s="177"/>
      <c r="F320" s="178"/>
      <c r="G320" s="178"/>
      <c r="I320" s="179"/>
      <c r="J320" s="404"/>
      <c r="K320" s="404"/>
      <c r="L320" s="404"/>
      <c r="M320" s="404"/>
      <c r="N320" s="180"/>
      <c r="O320" s="180"/>
      <c r="P320" s="180"/>
      <c r="Q320" s="180"/>
      <c r="R320" s="181"/>
      <c r="S320" s="181"/>
      <c r="T320" s="182"/>
      <c r="U320" s="182"/>
      <c r="V320" s="182"/>
      <c r="W320" s="182"/>
      <c r="X320" s="182"/>
      <c r="Y320" s="182"/>
      <c r="Z320" s="183"/>
      <c r="AA320" s="183"/>
    </row>
    <row r="321" spans="2:27" ht="14.1" customHeight="1">
      <c r="B321" s="175"/>
      <c r="C321" s="175"/>
      <c r="D321" s="176"/>
      <c r="E321" s="177"/>
      <c r="F321" s="178"/>
      <c r="G321" s="178"/>
      <c r="I321" s="179"/>
      <c r="J321" s="404"/>
      <c r="K321" s="404"/>
      <c r="L321" s="404"/>
      <c r="M321" s="404"/>
      <c r="N321" s="180"/>
      <c r="O321" s="180"/>
      <c r="P321" s="180"/>
      <c r="Q321" s="180"/>
      <c r="R321" s="181"/>
      <c r="S321" s="181"/>
      <c r="T321" s="182"/>
      <c r="U321" s="182"/>
      <c r="V321" s="182"/>
      <c r="W321" s="182"/>
      <c r="X321" s="182"/>
      <c r="Y321" s="182"/>
      <c r="Z321" s="183"/>
      <c r="AA321" s="183"/>
    </row>
    <row r="322" spans="2:27" ht="14.1" customHeight="1">
      <c r="B322" s="175"/>
      <c r="C322" s="175"/>
      <c r="D322" s="176"/>
      <c r="E322" s="177"/>
      <c r="F322" s="178"/>
      <c r="G322" s="178"/>
      <c r="I322" s="179"/>
      <c r="J322" s="404"/>
      <c r="K322" s="404"/>
      <c r="L322" s="404"/>
      <c r="M322" s="404"/>
      <c r="N322" s="180"/>
      <c r="O322" s="180"/>
      <c r="P322" s="180"/>
      <c r="Q322" s="180"/>
      <c r="R322" s="181"/>
      <c r="S322" s="181"/>
      <c r="T322" s="182"/>
      <c r="U322" s="182"/>
      <c r="V322" s="182"/>
      <c r="W322" s="182"/>
      <c r="X322" s="182"/>
      <c r="Y322" s="182"/>
      <c r="Z322" s="183"/>
      <c r="AA322" s="183"/>
    </row>
    <row r="323" spans="2:27" ht="14.1" customHeight="1">
      <c r="B323" s="175"/>
      <c r="C323" s="175"/>
      <c r="D323" s="176"/>
      <c r="E323" s="177"/>
      <c r="F323" s="178"/>
      <c r="G323" s="178"/>
      <c r="I323" s="179"/>
      <c r="J323" s="404"/>
      <c r="K323" s="404"/>
      <c r="L323" s="404"/>
      <c r="M323" s="404"/>
      <c r="N323" s="180"/>
      <c r="O323" s="180"/>
      <c r="P323" s="180"/>
      <c r="Q323" s="180"/>
      <c r="R323" s="181"/>
      <c r="S323" s="181"/>
      <c r="T323" s="182"/>
      <c r="U323" s="182"/>
      <c r="V323" s="182"/>
      <c r="W323" s="182"/>
      <c r="X323" s="182"/>
      <c r="Y323" s="182"/>
      <c r="Z323" s="183"/>
      <c r="AA323" s="183"/>
    </row>
    <row r="324" spans="2:27" ht="14.1" customHeight="1">
      <c r="B324" s="175"/>
      <c r="C324" s="175"/>
      <c r="D324" s="176"/>
      <c r="E324" s="177"/>
      <c r="F324" s="178"/>
      <c r="G324" s="178"/>
      <c r="I324" s="179"/>
      <c r="J324" s="404"/>
      <c r="K324" s="404"/>
      <c r="L324" s="404"/>
      <c r="M324" s="404"/>
      <c r="N324" s="180"/>
      <c r="O324" s="180"/>
      <c r="P324" s="180"/>
      <c r="Q324" s="180"/>
      <c r="R324" s="181"/>
      <c r="S324" s="181"/>
      <c r="T324" s="182"/>
      <c r="U324" s="182"/>
      <c r="V324" s="182"/>
      <c r="W324" s="182"/>
      <c r="X324" s="182"/>
      <c r="Y324" s="182"/>
      <c r="Z324" s="183"/>
      <c r="AA324" s="183"/>
    </row>
    <row r="325" spans="2:27" ht="14.1" customHeight="1">
      <c r="B325" s="175"/>
      <c r="C325" s="175"/>
      <c r="D325" s="176"/>
      <c r="E325" s="177"/>
      <c r="F325" s="178"/>
      <c r="G325" s="178"/>
      <c r="I325" s="179"/>
      <c r="J325" s="404"/>
      <c r="K325" s="404"/>
      <c r="L325" s="404"/>
      <c r="M325" s="404"/>
      <c r="N325" s="180"/>
      <c r="O325" s="180"/>
      <c r="P325" s="180"/>
      <c r="Q325" s="180"/>
      <c r="R325" s="181"/>
      <c r="S325" s="181"/>
      <c r="T325" s="182"/>
      <c r="U325" s="182"/>
      <c r="V325" s="182"/>
      <c r="W325" s="182"/>
      <c r="X325" s="182"/>
      <c r="Y325" s="182"/>
      <c r="Z325" s="183"/>
      <c r="AA325" s="183"/>
    </row>
    <row r="326" spans="2:27" ht="14.1" customHeight="1">
      <c r="B326" s="175"/>
      <c r="C326" s="175"/>
      <c r="D326" s="176"/>
      <c r="E326" s="177"/>
      <c r="F326" s="178"/>
      <c r="G326" s="178"/>
      <c r="I326" s="179"/>
      <c r="J326" s="404"/>
      <c r="K326" s="404"/>
      <c r="L326" s="404"/>
      <c r="M326" s="404"/>
      <c r="N326" s="180"/>
      <c r="O326" s="180"/>
      <c r="P326" s="180"/>
      <c r="Q326" s="180"/>
      <c r="R326" s="181"/>
      <c r="S326" s="181"/>
      <c r="T326" s="182"/>
      <c r="U326" s="182"/>
      <c r="V326" s="182"/>
      <c r="W326" s="182"/>
      <c r="X326" s="182"/>
      <c r="Y326" s="182"/>
      <c r="Z326" s="183"/>
      <c r="AA326" s="183"/>
    </row>
    <row r="327" spans="2:27" ht="14.1" customHeight="1">
      <c r="B327" s="175"/>
      <c r="C327" s="175"/>
      <c r="D327" s="176"/>
      <c r="E327" s="177"/>
      <c r="F327" s="178"/>
      <c r="G327" s="178"/>
      <c r="I327" s="179"/>
      <c r="J327" s="404"/>
      <c r="K327" s="404"/>
      <c r="L327" s="404"/>
      <c r="M327" s="404"/>
      <c r="N327" s="180"/>
      <c r="O327" s="180"/>
      <c r="P327" s="180"/>
      <c r="Q327" s="180"/>
      <c r="R327" s="181"/>
      <c r="S327" s="181"/>
      <c r="T327" s="182"/>
      <c r="U327" s="182"/>
      <c r="V327" s="182"/>
      <c r="W327" s="182"/>
      <c r="X327" s="182"/>
      <c r="Y327" s="182"/>
      <c r="Z327" s="183"/>
      <c r="AA327" s="183"/>
    </row>
    <row r="328" spans="2:27" ht="14.1" customHeight="1">
      <c r="B328" s="175"/>
      <c r="C328" s="175"/>
      <c r="D328" s="176"/>
      <c r="E328" s="177"/>
      <c r="F328" s="178"/>
      <c r="G328" s="178"/>
      <c r="I328" s="179"/>
      <c r="J328" s="404"/>
      <c r="K328" s="404"/>
      <c r="L328" s="404"/>
      <c r="M328" s="404"/>
      <c r="N328" s="180"/>
      <c r="O328" s="180"/>
      <c r="P328" s="180"/>
      <c r="Q328" s="180"/>
      <c r="R328" s="181"/>
      <c r="S328" s="181"/>
      <c r="T328" s="182"/>
      <c r="U328" s="182"/>
      <c r="V328" s="182"/>
      <c r="W328" s="182"/>
      <c r="X328" s="182"/>
      <c r="Y328" s="182"/>
      <c r="Z328" s="183"/>
      <c r="AA328" s="183"/>
    </row>
    <row r="329" spans="2:27" ht="14.1" customHeight="1">
      <c r="B329" s="175"/>
      <c r="C329" s="175"/>
      <c r="D329" s="176"/>
      <c r="E329" s="177"/>
      <c r="F329" s="178"/>
      <c r="G329" s="178"/>
      <c r="I329" s="179"/>
      <c r="J329" s="404"/>
      <c r="K329" s="404"/>
      <c r="L329" s="404"/>
      <c r="M329" s="404"/>
      <c r="N329" s="180"/>
      <c r="O329" s="180"/>
      <c r="P329" s="180"/>
      <c r="Q329" s="180"/>
      <c r="R329" s="181"/>
      <c r="S329" s="181"/>
      <c r="T329" s="182"/>
      <c r="U329" s="182"/>
      <c r="V329" s="182"/>
      <c r="W329" s="182"/>
      <c r="X329" s="182"/>
      <c r="Y329" s="182"/>
      <c r="Z329" s="183"/>
      <c r="AA329" s="183"/>
    </row>
    <row r="330" spans="2:27" ht="14.1" customHeight="1">
      <c r="B330" s="175"/>
      <c r="C330" s="175"/>
      <c r="D330" s="176"/>
      <c r="E330" s="177"/>
      <c r="F330" s="178"/>
      <c r="G330" s="178"/>
      <c r="I330" s="179"/>
      <c r="J330" s="404"/>
      <c r="K330" s="404"/>
      <c r="L330" s="404"/>
      <c r="M330" s="404"/>
      <c r="N330" s="180"/>
      <c r="O330" s="180"/>
      <c r="P330" s="180"/>
      <c r="Q330" s="180"/>
      <c r="R330" s="181"/>
      <c r="S330" s="181"/>
      <c r="T330" s="182"/>
      <c r="U330" s="182"/>
      <c r="V330" s="182"/>
      <c r="W330" s="182"/>
      <c r="X330" s="182"/>
      <c r="Y330" s="182"/>
      <c r="Z330" s="183"/>
      <c r="AA330" s="183"/>
    </row>
    <row r="331" spans="2:27" ht="14.1" customHeight="1">
      <c r="B331" s="175"/>
      <c r="C331" s="175"/>
      <c r="D331" s="176"/>
      <c r="E331" s="177"/>
      <c r="F331" s="178"/>
      <c r="G331" s="178"/>
      <c r="I331" s="179"/>
      <c r="J331" s="404"/>
      <c r="K331" s="404"/>
      <c r="L331" s="404"/>
      <c r="M331" s="404"/>
      <c r="N331" s="180"/>
      <c r="O331" s="180"/>
      <c r="P331" s="180"/>
      <c r="Q331" s="180"/>
      <c r="R331" s="181"/>
      <c r="S331" s="181"/>
      <c r="T331" s="182"/>
      <c r="U331" s="182"/>
      <c r="V331" s="182"/>
      <c r="W331" s="182"/>
      <c r="X331" s="182"/>
      <c r="Y331" s="182"/>
      <c r="Z331" s="183"/>
      <c r="AA331" s="183"/>
    </row>
    <row r="332" spans="2:27" ht="14.1" customHeight="1">
      <c r="B332" s="175"/>
      <c r="C332" s="175"/>
      <c r="D332" s="176"/>
      <c r="E332" s="177"/>
      <c r="F332" s="178"/>
      <c r="G332" s="178"/>
      <c r="I332" s="179"/>
      <c r="J332" s="404"/>
      <c r="K332" s="404"/>
      <c r="L332" s="404"/>
      <c r="M332" s="404"/>
      <c r="N332" s="180"/>
      <c r="O332" s="180"/>
      <c r="P332" s="180"/>
      <c r="Q332" s="180"/>
      <c r="R332" s="181"/>
      <c r="S332" s="181"/>
      <c r="T332" s="182"/>
      <c r="U332" s="182"/>
      <c r="V332" s="182"/>
      <c r="W332" s="182"/>
      <c r="X332" s="182"/>
      <c r="Y332" s="182"/>
      <c r="Z332" s="183"/>
      <c r="AA332" s="183"/>
    </row>
    <row r="333" spans="2:27" ht="14.1" customHeight="1">
      <c r="B333" s="175"/>
      <c r="C333" s="175"/>
      <c r="D333" s="176"/>
      <c r="E333" s="177"/>
      <c r="F333" s="178"/>
      <c r="G333" s="178"/>
      <c r="I333" s="179"/>
      <c r="J333" s="404"/>
      <c r="K333" s="404"/>
      <c r="L333" s="404"/>
      <c r="M333" s="404"/>
      <c r="N333" s="180"/>
      <c r="O333" s="180"/>
      <c r="P333" s="180"/>
      <c r="Q333" s="180"/>
      <c r="R333" s="181"/>
      <c r="S333" s="181"/>
      <c r="T333" s="182"/>
      <c r="U333" s="182"/>
      <c r="V333" s="182"/>
      <c r="W333" s="182"/>
      <c r="X333" s="182"/>
      <c r="Y333" s="182"/>
      <c r="Z333" s="183"/>
      <c r="AA333" s="183"/>
    </row>
    <row r="334" spans="2:27" ht="14.1" customHeight="1">
      <c r="B334" s="175"/>
      <c r="C334" s="175"/>
      <c r="D334" s="176"/>
      <c r="E334" s="177"/>
      <c r="F334" s="178"/>
      <c r="G334" s="178"/>
      <c r="I334" s="179"/>
      <c r="J334" s="404"/>
      <c r="K334" s="404"/>
      <c r="L334" s="404"/>
      <c r="M334" s="404"/>
      <c r="N334" s="180"/>
      <c r="O334" s="180"/>
      <c r="P334" s="180"/>
      <c r="Q334" s="180"/>
      <c r="R334" s="181"/>
      <c r="S334" s="181"/>
      <c r="T334" s="182"/>
      <c r="U334" s="182"/>
      <c r="V334" s="182"/>
      <c r="W334" s="182"/>
      <c r="X334" s="182"/>
      <c r="Y334" s="182"/>
      <c r="Z334" s="183"/>
      <c r="AA334" s="183"/>
    </row>
    <row r="335" spans="2:27" ht="14.1" customHeight="1">
      <c r="B335" s="175"/>
      <c r="C335" s="175"/>
      <c r="D335" s="176"/>
      <c r="E335" s="177"/>
      <c r="F335" s="178"/>
      <c r="G335" s="178"/>
      <c r="I335" s="179"/>
      <c r="J335" s="404"/>
      <c r="K335" s="404"/>
      <c r="L335" s="404"/>
      <c r="M335" s="404"/>
      <c r="N335" s="180"/>
      <c r="O335" s="180"/>
      <c r="P335" s="180"/>
      <c r="Q335" s="180"/>
      <c r="R335" s="181"/>
      <c r="S335" s="181"/>
      <c r="T335" s="182"/>
      <c r="U335" s="182"/>
      <c r="V335" s="182"/>
      <c r="W335" s="182"/>
      <c r="X335" s="182"/>
      <c r="Y335" s="182"/>
      <c r="Z335" s="183"/>
      <c r="AA335" s="183"/>
    </row>
    <row r="336" spans="2:27" ht="14.1" customHeight="1">
      <c r="B336" s="175"/>
      <c r="C336" s="175"/>
      <c r="D336" s="176"/>
      <c r="E336" s="177"/>
      <c r="F336" s="178"/>
      <c r="G336" s="178"/>
      <c r="I336" s="179"/>
      <c r="J336" s="404"/>
      <c r="K336" s="404"/>
      <c r="L336" s="404"/>
      <c r="M336" s="404"/>
      <c r="N336" s="180"/>
      <c r="O336" s="180"/>
      <c r="P336" s="180"/>
      <c r="Q336" s="180"/>
      <c r="R336" s="181"/>
      <c r="S336" s="181"/>
      <c r="T336" s="182"/>
      <c r="U336" s="182"/>
      <c r="V336" s="182"/>
      <c r="W336" s="182"/>
      <c r="X336" s="182"/>
      <c r="Y336" s="182"/>
      <c r="Z336" s="183"/>
      <c r="AA336" s="183"/>
    </row>
    <row r="337" spans="2:27" ht="14.1" customHeight="1">
      <c r="B337" s="175"/>
      <c r="C337" s="175"/>
      <c r="D337" s="176"/>
      <c r="E337" s="177"/>
      <c r="F337" s="178"/>
      <c r="G337" s="178"/>
      <c r="I337" s="179"/>
      <c r="J337" s="404"/>
      <c r="K337" s="404"/>
      <c r="L337" s="404"/>
      <c r="M337" s="404"/>
      <c r="N337" s="180"/>
      <c r="O337" s="180"/>
      <c r="P337" s="180"/>
      <c r="Q337" s="180"/>
      <c r="R337" s="181"/>
      <c r="S337" s="181"/>
      <c r="T337" s="182"/>
      <c r="U337" s="182"/>
      <c r="V337" s="182"/>
      <c r="W337" s="182"/>
      <c r="X337" s="182"/>
      <c r="Y337" s="182"/>
      <c r="Z337" s="183"/>
      <c r="AA337" s="183"/>
    </row>
    <row r="338" spans="2:27" ht="14.1" customHeight="1">
      <c r="B338" s="175"/>
      <c r="C338" s="175"/>
      <c r="D338" s="176"/>
      <c r="E338" s="177"/>
      <c r="F338" s="178"/>
      <c r="G338" s="178"/>
      <c r="I338" s="179"/>
      <c r="J338" s="404"/>
      <c r="K338" s="404"/>
      <c r="L338" s="404"/>
      <c r="M338" s="404"/>
      <c r="N338" s="180"/>
      <c r="O338" s="180"/>
      <c r="P338" s="180"/>
      <c r="Q338" s="180"/>
      <c r="R338" s="181"/>
      <c r="S338" s="181"/>
      <c r="T338" s="182"/>
      <c r="U338" s="182"/>
      <c r="V338" s="182"/>
      <c r="W338" s="182"/>
      <c r="X338" s="182"/>
      <c r="Y338" s="182"/>
      <c r="Z338" s="183"/>
      <c r="AA338" s="183"/>
    </row>
    <row r="339" spans="2:27" ht="14.1" customHeight="1">
      <c r="B339" s="175"/>
      <c r="C339" s="175"/>
      <c r="D339" s="176"/>
      <c r="E339" s="177"/>
      <c r="F339" s="178"/>
      <c r="G339" s="178"/>
      <c r="I339" s="179"/>
      <c r="J339" s="404"/>
      <c r="K339" s="404"/>
      <c r="L339" s="404"/>
      <c r="M339" s="404"/>
      <c r="N339" s="180"/>
      <c r="O339" s="180"/>
      <c r="P339" s="180"/>
      <c r="Q339" s="180"/>
      <c r="R339" s="181"/>
      <c r="S339" s="181"/>
      <c r="T339" s="182"/>
      <c r="U339" s="182"/>
      <c r="V339" s="182"/>
      <c r="W339" s="182"/>
      <c r="X339" s="182"/>
      <c r="Y339" s="182"/>
      <c r="Z339" s="183"/>
      <c r="AA339" s="183"/>
    </row>
    <row r="340" spans="2:27" ht="14.1" customHeight="1">
      <c r="B340" s="175"/>
      <c r="C340" s="175"/>
      <c r="D340" s="176"/>
      <c r="E340" s="177"/>
      <c r="F340" s="178"/>
      <c r="G340" s="178"/>
      <c r="I340" s="179"/>
      <c r="J340" s="404"/>
      <c r="K340" s="404"/>
      <c r="L340" s="404"/>
      <c r="M340" s="404"/>
      <c r="N340" s="180"/>
      <c r="O340" s="180"/>
      <c r="P340" s="180"/>
      <c r="Q340" s="180"/>
      <c r="R340" s="181"/>
      <c r="S340" s="181"/>
      <c r="T340" s="182"/>
      <c r="U340" s="182"/>
      <c r="V340" s="182"/>
      <c r="W340" s="182"/>
      <c r="X340" s="182"/>
      <c r="Y340" s="182"/>
      <c r="Z340" s="183"/>
      <c r="AA340" s="183"/>
    </row>
    <row r="341" spans="2:27" ht="14.1" customHeight="1">
      <c r="B341" s="175"/>
      <c r="C341" s="175"/>
      <c r="D341" s="176"/>
      <c r="E341" s="177"/>
      <c r="F341" s="178"/>
      <c r="G341" s="178"/>
      <c r="I341" s="179"/>
      <c r="J341" s="404"/>
      <c r="K341" s="404"/>
      <c r="L341" s="404"/>
      <c r="M341" s="404"/>
      <c r="N341" s="180"/>
      <c r="O341" s="180"/>
      <c r="P341" s="180"/>
      <c r="Q341" s="180"/>
      <c r="R341" s="181"/>
      <c r="S341" s="181"/>
      <c r="T341" s="182"/>
      <c r="U341" s="182"/>
      <c r="V341" s="182"/>
      <c r="W341" s="182"/>
      <c r="X341" s="182"/>
      <c r="Y341" s="182"/>
      <c r="Z341" s="183"/>
      <c r="AA341" s="183"/>
    </row>
    <row r="342" spans="2:27" ht="14.1" customHeight="1">
      <c r="B342" s="175"/>
      <c r="C342" s="175"/>
      <c r="D342" s="176"/>
      <c r="E342" s="177"/>
      <c r="F342" s="178"/>
      <c r="G342" s="178"/>
      <c r="I342" s="179"/>
      <c r="J342" s="404"/>
      <c r="K342" s="404"/>
      <c r="L342" s="404"/>
      <c r="M342" s="404"/>
      <c r="N342" s="180"/>
      <c r="O342" s="180"/>
      <c r="P342" s="180"/>
      <c r="Q342" s="180"/>
      <c r="R342" s="181"/>
      <c r="S342" s="181"/>
      <c r="T342" s="182"/>
      <c r="U342" s="182"/>
      <c r="V342" s="182"/>
      <c r="W342" s="182"/>
      <c r="X342" s="182"/>
      <c r="Y342" s="182"/>
      <c r="Z342" s="183"/>
      <c r="AA342" s="183"/>
    </row>
    <row r="343" spans="2:27" ht="14.1" customHeight="1">
      <c r="B343" s="175"/>
      <c r="C343" s="175"/>
      <c r="D343" s="176"/>
      <c r="E343" s="177"/>
      <c r="F343" s="178"/>
      <c r="G343" s="178"/>
      <c r="I343" s="179"/>
      <c r="J343" s="404"/>
      <c r="K343" s="404"/>
      <c r="L343" s="404"/>
      <c r="M343" s="404"/>
      <c r="N343" s="180"/>
      <c r="O343" s="180"/>
      <c r="P343" s="180"/>
      <c r="Q343" s="180"/>
      <c r="R343" s="181"/>
      <c r="S343" s="181"/>
      <c r="T343" s="182"/>
      <c r="U343" s="182"/>
      <c r="V343" s="182"/>
      <c r="W343" s="182"/>
      <c r="X343" s="182"/>
      <c r="Y343" s="182"/>
      <c r="Z343" s="183"/>
      <c r="AA343" s="183"/>
    </row>
    <row r="344" spans="2:27" ht="14.1" customHeight="1">
      <c r="B344" s="175"/>
      <c r="C344" s="175"/>
      <c r="D344" s="176"/>
      <c r="E344" s="177"/>
      <c r="F344" s="178"/>
      <c r="G344" s="178"/>
      <c r="I344" s="179"/>
      <c r="J344" s="404"/>
      <c r="K344" s="404"/>
      <c r="L344" s="404"/>
      <c r="M344" s="404"/>
      <c r="N344" s="180"/>
      <c r="O344" s="180"/>
      <c r="P344" s="180"/>
      <c r="Q344" s="180"/>
      <c r="R344" s="181"/>
      <c r="S344" s="181"/>
      <c r="T344" s="182"/>
      <c r="U344" s="182"/>
      <c r="V344" s="182"/>
      <c r="W344" s="182"/>
      <c r="X344" s="182"/>
      <c r="Y344" s="182"/>
      <c r="Z344" s="183"/>
      <c r="AA344" s="183"/>
    </row>
    <row r="345" spans="2:27" ht="14.1" customHeight="1">
      <c r="B345" s="175"/>
      <c r="C345" s="175"/>
      <c r="D345" s="176"/>
      <c r="E345" s="177"/>
      <c r="F345" s="178"/>
      <c r="G345" s="178"/>
      <c r="I345" s="179"/>
      <c r="J345" s="404"/>
      <c r="K345" s="404"/>
      <c r="L345" s="404"/>
      <c r="M345" s="404"/>
      <c r="N345" s="180"/>
      <c r="O345" s="180"/>
      <c r="P345" s="180"/>
      <c r="Q345" s="180"/>
      <c r="R345" s="181"/>
      <c r="S345" s="181"/>
      <c r="T345" s="182"/>
      <c r="U345" s="182"/>
      <c r="V345" s="182"/>
      <c r="W345" s="182"/>
      <c r="X345" s="182"/>
      <c r="Y345" s="182"/>
      <c r="Z345" s="183"/>
      <c r="AA345" s="183"/>
    </row>
    <row r="346" spans="2:27" ht="14.1" customHeight="1">
      <c r="B346" s="175"/>
      <c r="C346" s="175"/>
      <c r="D346" s="176"/>
      <c r="E346" s="177"/>
      <c r="F346" s="178"/>
      <c r="G346" s="178"/>
      <c r="I346" s="179"/>
      <c r="J346" s="404"/>
      <c r="K346" s="404"/>
      <c r="L346" s="404"/>
      <c r="M346" s="404"/>
      <c r="N346" s="180"/>
      <c r="O346" s="180"/>
      <c r="P346" s="180"/>
      <c r="Q346" s="180"/>
      <c r="R346" s="181"/>
      <c r="S346" s="181"/>
      <c r="T346" s="182"/>
      <c r="U346" s="182"/>
      <c r="V346" s="182"/>
      <c r="W346" s="182"/>
      <c r="X346" s="182"/>
      <c r="Y346" s="182"/>
      <c r="Z346" s="183"/>
      <c r="AA346" s="183"/>
    </row>
    <row r="347" spans="2:27" ht="14.1" customHeight="1">
      <c r="B347" s="175"/>
      <c r="C347" s="175"/>
      <c r="D347" s="176"/>
      <c r="E347" s="177"/>
      <c r="F347" s="178"/>
      <c r="G347" s="178"/>
      <c r="I347" s="179"/>
      <c r="J347" s="404"/>
      <c r="K347" s="404"/>
      <c r="L347" s="404"/>
      <c r="M347" s="404"/>
      <c r="N347" s="180"/>
      <c r="O347" s="180"/>
      <c r="P347" s="180"/>
      <c r="Q347" s="180"/>
      <c r="R347" s="181"/>
      <c r="S347" s="181"/>
      <c r="T347" s="182"/>
      <c r="U347" s="182"/>
      <c r="V347" s="182"/>
      <c r="W347" s="182"/>
      <c r="X347" s="182"/>
      <c r="Y347" s="182"/>
      <c r="Z347" s="183"/>
      <c r="AA347" s="183"/>
    </row>
    <row r="348" spans="2:27" ht="14.1" customHeight="1">
      <c r="B348" s="175"/>
      <c r="C348" s="175"/>
      <c r="D348" s="176"/>
      <c r="E348" s="177"/>
      <c r="F348" s="178"/>
      <c r="G348" s="178"/>
      <c r="I348" s="179"/>
      <c r="J348" s="404"/>
      <c r="K348" s="404"/>
      <c r="L348" s="404"/>
      <c r="M348" s="404"/>
      <c r="N348" s="180"/>
      <c r="O348" s="180"/>
      <c r="P348" s="180"/>
      <c r="Q348" s="180"/>
      <c r="R348" s="181"/>
      <c r="S348" s="181"/>
      <c r="T348" s="182"/>
      <c r="U348" s="182"/>
      <c r="V348" s="182"/>
      <c r="W348" s="182"/>
      <c r="X348" s="182"/>
      <c r="Y348" s="182"/>
      <c r="Z348" s="183"/>
      <c r="AA348" s="183"/>
    </row>
    <row r="349" spans="2:27" ht="14.1" customHeight="1">
      <c r="B349" s="175"/>
      <c r="C349" s="175"/>
      <c r="D349" s="176"/>
      <c r="E349" s="177"/>
      <c r="F349" s="178"/>
      <c r="G349" s="178"/>
      <c r="I349" s="179"/>
      <c r="J349" s="404"/>
      <c r="K349" s="404"/>
      <c r="L349" s="404"/>
      <c r="M349" s="404"/>
      <c r="N349" s="180"/>
      <c r="O349" s="180"/>
      <c r="P349" s="180"/>
      <c r="Q349" s="180"/>
      <c r="R349" s="181"/>
      <c r="S349" s="181"/>
      <c r="T349" s="182"/>
      <c r="U349" s="182"/>
      <c r="V349" s="182"/>
      <c r="W349" s="182"/>
      <c r="X349" s="182"/>
      <c r="Y349" s="182"/>
      <c r="Z349" s="183"/>
      <c r="AA349" s="183"/>
    </row>
    <row r="350" spans="2:27" ht="14.1" customHeight="1">
      <c r="B350" s="175"/>
      <c r="C350" s="175"/>
      <c r="D350" s="176"/>
      <c r="E350" s="177"/>
      <c r="F350" s="178"/>
      <c r="G350" s="178"/>
      <c r="I350" s="179"/>
      <c r="J350" s="404"/>
      <c r="K350" s="404"/>
      <c r="L350" s="404"/>
      <c r="M350" s="404"/>
      <c r="N350" s="180"/>
      <c r="O350" s="180"/>
      <c r="P350" s="180"/>
      <c r="Q350" s="180"/>
      <c r="R350" s="181"/>
      <c r="S350" s="181"/>
      <c r="T350" s="182"/>
      <c r="U350" s="182"/>
      <c r="V350" s="182"/>
      <c r="W350" s="182"/>
      <c r="X350" s="182"/>
      <c r="Y350" s="182"/>
      <c r="Z350" s="183"/>
      <c r="AA350" s="183"/>
    </row>
    <row r="351" spans="2:27" ht="14.1" customHeight="1">
      <c r="B351" s="175"/>
      <c r="C351" s="175"/>
      <c r="D351" s="176"/>
      <c r="E351" s="177"/>
      <c r="F351" s="178"/>
      <c r="G351" s="178"/>
      <c r="I351" s="179"/>
      <c r="J351" s="404"/>
      <c r="K351" s="404"/>
      <c r="L351" s="404"/>
      <c r="M351" s="404"/>
      <c r="N351" s="180"/>
      <c r="O351" s="180"/>
      <c r="P351" s="180"/>
      <c r="Q351" s="180"/>
      <c r="R351" s="181"/>
      <c r="S351" s="181"/>
      <c r="T351" s="182"/>
      <c r="U351" s="182"/>
      <c r="V351" s="182"/>
      <c r="W351" s="182"/>
      <c r="X351" s="182"/>
      <c r="Y351" s="182"/>
      <c r="Z351" s="183"/>
      <c r="AA351" s="183"/>
    </row>
    <row r="352" spans="2:27" ht="14.1" customHeight="1">
      <c r="B352" s="175"/>
      <c r="C352" s="175"/>
      <c r="D352" s="176"/>
      <c r="E352" s="177"/>
      <c r="F352" s="178"/>
      <c r="G352" s="178"/>
      <c r="I352" s="179"/>
      <c r="J352" s="404"/>
      <c r="K352" s="404"/>
      <c r="L352" s="404"/>
      <c r="M352" s="404"/>
      <c r="N352" s="180"/>
      <c r="O352" s="180"/>
      <c r="P352" s="180"/>
      <c r="Q352" s="180"/>
      <c r="R352" s="181"/>
      <c r="S352" s="181"/>
      <c r="T352" s="182"/>
      <c r="U352" s="182"/>
      <c r="V352" s="182"/>
      <c r="W352" s="182"/>
      <c r="X352" s="182"/>
      <c r="Y352" s="182"/>
      <c r="Z352" s="183"/>
      <c r="AA352" s="183"/>
    </row>
    <row r="353" spans="2:27" ht="14.1" customHeight="1">
      <c r="B353" s="175"/>
      <c r="C353" s="175"/>
      <c r="D353" s="176"/>
      <c r="E353" s="177"/>
      <c r="F353" s="178"/>
      <c r="G353" s="178"/>
      <c r="I353" s="179"/>
      <c r="J353" s="404"/>
      <c r="K353" s="404"/>
      <c r="L353" s="404"/>
      <c r="M353" s="404"/>
      <c r="N353" s="180"/>
      <c r="O353" s="180"/>
      <c r="P353" s="180"/>
      <c r="Q353" s="180"/>
      <c r="R353" s="181"/>
      <c r="S353" s="181"/>
      <c r="T353" s="182"/>
      <c r="U353" s="182"/>
      <c r="V353" s="182"/>
      <c r="W353" s="182"/>
      <c r="X353" s="182"/>
      <c r="Y353" s="182"/>
      <c r="Z353" s="183"/>
      <c r="AA353" s="183"/>
    </row>
    <row r="354" spans="2:27" ht="14.1" customHeight="1">
      <c r="B354" s="175"/>
      <c r="C354" s="175"/>
      <c r="D354" s="176"/>
      <c r="E354" s="177"/>
      <c r="F354" s="178"/>
      <c r="G354" s="178"/>
      <c r="I354" s="179"/>
      <c r="J354" s="404"/>
      <c r="K354" s="404"/>
      <c r="L354" s="404"/>
      <c r="M354" s="404"/>
      <c r="N354" s="180"/>
      <c r="O354" s="180"/>
      <c r="P354" s="180"/>
      <c r="Q354" s="180"/>
      <c r="R354" s="181"/>
      <c r="S354" s="181"/>
      <c r="T354" s="182"/>
      <c r="U354" s="182"/>
      <c r="V354" s="182"/>
      <c r="W354" s="182"/>
      <c r="X354" s="182"/>
      <c r="Y354" s="182"/>
      <c r="Z354" s="183"/>
      <c r="AA354" s="183"/>
    </row>
    <row r="355" spans="2:27" ht="14.1" customHeight="1">
      <c r="B355" s="175"/>
      <c r="C355" s="175"/>
      <c r="D355" s="176"/>
      <c r="E355" s="177"/>
      <c r="F355" s="178"/>
      <c r="G355" s="178"/>
      <c r="I355" s="179"/>
      <c r="J355" s="404"/>
      <c r="K355" s="404"/>
      <c r="L355" s="404"/>
      <c r="M355" s="404"/>
      <c r="N355" s="180"/>
      <c r="O355" s="180"/>
      <c r="P355" s="180"/>
      <c r="Q355" s="180"/>
      <c r="R355" s="181"/>
      <c r="S355" s="181"/>
      <c r="T355" s="182"/>
      <c r="U355" s="182"/>
      <c r="V355" s="182"/>
      <c r="W355" s="182"/>
      <c r="X355" s="182"/>
      <c r="Y355" s="182"/>
      <c r="Z355" s="183"/>
      <c r="AA355" s="183"/>
    </row>
    <row r="356" spans="2:27" ht="14.1" customHeight="1">
      <c r="B356" s="175"/>
      <c r="C356" s="175"/>
      <c r="D356" s="176"/>
      <c r="E356" s="177"/>
      <c r="F356" s="178"/>
      <c r="G356" s="178"/>
      <c r="I356" s="179"/>
      <c r="J356" s="404"/>
      <c r="K356" s="404"/>
      <c r="L356" s="404"/>
      <c r="M356" s="404"/>
      <c r="N356" s="180"/>
      <c r="O356" s="180"/>
      <c r="P356" s="180"/>
      <c r="Q356" s="180"/>
      <c r="R356" s="181"/>
      <c r="S356" s="181"/>
      <c r="T356" s="182"/>
      <c r="U356" s="182"/>
      <c r="V356" s="182"/>
      <c r="W356" s="182"/>
      <c r="X356" s="182"/>
      <c r="Y356" s="182"/>
      <c r="Z356" s="183"/>
      <c r="AA356" s="183"/>
    </row>
    <row r="357" spans="2:27" ht="14.1" customHeight="1">
      <c r="B357" s="175"/>
      <c r="C357" s="175"/>
      <c r="D357" s="176"/>
      <c r="E357" s="177"/>
      <c r="F357" s="178"/>
      <c r="G357" s="178"/>
      <c r="I357" s="179"/>
      <c r="J357" s="404"/>
      <c r="K357" s="404"/>
      <c r="L357" s="404"/>
      <c r="M357" s="404"/>
      <c r="N357" s="180"/>
      <c r="O357" s="180"/>
      <c r="P357" s="180"/>
      <c r="Q357" s="180"/>
      <c r="R357" s="181"/>
      <c r="S357" s="181"/>
      <c r="T357" s="182"/>
      <c r="U357" s="182"/>
      <c r="V357" s="182"/>
      <c r="W357" s="182"/>
      <c r="X357" s="182"/>
      <c r="Y357" s="182"/>
      <c r="Z357" s="183"/>
      <c r="AA357" s="183"/>
    </row>
    <row r="358" spans="2:27" ht="14.1" customHeight="1">
      <c r="B358" s="175"/>
      <c r="C358" s="175"/>
      <c r="D358" s="176"/>
      <c r="E358" s="177"/>
      <c r="F358" s="178"/>
      <c r="G358" s="178"/>
      <c r="I358" s="179"/>
      <c r="J358" s="404"/>
      <c r="K358" s="404"/>
      <c r="L358" s="404"/>
      <c r="M358" s="404"/>
      <c r="N358" s="180"/>
      <c r="O358" s="180"/>
      <c r="P358" s="180"/>
      <c r="Q358" s="180"/>
      <c r="R358" s="181"/>
      <c r="S358" s="181"/>
      <c r="T358" s="182"/>
      <c r="U358" s="182"/>
      <c r="V358" s="182"/>
      <c r="W358" s="182"/>
      <c r="X358" s="182"/>
      <c r="Y358" s="182"/>
      <c r="Z358" s="183"/>
      <c r="AA358" s="183"/>
    </row>
    <row r="359" spans="2:27" ht="14.1" customHeight="1">
      <c r="B359" s="175"/>
      <c r="C359" s="175"/>
      <c r="D359" s="176"/>
      <c r="E359" s="177"/>
      <c r="F359" s="178"/>
      <c r="G359" s="178"/>
      <c r="I359" s="179"/>
      <c r="J359" s="404"/>
      <c r="K359" s="404"/>
      <c r="L359" s="404"/>
      <c r="M359" s="404"/>
      <c r="N359" s="180"/>
      <c r="O359" s="180"/>
      <c r="P359" s="180"/>
      <c r="Q359" s="180"/>
      <c r="R359" s="181"/>
      <c r="S359" s="181"/>
      <c r="T359" s="182"/>
      <c r="U359" s="182"/>
      <c r="V359" s="182"/>
      <c r="W359" s="182"/>
      <c r="X359" s="182"/>
      <c r="Y359" s="182"/>
      <c r="Z359" s="183"/>
      <c r="AA359" s="183"/>
    </row>
    <row r="360" spans="2:27" ht="14.1" customHeight="1">
      <c r="B360" s="175"/>
      <c r="C360" s="175"/>
      <c r="D360" s="176"/>
      <c r="E360" s="177"/>
      <c r="F360" s="178"/>
      <c r="G360" s="178"/>
      <c r="I360" s="179"/>
      <c r="J360" s="404"/>
      <c r="K360" s="404"/>
      <c r="L360" s="404"/>
      <c r="M360" s="404"/>
      <c r="N360" s="180"/>
      <c r="O360" s="180"/>
      <c r="P360" s="180"/>
      <c r="Q360" s="180"/>
      <c r="R360" s="181"/>
      <c r="S360" s="181"/>
      <c r="T360" s="182"/>
      <c r="U360" s="182"/>
      <c r="V360" s="182"/>
      <c r="W360" s="182"/>
      <c r="X360" s="182"/>
      <c r="Y360" s="182"/>
      <c r="Z360" s="183"/>
      <c r="AA360" s="183"/>
    </row>
    <row r="361" spans="2:27" ht="14.1" customHeight="1">
      <c r="B361" s="175"/>
      <c r="C361" s="175"/>
      <c r="D361" s="176"/>
      <c r="E361" s="177"/>
      <c r="F361" s="178"/>
      <c r="G361" s="178"/>
      <c r="I361" s="179"/>
      <c r="J361" s="404"/>
      <c r="K361" s="404"/>
      <c r="L361" s="404"/>
      <c r="M361" s="404"/>
      <c r="N361" s="180"/>
      <c r="O361" s="180"/>
      <c r="P361" s="180"/>
      <c r="Q361" s="180"/>
      <c r="R361" s="181"/>
      <c r="S361" s="181"/>
      <c r="T361" s="182"/>
      <c r="U361" s="182"/>
      <c r="V361" s="182"/>
      <c r="W361" s="182"/>
      <c r="X361" s="182"/>
      <c r="Y361" s="182"/>
      <c r="Z361" s="183"/>
      <c r="AA361" s="183"/>
    </row>
    <row r="362" spans="2:27" ht="14.1" customHeight="1">
      <c r="B362" s="175"/>
      <c r="C362" s="175"/>
      <c r="D362" s="176"/>
      <c r="E362" s="177"/>
      <c r="F362" s="178"/>
      <c r="G362" s="178"/>
      <c r="I362" s="179"/>
      <c r="J362" s="404"/>
      <c r="K362" s="404"/>
      <c r="L362" s="404"/>
      <c r="M362" s="404"/>
      <c r="N362" s="180"/>
      <c r="O362" s="180"/>
      <c r="P362" s="180"/>
      <c r="Q362" s="180"/>
      <c r="R362" s="181"/>
      <c r="S362" s="181"/>
      <c r="T362" s="182"/>
      <c r="U362" s="182"/>
      <c r="V362" s="182"/>
      <c r="W362" s="182"/>
      <c r="X362" s="182"/>
      <c r="Y362" s="182"/>
      <c r="Z362" s="183"/>
      <c r="AA362" s="183"/>
    </row>
    <row r="363" spans="2:27" ht="14.1" customHeight="1">
      <c r="B363" s="175"/>
      <c r="C363" s="175"/>
      <c r="D363" s="176"/>
      <c r="E363" s="177"/>
      <c r="F363" s="178"/>
      <c r="G363" s="178"/>
      <c r="I363" s="179"/>
      <c r="J363" s="404"/>
      <c r="K363" s="404"/>
      <c r="L363" s="404"/>
      <c r="M363" s="404"/>
      <c r="N363" s="180"/>
      <c r="O363" s="180"/>
      <c r="P363" s="180"/>
      <c r="Q363" s="180"/>
      <c r="R363" s="181"/>
      <c r="S363" s="181"/>
      <c r="T363" s="182"/>
      <c r="U363" s="182"/>
      <c r="V363" s="182"/>
      <c r="W363" s="182"/>
      <c r="X363" s="182"/>
      <c r="Y363" s="182"/>
      <c r="Z363" s="183"/>
      <c r="AA363" s="183"/>
    </row>
    <row r="364" spans="2:27" ht="14.1" customHeight="1">
      <c r="B364" s="175"/>
      <c r="C364" s="175"/>
      <c r="D364" s="176"/>
      <c r="E364" s="177"/>
      <c r="F364" s="178"/>
      <c r="G364" s="178"/>
      <c r="I364" s="179"/>
      <c r="J364" s="404"/>
      <c r="K364" s="404"/>
      <c r="L364" s="404"/>
      <c r="M364" s="404"/>
      <c r="N364" s="180"/>
      <c r="O364" s="180"/>
      <c r="P364" s="180"/>
      <c r="Q364" s="180"/>
      <c r="R364" s="181"/>
      <c r="S364" s="181"/>
      <c r="T364" s="182"/>
      <c r="U364" s="182"/>
      <c r="V364" s="182"/>
      <c r="W364" s="182"/>
      <c r="X364" s="182"/>
      <c r="Y364" s="182"/>
      <c r="Z364" s="183"/>
      <c r="AA364" s="183"/>
    </row>
    <row r="365" spans="2:27" ht="14.1" customHeight="1">
      <c r="B365" s="175"/>
      <c r="C365" s="175"/>
      <c r="D365" s="176"/>
      <c r="E365" s="177"/>
      <c r="F365" s="178"/>
      <c r="G365" s="178"/>
      <c r="I365" s="179"/>
      <c r="J365" s="404"/>
      <c r="K365" s="404"/>
      <c r="L365" s="404"/>
      <c r="M365" s="404"/>
      <c r="N365" s="180"/>
      <c r="O365" s="180"/>
      <c r="P365" s="180"/>
      <c r="Q365" s="180"/>
      <c r="R365" s="181"/>
      <c r="S365" s="181"/>
      <c r="T365" s="182"/>
      <c r="U365" s="182"/>
      <c r="V365" s="182"/>
      <c r="W365" s="182"/>
      <c r="X365" s="182"/>
      <c r="Y365" s="182"/>
      <c r="Z365" s="183"/>
      <c r="AA365" s="183"/>
    </row>
    <row r="366" spans="2:27" ht="14.1" customHeight="1">
      <c r="B366" s="175"/>
      <c r="C366" s="175"/>
      <c r="D366" s="176"/>
      <c r="E366" s="177"/>
      <c r="F366" s="178"/>
      <c r="G366" s="178"/>
      <c r="I366" s="179"/>
      <c r="J366" s="404"/>
      <c r="K366" s="404"/>
      <c r="L366" s="404"/>
      <c r="M366" s="404"/>
      <c r="N366" s="180"/>
      <c r="O366" s="180"/>
      <c r="P366" s="180"/>
      <c r="Q366" s="180"/>
      <c r="R366" s="181"/>
      <c r="S366" s="181"/>
      <c r="T366" s="182"/>
      <c r="U366" s="182"/>
      <c r="V366" s="182"/>
      <c r="W366" s="182"/>
      <c r="X366" s="182"/>
      <c r="Y366" s="182"/>
      <c r="Z366" s="183"/>
      <c r="AA366" s="183"/>
    </row>
    <row r="367" spans="2:27" ht="14.1" customHeight="1">
      <c r="B367" s="175"/>
      <c r="C367" s="175"/>
      <c r="D367" s="176"/>
      <c r="E367" s="177"/>
      <c r="F367" s="178"/>
      <c r="G367" s="178"/>
      <c r="I367" s="179"/>
      <c r="J367" s="404"/>
      <c r="K367" s="404"/>
      <c r="L367" s="404"/>
      <c r="M367" s="404"/>
      <c r="N367" s="180"/>
      <c r="O367" s="180"/>
      <c r="P367" s="180"/>
      <c r="Q367" s="180"/>
      <c r="R367" s="181"/>
      <c r="S367" s="181"/>
      <c r="T367" s="182"/>
      <c r="U367" s="182"/>
      <c r="V367" s="182"/>
      <c r="W367" s="182"/>
      <c r="X367" s="182"/>
      <c r="Y367" s="182"/>
      <c r="Z367" s="183"/>
      <c r="AA367" s="183"/>
    </row>
    <row r="368" spans="2:27" ht="14.1" customHeight="1">
      <c r="B368" s="175"/>
      <c r="C368" s="175"/>
      <c r="D368" s="176"/>
      <c r="E368" s="177"/>
      <c r="F368" s="178"/>
      <c r="G368" s="178"/>
      <c r="I368" s="179"/>
      <c r="J368" s="404"/>
      <c r="K368" s="404"/>
      <c r="L368" s="404"/>
      <c r="M368" s="404"/>
      <c r="N368" s="180"/>
      <c r="O368" s="180"/>
      <c r="P368" s="180"/>
      <c r="Q368" s="180"/>
      <c r="R368" s="181"/>
      <c r="S368" s="181"/>
      <c r="T368" s="182"/>
      <c r="U368" s="182"/>
      <c r="V368" s="182"/>
      <c r="W368" s="182"/>
      <c r="X368" s="182"/>
      <c r="Y368" s="182"/>
      <c r="Z368" s="183"/>
      <c r="AA368" s="183"/>
    </row>
    <row r="369" spans="2:27" ht="14.1" customHeight="1">
      <c r="B369" s="175"/>
      <c r="C369" s="175"/>
      <c r="D369" s="176"/>
      <c r="E369" s="177"/>
      <c r="F369" s="178"/>
      <c r="G369" s="178"/>
      <c r="I369" s="179"/>
      <c r="J369" s="404"/>
      <c r="K369" s="404"/>
      <c r="L369" s="404"/>
      <c r="M369" s="404"/>
      <c r="N369" s="180"/>
      <c r="O369" s="180"/>
      <c r="P369" s="180"/>
      <c r="Q369" s="180"/>
      <c r="R369" s="181"/>
      <c r="S369" s="181"/>
      <c r="T369" s="182"/>
      <c r="U369" s="182"/>
      <c r="V369" s="182"/>
      <c r="W369" s="182"/>
      <c r="X369" s="182"/>
      <c r="Y369" s="182"/>
      <c r="Z369" s="183"/>
      <c r="AA369" s="183"/>
    </row>
    <row r="370" spans="2:27" ht="14.1" customHeight="1">
      <c r="B370" s="175"/>
      <c r="C370" s="175"/>
      <c r="D370" s="176"/>
      <c r="E370" s="177"/>
      <c r="F370" s="178"/>
      <c r="G370" s="178"/>
      <c r="I370" s="179"/>
      <c r="J370" s="404"/>
      <c r="K370" s="404"/>
      <c r="L370" s="404"/>
      <c r="M370" s="404"/>
      <c r="N370" s="180"/>
      <c r="O370" s="180"/>
      <c r="P370" s="180"/>
      <c r="Q370" s="180"/>
      <c r="R370" s="181"/>
      <c r="S370" s="181"/>
      <c r="T370" s="182"/>
      <c r="U370" s="182"/>
      <c r="V370" s="182"/>
      <c r="W370" s="182"/>
      <c r="X370" s="182"/>
      <c r="Y370" s="182"/>
      <c r="Z370" s="183"/>
      <c r="AA370" s="183"/>
    </row>
    <row r="371" spans="2:27" ht="14.1" customHeight="1">
      <c r="B371" s="175"/>
      <c r="C371" s="175"/>
      <c r="D371" s="176"/>
      <c r="E371" s="177"/>
      <c r="F371" s="178"/>
      <c r="G371" s="178"/>
      <c r="I371" s="179"/>
      <c r="J371" s="404"/>
      <c r="K371" s="404"/>
      <c r="L371" s="404"/>
      <c r="M371" s="404"/>
      <c r="N371" s="180"/>
      <c r="O371" s="180"/>
      <c r="P371" s="180"/>
      <c r="Q371" s="180"/>
      <c r="R371" s="181"/>
      <c r="S371" s="181"/>
      <c r="T371" s="182"/>
      <c r="U371" s="182"/>
      <c r="V371" s="182"/>
      <c r="W371" s="182"/>
      <c r="X371" s="182"/>
      <c r="Y371" s="182"/>
      <c r="Z371" s="183"/>
      <c r="AA371" s="183"/>
    </row>
    <row r="372" spans="2:27" ht="14.1" customHeight="1">
      <c r="B372" s="175"/>
      <c r="C372" s="175"/>
      <c r="D372" s="176"/>
      <c r="E372" s="177"/>
      <c r="F372" s="178"/>
      <c r="G372" s="178"/>
      <c r="I372" s="179"/>
      <c r="J372" s="404"/>
      <c r="K372" s="404"/>
      <c r="L372" s="404"/>
      <c r="M372" s="404"/>
      <c r="N372" s="180"/>
      <c r="O372" s="180"/>
      <c r="P372" s="180"/>
      <c r="Q372" s="180"/>
      <c r="R372" s="181"/>
      <c r="S372" s="181"/>
      <c r="T372" s="182"/>
      <c r="U372" s="182"/>
      <c r="V372" s="182"/>
      <c r="W372" s="182"/>
      <c r="X372" s="182"/>
      <c r="Y372" s="182"/>
      <c r="Z372" s="183"/>
      <c r="AA372" s="183"/>
    </row>
  </sheetData>
  <autoFilter ref="B9:AC95" xr:uid="{00000000-0009-0000-0000-000004000000}"/>
  <mergeCells count="1">
    <mergeCell ref="W6:Y7"/>
  </mergeCells>
  <phoneticPr fontId="9"/>
  <printOptions horizontalCentered="1" gridLinesSet="0"/>
  <pageMargins left="0.19685039370078741" right="0.19685039370078741" top="0.59055118110236227" bottom="0.78740157480314965" header="0.39370078740157483" footer="0.19685039370078741"/>
  <pageSetup paperSize="9" scale="54" fitToHeight="0" orientation="landscape" r:id="rId1"/>
  <headerFooter alignWithMargins="0">
    <oddFooter>&amp;L&amp;"Verdana,Standaard"&amp;F-&amp;A
Atir b.v. ©&amp;R&amp;"Verdana,Standaard"printversie &amp;D</oddFooter>
  </headerFooter>
  <rowBreaks count="1" manualBreakCount="1">
    <brk id="55"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12C2-3224-4E6D-B6F5-B263D8AB1CED}">
  <sheetPr>
    <tabColor theme="0" tint="-0.14999847407452621"/>
    <pageSetUpPr fitToPage="1"/>
  </sheetPr>
  <dimension ref="A1:I14"/>
  <sheetViews>
    <sheetView showGridLines="0" zoomScale="85" zoomScaleNormal="85" workbookViewId="0">
      <pane ySplit="10" topLeftCell="A11" activePane="bottomLeft" state="frozen"/>
      <selection activeCell="D33" sqref="D33"/>
      <selection pane="bottomLeft" activeCell="E29" sqref="E29"/>
    </sheetView>
  </sheetViews>
  <sheetFormatPr defaultColWidth="9.140625" defaultRowHeight="13.5"/>
  <cols>
    <col min="1" max="1" width="26.140625" style="3" bestFit="1" customWidth="1"/>
    <col min="2" max="2" width="89.28515625" style="3" bestFit="1" customWidth="1"/>
    <col min="3" max="9" width="11.140625" style="3" customWidth="1"/>
    <col min="10" max="16384" width="9.140625" style="3"/>
  </cols>
  <sheetData>
    <row r="1" spans="1:9">
      <c r="A1" s="416" t="s">
        <v>25</v>
      </c>
    </row>
    <row r="3" spans="1:9" ht="17.25">
      <c r="A3" s="73" t="str">
        <f>'1-Contractblad totaal'!A3</f>
        <v>Naam opdrachtgever</v>
      </c>
      <c r="B3" s="130" t="str">
        <f>'1-Contractblad totaal'!B3</f>
        <v>GVB Veren</v>
      </c>
      <c r="E3" s="299"/>
    </row>
    <row r="4" spans="1:9" ht="17.25">
      <c r="A4" s="73" t="str">
        <f>'1-Contractblad totaal'!A4</f>
        <v>Calculatie onderdeel</v>
      </c>
      <c r="B4" s="130" t="str">
        <f ca="1">MID(CELL("bestandsnaam",$C$9),SEARCH("]",CELL("bestandsnaam",$C$9),1)+1,256)</f>
        <v>4b- Kantoren extra werk</v>
      </c>
    </row>
    <row r="5" spans="1:9" ht="17.25">
      <c r="A5" s="73" t="str">
        <f>'1-Contractblad totaal'!A5</f>
        <v>Gebouw/plaats</v>
      </c>
      <c r="B5" s="130" t="str">
        <f>'1-Contractblad totaal'!B5</f>
        <v>Amsterdam</v>
      </c>
    </row>
    <row r="6" spans="1:9" ht="17.25">
      <c r="A6" s="73" t="str">
        <f>'1-Contractblad totaal'!A6</f>
        <v>Referentie nummer</v>
      </c>
      <c r="B6" s="130" t="str">
        <f>'1-Contractblad totaal'!B6</f>
        <v>2021-42a</v>
      </c>
      <c r="E6" s="299"/>
    </row>
    <row r="7" spans="1:9" ht="15" customHeight="1">
      <c r="A7" s="73" t="str">
        <f>'1-Contractblad totaal'!A8</f>
        <v>Naam dienstverlener</v>
      </c>
      <c r="B7" s="130">
        <f>'1-Contractblad totaal'!B8</f>
        <v>0</v>
      </c>
      <c r="E7" s="300"/>
      <c r="F7" s="300"/>
      <c r="G7" s="300"/>
      <c r="H7" s="300"/>
      <c r="I7" s="300"/>
    </row>
    <row r="8" spans="1:9" ht="15.75">
      <c r="A8" s="73" t="str">
        <f>'1-Contractblad totaal'!A9</f>
        <v>Prijspeil</v>
      </c>
      <c r="B8" s="100">
        <f>'1-Contractblad totaal'!B9</f>
        <v>45017</v>
      </c>
      <c r="E8" s="300"/>
      <c r="F8" s="300"/>
      <c r="G8" s="300"/>
      <c r="H8" s="300"/>
      <c r="I8" s="300"/>
    </row>
    <row r="10" spans="1:9" ht="25.5">
      <c r="A10" s="304" t="s">
        <v>105</v>
      </c>
      <c r="B10" s="304" t="s">
        <v>171</v>
      </c>
      <c r="C10" s="645" t="s">
        <v>489</v>
      </c>
      <c r="D10" s="645" t="s">
        <v>106</v>
      </c>
      <c r="E10" s="645" t="s">
        <v>427</v>
      </c>
      <c r="F10" s="645" t="s">
        <v>169</v>
      </c>
      <c r="G10" s="645" t="s">
        <v>535</v>
      </c>
      <c r="H10" s="645" t="s">
        <v>170</v>
      </c>
    </row>
    <row r="11" spans="1:9" ht="15.6" customHeight="1">
      <c r="A11" s="301" t="s">
        <v>230</v>
      </c>
      <c r="B11" s="115" t="s">
        <v>271</v>
      </c>
      <c r="C11" s="646">
        <v>3</v>
      </c>
      <c r="D11" s="646">
        <v>255</v>
      </c>
      <c r="E11" s="653"/>
      <c r="F11" s="647">
        <f>E11*D11*C11</f>
        <v>0</v>
      </c>
      <c r="G11" s="648"/>
      <c r="H11" s="649">
        <f>G11*F11</f>
        <v>0</v>
      </c>
    </row>
    <row r="12" spans="1:9" ht="15.6" customHeight="1">
      <c r="A12" s="301" t="s">
        <v>230</v>
      </c>
      <c r="B12" s="115" t="s">
        <v>515</v>
      </c>
      <c r="C12" s="646">
        <v>1</v>
      </c>
      <c r="D12" s="646">
        <f>255/12*7</f>
        <v>148.75</v>
      </c>
      <c r="E12" s="653"/>
      <c r="F12" s="647">
        <f>E12*D12*C12</f>
        <v>0</v>
      </c>
      <c r="G12" s="648"/>
      <c r="H12" s="649">
        <f>G12*F12</f>
        <v>0</v>
      </c>
    </row>
    <row r="13" spans="1:9">
      <c r="C13" s="543"/>
      <c r="D13" s="543"/>
      <c r="E13" s="543"/>
      <c r="F13" s="543"/>
      <c r="G13" s="543"/>
      <c r="H13" s="543"/>
    </row>
    <row r="14" spans="1:9" s="140" customFormat="1" ht="12.75">
      <c r="A14" s="193" t="s">
        <v>8</v>
      </c>
      <c r="B14" s="303"/>
      <c r="C14" s="650"/>
      <c r="D14" s="650"/>
      <c r="E14" s="650"/>
      <c r="F14" s="651">
        <f>SUM(F11:F13)</f>
        <v>0</v>
      </c>
      <c r="G14" s="650"/>
      <c r="H14" s="652">
        <f>SUM(H11:H13)</f>
        <v>0</v>
      </c>
    </row>
  </sheetData>
  <pageMargins left="0.59375" right="0.7" top="0.75" bottom="0.75" header="0.3" footer="0.3"/>
  <pageSetup paperSize="9" scale="73" fitToHeight="0" orientation="landscape" r:id="rId1"/>
  <headerFooter>
    <oddFooter>&amp;L&amp;F-&amp;A
Atir b.v. ©&amp;Rprintversie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1819E-2DEA-4FB4-93B7-F294F6AE93C0}">
  <sheetPr>
    <tabColor theme="0" tint="-0.14999847407452621"/>
    <pageSetUpPr fitToPage="1"/>
  </sheetPr>
  <dimension ref="A1:AA37"/>
  <sheetViews>
    <sheetView showGridLines="0" zoomScale="85" zoomScaleNormal="85" workbookViewId="0">
      <pane ySplit="10" topLeftCell="A11" activePane="bottomLeft" state="frozen"/>
      <selection activeCell="D5" sqref="C5:D5"/>
      <selection pane="bottomLeft" activeCell="E33" sqref="E33"/>
    </sheetView>
  </sheetViews>
  <sheetFormatPr defaultColWidth="9.140625" defaultRowHeight="13.5"/>
  <cols>
    <col min="1" max="1" width="39.5703125" style="3" customWidth="1"/>
    <col min="2" max="2" width="47.140625" style="3" customWidth="1"/>
    <col min="3" max="3" width="25" style="3" customWidth="1"/>
    <col min="4" max="10" width="18.140625" style="3" customWidth="1"/>
    <col min="11" max="13" width="14.7109375" style="3" customWidth="1"/>
    <col min="14" max="16384" width="9.140625" style="3"/>
  </cols>
  <sheetData>
    <row r="1" spans="1:27">
      <c r="A1" s="416" t="s">
        <v>25</v>
      </c>
    </row>
    <row r="3" spans="1:27">
      <c r="A3" s="90" t="str">
        <f>'1-Contractblad totaal'!A3</f>
        <v>Naam opdrachtgever</v>
      </c>
      <c r="B3" s="487" t="str">
        <f>'1-Contractblad totaal'!B3</f>
        <v>GVB Veren</v>
      </c>
    </row>
    <row r="4" spans="1:27">
      <c r="A4" s="90" t="str">
        <f>'1-Contractblad totaal'!A4</f>
        <v>Calculatie onderdeel</v>
      </c>
      <c r="B4" s="487" t="str">
        <f ca="1">MID(CELL("bestandsnaam",$C$9),SEARCH("]",CELL("bestandsnaam",$C$9),1)+1,256)</f>
        <v>4c- Noordzeekanaal</v>
      </c>
    </row>
    <row r="5" spans="1:27">
      <c r="A5" s="90" t="str">
        <f>'1-Contractblad totaal'!A5</f>
        <v>Gebouw/plaats</v>
      </c>
      <c r="B5" s="487" t="str">
        <f>'1-Contractblad totaal'!B5</f>
        <v>Amsterdam</v>
      </c>
    </row>
    <row r="6" spans="1:27">
      <c r="A6" s="90" t="str">
        <f>'1-Contractblad totaal'!A6</f>
        <v>Referentie nummer</v>
      </c>
      <c r="B6" s="538" t="str">
        <f>'1-Contractblad totaal'!B6</f>
        <v>2021-42a</v>
      </c>
    </row>
    <row r="7" spans="1:27" ht="15" customHeight="1">
      <c r="A7" s="90" t="str">
        <f>'1-Contractblad totaal'!A8</f>
        <v>Naam dienstverlener</v>
      </c>
      <c r="B7" s="538">
        <f>'1-Contractblad totaal'!B8</f>
        <v>0</v>
      </c>
      <c r="H7" s="300"/>
      <c r="I7" s="300"/>
    </row>
    <row r="8" spans="1:27">
      <c r="A8" s="90" t="str">
        <f>'1-Contractblad totaal'!A9</f>
        <v>Prijspeil</v>
      </c>
      <c r="B8" s="488">
        <f>'1-Contractblad totaal'!B9</f>
        <v>45017</v>
      </c>
      <c r="E8" s="300"/>
      <c r="F8" s="300"/>
      <c r="G8" s="300"/>
      <c r="H8" s="300"/>
      <c r="I8" s="300"/>
    </row>
    <row r="10" spans="1:27">
      <c r="A10" s="562" t="s">
        <v>290</v>
      </c>
      <c r="B10" s="563"/>
      <c r="C10" s="490"/>
      <c r="D10" s="490"/>
      <c r="E10" s="490"/>
      <c r="F10" s="490"/>
      <c r="G10" s="490"/>
      <c r="H10" s="490"/>
      <c r="I10" s="490"/>
      <c r="J10" s="490"/>
      <c r="K10" s="490"/>
      <c r="L10" s="491"/>
      <c r="M10" s="492"/>
    </row>
    <row r="11" spans="1:27">
      <c r="A11" s="564"/>
      <c r="B11" s="564"/>
      <c r="C11" s="485"/>
      <c r="D11" s="485"/>
      <c r="E11" s="485"/>
      <c r="F11" s="485"/>
      <c r="G11" s="485"/>
      <c r="H11" s="485"/>
      <c r="I11" s="485"/>
      <c r="J11" s="486"/>
      <c r="K11" s="485"/>
      <c r="L11" s="485"/>
      <c r="M11" s="485"/>
    </row>
    <row r="12" spans="1:27" ht="35.450000000000003" customHeight="1">
      <c r="A12" s="565" t="s">
        <v>272</v>
      </c>
      <c r="B12" s="565" t="s">
        <v>55</v>
      </c>
      <c r="C12" s="565" t="s">
        <v>293</v>
      </c>
      <c r="D12" s="569" t="s">
        <v>172</v>
      </c>
      <c r="E12" s="569" t="s">
        <v>58</v>
      </c>
      <c r="F12" s="569" t="s">
        <v>273</v>
      </c>
      <c r="G12" s="569" t="s">
        <v>274</v>
      </c>
      <c r="H12" s="569" t="s">
        <v>534</v>
      </c>
      <c r="I12" s="569" t="s">
        <v>382</v>
      </c>
      <c r="J12" s="569" t="s">
        <v>381</v>
      </c>
      <c r="K12" s="569" t="s">
        <v>379</v>
      </c>
      <c r="L12" s="569" t="s">
        <v>380</v>
      </c>
      <c r="M12" s="569" t="s">
        <v>167</v>
      </c>
      <c r="N12" s="543"/>
      <c r="O12" s="543"/>
      <c r="P12" s="543"/>
      <c r="Q12" s="543"/>
      <c r="R12" s="543"/>
      <c r="S12" s="543"/>
      <c r="T12" s="543"/>
      <c r="U12" s="543"/>
      <c r="V12" s="543"/>
      <c r="W12" s="543"/>
      <c r="X12" s="543"/>
      <c r="Y12" s="543"/>
      <c r="Z12" s="543"/>
      <c r="AA12" s="543"/>
    </row>
    <row r="13" spans="1:27" ht="15.75" customHeight="1">
      <c r="A13" s="566" t="s">
        <v>276</v>
      </c>
      <c r="B13" s="566" t="s">
        <v>277</v>
      </c>
      <c r="C13" s="566" t="s">
        <v>405</v>
      </c>
      <c r="D13" s="658">
        <v>1</v>
      </c>
      <c r="E13" s="546">
        <v>156</v>
      </c>
      <c r="F13" s="552"/>
      <c r="G13" s="553"/>
      <c r="H13" s="550"/>
      <c r="I13" s="551">
        <f>D13*E13*F13</f>
        <v>0</v>
      </c>
      <c r="J13" s="551">
        <f>D13*E13*G13</f>
        <v>0</v>
      </c>
      <c r="K13" s="548">
        <f>I13*H13</f>
        <v>0</v>
      </c>
      <c r="L13" s="548">
        <f>J13*H13</f>
        <v>0</v>
      </c>
      <c r="M13" s="548">
        <f>K13+L13</f>
        <v>0</v>
      </c>
      <c r="N13" s="543"/>
      <c r="O13" s="543"/>
      <c r="P13" s="543"/>
      <c r="Q13" s="543"/>
      <c r="R13" s="543"/>
      <c r="S13" s="543"/>
      <c r="T13" s="543"/>
      <c r="U13" s="543"/>
      <c r="V13" s="543"/>
      <c r="W13" s="543"/>
      <c r="X13" s="543"/>
      <c r="Y13" s="543"/>
      <c r="Z13" s="543"/>
      <c r="AA13" s="543"/>
    </row>
    <row r="14" spans="1:27" ht="15.75" customHeight="1">
      <c r="A14" s="566" t="s">
        <v>278</v>
      </c>
      <c r="B14" s="566" t="s">
        <v>277</v>
      </c>
      <c r="C14" s="566" t="s">
        <v>405</v>
      </c>
      <c r="D14" s="658">
        <v>1</v>
      </c>
      <c r="E14" s="546">
        <v>156</v>
      </c>
      <c r="F14" s="552"/>
      <c r="G14" s="553"/>
      <c r="H14" s="550"/>
      <c r="I14" s="551">
        <f>D14*E14*F14</f>
        <v>0</v>
      </c>
      <c r="J14" s="551">
        <f>D14*E14*G14</f>
        <v>0</v>
      </c>
      <c r="K14" s="548">
        <f>I14*H14</f>
        <v>0</v>
      </c>
      <c r="L14" s="548">
        <f>J14*H14</f>
        <v>0</v>
      </c>
      <c r="M14" s="548">
        <f>K14+L14</f>
        <v>0</v>
      </c>
      <c r="N14" s="543"/>
      <c r="O14" s="543"/>
      <c r="P14" s="543"/>
      <c r="Q14" s="543"/>
      <c r="R14" s="543"/>
      <c r="S14" s="543"/>
      <c r="T14" s="543"/>
      <c r="U14" s="543"/>
      <c r="V14" s="543"/>
      <c r="W14" s="543"/>
      <c r="X14" s="543"/>
      <c r="Y14" s="543"/>
      <c r="Z14" s="543"/>
      <c r="AA14" s="543"/>
    </row>
    <row r="15" spans="1:27" ht="15.75" customHeight="1">
      <c r="A15" s="566" t="s">
        <v>279</v>
      </c>
      <c r="B15" s="566" t="s">
        <v>277</v>
      </c>
      <c r="C15" s="566" t="s">
        <v>405</v>
      </c>
      <c r="D15" s="658">
        <v>2</v>
      </c>
      <c r="E15" s="546">
        <v>156</v>
      </c>
      <c r="F15" s="552"/>
      <c r="G15" s="553"/>
      <c r="H15" s="550"/>
      <c r="I15" s="551">
        <f>D15*E15*F15</f>
        <v>0</v>
      </c>
      <c r="J15" s="551">
        <f>D15*E15*G15</f>
        <v>0</v>
      </c>
      <c r="K15" s="548">
        <f>I15*H15</f>
        <v>0</v>
      </c>
      <c r="L15" s="548">
        <f>J15*H15</f>
        <v>0</v>
      </c>
      <c r="M15" s="548">
        <f>K15+L15</f>
        <v>0</v>
      </c>
      <c r="N15" s="543"/>
      <c r="O15" s="543"/>
      <c r="P15" s="543"/>
      <c r="Q15" s="543"/>
      <c r="R15" s="543"/>
      <c r="S15" s="543"/>
      <c r="T15" s="543"/>
      <c r="U15" s="543"/>
      <c r="V15" s="543"/>
      <c r="W15" s="543"/>
      <c r="X15" s="543"/>
      <c r="Y15" s="543"/>
      <c r="Z15" s="543"/>
      <c r="AA15" s="543"/>
    </row>
    <row r="16" spans="1:27" ht="15.75" customHeight="1">
      <c r="A16" s="567" t="s">
        <v>280</v>
      </c>
      <c r="B16" s="622"/>
      <c r="C16" s="622"/>
      <c r="D16" s="554"/>
      <c r="E16" s="554"/>
      <c r="F16" s="554"/>
      <c r="G16" s="554"/>
      <c r="H16" s="554"/>
      <c r="I16" s="555">
        <f>SUM(I13:I15)</f>
        <v>0</v>
      </c>
      <c r="J16" s="555">
        <f>SUM(J13:J15)</f>
        <v>0</v>
      </c>
      <c r="K16" s="556">
        <f>SUM(K13:K15)</f>
        <v>0</v>
      </c>
      <c r="L16" s="556">
        <f>SUM(L13:L15)</f>
        <v>0</v>
      </c>
      <c r="M16" s="557">
        <f>K16+L16</f>
        <v>0</v>
      </c>
      <c r="N16" s="543"/>
      <c r="O16" s="543"/>
      <c r="P16" s="543"/>
      <c r="Q16" s="543"/>
      <c r="R16" s="543"/>
      <c r="S16" s="543"/>
      <c r="T16" s="543"/>
      <c r="U16" s="543"/>
      <c r="V16" s="543"/>
      <c r="W16" s="543"/>
      <c r="X16" s="543"/>
      <c r="Y16" s="543"/>
      <c r="Z16" s="543"/>
      <c r="AA16" s="543"/>
    </row>
    <row r="17" spans="1:27">
      <c r="A17" s="564"/>
      <c r="B17" s="564"/>
      <c r="C17" s="564"/>
      <c r="D17" s="558"/>
      <c r="E17" s="558"/>
      <c r="F17" s="558"/>
      <c r="G17" s="558"/>
      <c r="H17" s="558"/>
      <c r="I17" s="558"/>
      <c r="J17" s="558"/>
      <c r="K17" s="558"/>
      <c r="L17" s="558"/>
      <c r="M17" s="558"/>
      <c r="N17" s="543"/>
      <c r="O17" s="543"/>
      <c r="P17" s="543"/>
      <c r="Q17" s="543"/>
      <c r="R17" s="543"/>
      <c r="S17" s="543"/>
      <c r="T17" s="543"/>
      <c r="U17" s="543"/>
      <c r="V17" s="543"/>
      <c r="W17" s="543"/>
      <c r="X17" s="543"/>
      <c r="Y17" s="543"/>
      <c r="Z17" s="543"/>
      <c r="AA17" s="543"/>
    </row>
    <row r="18" spans="1:27" ht="28.15" customHeight="1">
      <c r="A18" s="565" t="s">
        <v>401</v>
      </c>
      <c r="B18" s="565" t="s">
        <v>55</v>
      </c>
      <c r="C18" s="565" t="s">
        <v>293</v>
      </c>
      <c r="D18" s="569" t="s">
        <v>281</v>
      </c>
      <c r="E18" s="569" t="s">
        <v>58</v>
      </c>
      <c r="F18" s="569" t="s">
        <v>273</v>
      </c>
      <c r="G18" s="569" t="s">
        <v>534</v>
      </c>
      <c r="H18" s="569" t="s">
        <v>378</v>
      </c>
      <c r="I18" s="569" t="s">
        <v>167</v>
      </c>
      <c r="J18" s="558"/>
      <c r="K18" s="558"/>
      <c r="L18" s="558"/>
      <c r="M18" s="558"/>
      <c r="N18" s="543"/>
      <c r="O18" s="543"/>
      <c r="P18" s="543"/>
      <c r="Q18" s="543"/>
      <c r="R18" s="543"/>
      <c r="S18" s="543"/>
      <c r="T18" s="543"/>
      <c r="U18" s="543"/>
      <c r="V18" s="543"/>
      <c r="W18" s="543"/>
      <c r="X18" s="543"/>
      <c r="Y18" s="543"/>
      <c r="Z18" s="543"/>
      <c r="AA18" s="543"/>
    </row>
    <row r="19" spans="1:27" ht="17.25" customHeight="1">
      <c r="A19" s="566" t="s">
        <v>282</v>
      </c>
      <c r="B19" s="566" t="s">
        <v>277</v>
      </c>
      <c r="C19" s="566" t="s">
        <v>405</v>
      </c>
      <c r="D19" s="546">
        <v>42.7</v>
      </c>
      <c r="E19" s="546">
        <v>104</v>
      </c>
      <c r="F19" s="553"/>
      <c r="G19" s="550"/>
      <c r="H19" s="551">
        <f>E19*F19</f>
        <v>0</v>
      </c>
      <c r="I19" s="548">
        <f>G19*H19</f>
        <v>0</v>
      </c>
      <c r="J19" s="558"/>
      <c r="K19" s="558"/>
      <c r="L19" s="558"/>
      <c r="M19" s="558"/>
      <c r="N19" s="543"/>
      <c r="O19" s="543"/>
      <c r="P19" s="543"/>
      <c r="Q19" s="543"/>
      <c r="R19" s="543"/>
      <c r="S19" s="543"/>
      <c r="T19" s="543"/>
      <c r="U19" s="543"/>
      <c r="V19" s="543"/>
      <c r="W19" s="543"/>
      <c r="X19" s="543"/>
      <c r="Y19" s="543"/>
      <c r="Z19" s="543"/>
      <c r="AA19" s="543"/>
    </row>
    <row r="20" spans="1:27" ht="17.25" customHeight="1">
      <c r="A20" s="566" t="s">
        <v>283</v>
      </c>
      <c r="B20" s="566" t="s">
        <v>277</v>
      </c>
      <c r="C20" s="566" t="s">
        <v>405</v>
      </c>
      <c r="D20" s="546">
        <v>55</v>
      </c>
      <c r="E20" s="546">
        <v>104</v>
      </c>
      <c r="F20" s="553"/>
      <c r="G20" s="550"/>
      <c r="H20" s="551">
        <f>E20*F20</f>
        <v>0</v>
      </c>
      <c r="I20" s="548">
        <f>G20*H20</f>
        <v>0</v>
      </c>
      <c r="J20" s="558"/>
      <c r="K20" s="558"/>
      <c r="L20" s="558"/>
      <c r="M20" s="558"/>
      <c r="N20" s="543"/>
      <c r="O20" s="543"/>
      <c r="P20" s="543"/>
      <c r="Q20" s="543"/>
      <c r="R20" s="543"/>
      <c r="S20" s="543"/>
      <c r="T20" s="543"/>
      <c r="U20" s="543"/>
      <c r="V20" s="543"/>
      <c r="W20" s="543"/>
      <c r="X20" s="543"/>
      <c r="Y20" s="543"/>
      <c r="Z20" s="543"/>
      <c r="AA20" s="543"/>
    </row>
    <row r="21" spans="1:27" s="140" customFormat="1" ht="17.25" customHeight="1">
      <c r="A21" s="566" t="s">
        <v>284</v>
      </c>
      <c r="B21" s="566" t="s">
        <v>277</v>
      </c>
      <c r="C21" s="566" t="s">
        <v>405</v>
      </c>
      <c r="D21" s="546">
        <v>31.7</v>
      </c>
      <c r="E21" s="546">
        <v>104</v>
      </c>
      <c r="F21" s="553"/>
      <c r="G21" s="550"/>
      <c r="H21" s="551">
        <f>E21*F21</f>
        <v>0</v>
      </c>
      <c r="I21" s="548">
        <f>G21*H21</f>
        <v>0</v>
      </c>
      <c r="J21" s="558"/>
      <c r="K21" s="558"/>
      <c r="L21" s="558"/>
      <c r="M21" s="558"/>
      <c r="N21" s="545"/>
      <c r="O21" s="545"/>
      <c r="P21" s="545"/>
      <c r="Q21" s="545"/>
      <c r="R21" s="545"/>
      <c r="S21" s="545"/>
      <c r="T21" s="545"/>
      <c r="U21" s="545"/>
      <c r="V21" s="545"/>
      <c r="W21" s="545"/>
      <c r="X21" s="545"/>
      <c r="Y21" s="545"/>
      <c r="Z21" s="545"/>
      <c r="AA21" s="545"/>
    </row>
    <row r="22" spans="1:27" ht="17.25" customHeight="1">
      <c r="A22" s="567" t="s">
        <v>285</v>
      </c>
      <c r="B22" s="622"/>
      <c r="C22" s="582"/>
      <c r="D22" s="554"/>
      <c r="E22" s="554"/>
      <c r="F22" s="554"/>
      <c r="G22" s="554"/>
      <c r="H22" s="555">
        <f>SUM(H19:H21)</f>
        <v>0</v>
      </c>
      <c r="I22" s="557">
        <f>SUM(I19:I21)</f>
        <v>0</v>
      </c>
      <c r="J22" s="558"/>
      <c r="K22" s="558"/>
      <c r="L22" s="558"/>
      <c r="M22" s="558"/>
      <c r="N22" s="543"/>
      <c r="O22" s="543"/>
      <c r="P22" s="543"/>
      <c r="Q22" s="543"/>
      <c r="R22" s="543"/>
      <c r="S22" s="543"/>
      <c r="T22" s="543"/>
      <c r="U22" s="543"/>
      <c r="V22" s="543"/>
      <c r="W22" s="543"/>
      <c r="X22" s="543"/>
      <c r="Y22" s="543"/>
      <c r="Z22" s="543"/>
      <c r="AA22" s="543"/>
    </row>
    <row r="23" spans="1:27">
      <c r="A23" s="564"/>
      <c r="B23" s="564"/>
      <c r="C23" s="558"/>
      <c r="D23" s="544"/>
      <c r="E23" s="544"/>
      <c r="F23" s="544"/>
      <c r="G23" s="544"/>
      <c r="H23" s="544"/>
      <c r="I23" s="544"/>
      <c r="J23" s="544"/>
      <c r="K23" s="544"/>
      <c r="L23" s="543"/>
      <c r="M23" s="543"/>
      <c r="N23" s="543"/>
      <c r="O23" s="543"/>
      <c r="P23" s="543"/>
      <c r="Q23" s="543"/>
      <c r="R23" s="543"/>
      <c r="S23" s="543"/>
      <c r="T23" s="543"/>
      <c r="U23" s="543"/>
      <c r="V23" s="543"/>
      <c r="W23" s="543"/>
      <c r="X23" s="543"/>
      <c r="Y23" s="543"/>
      <c r="Z23" s="543"/>
    </row>
    <row r="24" spans="1:27" ht="28.15" customHeight="1">
      <c r="A24" s="565" t="s">
        <v>519</v>
      </c>
      <c r="B24" s="565" t="s">
        <v>55</v>
      </c>
      <c r="C24" s="569" t="s">
        <v>287</v>
      </c>
      <c r="D24" s="569" t="s">
        <v>385</v>
      </c>
      <c r="E24" s="569" t="s">
        <v>534</v>
      </c>
      <c r="F24" s="569" t="s">
        <v>382</v>
      </c>
      <c r="G24" s="569" t="s">
        <v>167</v>
      </c>
      <c r="H24" s="558"/>
      <c r="I24" s="558"/>
      <c r="J24" s="558"/>
      <c r="K24" s="558"/>
      <c r="L24" s="558"/>
      <c r="M24" s="543"/>
      <c r="N24" s="543"/>
      <c r="O24" s="543"/>
      <c r="P24" s="543"/>
      <c r="Q24" s="543"/>
      <c r="R24" s="543"/>
      <c r="S24" s="543"/>
      <c r="T24" s="543"/>
      <c r="U24" s="543"/>
      <c r="V24" s="543"/>
      <c r="W24" s="543"/>
      <c r="X24" s="543"/>
      <c r="Y24" s="543"/>
      <c r="Z24" s="543"/>
    </row>
    <row r="25" spans="1:27" s="493" customFormat="1" ht="27">
      <c r="A25" s="578" t="s">
        <v>434</v>
      </c>
      <c r="B25" s="578" t="s">
        <v>431</v>
      </c>
      <c r="C25" s="546">
        <v>1</v>
      </c>
      <c r="D25" s="549"/>
      <c r="E25" s="550"/>
      <c r="F25" s="551">
        <f>+C25*D25</f>
        <v>0</v>
      </c>
      <c r="G25" s="548">
        <f>+E25*F25</f>
        <v>0</v>
      </c>
      <c r="H25" s="558"/>
      <c r="I25" s="558"/>
      <c r="J25" s="558"/>
      <c r="K25" s="558"/>
      <c r="L25" s="558"/>
      <c r="M25" s="543"/>
      <c r="N25" s="543"/>
      <c r="O25" s="543"/>
      <c r="P25" s="543"/>
      <c r="Q25" s="543"/>
      <c r="R25" s="543"/>
      <c r="S25" s="543"/>
      <c r="T25" s="543"/>
      <c r="U25" s="543"/>
      <c r="V25" s="543"/>
      <c r="W25" s="543"/>
      <c r="X25" s="543"/>
      <c r="Y25" s="543"/>
      <c r="Z25" s="543"/>
    </row>
    <row r="26" spans="1:27" s="493" customFormat="1" ht="27">
      <c r="A26" s="578" t="s">
        <v>433</v>
      </c>
      <c r="B26" s="578" t="s">
        <v>431</v>
      </c>
      <c r="C26" s="546">
        <v>1</v>
      </c>
      <c r="D26" s="549"/>
      <c r="E26" s="550"/>
      <c r="F26" s="551">
        <f t="shared" ref="F26:F27" si="0">+C26*D26</f>
        <v>0</v>
      </c>
      <c r="G26" s="548">
        <f t="shared" ref="G26:G27" si="1">+E26*F26</f>
        <v>0</v>
      </c>
      <c r="H26" s="558"/>
      <c r="I26" s="558"/>
      <c r="J26" s="558"/>
      <c r="K26" s="558"/>
      <c r="L26" s="558"/>
      <c r="M26" s="543"/>
      <c r="N26" s="543"/>
      <c r="O26" s="543"/>
      <c r="P26" s="543"/>
      <c r="Q26" s="543"/>
      <c r="R26" s="543"/>
      <c r="S26" s="543"/>
      <c r="T26" s="543"/>
      <c r="U26" s="543"/>
      <c r="V26" s="543"/>
      <c r="W26" s="543"/>
      <c r="X26" s="543"/>
      <c r="Y26" s="543"/>
      <c r="Z26" s="543"/>
    </row>
    <row r="27" spans="1:27" s="493" customFormat="1" ht="27">
      <c r="A27" s="578" t="s">
        <v>432</v>
      </c>
      <c r="B27" s="578" t="s">
        <v>431</v>
      </c>
      <c r="C27" s="546">
        <v>2</v>
      </c>
      <c r="D27" s="549"/>
      <c r="E27" s="550"/>
      <c r="F27" s="551">
        <f t="shared" si="0"/>
        <v>0</v>
      </c>
      <c r="G27" s="548">
        <f t="shared" si="1"/>
        <v>0</v>
      </c>
      <c r="H27" s="558"/>
      <c r="I27" s="558"/>
      <c r="J27" s="558"/>
      <c r="K27" s="558"/>
      <c r="L27" s="558"/>
      <c r="M27" s="543"/>
      <c r="N27" s="543"/>
      <c r="O27" s="543"/>
      <c r="P27" s="543"/>
      <c r="Q27" s="543"/>
      <c r="R27" s="543"/>
      <c r="S27" s="543"/>
      <c r="T27" s="543"/>
      <c r="U27" s="543"/>
      <c r="V27" s="543"/>
      <c r="W27" s="543"/>
      <c r="X27" s="543"/>
      <c r="Y27" s="543"/>
      <c r="Z27" s="543"/>
    </row>
    <row r="28" spans="1:27">
      <c r="A28" s="564"/>
      <c r="B28" s="564"/>
      <c r="C28" s="558"/>
      <c r="D28" s="558"/>
      <c r="E28" s="558"/>
      <c r="F28" s="101"/>
      <c r="G28" s="628"/>
      <c r="H28" s="558"/>
      <c r="I28" s="558"/>
      <c r="J28" s="558"/>
      <c r="K28" s="558"/>
      <c r="L28" s="558"/>
      <c r="M28" s="543"/>
      <c r="N28" s="543"/>
      <c r="O28" s="543"/>
      <c r="P28" s="543"/>
      <c r="Q28" s="543"/>
      <c r="R28" s="543"/>
      <c r="S28" s="543"/>
      <c r="T28" s="543"/>
      <c r="U28" s="543"/>
      <c r="V28" s="543"/>
      <c r="W28" s="543"/>
      <c r="X28" s="543"/>
      <c r="Y28" s="543"/>
      <c r="Z28" s="543"/>
    </row>
    <row r="29" spans="1:27">
      <c r="A29" s="567" t="s">
        <v>288</v>
      </c>
      <c r="B29" s="622"/>
      <c r="C29" s="554"/>
      <c r="D29" s="554"/>
      <c r="E29" s="554"/>
      <c r="F29" s="555">
        <f>SUM(F25:F28)</f>
        <v>0</v>
      </c>
      <c r="G29" s="557">
        <f>SUM(G25:G28)</f>
        <v>0</v>
      </c>
      <c r="H29" s="558"/>
      <c r="I29" s="558"/>
      <c r="J29" s="558"/>
      <c r="K29" s="558"/>
      <c r="L29" s="558"/>
      <c r="M29" s="543"/>
      <c r="N29" s="543"/>
      <c r="O29" s="543"/>
      <c r="P29" s="543"/>
      <c r="Q29" s="543"/>
      <c r="R29" s="543"/>
      <c r="S29" s="543"/>
      <c r="T29" s="543"/>
      <c r="U29" s="543"/>
      <c r="V29" s="543"/>
      <c r="W29" s="543"/>
      <c r="X29" s="543"/>
      <c r="Y29" s="543"/>
      <c r="Z29" s="543"/>
    </row>
    <row r="30" spans="1:27">
      <c r="A30" s="25"/>
      <c r="B30" s="25"/>
      <c r="C30" s="25"/>
      <c r="D30" s="25"/>
      <c r="E30" s="25"/>
      <c r="F30" s="25"/>
      <c r="G30" s="558"/>
      <c r="H30" s="558"/>
      <c r="I30" s="558"/>
      <c r="J30" s="558"/>
      <c r="K30" s="558"/>
      <c r="L30" s="558"/>
      <c r="M30" s="543"/>
      <c r="N30" s="543"/>
      <c r="O30" s="543"/>
      <c r="P30" s="543"/>
      <c r="Q30" s="543"/>
      <c r="R30" s="543"/>
      <c r="S30" s="543"/>
      <c r="T30" s="543"/>
      <c r="U30" s="543"/>
      <c r="V30" s="543"/>
      <c r="W30" s="543"/>
      <c r="X30" s="543"/>
      <c r="Y30" s="543"/>
      <c r="Z30" s="543"/>
    </row>
    <row r="31" spans="1:27">
      <c r="A31" s="25"/>
      <c r="B31" s="25"/>
      <c r="C31" s="25"/>
      <c r="D31" s="25"/>
      <c r="E31" s="25"/>
      <c r="F31" s="25"/>
      <c r="G31" s="101"/>
      <c r="H31" s="101"/>
      <c r="I31" s="101"/>
      <c r="J31" s="101"/>
      <c r="K31" s="101"/>
      <c r="L31" s="101"/>
      <c r="M31" s="543"/>
      <c r="N31" s="543"/>
      <c r="O31" s="543"/>
      <c r="P31" s="543"/>
      <c r="Q31" s="543"/>
      <c r="R31" s="543"/>
      <c r="S31" s="543"/>
      <c r="T31" s="543"/>
      <c r="U31" s="543"/>
      <c r="V31" s="543"/>
      <c r="W31" s="543"/>
      <c r="X31" s="543"/>
      <c r="Y31" s="543"/>
      <c r="Z31" s="543"/>
    </row>
    <row r="32" spans="1:27">
      <c r="A32" s="25"/>
      <c r="B32" s="25"/>
      <c r="C32" s="25"/>
      <c r="D32" s="25"/>
      <c r="E32" s="25"/>
      <c r="F32" s="25"/>
      <c r="G32" s="101"/>
      <c r="H32" s="101"/>
      <c r="I32" s="101"/>
      <c r="J32" s="101"/>
      <c r="K32" s="101"/>
      <c r="L32" s="101"/>
      <c r="M32" s="543"/>
      <c r="N32" s="543"/>
      <c r="O32" s="543"/>
      <c r="P32" s="543"/>
      <c r="Q32" s="543"/>
      <c r="R32" s="543"/>
      <c r="S32" s="543"/>
      <c r="T32" s="543"/>
      <c r="U32" s="543"/>
      <c r="V32" s="543"/>
      <c r="W32" s="543"/>
      <c r="X32" s="543"/>
      <c r="Y32" s="543"/>
      <c r="Z32" s="543"/>
    </row>
    <row r="33" spans="1:26">
      <c r="A33" s="25"/>
      <c r="B33" s="25"/>
      <c r="C33" s="25"/>
      <c r="D33" s="25"/>
      <c r="E33" s="25"/>
      <c r="F33" s="25"/>
      <c r="G33" s="654"/>
      <c r="H33" s="101"/>
      <c r="I33" s="101"/>
      <c r="J33" s="101"/>
      <c r="K33" s="101"/>
      <c r="L33" s="101"/>
      <c r="M33" s="543"/>
      <c r="N33" s="543"/>
      <c r="O33" s="543"/>
      <c r="P33" s="543"/>
      <c r="Q33" s="543"/>
      <c r="R33" s="543"/>
      <c r="S33" s="543"/>
      <c r="T33" s="543"/>
      <c r="U33" s="543"/>
      <c r="V33" s="543"/>
      <c r="W33" s="543"/>
      <c r="X33" s="543"/>
      <c r="Y33" s="543"/>
      <c r="Z33" s="543"/>
    </row>
    <row r="34" spans="1:26">
      <c r="A34" s="25"/>
      <c r="B34" s="25"/>
      <c r="C34" s="25"/>
      <c r="D34" s="25"/>
      <c r="E34" s="25"/>
      <c r="F34" s="25"/>
      <c r="G34" s="25"/>
      <c r="H34" s="25"/>
      <c r="I34" s="25"/>
      <c r="J34" s="25"/>
      <c r="K34" s="25"/>
      <c r="L34" s="25"/>
    </row>
    <row r="35" spans="1:26">
      <c r="A35" s="25"/>
      <c r="B35" s="25"/>
      <c r="C35" s="25"/>
      <c r="D35" s="25"/>
      <c r="E35" s="25"/>
      <c r="F35" s="25"/>
      <c r="G35" s="25"/>
      <c r="H35" s="25"/>
      <c r="I35" s="25"/>
      <c r="J35" s="25"/>
      <c r="K35" s="25"/>
      <c r="L35" s="25"/>
    </row>
    <row r="36" spans="1:26">
      <c r="A36" s="25"/>
      <c r="B36" s="25"/>
      <c r="C36" s="25"/>
      <c r="D36" s="25"/>
      <c r="E36" s="25"/>
      <c r="F36" s="25"/>
      <c r="G36" s="25"/>
      <c r="H36" s="25"/>
      <c r="I36" s="25"/>
      <c r="J36" s="25"/>
      <c r="K36" s="25"/>
      <c r="L36" s="25"/>
    </row>
    <row r="37" spans="1:26">
      <c r="A37" s="25"/>
      <c r="B37" s="25"/>
      <c r="C37" s="25"/>
      <c r="D37" s="25"/>
      <c r="E37" s="25"/>
      <c r="F37" s="25"/>
      <c r="G37" s="25"/>
      <c r="H37" s="25"/>
      <c r="I37" s="25"/>
      <c r="J37" s="25"/>
      <c r="K37" s="25"/>
      <c r="L37" s="25"/>
    </row>
  </sheetData>
  <phoneticPr fontId="109" type="noConversion"/>
  <pageMargins left="0.59375" right="0.7" top="0.75" bottom="0.75" header="0.3" footer="0.3"/>
  <pageSetup paperSize="9" scale="47" fitToHeight="0" orientation="landscape" r:id="rId1"/>
  <headerFooter>
    <oddFooter>&amp;L&amp;F-&amp;A
Atir b.v. ©&amp;Rprintversie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30581-B30C-4BC3-9FF4-9F0CF5B83552}">
  <sheetPr>
    <tabColor theme="0" tint="-0.14999847407452621"/>
    <pageSetUpPr fitToPage="1"/>
  </sheetPr>
  <dimension ref="A1:K52"/>
  <sheetViews>
    <sheetView showGridLines="0" zoomScale="85" zoomScaleNormal="85" workbookViewId="0">
      <pane ySplit="10" topLeftCell="A20" activePane="bottomLeft" state="frozen"/>
      <selection activeCell="D5" sqref="C5:D5"/>
      <selection pane="bottomLeft" activeCell="F42" sqref="F42"/>
    </sheetView>
  </sheetViews>
  <sheetFormatPr defaultColWidth="9.140625" defaultRowHeight="13.5"/>
  <cols>
    <col min="1" max="1" width="31.28515625" style="3" bestFit="1" customWidth="1"/>
    <col min="2" max="2" width="19.85546875" style="3" customWidth="1"/>
    <col min="3" max="3" width="25" style="3" hidden="1" customWidth="1"/>
    <col min="4" max="4" width="14" style="3" customWidth="1"/>
    <col min="5" max="5" width="11.7109375" style="3" customWidth="1"/>
    <col min="6" max="6" width="15.140625" style="3" customWidth="1"/>
    <col min="7" max="7" width="18" style="3" bestFit="1" customWidth="1"/>
    <col min="8" max="8" width="13.42578125" style="3" customWidth="1"/>
    <col min="9" max="9" width="19.85546875" style="3" customWidth="1"/>
    <col min="10" max="11" width="18" style="3" bestFit="1" customWidth="1"/>
    <col min="12" max="16384" width="9.140625" style="3"/>
  </cols>
  <sheetData>
    <row r="1" spans="1:11">
      <c r="A1" s="416" t="s">
        <v>25</v>
      </c>
    </row>
    <row r="3" spans="1:11">
      <c r="A3" s="90" t="str">
        <f>'1-Contractblad totaal'!A3</f>
        <v>Naam opdrachtgever</v>
      </c>
      <c r="B3" s="487" t="str">
        <f>'1-Contractblad totaal'!B3</f>
        <v>GVB Veren</v>
      </c>
    </row>
    <row r="4" spans="1:11">
      <c r="A4" s="90" t="str">
        <f>'1-Contractblad totaal'!A4</f>
        <v>Calculatie onderdeel</v>
      </c>
      <c r="B4" s="487" t="str">
        <f ca="1">MID(CELL("bestandsnaam",$C$9),SEARCH("]",CELL("bestandsnaam",$C$9),1)+1,256)</f>
        <v>4d-IJ Veren</v>
      </c>
      <c r="F4" s="299"/>
    </row>
    <row r="5" spans="1:11">
      <c r="A5" s="90" t="str">
        <f>'1-Contractblad totaal'!A5</f>
        <v>Gebouw/plaats</v>
      </c>
      <c r="B5" s="487" t="str">
        <f>'1-Contractblad totaal'!B5</f>
        <v>Amsterdam</v>
      </c>
      <c r="C5" s="659" t="s">
        <v>518</v>
      </c>
    </row>
    <row r="6" spans="1:11">
      <c r="A6" s="90" t="str">
        <f>'1-Contractblad totaal'!A6</f>
        <v>Referentie nummer</v>
      </c>
      <c r="B6" s="487" t="str">
        <f>'1-Contractblad totaal'!B6</f>
        <v>2021-42a</v>
      </c>
    </row>
    <row r="7" spans="1:11" ht="15" customHeight="1">
      <c r="A7" s="90" t="str">
        <f>'1-Contractblad totaal'!A8</f>
        <v>Naam dienstverlener</v>
      </c>
      <c r="B7" s="487">
        <f>'1-Contractblad totaal'!B8</f>
        <v>0</v>
      </c>
      <c r="H7" s="300"/>
      <c r="I7" s="300"/>
    </row>
    <row r="8" spans="1:11">
      <c r="A8" s="90" t="str">
        <f>'1-Contractblad totaal'!A9</f>
        <v>Prijspeil</v>
      </c>
      <c r="B8" s="488">
        <f>'1-Contractblad totaal'!B9</f>
        <v>45017</v>
      </c>
      <c r="E8" s="300"/>
      <c r="F8" s="300"/>
      <c r="G8" s="300"/>
      <c r="H8" s="300"/>
      <c r="I8" s="300"/>
    </row>
    <row r="10" spans="1:11">
      <c r="A10" s="562" t="s">
        <v>291</v>
      </c>
      <c r="B10" s="563"/>
      <c r="C10" s="563"/>
      <c r="D10" s="490"/>
      <c r="E10" s="490"/>
      <c r="F10" s="490"/>
      <c r="G10" s="490"/>
      <c r="H10" s="490"/>
      <c r="I10" s="498"/>
    </row>
    <row r="11" spans="1:11">
      <c r="A11" s="564"/>
      <c r="B11" s="564"/>
      <c r="C11" s="564"/>
      <c r="D11" s="485"/>
      <c r="E11" s="485"/>
      <c r="F11" s="485"/>
      <c r="G11" s="485"/>
      <c r="H11" s="485"/>
      <c r="I11" s="485"/>
      <c r="J11" s="485"/>
      <c r="K11" s="485"/>
    </row>
    <row r="12" spans="1:11" ht="44.45" customHeight="1">
      <c r="A12" s="565" t="s">
        <v>292</v>
      </c>
      <c r="B12" s="565" t="s">
        <v>293</v>
      </c>
      <c r="C12" s="565" t="s">
        <v>55</v>
      </c>
      <c r="D12" s="569" t="s">
        <v>172</v>
      </c>
      <c r="E12" s="569" t="s">
        <v>58</v>
      </c>
      <c r="F12" s="569" t="s">
        <v>294</v>
      </c>
      <c r="G12" s="569" t="s">
        <v>534</v>
      </c>
      <c r="H12" s="569" t="s">
        <v>388</v>
      </c>
      <c r="I12" s="569" t="s">
        <v>167</v>
      </c>
      <c r="J12" s="485"/>
      <c r="K12" s="485"/>
    </row>
    <row r="13" spans="1:11" ht="15.75" customHeight="1">
      <c r="A13" s="566" t="s">
        <v>490</v>
      </c>
      <c r="B13" s="566" t="s">
        <v>471</v>
      </c>
      <c r="C13" s="566" t="s">
        <v>295</v>
      </c>
      <c r="D13" s="546">
        <v>7</v>
      </c>
      <c r="E13" s="546">
        <v>50</v>
      </c>
      <c r="F13" s="552"/>
      <c r="G13" s="550"/>
      <c r="H13" s="551">
        <f>D13*E13*F13</f>
        <v>0</v>
      </c>
      <c r="I13" s="548">
        <f>H13*G13</f>
        <v>0</v>
      </c>
      <c r="J13" s="641"/>
      <c r="K13" s="485"/>
    </row>
    <row r="14" spans="1:11" ht="15.75" customHeight="1">
      <c r="A14" s="566" t="s">
        <v>491</v>
      </c>
      <c r="B14" s="566" t="s">
        <v>471</v>
      </c>
      <c r="C14" s="566" t="s">
        <v>295</v>
      </c>
      <c r="D14" s="546">
        <v>7</v>
      </c>
      <c r="E14" s="546">
        <v>204</v>
      </c>
      <c r="F14" s="552"/>
      <c r="G14" s="550"/>
      <c r="H14" s="551">
        <f>D14*E14*F14</f>
        <v>0</v>
      </c>
      <c r="I14" s="548">
        <f>H14*G14</f>
        <v>0</v>
      </c>
      <c r="J14" s="641"/>
      <c r="K14" s="485"/>
    </row>
    <row r="15" spans="1:11" ht="15.75" customHeight="1">
      <c r="A15" s="566" t="s">
        <v>470</v>
      </c>
      <c r="B15" s="566" t="s">
        <v>472</v>
      </c>
      <c r="C15" s="566" t="s">
        <v>295</v>
      </c>
      <c r="D15" s="546">
        <v>7</v>
      </c>
      <c r="E15" s="546">
        <v>254</v>
      </c>
      <c r="F15" s="552"/>
      <c r="G15" s="550"/>
      <c r="H15" s="551">
        <f>D15*E15*F15</f>
        <v>0</v>
      </c>
      <c r="I15" s="548">
        <f>H15*G15</f>
        <v>0</v>
      </c>
      <c r="J15" s="485"/>
      <c r="K15" s="485"/>
    </row>
    <row r="16" spans="1:11" ht="15.75" customHeight="1">
      <c r="A16" s="566" t="s">
        <v>473</v>
      </c>
      <c r="B16" s="566" t="s">
        <v>494</v>
      </c>
      <c r="C16" s="566" t="s">
        <v>295</v>
      </c>
      <c r="D16" s="546">
        <v>7</v>
      </c>
      <c r="E16" s="546">
        <v>102</v>
      </c>
      <c r="F16" s="552"/>
      <c r="G16" s="550"/>
      <c r="H16" s="551">
        <f t="shared" ref="H16:H28" si="0">D16*E16*F16</f>
        <v>0</v>
      </c>
      <c r="I16" s="548">
        <f t="shared" ref="I16:I28" si="1">H16*G16</f>
        <v>0</v>
      </c>
      <c r="J16" s="485"/>
      <c r="K16" s="485"/>
    </row>
    <row r="17" spans="1:11" ht="15.75" customHeight="1">
      <c r="A17" s="566" t="s">
        <v>296</v>
      </c>
      <c r="B17" s="566" t="s">
        <v>494</v>
      </c>
      <c r="C17" s="566" t="s">
        <v>295</v>
      </c>
      <c r="D17" s="546">
        <v>7</v>
      </c>
      <c r="E17" s="546">
        <v>9</v>
      </c>
      <c r="F17" s="552"/>
      <c r="G17" s="550"/>
      <c r="H17" s="551">
        <f t="shared" ref="H17" si="2">D17*E17*F17</f>
        <v>0</v>
      </c>
      <c r="I17" s="548">
        <f t="shared" ref="I17" si="3">H17*G17</f>
        <v>0</v>
      </c>
      <c r="J17" s="485"/>
      <c r="K17" s="485"/>
    </row>
    <row r="18" spans="1:11" ht="15.75" customHeight="1">
      <c r="A18" s="566"/>
      <c r="B18" s="566"/>
      <c r="C18" s="566"/>
      <c r="D18" s="546"/>
      <c r="E18" s="546"/>
      <c r="F18" s="546"/>
      <c r="G18" s="546"/>
      <c r="H18" s="546"/>
      <c r="I18" s="548"/>
      <c r="J18" s="485"/>
      <c r="K18" s="485"/>
    </row>
    <row r="19" spans="1:11" ht="15.75" customHeight="1">
      <c r="A19" s="566" t="s">
        <v>492</v>
      </c>
      <c r="B19" s="566" t="s">
        <v>471</v>
      </c>
      <c r="C19" s="566" t="s">
        <v>295</v>
      </c>
      <c r="D19" s="658">
        <v>2</v>
      </c>
      <c r="E19" s="546">
        <v>50</v>
      </c>
      <c r="F19" s="552"/>
      <c r="G19" s="550"/>
      <c r="H19" s="551">
        <f t="shared" ref="H19" si="4">D19*E19*F19</f>
        <v>0</v>
      </c>
      <c r="I19" s="548">
        <f t="shared" ref="I19" si="5">H19*G19</f>
        <v>0</v>
      </c>
      <c r="J19" s="485"/>
      <c r="K19" s="485"/>
    </row>
    <row r="20" spans="1:11" ht="15.75" customHeight="1">
      <c r="A20" s="566" t="s">
        <v>493</v>
      </c>
      <c r="B20" s="566" t="s">
        <v>471</v>
      </c>
      <c r="C20" s="566" t="s">
        <v>517</v>
      </c>
      <c r="D20" s="658">
        <v>2</v>
      </c>
      <c r="E20" s="546">
        <v>204</v>
      </c>
      <c r="F20" s="552"/>
      <c r="G20" s="550"/>
      <c r="H20" s="551">
        <f t="shared" si="0"/>
        <v>0</v>
      </c>
      <c r="I20" s="548">
        <f t="shared" si="1"/>
        <v>0</v>
      </c>
      <c r="J20" s="485"/>
      <c r="K20" s="485"/>
    </row>
    <row r="21" spans="1:11" s="140" customFormat="1" ht="15.75" customHeight="1">
      <c r="A21" s="566" t="s">
        <v>474</v>
      </c>
      <c r="B21" s="566" t="s">
        <v>472</v>
      </c>
      <c r="C21" s="566" t="s">
        <v>295</v>
      </c>
      <c r="D21" s="658">
        <v>2</v>
      </c>
      <c r="E21" s="546">
        <v>254</v>
      </c>
      <c r="F21" s="552"/>
      <c r="G21" s="550"/>
      <c r="H21" s="551">
        <f t="shared" si="0"/>
        <v>0</v>
      </c>
      <c r="I21" s="548">
        <f t="shared" si="1"/>
        <v>0</v>
      </c>
      <c r="J21" s="485"/>
      <c r="K21" s="485"/>
    </row>
    <row r="22" spans="1:11" ht="15.75" customHeight="1">
      <c r="A22" s="566" t="s">
        <v>475</v>
      </c>
      <c r="B22" s="566" t="s">
        <v>494</v>
      </c>
      <c r="C22" s="566" t="s">
        <v>295</v>
      </c>
      <c r="D22" s="658">
        <v>2</v>
      </c>
      <c r="E22" s="546">
        <v>102</v>
      </c>
      <c r="F22" s="552"/>
      <c r="G22" s="550"/>
      <c r="H22" s="551">
        <f t="shared" si="0"/>
        <v>0</v>
      </c>
      <c r="I22" s="548">
        <f t="shared" si="1"/>
        <v>0</v>
      </c>
      <c r="J22" s="485"/>
      <c r="K22" s="485"/>
    </row>
    <row r="23" spans="1:11" ht="15.75" customHeight="1">
      <c r="A23" s="566" t="s">
        <v>297</v>
      </c>
      <c r="B23" s="566" t="s">
        <v>494</v>
      </c>
      <c r="C23" s="566" t="s">
        <v>295</v>
      </c>
      <c r="D23" s="658">
        <v>2</v>
      </c>
      <c r="E23" s="546">
        <v>9</v>
      </c>
      <c r="F23" s="552"/>
      <c r="G23" s="550"/>
      <c r="H23" s="551">
        <f t="shared" ref="H23" si="6">D23*E23*F23</f>
        <v>0</v>
      </c>
      <c r="I23" s="548">
        <f t="shared" ref="I23" si="7">H23*G23</f>
        <v>0</v>
      </c>
      <c r="J23" s="485"/>
      <c r="K23" s="485"/>
    </row>
    <row r="24" spans="1:11" ht="15.75" customHeight="1">
      <c r="A24" s="566"/>
      <c r="B24" s="566"/>
      <c r="C24" s="566"/>
      <c r="D24" s="546"/>
      <c r="E24" s="546"/>
      <c r="F24" s="546"/>
      <c r="G24" s="546"/>
      <c r="H24" s="546"/>
      <c r="I24" s="548"/>
      <c r="J24" s="485"/>
      <c r="K24" s="485"/>
    </row>
    <row r="25" spans="1:11" ht="15.75" customHeight="1">
      <c r="A25" s="566" t="s">
        <v>495</v>
      </c>
      <c r="B25" s="566" t="s">
        <v>471</v>
      </c>
      <c r="C25" s="566" t="s">
        <v>295</v>
      </c>
      <c r="D25" s="546">
        <v>7</v>
      </c>
      <c r="E25" s="546">
        <v>50</v>
      </c>
      <c r="F25" s="552"/>
      <c r="G25" s="550"/>
      <c r="H25" s="551">
        <f t="shared" ref="H25" si="8">D25*E25*F25</f>
        <v>0</v>
      </c>
      <c r="I25" s="548">
        <f t="shared" ref="I25" si="9">H25*G25</f>
        <v>0</v>
      </c>
      <c r="J25" s="485"/>
      <c r="K25" s="485"/>
    </row>
    <row r="26" spans="1:11" ht="15.75" customHeight="1">
      <c r="A26" s="566" t="s">
        <v>496</v>
      </c>
      <c r="B26" s="566" t="s">
        <v>471</v>
      </c>
      <c r="C26" s="566" t="s">
        <v>295</v>
      </c>
      <c r="D26" s="546">
        <v>7</v>
      </c>
      <c r="E26" s="546">
        <v>204</v>
      </c>
      <c r="F26" s="552"/>
      <c r="G26" s="550"/>
      <c r="H26" s="551">
        <f t="shared" si="0"/>
        <v>0</v>
      </c>
      <c r="I26" s="548">
        <f t="shared" si="1"/>
        <v>0</v>
      </c>
      <c r="J26" s="485"/>
      <c r="K26" s="485"/>
    </row>
    <row r="27" spans="1:11" ht="15.75" customHeight="1">
      <c r="A27" s="566" t="s">
        <v>476</v>
      </c>
      <c r="B27" s="566" t="s">
        <v>472</v>
      </c>
      <c r="C27" s="566" t="s">
        <v>295</v>
      </c>
      <c r="D27" s="546">
        <v>7</v>
      </c>
      <c r="E27" s="546">
        <v>254</v>
      </c>
      <c r="F27" s="552"/>
      <c r="G27" s="550"/>
      <c r="H27" s="551">
        <f t="shared" si="0"/>
        <v>0</v>
      </c>
      <c r="I27" s="548">
        <f t="shared" si="1"/>
        <v>0</v>
      </c>
      <c r="J27" s="485"/>
      <c r="K27" s="485"/>
    </row>
    <row r="28" spans="1:11" ht="15.75" customHeight="1">
      <c r="A28" s="566" t="s">
        <v>477</v>
      </c>
      <c r="B28" s="566" t="s">
        <v>494</v>
      </c>
      <c r="C28" s="566" t="s">
        <v>295</v>
      </c>
      <c r="D28" s="546">
        <v>7</v>
      </c>
      <c r="E28" s="546">
        <v>102</v>
      </c>
      <c r="F28" s="552"/>
      <c r="G28" s="550"/>
      <c r="H28" s="551">
        <f t="shared" si="0"/>
        <v>0</v>
      </c>
      <c r="I28" s="548">
        <f t="shared" si="1"/>
        <v>0</v>
      </c>
      <c r="J28" s="485"/>
      <c r="K28" s="485"/>
    </row>
    <row r="29" spans="1:11" ht="15.75" customHeight="1">
      <c r="A29" s="566" t="s">
        <v>435</v>
      </c>
      <c r="B29" s="566" t="s">
        <v>494</v>
      </c>
      <c r="C29" s="566" t="s">
        <v>295</v>
      </c>
      <c r="D29" s="546">
        <v>7</v>
      </c>
      <c r="E29" s="546">
        <v>9</v>
      </c>
      <c r="F29" s="552"/>
      <c r="G29" s="550"/>
      <c r="H29" s="551">
        <f>D29*E29*F29</f>
        <v>0</v>
      </c>
      <c r="I29" s="548">
        <f t="shared" ref="I29" si="10">H29*G29</f>
        <v>0</v>
      </c>
      <c r="J29" s="485"/>
      <c r="K29" s="485"/>
    </row>
    <row r="30" spans="1:11" ht="15.75" customHeight="1">
      <c r="A30" s="564"/>
      <c r="B30" s="564"/>
      <c r="C30" s="564"/>
      <c r="D30" s="558"/>
      <c r="E30" s="558"/>
      <c r="F30" s="558"/>
      <c r="G30" s="558"/>
      <c r="H30" s="558"/>
      <c r="I30" s="558"/>
      <c r="J30" s="485"/>
      <c r="K30" s="485"/>
    </row>
    <row r="31" spans="1:11" ht="15.75" customHeight="1">
      <c r="A31" s="567" t="s">
        <v>298</v>
      </c>
      <c r="B31" s="568"/>
      <c r="C31" s="568"/>
      <c r="D31" s="559"/>
      <c r="E31" s="559"/>
      <c r="F31" s="559"/>
      <c r="G31" s="560"/>
      <c r="H31" s="555">
        <f>SUM(H13:H30)</f>
        <v>0</v>
      </c>
      <c r="I31" s="561">
        <f>SUM(I13:I30)</f>
        <v>0</v>
      </c>
      <c r="J31" s="485"/>
      <c r="K31" s="485"/>
    </row>
    <row r="32" spans="1:11">
      <c r="A32" s="485"/>
      <c r="B32" s="485"/>
      <c r="C32" s="485"/>
      <c r="D32" s="485"/>
      <c r="E32" s="485"/>
      <c r="F32" s="485"/>
      <c r="G32" s="485"/>
      <c r="H32" s="485"/>
      <c r="I32" s="485"/>
      <c r="J32" s="485"/>
      <c r="K32" s="485"/>
    </row>
    <row r="33" spans="1:9" ht="25.5">
      <c r="A33" s="565" t="s">
        <v>292</v>
      </c>
      <c r="B33" s="565" t="s">
        <v>293</v>
      </c>
      <c r="C33" s="565" t="s">
        <v>55</v>
      </c>
      <c r="D33" s="569" t="s">
        <v>172</v>
      </c>
      <c r="E33" s="569" t="s">
        <v>58</v>
      </c>
      <c r="F33" s="569" t="s">
        <v>537</v>
      </c>
      <c r="G33" s="569" t="s">
        <v>534</v>
      </c>
      <c r="H33" s="569" t="s">
        <v>539</v>
      </c>
      <c r="I33" s="569" t="s">
        <v>167</v>
      </c>
    </row>
    <row r="34" spans="1:9">
      <c r="A34" s="566" t="s">
        <v>490</v>
      </c>
      <c r="B34" s="566" t="s">
        <v>471</v>
      </c>
      <c r="C34" s="566" t="s">
        <v>295</v>
      </c>
      <c r="D34" s="546">
        <v>7</v>
      </c>
      <c r="E34" s="546">
        <v>50</v>
      </c>
      <c r="F34" s="552"/>
      <c r="G34" s="550"/>
      <c r="H34" s="551">
        <f>D34*E34*F34</f>
        <v>0</v>
      </c>
      <c r="I34" s="548">
        <f>H34*G34</f>
        <v>0</v>
      </c>
    </row>
    <row r="35" spans="1:9">
      <c r="A35" s="566" t="s">
        <v>491</v>
      </c>
      <c r="B35" s="566" t="s">
        <v>471</v>
      </c>
      <c r="C35" s="566" t="s">
        <v>295</v>
      </c>
      <c r="D35" s="546">
        <v>7</v>
      </c>
      <c r="E35" s="546">
        <v>204</v>
      </c>
      <c r="F35" s="552"/>
      <c r="G35" s="550"/>
      <c r="H35" s="551">
        <f>D35*E35*F35</f>
        <v>0</v>
      </c>
      <c r="I35" s="548">
        <f>H35*G35</f>
        <v>0</v>
      </c>
    </row>
    <row r="36" spans="1:9">
      <c r="A36" s="566" t="s">
        <v>470</v>
      </c>
      <c r="B36" s="566" t="s">
        <v>472</v>
      </c>
      <c r="C36" s="566" t="s">
        <v>295</v>
      </c>
      <c r="D36" s="546">
        <v>7</v>
      </c>
      <c r="E36" s="546">
        <v>254</v>
      </c>
      <c r="F36" s="552"/>
      <c r="G36" s="550"/>
      <c r="H36" s="551">
        <f>D36*E36*F36</f>
        <v>0</v>
      </c>
      <c r="I36" s="548">
        <f>H36*G36</f>
        <v>0</v>
      </c>
    </row>
    <row r="37" spans="1:9">
      <c r="A37" s="566" t="s">
        <v>473</v>
      </c>
      <c r="B37" s="566" t="s">
        <v>494</v>
      </c>
      <c r="C37" s="566" t="s">
        <v>295</v>
      </c>
      <c r="D37" s="546">
        <v>7</v>
      </c>
      <c r="E37" s="546">
        <v>102</v>
      </c>
      <c r="F37" s="552"/>
      <c r="G37" s="550"/>
      <c r="H37" s="551">
        <f t="shared" ref="H37:H38" si="11">D37*E37*F37</f>
        <v>0</v>
      </c>
      <c r="I37" s="548">
        <f t="shared" ref="I37:I38" si="12">H37*G37</f>
        <v>0</v>
      </c>
    </row>
    <row r="38" spans="1:9">
      <c r="A38" s="566" t="s">
        <v>296</v>
      </c>
      <c r="B38" s="566" t="s">
        <v>494</v>
      </c>
      <c r="C38" s="566" t="s">
        <v>295</v>
      </c>
      <c r="D38" s="546">
        <v>7</v>
      </c>
      <c r="E38" s="546">
        <v>9</v>
      </c>
      <c r="F38" s="552"/>
      <c r="G38" s="550"/>
      <c r="H38" s="551">
        <f t="shared" si="11"/>
        <v>0</v>
      </c>
      <c r="I38" s="548">
        <f t="shared" si="12"/>
        <v>0</v>
      </c>
    </row>
    <row r="39" spans="1:9">
      <c r="A39" s="566"/>
      <c r="B39" s="566"/>
      <c r="C39" s="566"/>
      <c r="D39" s="546"/>
      <c r="E39" s="546"/>
      <c r="F39" s="546"/>
      <c r="G39" s="546"/>
      <c r="H39" s="546"/>
      <c r="I39" s="548"/>
    </row>
    <row r="40" spans="1:9">
      <c r="A40" s="566" t="s">
        <v>492</v>
      </c>
      <c r="B40" s="566" t="s">
        <v>471</v>
      </c>
      <c r="C40" s="566" t="s">
        <v>295</v>
      </c>
      <c r="D40" s="658">
        <v>2</v>
      </c>
      <c r="E40" s="546">
        <v>50</v>
      </c>
      <c r="F40" s="552"/>
      <c r="G40" s="550"/>
      <c r="H40" s="551">
        <f t="shared" ref="H40:H44" si="13">D40*E40*F40</f>
        <v>0</v>
      </c>
      <c r="I40" s="548">
        <f t="shared" ref="I40:I44" si="14">H40*G40</f>
        <v>0</v>
      </c>
    </row>
    <row r="41" spans="1:9">
      <c r="A41" s="566" t="s">
        <v>493</v>
      </c>
      <c r="B41" s="566" t="s">
        <v>471</v>
      </c>
      <c r="C41" s="566" t="s">
        <v>517</v>
      </c>
      <c r="D41" s="658">
        <v>2</v>
      </c>
      <c r="E41" s="546">
        <v>204</v>
      </c>
      <c r="F41" s="552"/>
      <c r="G41" s="550"/>
      <c r="H41" s="551">
        <f t="shared" si="13"/>
        <v>0</v>
      </c>
      <c r="I41" s="548">
        <f t="shared" si="14"/>
        <v>0</v>
      </c>
    </row>
    <row r="42" spans="1:9">
      <c r="A42" s="566" t="s">
        <v>474</v>
      </c>
      <c r="B42" s="566" t="s">
        <v>472</v>
      </c>
      <c r="C42" s="566" t="s">
        <v>295</v>
      </c>
      <c r="D42" s="658">
        <v>2</v>
      </c>
      <c r="E42" s="546">
        <v>254</v>
      </c>
      <c r="F42" s="552"/>
      <c r="G42" s="550"/>
      <c r="H42" s="551">
        <f t="shared" si="13"/>
        <v>0</v>
      </c>
      <c r="I42" s="548">
        <f t="shared" si="14"/>
        <v>0</v>
      </c>
    </row>
    <row r="43" spans="1:9">
      <c r="A43" s="566" t="s">
        <v>475</v>
      </c>
      <c r="B43" s="566" t="s">
        <v>494</v>
      </c>
      <c r="C43" s="566" t="s">
        <v>295</v>
      </c>
      <c r="D43" s="658">
        <v>2</v>
      </c>
      <c r="E43" s="546">
        <v>102</v>
      </c>
      <c r="F43" s="552"/>
      <c r="G43" s="550"/>
      <c r="H43" s="551">
        <f t="shared" si="13"/>
        <v>0</v>
      </c>
      <c r="I43" s="548">
        <f t="shared" si="14"/>
        <v>0</v>
      </c>
    </row>
    <row r="44" spans="1:9">
      <c r="A44" s="566" t="s">
        <v>297</v>
      </c>
      <c r="B44" s="566" t="s">
        <v>494</v>
      </c>
      <c r="C44" s="566" t="s">
        <v>295</v>
      </c>
      <c r="D44" s="658">
        <v>2</v>
      </c>
      <c r="E44" s="546">
        <v>9</v>
      </c>
      <c r="F44" s="552"/>
      <c r="G44" s="550"/>
      <c r="H44" s="551">
        <f t="shared" si="13"/>
        <v>0</v>
      </c>
      <c r="I44" s="548">
        <f t="shared" si="14"/>
        <v>0</v>
      </c>
    </row>
    <row r="45" spans="1:9">
      <c r="A45" s="566"/>
      <c r="B45" s="566"/>
      <c r="C45" s="566"/>
      <c r="D45" s="546"/>
      <c r="E45" s="546"/>
      <c r="F45" s="546"/>
      <c r="G45" s="546"/>
      <c r="H45" s="546"/>
      <c r="I45" s="548"/>
    </row>
    <row r="46" spans="1:9">
      <c r="A46" s="566" t="s">
        <v>495</v>
      </c>
      <c r="B46" s="566" t="s">
        <v>471</v>
      </c>
      <c r="C46" s="566" t="s">
        <v>295</v>
      </c>
      <c r="D46" s="546">
        <v>7</v>
      </c>
      <c r="E46" s="546">
        <v>50</v>
      </c>
      <c r="F46" s="552"/>
      <c r="G46" s="550"/>
      <c r="H46" s="551">
        <f t="shared" ref="H46:H49" si="15">D46*E46*F46</f>
        <v>0</v>
      </c>
      <c r="I46" s="548">
        <f t="shared" ref="I46:I50" si="16">H46*G46</f>
        <v>0</v>
      </c>
    </row>
    <row r="47" spans="1:9">
      <c r="A47" s="566" t="s">
        <v>496</v>
      </c>
      <c r="B47" s="566" t="s">
        <v>471</v>
      </c>
      <c r="C47" s="566" t="s">
        <v>295</v>
      </c>
      <c r="D47" s="546">
        <v>7</v>
      </c>
      <c r="E47" s="546">
        <v>204</v>
      </c>
      <c r="F47" s="552"/>
      <c r="G47" s="550"/>
      <c r="H47" s="551">
        <f t="shared" si="15"/>
        <v>0</v>
      </c>
      <c r="I47" s="548">
        <f t="shared" si="16"/>
        <v>0</v>
      </c>
    </row>
    <row r="48" spans="1:9">
      <c r="A48" s="566" t="s">
        <v>476</v>
      </c>
      <c r="B48" s="566" t="s">
        <v>472</v>
      </c>
      <c r="C48" s="566" t="s">
        <v>295</v>
      </c>
      <c r="D48" s="546">
        <v>7</v>
      </c>
      <c r="E48" s="546">
        <v>254</v>
      </c>
      <c r="F48" s="552"/>
      <c r="G48" s="550"/>
      <c r="H48" s="551">
        <f t="shared" si="15"/>
        <v>0</v>
      </c>
      <c r="I48" s="548">
        <f t="shared" si="16"/>
        <v>0</v>
      </c>
    </row>
    <row r="49" spans="1:9">
      <c r="A49" s="566" t="s">
        <v>477</v>
      </c>
      <c r="B49" s="566" t="s">
        <v>494</v>
      </c>
      <c r="C49" s="566" t="s">
        <v>295</v>
      </c>
      <c r="D49" s="546">
        <v>7</v>
      </c>
      <c r="E49" s="546">
        <v>102</v>
      </c>
      <c r="F49" s="552"/>
      <c r="G49" s="550"/>
      <c r="H49" s="551">
        <f t="shared" si="15"/>
        <v>0</v>
      </c>
      <c r="I49" s="548">
        <f t="shared" si="16"/>
        <v>0</v>
      </c>
    </row>
    <row r="50" spans="1:9">
      <c r="A50" s="566" t="s">
        <v>435</v>
      </c>
      <c r="B50" s="566" t="s">
        <v>494</v>
      </c>
      <c r="C50" s="566" t="s">
        <v>295</v>
      </c>
      <c r="D50" s="546">
        <v>7</v>
      </c>
      <c r="E50" s="546">
        <v>9</v>
      </c>
      <c r="F50" s="552"/>
      <c r="G50" s="550"/>
      <c r="H50" s="551">
        <f>D50*E50*F50</f>
        <v>0</v>
      </c>
      <c r="I50" s="548">
        <f t="shared" si="16"/>
        <v>0</v>
      </c>
    </row>
    <row r="51" spans="1:9">
      <c r="A51" s="564"/>
      <c r="B51" s="564"/>
      <c r="C51" s="564"/>
      <c r="D51" s="558"/>
      <c r="E51" s="558"/>
      <c r="F51" s="558"/>
      <c r="G51" s="558"/>
      <c r="H51" s="558"/>
      <c r="I51" s="558"/>
    </row>
    <row r="52" spans="1:9">
      <c r="A52" s="567" t="s">
        <v>538</v>
      </c>
      <c r="B52" s="568"/>
      <c r="C52" s="568"/>
      <c r="D52" s="559"/>
      <c r="E52" s="559"/>
      <c r="F52" s="559"/>
      <c r="G52" s="560"/>
      <c r="H52" s="555">
        <f>SUM(H34:H50)</f>
        <v>0</v>
      </c>
      <c r="I52" s="561">
        <f>SUM(I34:I50)</f>
        <v>0</v>
      </c>
    </row>
  </sheetData>
  <pageMargins left="0.59375" right="0.7" top="0.75" bottom="0.75" header="0.3" footer="0.3"/>
  <pageSetup paperSize="9" scale="82" fitToHeight="0" orientation="landscape" r:id="rId1"/>
  <headerFooter>
    <oddFooter>&amp;L&amp;F-&amp;A
Atir b.v. ©&amp;Rprintversie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A2C51-5C9C-4CF4-84D2-B31E33997445}">
  <sheetPr>
    <tabColor theme="0" tint="-0.14999847407452621"/>
    <pageSetUpPr fitToPage="1"/>
  </sheetPr>
  <dimension ref="A1:L43"/>
  <sheetViews>
    <sheetView showGridLines="0" zoomScale="85" zoomScaleNormal="85" workbookViewId="0">
      <pane xSplit="1" ySplit="12" topLeftCell="B13" activePane="bottomRight" state="frozen"/>
      <selection activeCell="D5" sqref="C5:D5"/>
      <selection pane="topRight" activeCell="D5" sqref="C5:D5"/>
      <selection pane="bottomLeft" activeCell="D5" sqref="C5:D5"/>
      <selection pane="bottomRight" activeCell="F16" sqref="F16"/>
    </sheetView>
  </sheetViews>
  <sheetFormatPr defaultColWidth="9.140625" defaultRowHeight="13.5"/>
  <cols>
    <col min="1" max="1" width="47.28515625" style="3" customWidth="1"/>
    <col min="2" max="2" width="29.7109375" style="3" customWidth="1"/>
    <col min="3" max="3" width="25.28515625" style="3" customWidth="1"/>
    <col min="4" max="4" width="15.42578125" style="3" bestFit="1" customWidth="1"/>
    <col min="5" max="5" width="16" style="3" customWidth="1"/>
    <col min="6" max="6" width="12.5703125" style="3" customWidth="1"/>
    <col min="7" max="7" width="13.42578125" style="3" customWidth="1"/>
    <col min="8" max="8" width="18" style="3" bestFit="1" customWidth="1"/>
    <col min="9" max="9" width="13.42578125" style="3" customWidth="1"/>
    <col min="10" max="10" width="19.85546875" style="3" customWidth="1"/>
    <col min="11" max="12" width="18" style="3" bestFit="1" customWidth="1"/>
    <col min="13" max="16384" width="9.140625" style="3"/>
  </cols>
  <sheetData>
    <row r="1" spans="1:12">
      <c r="A1" s="416" t="s">
        <v>25</v>
      </c>
      <c r="F1" s="299"/>
    </row>
    <row r="2" spans="1:12">
      <c r="E2" s="299"/>
      <c r="F2" s="299"/>
      <c r="G2" s="299"/>
      <c r="H2" s="299"/>
      <c r="I2" s="299"/>
      <c r="J2" s="299"/>
      <c r="K2" s="299"/>
      <c r="L2" s="299"/>
    </row>
    <row r="3" spans="1:12">
      <c r="A3" s="90" t="str">
        <f>'1-Contractblad totaal'!A3</f>
        <v>Naam opdrachtgever</v>
      </c>
      <c r="B3" s="487" t="str">
        <f>'1-Contractblad totaal'!B3</f>
        <v>GVB Veren</v>
      </c>
      <c r="E3" s="299"/>
      <c r="F3" s="299"/>
      <c r="G3" s="299"/>
      <c r="H3" s="299"/>
      <c r="I3" s="299"/>
    </row>
    <row r="4" spans="1:12">
      <c r="A4" s="90" t="str">
        <f>'1-Contractblad totaal'!A4</f>
        <v>Calculatie onderdeel</v>
      </c>
      <c r="B4" s="487" t="str">
        <f ca="1">MID(CELL("bestandsnaam",$D$9),SEARCH("]",CELL("bestandsnaam",$D$9),1)+1,256)</f>
        <v>4e-IJ aanlegpunten</v>
      </c>
      <c r="E4" s="299"/>
      <c r="F4" s="299"/>
      <c r="G4" s="299"/>
      <c r="H4" s="299"/>
      <c r="I4" s="299"/>
    </row>
    <row r="5" spans="1:12">
      <c r="A5" s="90" t="str">
        <f>'1-Contractblad totaal'!A5</f>
        <v>Gebouw/plaats</v>
      </c>
      <c r="B5" s="487" t="str">
        <f>'1-Contractblad totaal'!B5</f>
        <v>Amsterdam</v>
      </c>
    </row>
    <row r="6" spans="1:12">
      <c r="A6" s="90" t="str">
        <f>'1-Contractblad totaal'!A6</f>
        <v>Referentie nummer</v>
      </c>
      <c r="B6" s="538" t="str">
        <f>'1-Contractblad totaal'!B6</f>
        <v>2021-42a</v>
      </c>
      <c r="F6" s="299"/>
    </row>
    <row r="7" spans="1:12" ht="15" customHeight="1">
      <c r="A7" s="90" t="str">
        <f>'1-Contractblad totaal'!A8</f>
        <v>Naam dienstverlener</v>
      </c>
      <c r="B7" s="538">
        <f>'1-Contractblad totaal'!B8</f>
        <v>0</v>
      </c>
      <c r="F7" s="299"/>
      <c r="G7" s="300"/>
      <c r="H7" s="300"/>
      <c r="I7" s="300"/>
      <c r="J7" s="300"/>
    </row>
    <row r="8" spans="1:12">
      <c r="A8" s="90" t="str">
        <f>'1-Contractblad totaal'!A9</f>
        <v>Prijspeil</v>
      </c>
      <c r="B8" s="488">
        <f>'1-Contractblad totaal'!B9</f>
        <v>45017</v>
      </c>
      <c r="F8" s="300"/>
      <c r="G8" s="300"/>
      <c r="H8" s="300"/>
      <c r="I8" s="300"/>
      <c r="J8" s="300"/>
    </row>
    <row r="10" spans="1:12">
      <c r="A10" s="562" t="s">
        <v>324</v>
      </c>
      <c r="B10" s="563"/>
      <c r="C10" s="563"/>
      <c r="D10" s="490"/>
      <c r="E10" s="490"/>
      <c r="F10" s="490"/>
      <c r="G10" s="490"/>
      <c r="H10" s="490"/>
      <c r="I10" s="490"/>
      <c r="J10" s="491"/>
      <c r="K10" s="495"/>
      <c r="L10" s="496"/>
    </row>
    <row r="11" spans="1:12">
      <c r="A11" s="564"/>
      <c r="B11" s="564"/>
      <c r="C11" s="564"/>
      <c r="D11" s="485"/>
      <c r="E11" s="485"/>
      <c r="F11" s="485"/>
      <c r="G11" s="485"/>
      <c r="H11" s="485"/>
      <c r="I11" s="485"/>
      <c r="J11" s="485"/>
      <c r="K11" s="485"/>
      <c r="L11" s="485"/>
    </row>
    <row r="12" spans="1:12" ht="38.25">
      <c r="A12" s="565" t="s">
        <v>299</v>
      </c>
      <c r="B12" s="565" t="s">
        <v>293</v>
      </c>
      <c r="C12" s="565" t="s">
        <v>55</v>
      </c>
      <c r="D12" s="569" t="s">
        <v>58</v>
      </c>
      <c r="E12" s="569" t="s">
        <v>273</v>
      </c>
      <c r="F12" s="569" t="s">
        <v>274</v>
      </c>
      <c r="G12" s="569" t="s">
        <v>534</v>
      </c>
      <c r="H12" s="569" t="s">
        <v>388</v>
      </c>
      <c r="I12" s="569" t="s">
        <v>381</v>
      </c>
      <c r="J12" s="569" t="s">
        <v>379</v>
      </c>
      <c r="K12" s="569" t="s">
        <v>389</v>
      </c>
      <c r="L12" s="569" t="s">
        <v>167</v>
      </c>
    </row>
    <row r="13" spans="1:12" ht="15.75" customHeight="1">
      <c r="A13" s="566" t="s">
        <v>300</v>
      </c>
      <c r="B13" s="566" t="s">
        <v>406</v>
      </c>
      <c r="C13" s="566" t="s">
        <v>295</v>
      </c>
      <c r="D13" s="546">
        <v>254</v>
      </c>
      <c r="E13" s="552"/>
      <c r="F13" s="553"/>
      <c r="G13" s="550"/>
      <c r="H13" s="551">
        <f>D13*E13</f>
        <v>0</v>
      </c>
      <c r="I13" s="551">
        <f>D13*F13</f>
        <v>0</v>
      </c>
      <c r="J13" s="548">
        <f>H13*G13</f>
        <v>0</v>
      </c>
      <c r="K13" s="548">
        <f>I13*G13</f>
        <v>0</v>
      </c>
      <c r="L13" s="548">
        <f>J13+K13</f>
        <v>0</v>
      </c>
    </row>
    <row r="14" spans="1:12" ht="15.75" customHeight="1">
      <c r="A14" s="566" t="s">
        <v>301</v>
      </c>
      <c r="B14" s="566" t="s">
        <v>406</v>
      </c>
      <c r="C14" s="566" t="s">
        <v>295</v>
      </c>
      <c r="D14" s="546">
        <v>102</v>
      </c>
      <c r="E14" s="552"/>
      <c r="F14" s="553"/>
      <c r="G14" s="550"/>
      <c r="H14" s="551">
        <f t="shared" ref="H14:H38" si="0">D14*E14</f>
        <v>0</v>
      </c>
      <c r="I14" s="551">
        <f t="shared" ref="I14:I38" si="1">D14*F14</f>
        <v>0</v>
      </c>
      <c r="J14" s="548">
        <f t="shared" ref="J14:J38" si="2">H14*G14</f>
        <v>0</v>
      </c>
      <c r="K14" s="548">
        <f t="shared" ref="K14:K38" si="3">I14*G14</f>
        <v>0</v>
      </c>
      <c r="L14" s="548">
        <f t="shared" ref="L14:L38" si="4">J14+K14</f>
        <v>0</v>
      </c>
    </row>
    <row r="15" spans="1:12" ht="15.75" customHeight="1">
      <c r="A15" s="566" t="s">
        <v>302</v>
      </c>
      <c r="B15" s="566" t="s">
        <v>406</v>
      </c>
      <c r="C15" s="566" t="s">
        <v>295</v>
      </c>
      <c r="D15" s="546">
        <v>9</v>
      </c>
      <c r="E15" s="552"/>
      <c r="F15" s="553"/>
      <c r="G15" s="550"/>
      <c r="H15" s="551">
        <f t="shared" si="0"/>
        <v>0</v>
      </c>
      <c r="I15" s="551">
        <f t="shared" si="1"/>
        <v>0</v>
      </c>
      <c r="J15" s="548">
        <f t="shared" si="2"/>
        <v>0</v>
      </c>
      <c r="K15" s="548">
        <f t="shared" si="3"/>
        <v>0</v>
      </c>
      <c r="L15" s="548">
        <f t="shared" si="4"/>
        <v>0</v>
      </c>
    </row>
    <row r="16" spans="1:12" ht="15.75" customHeight="1">
      <c r="A16" s="566" t="s">
        <v>303</v>
      </c>
      <c r="B16" s="566" t="s">
        <v>406</v>
      </c>
      <c r="C16" s="566" t="s">
        <v>295</v>
      </c>
      <c r="D16" s="546">
        <v>254</v>
      </c>
      <c r="E16" s="552"/>
      <c r="F16" s="553"/>
      <c r="G16" s="550"/>
      <c r="H16" s="551">
        <f>D16*E16</f>
        <v>0</v>
      </c>
      <c r="I16" s="551">
        <f t="shared" si="1"/>
        <v>0</v>
      </c>
      <c r="J16" s="548">
        <f t="shared" si="2"/>
        <v>0</v>
      </c>
      <c r="K16" s="548">
        <f t="shared" si="3"/>
        <v>0</v>
      </c>
      <c r="L16" s="548">
        <f t="shared" si="4"/>
        <v>0</v>
      </c>
    </row>
    <row r="17" spans="1:12" ht="15.75" customHeight="1">
      <c r="A17" s="566" t="s">
        <v>304</v>
      </c>
      <c r="B17" s="566" t="s">
        <v>406</v>
      </c>
      <c r="C17" s="566" t="s">
        <v>295</v>
      </c>
      <c r="D17" s="546">
        <v>102</v>
      </c>
      <c r="E17" s="552"/>
      <c r="F17" s="553"/>
      <c r="G17" s="550"/>
      <c r="H17" s="551">
        <f t="shared" si="0"/>
        <v>0</v>
      </c>
      <c r="I17" s="551">
        <f t="shared" si="1"/>
        <v>0</v>
      </c>
      <c r="J17" s="548">
        <f t="shared" si="2"/>
        <v>0</v>
      </c>
      <c r="K17" s="548">
        <f t="shared" si="3"/>
        <v>0</v>
      </c>
      <c r="L17" s="548">
        <f t="shared" si="4"/>
        <v>0</v>
      </c>
    </row>
    <row r="18" spans="1:12" ht="15.75" customHeight="1">
      <c r="A18" s="566" t="s">
        <v>305</v>
      </c>
      <c r="B18" s="566" t="s">
        <v>406</v>
      </c>
      <c r="C18" s="566" t="s">
        <v>295</v>
      </c>
      <c r="D18" s="546">
        <v>9</v>
      </c>
      <c r="E18" s="552"/>
      <c r="F18" s="553"/>
      <c r="G18" s="550"/>
      <c r="H18" s="551">
        <f t="shared" si="0"/>
        <v>0</v>
      </c>
      <c r="I18" s="551">
        <f t="shared" si="1"/>
        <v>0</v>
      </c>
      <c r="J18" s="548">
        <f t="shared" si="2"/>
        <v>0</v>
      </c>
      <c r="K18" s="548">
        <f t="shared" si="3"/>
        <v>0</v>
      </c>
      <c r="L18" s="548">
        <f t="shared" si="4"/>
        <v>0</v>
      </c>
    </row>
    <row r="19" spans="1:12" ht="15.75" customHeight="1">
      <c r="A19" s="566" t="s">
        <v>306</v>
      </c>
      <c r="B19" s="566" t="s">
        <v>406</v>
      </c>
      <c r="C19" s="566" t="s">
        <v>295</v>
      </c>
      <c r="D19" s="546">
        <v>254</v>
      </c>
      <c r="E19" s="552"/>
      <c r="F19" s="553"/>
      <c r="G19" s="550"/>
      <c r="H19" s="551">
        <f t="shared" si="0"/>
        <v>0</v>
      </c>
      <c r="I19" s="551">
        <f t="shared" si="1"/>
        <v>0</v>
      </c>
      <c r="J19" s="548">
        <f t="shared" si="2"/>
        <v>0</v>
      </c>
      <c r="K19" s="548">
        <f t="shared" si="3"/>
        <v>0</v>
      </c>
      <c r="L19" s="548">
        <f t="shared" si="4"/>
        <v>0</v>
      </c>
    </row>
    <row r="20" spans="1:12" ht="15.75" customHeight="1">
      <c r="A20" s="566" t="s">
        <v>307</v>
      </c>
      <c r="B20" s="566" t="s">
        <v>406</v>
      </c>
      <c r="C20" s="566" t="s">
        <v>295</v>
      </c>
      <c r="D20" s="546">
        <v>102</v>
      </c>
      <c r="E20" s="552"/>
      <c r="F20" s="553"/>
      <c r="G20" s="550"/>
      <c r="H20" s="551">
        <f t="shared" si="0"/>
        <v>0</v>
      </c>
      <c r="I20" s="551">
        <f t="shared" si="1"/>
        <v>0</v>
      </c>
      <c r="J20" s="548">
        <f t="shared" si="2"/>
        <v>0</v>
      </c>
      <c r="K20" s="548">
        <f t="shared" si="3"/>
        <v>0</v>
      </c>
      <c r="L20" s="548">
        <f t="shared" si="4"/>
        <v>0</v>
      </c>
    </row>
    <row r="21" spans="1:12" ht="15.75" customHeight="1">
      <c r="A21" s="566" t="s">
        <v>308</v>
      </c>
      <c r="B21" s="566" t="s">
        <v>406</v>
      </c>
      <c r="C21" s="566" t="s">
        <v>295</v>
      </c>
      <c r="D21" s="546">
        <v>9</v>
      </c>
      <c r="E21" s="552"/>
      <c r="F21" s="553"/>
      <c r="G21" s="550"/>
      <c r="H21" s="551">
        <f t="shared" si="0"/>
        <v>0</v>
      </c>
      <c r="I21" s="551">
        <f t="shared" si="1"/>
        <v>0</v>
      </c>
      <c r="J21" s="548">
        <f t="shared" si="2"/>
        <v>0</v>
      </c>
      <c r="K21" s="548">
        <f t="shared" si="3"/>
        <v>0</v>
      </c>
      <c r="L21" s="548">
        <f t="shared" si="4"/>
        <v>0</v>
      </c>
    </row>
    <row r="22" spans="1:12" ht="15.75" customHeight="1">
      <c r="A22" s="566" t="s">
        <v>309</v>
      </c>
      <c r="B22" s="566" t="s">
        <v>406</v>
      </c>
      <c r="C22" s="566" t="s">
        <v>295</v>
      </c>
      <c r="D22" s="546">
        <v>254</v>
      </c>
      <c r="E22" s="552"/>
      <c r="F22" s="553"/>
      <c r="G22" s="550"/>
      <c r="H22" s="551">
        <f t="shared" si="0"/>
        <v>0</v>
      </c>
      <c r="I22" s="551">
        <f t="shared" si="1"/>
        <v>0</v>
      </c>
      <c r="J22" s="548">
        <f t="shared" si="2"/>
        <v>0</v>
      </c>
      <c r="K22" s="548">
        <f t="shared" si="3"/>
        <v>0</v>
      </c>
      <c r="L22" s="548">
        <f t="shared" si="4"/>
        <v>0</v>
      </c>
    </row>
    <row r="23" spans="1:12" ht="15.75" customHeight="1">
      <c r="A23" s="566" t="s">
        <v>310</v>
      </c>
      <c r="B23" s="566" t="s">
        <v>406</v>
      </c>
      <c r="C23" s="566" t="s">
        <v>295</v>
      </c>
      <c r="D23" s="546">
        <v>102</v>
      </c>
      <c r="E23" s="552"/>
      <c r="F23" s="553"/>
      <c r="G23" s="550"/>
      <c r="H23" s="551">
        <f t="shared" si="0"/>
        <v>0</v>
      </c>
      <c r="I23" s="551">
        <f t="shared" si="1"/>
        <v>0</v>
      </c>
      <c r="J23" s="548">
        <f t="shared" si="2"/>
        <v>0</v>
      </c>
      <c r="K23" s="548">
        <f t="shared" si="3"/>
        <v>0</v>
      </c>
      <c r="L23" s="548">
        <f t="shared" si="4"/>
        <v>0</v>
      </c>
    </row>
    <row r="24" spans="1:12" ht="15.75" customHeight="1">
      <c r="A24" s="566" t="s">
        <v>520</v>
      </c>
      <c r="B24" s="566" t="s">
        <v>406</v>
      </c>
      <c r="C24" s="566" t="s">
        <v>295</v>
      </c>
      <c r="D24" s="546">
        <v>9</v>
      </c>
      <c r="E24" s="552"/>
      <c r="F24" s="553"/>
      <c r="G24" s="550"/>
      <c r="H24" s="551">
        <f t="shared" si="0"/>
        <v>0</v>
      </c>
      <c r="I24" s="551">
        <f t="shared" si="1"/>
        <v>0</v>
      </c>
      <c r="J24" s="548">
        <f t="shared" si="2"/>
        <v>0</v>
      </c>
      <c r="K24" s="548">
        <f t="shared" si="3"/>
        <v>0</v>
      </c>
      <c r="L24" s="548">
        <f t="shared" si="4"/>
        <v>0</v>
      </c>
    </row>
    <row r="25" spans="1:12" ht="15.75" customHeight="1">
      <c r="A25" s="566" t="s">
        <v>311</v>
      </c>
      <c r="B25" s="566" t="s">
        <v>406</v>
      </c>
      <c r="C25" s="566" t="s">
        <v>295</v>
      </c>
      <c r="D25" s="546">
        <v>254</v>
      </c>
      <c r="E25" s="552"/>
      <c r="F25" s="553"/>
      <c r="G25" s="550"/>
      <c r="H25" s="551">
        <f t="shared" si="0"/>
        <v>0</v>
      </c>
      <c r="I25" s="551">
        <f t="shared" si="1"/>
        <v>0</v>
      </c>
      <c r="J25" s="548">
        <f t="shared" si="2"/>
        <v>0</v>
      </c>
      <c r="K25" s="548">
        <f t="shared" si="3"/>
        <v>0</v>
      </c>
      <c r="L25" s="548">
        <f t="shared" si="4"/>
        <v>0</v>
      </c>
    </row>
    <row r="26" spans="1:12" ht="15.75" customHeight="1">
      <c r="A26" s="566" t="s">
        <v>312</v>
      </c>
      <c r="B26" s="566" t="s">
        <v>406</v>
      </c>
      <c r="C26" s="566" t="s">
        <v>295</v>
      </c>
      <c r="D26" s="546">
        <v>102</v>
      </c>
      <c r="E26" s="552"/>
      <c r="F26" s="553"/>
      <c r="G26" s="550"/>
      <c r="H26" s="551">
        <f t="shared" si="0"/>
        <v>0</v>
      </c>
      <c r="I26" s="551">
        <f t="shared" si="1"/>
        <v>0</v>
      </c>
      <c r="J26" s="548">
        <f t="shared" si="2"/>
        <v>0</v>
      </c>
      <c r="K26" s="548">
        <f t="shared" si="3"/>
        <v>0</v>
      </c>
      <c r="L26" s="548">
        <f t="shared" si="4"/>
        <v>0</v>
      </c>
    </row>
    <row r="27" spans="1:12" ht="15.75" customHeight="1">
      <c r="A27" s="566" t="s">
        <v>313</v>
      </c>
      <c r="B27" s="566" t="s">
        <v>406</v>
      </c>
      <c r="C27" s="566" t="s">
        <v>295</v>
      </c>
      <c r="D27" s="546">
        <v>9</v>
      </c>
      <c r="E27" s="552"/>
      <c r="F27" s="553"/>
      <c r="G27" s="550"/>
      <c r="H27" s="551">
        <f t="shared" si="0"/>
        <v>0</v>
      </c>
      <c r="I27" s="551">
        <f t="shared" si="1"/>
        <v>0</v>
      </c>
      <c r="J27" s="548">
        <f t="shared" si="2"/>
        <v>0</v>
      </c>
      <c r="K27" s="548">
        <f t="shared" si="3"/>
        <v>0</v>
      </c>
      <c r="L27" s="548">
        <f t="shared" si="4"/>
        <v>0</v>
      </c>
    </row>
    <row r="28" spans="1:12" ht="15.75" customHeight="1">
      <c r="A28" s="566" t="s">
        <v>314</v>
      </c>
      <c r="B28" s="566" t="s">
        <v>406</v>
      </c>
      <c r="C28" s="566" t="s">
        <v>295</v>
      </c>
      <c r="D28" s="546">
        <v>254</v>
      </c>
      <c r="E28" s="552"/>
      <c r="F28" s="553"/>
      <c r="G28" s="550"/>
      <c r="H28" s="551">
        <f t="shared" si="0"/>
        <v>0</v>
      </c>
      <c r="I28" s="551">
        <f t="shared" si="1"/>
        <v>0</v>
      </c>
      <c r="J28" s="548">
        <f t="shared" si="2"/>
        <v>0</v>
      </c>
      <c r="K28" s="548">
        <f t="shared" si="3"/>
        <v>0</v>
      </c>
      <c r="L28" s="548">
        <f t="shared" si="4"/>
        <v>0</v>
      </c>
    </row>
    <row r="29" spans="1:12" ht="15.75" customHeight="1">
      <c r="A29" s="566" t="s">
        <v>315</v>
      </c>
      <c r="B29" s="566" t="s">
        <v>406</v>
      </c>
      <c r="C29" s="566" t="s">
        <v>295</v>
      </c>
      <c r="D29" s="546">
        <v>102</v>
      </c>
      <c r="E29" s="552"/>
      <c r="F29" s="553"/>
      <c r="G29" s="550"/>
      <c r="H29" s="551">
        <f t="shared" si="0"/>
        <v>0</v>
      </c>
      <c r="I29" s="551">
        <f t="shared" si="1"/>
        <v>0</v>
      </c>
      <c r="J29" s="548">
        <f t="shared" si="2"/>
        <v>0</v>
      </c>
      <c r="K29" s="548">
        <f t="shared" si="3"/>
        <v>0</v>
      </c>
      <c r="L29" s="548">
        <f t="shared" si="4"/>
        <v>0</v>
      </c>
    </row>
    <row r="30" spans="1:12" ht="15.75" customHeight="1">
      <c r="A30" s="566" t="s">
        <v>316</v>
      </c>
      <c r="B30" s="566" t="s">
        <v>406</v>
      </c>
      <c r="C30" s="566" t="s">
        <v>295</v>
      </c>
      <c r="D30" s="546">
        <v>9</v>
      </c>
      <c r="E30" s="552"/>
      <c r="F30" s="553"/>
      <c r="G30" s="550"/>
      <c r="H30" s="551">
        <f t="shared" si="0"/>
        <v>0</v>
      </c>
      <c r="I30" s="551">
        <f t="shared" si="1"/>
        <v>0</v>
      </c>
      <c r="J30" s="548">
        <f t="shared" si="2"/>
        <v>0</v>
      </c>
      <c r="K30" s="548">
        <f t="shared" si="3"/>
        <v>0</v>
      </c>
      <c r="L30" s="548">
        <f t="shared" si="4"/>
        <v>0</v>
      </c>
    </row>
    <row r="31" spans="1:12" ht="15.75" customHeight="1">
      <c r="A31" s="566" t="s">
        <v>436</v>
      </c>
      <c r="B31" s="566" t="s">
        <v>406</v>
      </c>
      <c r="C31" s="566" t="s">
        <v>295</v>
      </c>
      <c r="D31" s="546">
        <v>254</v>
      </c>
      <c r="E31" s="552"/>
      <c r="F31" s="553"/>
      <c r="G31" s="550"/>
      <c r="H31" s="551">
        <f t="shared" si="0"/>
        <v>0</v>
      </c>
      <c r="I31" s="551">
        <f t="shared" si="1"/>
        <v>0</v>
      </c>
      <c r="J31" s="548">
        <f t="shared" si="2"/>
        <v>0</v>
      </c>
      <c r="K31" s="548">
        <f t="shared" si="3"/>
        <v>0</v>
      </c>
      <c r="L31" s="548">
        <f t="shared" si="4"/>
        <v>0</v>
      </c>
    </row>
    <row r="32" spans="1:12" ht="15.75" customHeight="1">
      <c r="A32" s="566" t="s">
        <v>437</v>
      </c>
      <c r="B32" s="566" t="s">
        <v>406</v>
      </c>
      <c r="C32" s="566" t="s">
        <v>295</v>
      </c>
      <c r="D32" s="546">
        <v>102</v>
      </c>
      <c r="E32" s="552"/>
      <c r="F32" s="553"/>
      <c r="G32" s="550"/>
      <c r="H32" s="551">
        <f t="shared" si="0"/>
        <v>0</v>
      </c>
      <c r="I32" s="551">
        <f t="shared" si="1"/>
        <v>0</v>
      </c>
      <c r="J32" s="548">
        <f t="shared" si="2"/>
        <v>0</v>
      </c>
      <c r="K32" s="548">
        <f t="shared" si="3"/>
        <v>0</v>
      </c>
      <c r="L32" s="548">
        <f t="shared" si="4"/>
        <v>0</v>
      </c>
    </row>
    <row r="33" spans="1:12" ht="15.75" customHeight="1">
      <c r="A33" s="566" t="s">
        <v>438</v>
      </c>
      <c r="B33" s="566" t="s">
        <v>406</v>
      </c>
      <c r="C33" s="566" t="s">
        <v>295</v>
      </c>
      <c r="D33" s="546">
        <v>9</v>
      </c>
      <c r="E33" s="552"/>
      <c r="F33" s="553"/>
      <c r="G33" s="550"/>
      <c r="H33" s="551">
        <f t="shared" si="0"/>
        <v>0</v>
      </c>
      <c r="I33" s="551">
        <f t="shared" si="1"/>
        <v>0</v>
      </c>
      <c r="J33" s="548">
        <f t="shared" si="2"/>
        <v>0</v>
      </c>
      <c r="K33" s="548">
        <f t="shared" si="3"/>
        <v>0</v>
      </c>
      <c r="L33" s="548">
        <f t="shared" si="4"/>
        <v>0</v>
      </c>
    </row>
    <row r="34" spans="1:12" ht="15.75" customHeight="1">
      <c r="A34" s="566" t="s">
        <v>317</v>
      </c>
      <c r="B34" s="566" t="s">
        <v>406</v>
      </c>
      <c r="C34" s="566" t="s">
        <v>295</v>
      </c>
      <c r="D34" s="546">
        <v>254</v>
      </c>
      <c r="E34" s="552"/>
      <c r="F34" s="553"/>
      <c r="G34" s="550"/>
      <c r="H34" s="551">
        <f t="shared" si="0"/>
        <v>0</v>
      </c>
      <c r="I34" s="551">
        <f t="shared" si="1"/>
        <v>0</v>
      </c>
      <c r="J34" s="548">
        <f t="shared" si="2"/>
        <v>0</v>
      </c>
      <c r="K34" s="548">
        <f t="shared" si="3"/>
        <v>0</v>
      </c>
      <c r="L34" s="548">
        <f t="shared" si="4"/>
        <v>0</v>
      </c>
    </row>
    <row r="35" spans="1:12" ht="15.75" customHeight="1">
      <c r="A35" s="566" t="s">
        <v>318</v>
      </c>
      <c r="B35" s="566" t="s">
        <v>406</v>
      </c>
      <c r="C35" s="566" t="s">
        <v>295</v>
      </c>
      <c r="D35" s="546">
        <v>102</v>
      </c>
      <c r="E35" s="552"/>
      <c r="F35" s="553"/>
      <c r="G35" s="550"/>
      <c r="H35" s="551">
        <f t="shared" si="0"/>
        <v>0</v>
      </c>
      <c r="I35" s="551">
        <f t="shared" si="1"/>
        <v>0</v>
      </c>
      <c r="J35" s="548">
        <f t="shared" si="2"/>
        <v>0</v>
      </c>
      <c r="K35" s="548">
        <f t="shared" si="3"/>
        <v>0</v>
      </c>
      <c r="L35" s="548">
        <f t="shared" si="4"/>
        <v>0</v>
      </c>
    </row>
    <row r="36" spans="1:12" ht="15.75" customHeight="1">
      <c r="A36" s="566" t="s">
        <v>319</v>
      </c>
      <c r="B36" s="566" t="s">
        <v>406</v>
      </c>
      <c r="C36" s="566" t="s">
        <v>295</v>
      </c>
      <c r="D36" s="546">
        <v>9</v>
      </c>
      <c r="E36" s="552"/>
      <c r="F36" s="553"/>
      <c r="G36" s="550"/>
      <c r="H36" s="551">
        <f t="shared" si="0"/>
        <v>0</v>
      </c>
      <c r="I36" s="551">
        <f t="shared" si="1"/>
        <v>0</v>
      </c>
      <c r="J36" s="548">
        <f t="shared" si="2"/>
        <v>0</v>
      </c>
      <c r="K36" s="548">
        <f t="shared" si="3"/>
        <v>0</v>
      </c>
      <c r="L36" s="548">
        <f t="shared" si="4"/>
        <v>0</v>
      </c>
    </row>
    <row r="37" spans="1:12" ht="15.75" customHeight="1">
      <c r="A37" s="566" t="s">
        <v>320</v>
      </c>
      <c r="B37" s="566" t="s">
        <v>406</v>
      </c>
      <c r="C37" s="566" t="s">
        <v>295</v>
      </c>
      <c r="D37" s="546">
        <v>254</v>
      </c>
      <c r="E37" s="552"/>
      <c r="F37" s="553"/>
      <c r="G37" s="550"/>
      <c r="H37" s="551">
        <f t="shared" si="0"/>
        <v>0</v>
      </c>
      <c r="I37" s="551">
        <f t="shared" si="1"/>
        <v>0</v>
      </c>
      <c r="J37" s="548">
        <f t="shared" si="2"/>
        <v>0</v>
      </c>
      <c r="K37" s="548">
        <f t="shared" si="3"/>
        <v>0</v>
      </c>
      <c r="L37" s="548">
        <f t="shared" si="4"/>
        <v>0</v>
      </c>
    </row>
    <row r="38" spans="1:12" ht="15.75" customHeight="1">
      <c r="A38" s="566" t="s">
        <v>321</v>
      </c>
      <c r="B38" s="566" t="s">
        <v>406</v>
      </c>
      <c r="C38" s="566" t="s">
        <v>295</v>
      </c>
      <c r="D38" s="546">
        <v>102</v>
      </c>
      <c r="E38" s="552"/>
      <c r="F38" s="553"/>
      <c r="G38" s="550"/>
      <c r="H38" s="551">
        <f t="shared" si="0"/>
        <v>0</v>
      </c>
      <c r="I38" s="551">
        <f t="shared" si="1"/>
        <v>0</v>
      </c>
      <c r="J38" s="548">
        <f t="shared" si="2"/>
        <v>0</v>
      </c>
      <c r="K38" s="548">
        <f t="shared" si="3"/>
        <v>0</v>
      </c>
      <c r="L38" s="548">
        <f t="shared" si="4"/>
        <v>0</v>
      </c>
    </row>
    <row r="39" spans="1:12" ht="15.75" customHeight="1">
      <c r="A39" s="566" t="s">
        <v>322</v>
      </c>
      <c r="B39" s="566" t="s">
        <v>406</v>
      </c>
      <c r="C39" s="566" t="s">
        <v>295</v>
      </c>
      <c r="D39" s="546">
        <v>9</v>
      </c>
      <c r="E39" s="552"/>
      <c r="F39" s="553"/>
      <c r="G39" s="550"/>
      <c r="H39" s="551">
        <f t="shared" ref="H39" si="5">D39*E39</f>
        <v>0</v>
      </c>
      <c r="I39" s="551">
        <f t="shared" ref="I39" si="6">D39*F39</f>
        <v>0</v>
      </c>
      <c r="J39" s="548">
        <f t="shared" ref="J39" si="7">H39*G39</f>
        <v>0</v>
      </c>
      <c r="K39" s="548">
        <f t="shared" ref="K39" si="8">I39*G39</f>
        <v>0</v>
      </c>
      <c r="L39" s="548">
        <f t="shared" ref="L39" si="9">J39+K39</f>
        <v>0</v>
      </c>
    </row>
    <row r="40" spans="1:12" ht="27">
      <c r="A40" s="578" t="s">
        <v>514</v>
      </c>
      <c r="B40" s="704" t="s">
        <v>513</v>
      </c>
      <c r="C40" s="705"/>
      <c r="D40" s="546">
        <v>1</v>
      </c>
      <c r="E40" s="552"/>
      <c r="F40" s="610"/>
      <c r="G40" s="550"/>
      <c r="H40" s="551">
        <f t="shared" ref="H40" si="10">D40*E40</f>
        <v>0</v>
      </c>
      <c r="I40" s="551">
        <f t="shared" ref="I40" si="11">D40*F40</f>
        <v>0</v>
      </c>
      <c r="J40" s="548">
        <f t="shared" ref="J40" si="12">H40*G40</f>
        <v>0</v>
      </c>
      <c r="K40" s="548">
        <f t="shared" ref="K40" si="13">I40*G40</f>
        <v>0</v>
      </c>
      <c r="L40" s="548">
        <f t="shared" ref="L40" si="14">J40+K40</f>
        <v>0</v>
      </c>
    </row>
    <row r="41" spans="1:12" ht="15.75" customHeight="1">
      <c r="A41" s="564"/>
      <c r="B41" s="564"/>
      <c r="C41" s="564"/>
      <c r="D41" s="558"/>
      <c r="E41" s="558"/>
      <c r="F41" s="558"/>
      <c r="G41" s="558"/>
      <c r="H41" s="558"/>
      <c r="I41" s="558"/>
      <c r="J41" s="558"/>
      <c r="K41" s="558"/>
      <c r="L41" s="558"/>
    </row>
    <row r="42" spans="1:12" ht="15.75" customHeight="1">
      <c r="A42" s="567" t="s">
        <v>323</v>
      </c>
      <c r="B42" s="568"/>
      <c r="C42" s="568"/>
      <c r="D42" s="559"/>
      <c r="E42" s="559"/>
      <c r="F42" s="559"/>
      <c r="G42" s="559"/>
      <c r="H42" s="555">
        <f>SUM(H13:H41)</f>
        <v>0</v>
      </c>
      <c r="I42" s="555">
        <f>SUM(I13:I41)</f>
        <v>0</v>
      </c>
      <c r="J42" s="556">
        <f>SUM(J13:J41)</f>
        <v>0</v>
      </c>
      <c r="K42" s="556">
        <f>SUM(K13:K41)</f>
        <v>0</v>
      </c>
      <c r="L42" s="556">
        <f>SUM(L13:L41)</f>
        <v>0</v>
      </c>
    </row>
    <row r="43" spans="1:12">
      <c r="A43" s="485"/>
      <c r="B43" s="485"/>
      <c r="C43" s="485"/>
      <c r="D43" s="485"/>
      <c r="E43" s="485"/>
      <c r="F43" s="485"/>
      <c r="G43" s="485"/>
      <c r="H43" s="485"/>
      <c r="I43" s="485"/>
      <c r="J43" s="485"/>
      <c r="K43" s="494"/>
      <c r="L43" s="485"/>
    </row>
  </sheetData>
  <mergeCells count="1">
    <mergeCell ref="B40:C40"/>
  </mergeCells>
  <pageMargins left="0.59375" right="0.7" top="0.75" bottom="0.75" header="0.3" footer="0.3"/>
  <pageSetup paperSize="9" scale="54" fitToHeight="0" orientation="landscape" r:id="rId1"/>
  <headerFooter>
    <oddFooter>&amp;L&amp;F-&amp;A
Atir b.v. ©&amp;Rprintversie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20</vt:i4>
      </vt:variant>
      <vt:variant>
        <vt:lpstr>Benoemde bereiken</vt:lpstr>
      </vt:variant>
      <vt:variant>
        <vt:i4>20</vt:i4>
      </vt:variant>
    </vt:vector>
  </HeadingPairs>
  <TitlesOfParts>
    <vt:vector size="40" baseType="lpstr">
      <vt:lpstr>Info blad</vt:lpstr>
      <vt:lpstr>1-Contractblad totaal</vt:lpstr>
      <vt:lpstr>2-Kosten per type werkzaamheden</vt:lpstr>
      <vt:lpstr>3-Productie normen</vt:lpstr>
      <vt:lpstr>4-Basis ruimtestaat Kantoren</vt:lpstr>
      <vt:lpstr>4b- Kantoren extra werk</vt:lpstr>
      <vt:lpstr>4c- Noordzeekanaal</vt:lpstr>
      <vt:lpstr>4d-IJ Veren</vt:lpstr>
      <vt:lpstr>4e-IJ aanlegpunten</vt:lpstr>
      <vt:lpstr>4f-Specialistische werkz.</vt:lpstr>
      <vt:lpstr>4g-Evenementen Schoonmaak</vt:lpstr>
      <vt:lpstr>5-Premies en opslagen</vt:lpstr>
      <vt:lpstr>6a-Opbouw uurtarief productie</vt:lpstr>
      <vt:lpstr>6b-Opbouw uurtarief specialist</vt:lpstr>
      <vt:lpstr>7-Opbouw uurtarief toezicht</vt:lpstr>
      <vt:lpstr>8-Afroepprijs</vt:lpstr>
      <vt:lpstr>9-Glasbewassing</vt:lpstr>
      <vt:lpstr>10-Machinekosten</vt:lpstr>
      <vt:lpstr>11-Sanitaire artikelen</vt:lpstr>
      <vt:lpstr>12-Afval en logistiek</vt:lpstr>
      <vt:lpstr>'11-Sanitaire artikelen'!Afdrukbereik</vt:lpstr>
      <vt:lpstr>'12-Afval en logistiek'!Afdrukbereik</vt:lpstr>
      <vt:lpstr>'1-Contractblad totaal'!Afdrukbereik</vt:lpstr>
      <vt:lpstr>'2-Kosten per type werkzaamheden'!Afdrukbereik</vt:lpstr>
      <vt:lpstr>'4-Basis ruimtestaat Kantoren'!Afdrukbereik</vt:lpstr>
      <vt:lpstr>'5-Premies en opslagen'!Afdrukbereik</vt:lpstr>
      <vt:lpstr>'6a-Opbouw uurtarief productie'!Afdrukbereik</vt:lpstr>
      <vt:lpstr>'6b-Opbouw uurtarief specialist'!Afdrukbereik</vt:lpstr>
      <vt:lpstr>'8-Afroepprijs'!Afdrukbereik</vt:lpstr>
      <vt:lpstr>'Info blad'!Afdrukbereik</vt:lpstr>
      <vt:lpstr>'2-Kosten per type werkzaamheden'!Afdruktitels</vt:lpstr>
      <vt:lpstr>'4-Basis ruimtestaat Kantoren'!Afdruktitels</vt:lpstr>
      <vt:lpstr>'6a-Opbouw uurtarief productie'!Afdruktitels</vt:lpstr>
      <vt:lpstr>'6b-Opbouw uurtarief specialist'!Afdruktitels</vt:lpstr>
      <vt:lpstr>'8-Afroepprijs'!Afdruktitels</vt:lpstr>
      <vt:lpstr>'9-Glasbewassing'!Afdruktitels</vt:lpstr>
      <vt:lpstr>'12-Afval en logistiek'!gebouw</vt:lpstr>
      <vt:lpstr>'2-Kosten per type werkzaamheden'!gebouw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bieri</cp:lastModifiedBy>
  <cp:lastPrinted>2022-07-04T14:04:23Z</cp:lastPrinted>
  <dcterms:created xsi:type="dcterms:W3CDTF">1999-10-05T12:28:40Z</dcterms:created>
  <dcterms:modified xsi:type="dcterms:W3CDTF">2022-10-07T06:35:48Z</dcterms:modified>
</cp:coreProperties>
</file>