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AB\FA\Verzekeringen\aanbestedingen\2022\Brandverzekering\"/>
    </mc:Choice>
  </mc:AlternateContent>
  <xr:revisionPtr revIDLastSave="0" documentId="13_ncr:1_{06991A29-D96B-4BC6-B979-7E2D447936F2}" xr6:coauthVersionLast="47" xr6:coauthVersionMax="47" xr10:uidLastSave="{00000000-0000-0000-0000-000000000000}"/>
  <bookViews>
    <workbookView xWindow="-120" yWindow="-120" windowWidth="29040" windowHeight="15840" xr2:uid="{76FC6B36-378D-4B44-A928-F025BA567434}"/>
  </bookViews>
  <sheets>
    <sheet name="Blad1" sheetId="1" r:id="rId1"/>
    <sheet name="Blad2" sheetId="2" r:id="rId2"/>
  </sheet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1" i="1" l="1"/>
  <c r="G100" i="1"/>
  <c r="G99" i="1"/>
  <c r="H99" i="1" s="1"/>
  <c r="G98" i="1"/>
  <c r="G97" i="1"/>
  <c r="H97" i="1" s="1"/>
  <c r="G96" i="1"/>
  <c r="F96" i="1"/>
  <c r="G95" i="1"/>
  <c r="G94" i="1"/>
  <c r="H94" i="1" s="1"/>
  <c r="G93" i="1"/>
  <c r="F93" i="1"/>
  <c r="G92" i="1"/>
  <c r="G91" i="1"/>
  <c r="H91" i="1" s="1"/>
  <c r="G90" i="1"/>
  <c r="F90" i="1"/>
  <c r="G89" i="1"/>
  <c r="G88" i="1"/>
  <c r="F88" i="1"/>
  <c r="G87" i="1"/>
  <c r="F87" i="1"/>
  <c r="G86" i="1"/>
  <c r="H86" i="1" s="1"/>
  <c r="G85" i="1"/>
  <c r="F85" i="1"/>
  <c r="G84" i="1"/>
  <c r="G83" i="1"/>
  <c r="F83" i="1"/>
  <c r="G82" i="1"/>
  <c r="F82" i="1"/>
  <c r="G81" i="1"/>
  <c r="F81" i="1"/>
  <c r="G80" i="1"/>
  <c r="H80" i="1" s="1"/>
  <c r="G79" i="1"/>
  <c r="F77" i="1"/>
  <c r="G76" i="1"/>
  <c r="F76" i="1"/>
  <c r="G75" i="1"/>
  <c r="F75" i="1"/>
  <c r="G74" i="1"/>
  <c r="F74" i="1"/>
  <c r="G73" i="1"/>
  <c r="G72" i="1"/>
  <c r="F72" i="1"/>
  <c r="F71" i="1"/>
  <c r="G70" i="1"/>
  <c r="G69" i="1"/>
  <c r="F69" i="1"/>
  <c r="G68" i="1"/>
  <c r="G67" i="1"/>
  <c r="G66" i="1"/>
  <c r="G65" i="1"/>
  <c r="G64" i="1"/>
  <c r="G63" i="1"/>
  <c r="G62" i="1"/>
  <c r="F62" i="1"/>
  <c r="G61" i="1"/>
  <c r="F61" i="1"/>
  <c r="G60" i="1"/>
  <c r="G59" i="1"/>
  <c r="F59" i="1"/>
  <c r="G58" i="1"/>
  <c r="F58" i="1"/>
  <c r="G57" i="1"/>
  <c r="G56" i="1"/>
  <c r="F56" i="1"/>
  <c r="G55" i="1"/>
  <c r="F55" i="1"/>
  <c r="G54" i="1"/>
  <c r="G53" i="1"/>
  <c r="F53" i="1"/>
  <c r="G52" i="1"/>
  <c r="F52" i="1"/>
  <c r="G51" i="1"/>
  <c r="G50" i="1"/>
  <c r="G49" i="1"/>
  <c r="F49" i="1"/>
  <c r="G48" i="1"/>
  <c r="F48" i="1"/>
  <c r="G47" i="1"/>
  <c r="G46" i="1"/>
  <c r="F46" i="1"/>
  <c r="G45" i="1"/>
  <c r="F45" i="1"/>
  <c r="G44" i="1"/>
  <c r="G43" i="1"/>
  <c r="G42" i="1"/>
  <c r="G41" i="1"/>
  <c r="G40" i="1"/>
  <c r="F40" i="1"/>
  <c r="G39" i="1"/>
  <c r="G38" i="1"/>
  <c r="G37" i="1"/>
  <c r="F37" i="1"/>
  <c r="G36" i="1"/>
  <c r="F36" i="1"/>
  <c r="G35" i="1"/>
  <c r="G34" i="1"/>
  <c r="F34" i="1"/>
  <c r="G33" i="1"/>
  <c r="F33" i="1"/>
  <c r="G32" i="1"/>
  <c r="F32" i="1"/>
  <c r="G31" i="1"/>
  <c r="F31" i="1"/>
  <c r="G30" i="1"/>
  <c r="G29" i="1"/>
  <c r="F29" i="1"/>
  <c r="G28" i="1"/>
  <c r="F28" i="1"/>
  <c r="G27" i="1"/>
  <c r="F27" i="1"/>
  <c r="G26" i="1"/>
  <c r="H26" i="1" s="1"/>
  <c r="G25" i="1"/>
  <c r="G24" i="1"/>
  <c r="F23" i="1"/>
  <c r="H23" i="1" s="1"/>
  <c r="F22" i="1"/>
  <c r="G21" i="1"/>
  <c r="F21" i="1"/>
  <c r="G20" i="1"/>
  <c r="F20" i="1"/>
  <c r="G19" i="1"/>
  <c r="H19" i="1" s="1"/>
  <c r="G18" i="1"/>
  <c r="G17" i="1"/>
  <c r="H17" i="1" s="1"/>
  <c r="F16" i="1"/>
  <c r="G15" i="1"/>
  <c r="H15" i="1" s="1"/>
  <c r="G14" i="1"/>
  <c r="G13" i="1"/>
  <c r="H13" i="1" s="1"/>
  <c r="G12" i="1"/>
  <c r="G11" i="1"/>
  <c r="H11" i="1" s="1"/>
  <c r="G10" i="1"/>
  <c r="F10" i="1"/>
  <c r="G9" i="1"/>
  <c r="H9" i="1" s="1"/>
  <c r="G8" i="1"/>
  <c r="F8" i="1"/>
  <c r="G7" i="1"/>
  <c r="H7" i="1" s="1"/>
  <c r="G6" i="1"/>
  <c r="F6" i="1"/>
  <c r="G5" i="1"/>
  <c r="G4" i="1"/>
  <c r="H4" i="1" s="1"/>
  <c r="G3" i="1"/>
  <c r="G2" i="1"/>
  <c r="F2" i="1"/>
  <c r="H45" i="1" l="1"/>
  <c r="H46" i="1"/>
  <c r="H55" i="1"/>
  <c r="H56" i="1"/>
  <c r="H61" i="1"/>
  <c r="H69" i="1"/>
  <c r="H72" i="1"/>
  <c r="H31" i="1"/>
  <c r="H32" i="1"/>
  <c r="H33" i="1"/>
  <c r="H75" i="1"/>
  <c r="H18" i="1"/>
  <c r="H20" i="1"/>
  <c r="H34" i="1"/>
  <c r="H49" i="1"/>
  <c r="H52" i="1"/>
  <c r="H53" i="1"/>
  <c r="H58" i="1"/>
  <c r="H59" i="1"/>
  <c r="H74" i="1"/>
  <c r="H76" i="1"/>
  <c r="G102" i="1"/>
  <c r="H3" i="1"/>
  <c r="H14" i="1"/>
  <c r="H22" i="1"/>
  <c r="H36" i="1"/>
  <c r="H37" i="1"/>
  <c r="H39" i="1"/>
  <c r="H48" i="1"/>
  <c r="H89" i="1"/>
  <c r="H50" i="1"/>
  <c r="H98" i="1"/>
  <c r="H44" i="1"/>
  <c r="H54" i="1"/>
  <c r="H62" i="1"/>
  <c r="H64" i="1"/>
  <c r="H68" i="1"/>
  <c r="H95" i="1"/>
  <c r="H5" i="1"/>
  <c r="H8" i="1"/>
  <c r="H12" i="1"/>
  <c r="H16" i="1"/>
  <c r="H24" i="1"/>
  <c r="H27" i="1"/>
  <c r="H28" i="1"/>
  <c r="H29" i="1"/>
  <c r="H35" i="1"/>
  <c r="H40" i="1"/>
  <c r="H42" i="1"/>
  <c r="H60" i="1"/>
  <c r="H66" i="1"/>
  <c r="H71" i="1"/>
  <c r="H78" i="1"/>
  <c r="H81" i="1"/>
  <c r="H82" i="1"/>
  <c r="H83" i="1"/>
  <c r="H87" i="1"/>
  <c r="H88" i="1"/>
  <c r="H92" i="1"/>
  <c r="H10" i="1"/>
  <c r="H6" i="1"/>
  <c r="F102" i="1"/>
  <c r="H2" i="1"/>
  <c r="H21" i="1"/>
  <c r="H25" i="1"/>
  <c r="H30" i="1"/>
  <c r="H38" i="1"/>
  <c r="H41" i="1"/>
  <c r="H43" i="1"/>
  <c r="H47" i="1"/>
  <c r="H51" i="1"/>
  <c r="H57" i="1"/>
  <c r="H63" i="1"/>
  <c r="H65" i="1"/>
  <c r="H67" i="1"/>
  <c r="H70" i="1"/>
  <c r="H73" i="1"/>
  <c r="H77" i="1"/>
  <c r="H79" i="1"/>
  <c r="H84" i="1"/>
  <c r="H85" i="1"/>
  <c r="H90" i="1"/>
  <c r="H93" i="1"/>
  <c r="H96" i="1"/>
  <c r="H100" i="1"/>
  <c r="H102" i="1" l="1"/>
</calcChain>
</file>

<file path=xl/sharedStrings.xml><?xml version="1.0" encoding="utf-8"?>
<sst xmlns="http://schemas.openxmlformats.org/spreadsheetml/2006/main" count="678" uniqueCount="377">
  <si>
    <t>2019.02.0321.046-I</t>
  </si>
  <si>
    <t>Beusichemseweg 118</t>
  </si>
  <si>
    <t xml:space="preserve"> 't Goy</t>
  </si>
  <si>
    <t>3997 ML</t>
  </si>
  <si>
    <t>rk school de Boogerd</t>
  </si>
  <si>
    <t>2019.02.0321.022-O</t>
  </si>
  <si>
    <t>Beusichemseweg 51</t>
  </si>
  <si>
    <t>3997 MH</t>
  </si>
  <si>
    <t>dorpshuis de Ploeg</t>
  </si>
  <si>
    <t>2019.02.0321.023-O</t>
  </si>
  <si>
    <t>Beusichemseweg 51/53</t>
  </si>
  <si>
    <t>3998 MH</t>
  </si>
  <si>
    <t>Gymzaal de Ploeg</t>
  </si>
  <si>
    <t>2019.02.0321.035-O</t>
  </si>
  <si>
    <t>Aalsloot 1</t>
  </si>
  <si>
    <t>Houten</t>
  </si>
  <si>
    <t>3993 HA</t>
  </si>
  <si>
    <t>steunpost gemeentewerken Noordoost</t>
  </si>
  <si>
    <t>2019.02.0321.062-I</t>
  </si>
  <si>
    <t>Beverakker 19</t>
  </si>
  <si>
    <t>3994 EK</t>
  </si>
  <si>
    <t xml:space="preserve">obs school de Brug </t>
  </si>
  <si>
    <t>2019.02.0321.044-O</t>
  </si>
  <si>
    <t>Binnenweg 22</t>
  </si>
  <si>
    <t>3994 AN</t>
  </si>
  <si>
    <t>Brandweerkazerne Houten Oost</t>
  </si>
  <si>
    <t>2019.02.0321.047-I</t>
  </si>
  <si>
    <t>Bloesemtuin 17</t>
  </si>
  <si>
    <t>3994 MD</t>
  </si>
  <si>
    <t>rk de Vlinder</t>
  </si>
  <si>
    <t>2019.02.0321.036-O</t>
  </si>
  <si>
    <t>Bloesemtuin 17a</t>
  </si>
  <si>
    <t>steunpost de Vlinder Zuidoost</t>
  </si>
  <si>
    <t>2019.02.0321.005-I</t>
  </si>
  <si>
    <t>Bloesemtuin 17b</t>
  </si>
  <si>
    <t>gymzaal de Vlinder</t>
  </si>
  <si>
    <t>2019.02.0321.077-O</t>
  </si>
  <si>
    <t>Bovencamp 31-35</t>
  </si>
  <si>
    <t>3992 RW</t>
  </si>
  <si>
    <t>sanitaire units (woonwagenstandplaats)</t>
  </si>
  <si>
    <t>2016.02.0321.001-O- I</t>
  </si>
  <si>
    <t>De Brug 11</t>
  </si>
  <si>
    <t>3991 LN</t>
  </si>
  <si>
    <t>Gemeentewerf zoutloods</t>
  </si>
  <si>
    <t>2016.02.0321.002-O- I</t>
  </si>
  <si>
    <t>De Brug 11a</t>
  </si>
  <si>
    <t>3992 LN</t>
  </si>
  <si>
    <t>Gemeentewerf kantoor /kantine</t>
  </si>
  <si>
    <t>2016.02.0321.003-O- I</t>
  </si>
  <si>
    <t>De Brug 11b</t>
  </si>
  <si>
    <t>3993 LN</t>
  </si>
  <si>
    <t>Gemeentewerf werkplaats/garage</t>
  </si>
  <si>
    <t>2016.02.0321.004-O- I</t>
  </si>
  <si>
    <t>De Brug 11d</t>
  </si>
  <si>
    <t>3995 LN</t>
  </si>
  <si>
    <t>Gemeentewerf schuur/opslag</t>
  </si>
  <si>
    <t>2019.02.0321.038-I</t>
  </si>
  <si>
    <t>De Brug 11 t/m 11D</t>
  </si>
  <si>
    <t>Inventaris gehele gemeentewerf</t>
  </si>
  <si>
    <t>2019.02.0321.090-O</t>
  </si>
  <si>
    <t>De Brug 13 a</t>
  </si>
  <si>
    <t>Kringloopwinkel</t>
  </si>
  <si>
    <t>2019.02.0321.042-O</t>
  </si>
  <si>
    <t>De Brug 2</t>
  </si>
  <si>
    <t>Brandweerhuis</t>
  </si>
  <si>
    <t>2019.02.0321.078-O</t>
  </si>
  <si>
    <t>De Brug 3-7</t>
  </si>
  <si>
    <t>2019.02.0321.073-I</t>
  </si>
  <si>
    <t>De Brug 9</t>
  </si>
  <si>
    <t>Afvalscheidingsstation Kantoor/ontvangst</t>
  </si>
  <si>
    <t>2019.02.0321.074-I</t>
  </si>
  <si>
    <t xml:space="preserve">Afvalscheidingsstation KCA </t>
  </si>
  <si>
    <t>2019.02.0321.025-I</t>
  </si>
  <si>
    <t>De Poort  77</t>
  </si>
  <si>
    <t>3991 DX</t>
  </si>
  <si>
    <t>scc dorpshuis de Grund</t>
  </si>
  <si>
    <t>2019.02.0321.024-I</t>
  </si>
  <si>
    <t>De Poort 79</t>
  </si>
  <si>
    <t>Cultureel de Grund, jongeren zaaltjes</t>
  </si>
  <si>
    <t>2019.02.0321.025-O</t>
  </si>
  <si>
    <t>De Poort 77+79</t>
  </si>
  <si>
    <t>scc De Grund opstal</t>
  </si>
  <si>
    <t>2019.02.0321.041-O</t>
  </si>
  <si>
    <t>De Poort 81</t>
  </si>
  <si>
    <t>steunpost gemeentewerken de Grund (voedselbank)</t>
  </si>
  <si>
    <t>2019.02.0321.045-O</t>
  </si>
  <si>
    <t>De Slinger 2</t>
  </si>
  <si>
    <t>3995 DE</t>
  </si>
  <si>
    <t>politiebureau (oud)</t>
  </si>
  <si>
    <t>2013.0321.074-O- I</t>
  </si>
  <si>
    <t xml:space="preserve">De Slinger 40-42 </t>
  </si>
  <si>
    <t>theater de Slinger en muziekschool</t>
  </si>
  <si>
    <t>2019.02.0321.009-I</t>
  </si>
  <si>
    <t>De Slinger 44</t>
  </si>
  <si>
    <t>sporthal De Slinger</t>
  </si>
  <si>
    <t>2019.02.0321.060-I</t>
  </si>
  <si>
    <t>De Slinger 48</t>
  </si>
  <si>
    <t>school college de Heemlanden + fietsstalling</t>
  </si>
  <si>
    <t>2019.020.321.048-O</t>
  </si>
  <si>
    <t>Dijkhoeve 1-3</t>
  </si>
  <si>
    <t>3992 XV</t>
  </si>
  <si>
    <t>rk school de Bengelbongerd</t>
  </si>
  <si>
    <t>2019.02.0321.006-I</t>
  </si>
  <si>
    <t>Eggeveld 2</t>
  </si>
  <si>
    <t>3993 GE</t>
  </si>
  <si>
    <t xml:space="preserve">Gymzaal Klavertje Vier </t>
  </si>
  <si>
    <t>2019.02.0321.063-I</t>
  </si>
  <si>
    <t>Eggeveld 4-6</t>
  </si>
  <si>
    <t xml:space="preserve">opbs school Klavertje Vier </t>
  </si>
  <si>
    <t>2019.02.0321.033-I</t>
  </si>
  <si>
    <t>Galerijmuur 50-51</t>
  </si>
  <si>
    <t>3991 WX</t>
  </si>
  <si>
    <t>spec. basisschool de Wissel</t>
  </si>
  <si>
    <t>2019.02.0321.049-I</t>
  </si>
  <si>
    <t>Glazeniersgilde 18-20</t>
  </si>
  <si>
    <t>3994 BM</t>
  </si>
  <si>
    <t>pcbs school Het Mozaïek locatie het Gilde</t>
  </si>
  <si>
    <t>2019.02.0321.091-O</t>
  </si>
  <si>
    <t>Groene Hoon 1</t>
  </si>
  <si>
    <t>3991 LZ</t>
  </si>
  <si>
    <t>2019.02.0321.050-I</t>
  </si>
  <si>
    <t>Guldenslag 131</t>
  </si>
  <si>
    <t>3991 WE</t>
  </si>
  <si>
    <t>pcbs school Wereldwijs (de Vlaswiek )</t>
  </si>
  <si>
    <t>2019.02.0321.081-I</t>
  </si>
  <si>
    <t>Handboog 4</t>
  </si>
  <si>
    <t>3994 AD</t>
  </si>
  <si>
    <t>spec. onderwijs  Berg en Boschschool</t>
  </si>
  <si>
    <t>2019.02.0321.072-O</t>
  </si>
  <si>
    <t>Hefbrug 1</t>
  </si>
  <si>
    <t>3991 LB</t>
  </si>
  <si>
    <t>jongerencentrum Enter</t>
  </si>
  <si>
    <t>2019.02.0321.021-O</t>
  </si>
  <si>
    <t>Hefbrug 3</t>
  </si>
  <si>
    <t>Zwembad de Wetering</t>
  </si>
  <si>
    <t>2019.02.0321.019-I</t>
  </si>
  <si>
    <t>Hefbrug 5</t>
  </si>
  <si>
    <t>sporthal de Wetering</t>
  </si>
  <si>
    <t>2019.02.0321.020-O</t>
  </si>
  <si>
    <t>Hefbrug 7</t>
  </si>
  <si>
    <t>kleedaccommodatie korfbal "Victum" De Weteringhoek</t>
  </si>
  <si>
    <t>2019.02.0321.003-O</t>
  </si>
  <si>
    <t>Het Kant 3</t>
  </si>
  <si>
    <t>3995 DZ</t>
  </si>
  <si>
    <t>dependance gemeentehuis</t>
  </si>
  <si>
    <t>2019.02.0321-083-O</t>
  </si>
  <si>
    <t>Hofspoor 15</t>
  </si>
  <si>
    <t>3994 VZ</t>
  </si>
  <si>
    <t>woonhuis vm Geurts</t>
  </si>
  <si>
    <t>2019.02.0321.082-O</t>
  </si>
  <si>
    <t>Hofspoor 17</t>
  </si>
  <si>
    <t>schuur/loods vm Geurts</t>
  </si>
  <si>
    <t>2019.02.0321.064-I</t>
  </si>
  <si>
    <t>Horigenland 50</t>
  </si>
  <si>
    <t>3994 TK</t>
  </si>
  <si>
    <t>obs school Ridderspoor</t>
  </si>
  <si>
    <t>2019.02.0321.007-I</t>
  </si>
  <si>
    <t>Horigenland 51</t>
  </si>
  <si>
    <t>gymzaal Ridderspoor</t>
  </si>
  <si>
    <t>2019.020321.098-O</t>
  </si>
  <si>
    <t>Jachthoeve 27-29</t>
  </si>
  <si>
    <t>3992 NT</t>
  </si>
  <si>
    <t>afdak (ooit toestemming om daar te bouwen)</t>
  </si>
  <si>
    <t>2019.02.0321.051-I</t>
  </si>
  <si>
    <t>Jukveld 2</t>
  </si>
  <si>
    <t>3993 GA</t>
  </si>
  <si>
    <t>ger.school de Triangel</t>
  </si>
  <si>
    <t>2019.02.0321.026-I</t>
  </si>
  <si>
    <t>Keercamp 13</t>
  </si>
  <si>
    <t>3992 RV</t>
  </si>
  <si>
    <t>scc de Heuvel</t>
  </si>
  <si>
    <t>2019.02.0321.071-O</t>
  </si>
  <si>
    <t>Keercamp 15</t>
  </si>
  <si>
    <t>Kinderboerderij</t>
  </si>
  <si>
    <t>2019.02.0321.070-O</t>
  </si>
  <si>
    <t>Keercamp 17</t>
  </si>
  <si>
    <t>beheerdersgebouw speeltuin "Speelheuvel"</t>
  </si>
  <si>
    <t>2019.02.0321.052-I</t>
  </si>
  <si>
    <t>Korenmolen 2</t>
  </si>
  <si>
    <t>3995 AH</t>
  </si>
  <si>
    <t>Montessorischool locatie Oost</t>
  </si>
  <si>
    <t>2019.02.0321.087-I</t>
  </si>
  <si>
    <t>Kruisboog 1</t>
  </si>
  <si>
    <t>3994AE</t>
  </si>
  <si>
    <t xml:space="preserve">vmbo school Het Houtens </t>
  </si>
  <si>
    <t>2019.02.0321.017-O</t>
  </si>
  <si>
    <t>Kruisboog 14</t>
  </si>
  <si>
    <t>3994 AE</t>
  </si>
  <si>
    <t>clubgebouw WTC (Wieler Tour Club)</t>
  </si>
  <si>
    <t>2019.02.0321.011-I</t>
  </si>
  <si>
    <t>Kruisboog 15 17</t>
  </si>
  <si>
    <t>sporthal de Kruisboog ( taurus)</t>
  </si>
  <si>
    <t>2019.02.0321.012-I</t>
  </si>
  <si>
    <t>Kruisboog 2</t>
  </si>
  <si>
    <t>de Kruisboog Deltasport</t>
  </si>
  <si>
    <t>2019.02.0321.068-O</t>
  </si>
  <si>
    <t>Lobbendijk 1</t>
  </si>
  <si>
    <t>3991 EA</t>
  </si>
  <si>
    <t>gemeentetoren Houten</t>
  </si>
  <si>
    <t>2019.02.0321.054-I</t>
  </si>
  <si>
    <t>Loerikseweg 11A</t>
  </si>
  <si>
    <t>3991 AA</t>
  </si>
  <si>
    <t>Van Harte School</t>
  </si>
  <si>
    <t>2019.02.0321.010-I</t>
  </si>
  <si>
    <t>gymzaal Van Harte School</t>
  </si>
  <si>
    <t>2019.02.0321.027-O</t>
  </si>
  <si>
    <t>Meerkoetweide 39</t>
  </si>
  <si>
    <t>3993 EB</t>
  </si>
  <si>
    <t>scc de Meerkoet</t>
  </si>
  <si>
    <t>2019.02.0321.097-I</t>
  </si>
  <si>
    <t>Meidoornkade 26</t>
  </si>
  <si>
    <t>3992 AE</t>
  </si>
  <si>
    <t>ijsbaangebouwtje</t>
  </si>
  <si>
    <t>2019.02.0321.092-I</t>
  </si>
  <si>
    <t>Merantihout 14</t>
  </si>
  <si>
    <t>houten</t>
  </si>
  <si>
    <t>3991 MW</t>
  </si>
  <si>
    <t>2019.02.0321.093-O</t>
  </si>
  <si>
    <t>Onderdoor 15-19</t>
  </si>
  <si>
    <t>3991 DW</t>
  </si>
  <si>
    <t>Commerciele ruimten</t>
  </si>
  <si>
    <t>2019.02.0321.094-O</t>
  </si>
  <si>
    <t>Onderdoor 158-160</t>
  </si>
  <si>
    <t>3995 DX</t>
  </si>
  <si>
    <t>Bibliotheek</t>
  </si>
  <si>
    <t>premier risque</t>
  </si>
  <si>
    <t>Onderdoor 16-23/Het Kant 2</t>
  </si>
  <si>
    <t>3995 DW</t>
  </si>
  <si>
    <t>premier risque vervangende ruimte 12,5% bijzonder onderwijs</t>
  </si>
  <si>
    <t>premier risque vervangende ruimte 12,5% bijzonder speciaal onderwijs</t>
  </si>
  <si>
    <t>premier risque vervangende ruimte 12,5% bijzonder voortgezet onderwijs</t>
  </si>
  <si>
    <t>premier risque vervangende ruimte 12,5% openbaar onderwijs</t>
  </si>
  <si>
    <t>2019.02.0321.002-I</t>
  </si>
  <si>
    <t>Onderdoor 25/Het Kant 2</t>
  </si>
  <si>
    <t>gemeentehuis</t>
  </si>
  <si>
    <t>premier risque vervangende ruimte 50% gemeentehuis</t>
  </si>
  <si>
    <t>2019.02.0321.088-I</t>
  </si>
  <si>
    <t>Onderdoor 82</t>
  </si>
  <si>
    <t>Fietstransferium Centrum</t>
  </si>
  <si>
    <t>2019.02.0321.075-I</t>
  </si>
  <si>
    <t>Oudwulfseweg 6</t>
  </si>
  <si>
    <t>3992 LT</t>
  </si>
  <si>
    <t xml:space="preserve">begraafplaats Oud Wulven </t>
  </si>
  <si>
    <t>2019.02.0321.018-O</t>
  </si>
  <si>
    <t>Oudwulfseweg ongen 2</t>
  </si>
  <si>
    <t>Kleed-waslokalen sportvelden Oud Wulven (SV Houten)</t>
  </si>
  <si>
    <t>2019.02.0321.015-I</t>
  </si>
  <si>
    <t>Papiermolen 3</t>
  </si>
  <si>
    <t>3994 DJ</t>
  </si>
  <si>
    <t>sporthal " de Molenwiek "</t>
  </si>
  <si>
    <t>2019.02.0321.085-I</t>
  </si>
  <si>
    <t>Plantagepolder 2 t/m 8</t>
  </si>
  <si>
    <t>3991 ZE</t>
  </si>
  <si>
    <t>schoolwoningen de Plantage</t>
  </si>
  <si>
    <t>2019.02.0321.076-I</t>
  </si>
  <si>
    <t xml:space="preserve">Pr. Ireneweg ongen </t>
  </si>
  <si>
    <t>3991 BE</t>
  </si>
  <si>
    <t>gebouwtje begraafplaats + hekwerkpoort</t>
  </si>
  <si>
    <t>3994 MB</t>
  </si>
  <si>
    <t>2017.09.0321.003-I</t>
  </si>
  <si>
    <t>Raaigras 101C</t>
  </si>
  <si>
    <t>gymzaal Limes</t>
  </si>
  <si>
    <t>2017.09.0321.001-I</t>
  </si>
  <si>
    <t>Raaigras 101</t>
  </si>
  <si>
    <t>bs Limes Aventurijn</t>
  </si>
  <si>
    <t>2014.04.0321.001-O</t>
  </si>
  <si>
    <t>Brede school Limes (incl.kinderdagverblijf en gymzaal)</t>
  </si>
  <si>
    <t>2019.02.0321.001-O</t>
  </si>
  <si>
    <t>Randhoeve 6</t>
  </si>
  <si>
    <t>3995 GA</t>
  </si>
  <si>
    <t>Parkeergarage naast gemeentehuis/spoor</t>
  </si>
  <si>
    <t>2019.02.0321.008-I</t>
  </si>
  <si>
    <t>Ridderborch 145</t>
  </si>
  <si>
    <t>3992 BK</t>
  </si>
  <si>
    <t>gymzaal de Bijenkorf</t>
  </si>
  <si>
    <t>2019.02.0321.065-I</t>
  </si>
  <si>
    <t>Riddersborch 143</t>
  </si>
  <si>
    <t>obs school de Bijenkorf</t>
  </si>
  <si>
    <t>2019.02.0321.056-I</t>
  </si>
  <si>
    <t>Scherpencamp 1-2</t>
  </si>
  <si>
    <t>3992 LB</t>
  </si>
  <si>
    <t xml:space="preserve">rk school de Zevensprong </t>
  </si>
  <si>
    <t>2019.02.0321.095-O</t>
  </si>
  <si>
    <t>Speenkruidhof 11</t>
  </si>
  <si>
    <t>3991 GM</t>
  </si>
  <si>
    <t>zorgunit WMO</t>
  </si>
  <si>
    <t>2019.02.0321.057-I</t>
  </si>
  <si>
    <t>Tappersgilde 22</t>
  </si>
  <si>
    <t>3994 CG</t>
  </si>
  <si>
    <t xml:space="preserve">rk school 't Schoolhuys </t>
  </si>
  <si>
    <t>niet getaxeerd</t>
  </si>
  <si>
    <t>noodlokaal rk school 't Schoolhuys</t>
  </si>
  <si>
    <t>2019.02.0321.096-I</t>
  </si>
  <si>
    <t>Tuibrug 10</t>
  </si>
  <si>
    <t>3991 LC</t>
  </si>
  <si>
    <t>pcbs Johannes Bogermanschool</t>
  </si>
  <si>
    <t>2019.02.0321.034-I</t>
  </si>
  <si>
    <t>Vikingenpoort 30</t>
  </si>
  <si>
    <t>3991 JS</t>
  </si>
  <si>
    <t>dependance Montessorischool (loc.West)</t>
  </si>
  <si>
    <t>2019.02.0321.031-O</t>
  </si>
  <si>
    <t>Zijdemos 30</t>
  </si>
  <si>
    <t>3994 KE</t>
  </si>
  <si>
    <t>2019.02.0321.084-I</t>
  </si>
  <si>
    <t>Zonnehout 36</t>
  </si>
  <si>
    <t>3991 MX</t>
  </si>
  <si>
    <t>scc Schoneveld</t>
  </si>
  <si>
    <t>2019.02.0321.067-O</t>
  </si>
  <si>
    <t>Brink 10</t>
  </si>
  <si>
    <t>Schalkwijk</t>
  </si>
  <si>
    <t>3998 JL</t>
  </si>
  <si>
    <t>gemeentetoren Schalkwijk (Brinkkerk)</t>
  </si>
  <si>
    <t>2019.02.0321.086-O</t>
  </si>
  <si>
    <t xml:space="preserve">De Wiese 2 </t>
  </si>
  <si>
    <t>3998 MD</t>
  </si>
  <si>
    <t>scc  De Wiese</t>
  </si>
  <si>
    <t>2019.02.0321.053-I</t>
  </si>
  <si>
    <t>Lagedijk 17</t>
  </si>
  <si>
    <t>3998 KA</t>
  </si>
  <si>
    <t>rk lbo school St. Michiel</t>
  </si>
  <si>
    <t>2016.03.0321.072-O</t>
  </si>
  <si>
    <t>Lekdijk 56a</t>
  </si>
  <si>
    <t>3998 NJ</t>
  </si>
  <si>
    <t>woonhuis (bij Fort Lunet aan de Snel)</t>
  </si>
  <si>
    <t>2019.02.0321.043-O</t>
  </si>
  <si>
    <t>Schalkwijkseweg 32</t>
  </si>
  <si>
    <t>3998 LZ</t>
  </si>
  <si>
    <t>Brandweerkazerne Schalkwijk</t>
  </si>
  <si>
    <t>2019.02.0321.059-I</t>
  </si>
  <si>
    <t>Waalseweg 58</t>
  </si>
  <si>
    <t>Tull en 't waal</t>
  </si>
  <si>
    <t>3999 NR</t>
  </si>
  <si>
    <t>pcbs school met Bijbel / Het Mozaiek</t>
  </si>
  <si>
    <t>2019.02.0321.069-O</t>
  </si>
  <si>
    <t>Waalseweg 71</t>
  </si>
  <si>
    <t>3999 NT</t>
  </si>
  <si>
    <t>gemeentetoren Tull en 't Waal</t>
  </si>
  <si>
    <t>2019.02.0321.030-O</t>
  </si>
  <si>
    <t>Kerkebogerd 1A</t>
  </si>
  <si>
    <t>3999 NK</t>
  </si>
  <si>
    <t>scc Het Gebouw</t>
  </si>
  <si>
    <t xml:space="preserve">Streektransferium Linielanding </t>
  </si>
  <si>
    <t>Linielanding</t>
  </si>
  <si>
    <t>Beusichemseweg 7</t>
  </si>
  <si>
    <t xml:space="preserve">Loods Van Dijk </t>
  </si>
  <si>
    <t>Hefbrug 9</t>
  </si>
  <si>
    <t>Montessorischool</t>
  </si>
  <si>
    <t>Zonnepanelen</t>
  </si>
  <si>
    <t>Leegstand</t>
  </si>
  <si>
    <t>Afwijkende bouwaard</t>
  </si>
  <si>
    <t>taxatierapport</t>
  </si>
  <si>
    <t xml:space="preserve">adres </t>
  </si>
  <si>
    <t>postcode</t>
  </si>
  <si>
    <t>plaats</t>
  </si>
  <si>
    <t>omschrijving</t>
  </si>
  <si>
    <t>gebouwen</t>
  </si>
  <si>
    <t>inventaris</t>
  </si>
  <si>
    <t>totaal verzekerde 
som excl.btw</t>
  </si>
  <si>
    <t>Ja</t>
  </si>
  <si>
    <t>ja</t>
  </si>
  <si>
    <t>Preventiemaatregelen</t>
  </si>
  <si>
    <t>Asbest</t>
  </si>
  <si>
    <t>Kans</t>
  </si>
  <si>
    <t>Geen</t>
  </si>
  <si>
    <t xml:space="preserve">Kans </t>
  </si>
  <si>
    <t>geen</t>
  </si>
  <si>
    <t>Multifunctionele accommodatie Meerpaal</t>
  </si>
  <si>
    <t>scc Vuurtoren (tijdelijk omgebouwd naar opvanglocatie vluchtelingen Oekraine)</t>
  </si>
  <si>
    <t>schoolwoningen de Stek (tijdelijk omgebouwd naar opvanglocatie vluchtelingen Oekraine)</t>
  </si>
  <si>
    <t>Inbraakinstallatie</t>
  </si>
  <si>
    <t>Doormelding</t>
  </si>
  <si>
    <t>Brandmeldings- en/of ontruimingsinstallatie</t>
  </si>
  <si>
    <t>Keuring NEN3140</t>
  </si>
  <si>
    <t>Monument</t>
  </si>
  <si>
    <t>Ja 50%</t>
  </si>
  <si>
    <t>Recycled materiaal</t>
  </si>
  <si>
    <t>Bitumen/hsb bouw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</si>
</sst>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44" fontId="4" fillId="2" borderId="2" xfId="1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wrapText="1" shrinkToFit="1"/>
    </xf>
    <xf numFmtId="0" fontId="0" fillId="0" borderId="0" xfId="0" applyAlignment="1"/>
    <xf numFmtId="0" fontId="4" fillId="2" borderId="3" xfId="0" applyFont="1" applyFill="1" applyBorder="1"/>
    <xf numFmtId="0" fontId="4" fillId="2" borderId="3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/>
    <xf numFmtId="0" fontId="5" fillId="0" borderId="1" xfId="0" applyFont="1" applyBorder="1" applyAlignment="1">
      <alignment wrapText="1" shrinkToFit="1"/>
    </xf>
    <xf numFmtId="44" fontId="5" fillId="0" borderId="1" xfId="0" applyNumberFormat="1" applyFont="1" applyBorder="1" applyAlignment="1">
      <alignment shrinkToFit="1"/>
    </xf>
    <xf numFmtId="44" fontId="6" fillId="0" borderId="1" xfId="0" applyNumberFormat="1" applyFont="1" applyBorder="1" applyAlignment="1"/>
    <xf numFmtId="0" fontId="0" fillId="0" borderId="1" xfId="0" applyBorder="1" applyAlignment="1">
      <alignment horizontal="left"/>
    </xf>
    <xf numFmtId="0" fontId="0" fillId="0" borderId="1" xfId="0" applyBorder="1"/>
    <xf numFmtId="0" fontId="5" fillId="0" borderId="1" xfId="0" quotePrefix="1" applyFont="1" applyBorder="1" applyAlignment="1"/>
    <xf numFmtId="44" fontId="5" fillId="0" borderId="1" xfId="0" applyNumberFormat="1" applyFont="1" applyBorder="1" applyAlignment="1"/>
    <xf numFmtId="0" fontId="5" fillId="0" borderId="1" xfId="0" applyFont="1" applyFill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5" xfId="0" applyFont="1" applyBorder="1" applyAlignment="1"/>
    <xf numFmtId="0" fontId="5" fillId="0" borderId="5" xfId="0" applyFont="1" applyBorder="1" applyAlignment="1">
      <alignment wrapText="1" shrinkToFit="1"/>
    </xf>
    <xf numFmtId="44" fontId="5" fillId="0" borderId="5" xfId="0" applyNumberFormat="1" applyFont="1" applyBorder="1" applyAlignment="1">
      <alignment shrinkToFit="1"/>
    </xf>
    <xf numFmtId="44" fontId="6" fillId="0" borderId="5" xfId="0" applyNumberFormat="1" applyFont="1" applyBorder="1" applyAlignment="1"/>
    <xf numFmtId="0" fontId="0" fillId="0" borderId="5" xfId="0" applyBorder="1" applyAlignment="1">
      <alignment horizontal="left"/>
    </xf>
    <xf numFmtId="0" fontId="0" fillId="0" borderId="5" xfId="0" applyBorder="1"/>
    <xf numFmtId="44" fontId="1" fillId="0" borderId="0" xfId="0" applyNumberFormat="1" applyFont="1" applyFill="1" applyAlignment="1"/>
    <xf numFmtId="44" fontId="2" fillId="0" borderId="0" xfId="0" applyNumberFormat="1" applyFont="1" applyFill="1" applyAlignment="1"/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5" fillId="0" borderId="0" xfId="0" applyFont="1" applyFill="1" applyBorder="1" applyAlignment="1">
      <alignment wrapText="1" shrinkToFit="1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right" vertical="center"/>
    </xf>
    <xf numFmtId="0" fontId="4" fillId="2" borderId="3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0" fillId="0" borderId="9" xfId="0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E6A79-2CFB-4923-AA92-F56744E86C45}">
  <dimension ref="A1:Q114"/>
  <sheetViews>
    <sheetView tabSelected="1" topLeftCell="B1" zoomScaleNormal="100" workbookViewId="0">
      <selection activeCell="K91" sqref="K91"/>
    </sheetView>
  </sheetViews>
  <sheetFormatPr defaultRowHeight="12.75" x14ac:dyDescent="0.2"/>
  <cols>
    <col min="1" max="1" width="19.5703125" style="1" bestFit="1" customWidth="1"/>
    <col min="2" max="2" width="27" style="9" bestFit="1" customWidth="1"/>
    <col min="3" max="3" width="12.140625" style="9" bestFit="1" customWidth="1"/>
    <col min="4" max="4" width="12.140625" style="9" customWidth="1"/>
    <col min="5" max="5" width="76.28515625" style="9" bestFit="1" customWidth="1"/>
    <col min="6" max="6" width="16.28515625" style="9" bestFit="1" customWidth="1"/>
    <col min="7" max="7" width="17.42578125" style="9" bestFit="1" customWidth="1"/>
    <col min="8" max="8" width="19" style="9" customWidth="1"/>
    <col min="9" max="9" width="14.140625" style="1" bestFit="1" customWidth="1"/>
    <col min="10" max="10" width="10.42578125" bestFit="1" customWidth="1"/>
    <col min="11" max="11" width="26" bestFit="1" customWidth="1"/>
    <col min="12" max="12" width="21.7109375" bestFit="1" customWidth="1"/>
    <col min="13" max="13" width="6.85546875" bestFit="1" customWidth="1"/>
    <col min="14" max="14" width="20.85546875" bestFit="1" customWidth="1"/>
    <col min="15" max="15" width="16.85546875" bestFit="1" customWidth="1"/>
    <col min="16" max="16" width="12.7109375" customWidth="1"/>
    <col min="17" max="17" width="11.42578125" customWidth="1"/>
  </cols>
  <sheetData>
    <row r="1" spans="1:17" ht="26.25" thickBot="1" x14ac:dyDescent="0.25">
      <c r="A1" s="2" t="s">
        <v>350</v>
      </c>
      <c r="B1" s="3" t="s">
        <v>351</v>
      </c>
      <c r="C1" s="3" t="s">
        <v>352</v>
      </c>
      <c r="D1" s="3" t="s">
        <v>353</v>
      </c>
      <c r="E1" s="3" t="s">
        <v>354</v>
      </c>
      <c r="F1" s="4" t="s">
        <v>356</v>
      </c>
      <c r="G1" s="4" t="s">
        <v>355</v>
      </c>
      <c r="H1" s="5" t="s">
        <v>357</v>
      </c>
      <c r="I1" s="11" t="s">
        <v>347</v>
      </c>
      <c r="J1" s="10" t="s">
        <v>348</v>
      </c>
      <c r="K1" s="10" t="s">
        <v>349</v>
      </c>
      <c r="L1" s="10" t="s">
        <v>360</v>
      </c>
      <c r="M1" s="10" t="s">
        <v>361</v>
      </c>
      <c r="N1" s="39" t="s">
        <v>371</v>
      </c>
      <c r="O1" s="39" t="s">
        <v>369</v>
      </c>
      <c r="P1" s="39" t="s">
        <v>370</v>
      </c>
      <c r="Q1" s="40" t="s">
        <v>373</v>
      </c>
    </row>
    <row r="2" spans="1:17" ht="12.75" customHeight="1" x14ac:dyDescent="0.2">
      <c r="A2" s="22" t="s">
        <v>0</v>
      </c>
      <c r="B2" s="23" t="s">
        <v>1</v>
      </c>
      <c r="C2" s="23" t="s">
        <v>3</v>
      </c>
      <c r="D2" s="23" t="s">
        <v>2</v>
      </c>
      <c r="E2" s="24" t="s">
        <v>4</v>
      </c>
      <c r="F2" s="25">
        <f>238374*1.069</f>
        <v>254821.80599999998</v>
      </c>
      <c r="G2" s="25">
        <f>1123678.5*1.076</f>
        <v>1209078.0660000001</v>
      </c>
      <c r="H2" s="26">
        <f t="shared" ref="H2:H30" si="0">SUM(F2+G2)</f>
        <v>1463899.872</v>
      </c>
      <c r="I2" s="27"/>
      <c r="J2" s="28"/>
      <c r="K2" s="37"/>
      <c r="L2" s="41"/>
      <c r="M2" s="28" t="s">
        <v>362</v>
      </c>
      <c r="N2" s="28"/>
      <c r="O2" s="28"/>
      <c r="P2" s="28"/>
      <c r="Q2" s="28"/>
    </row>
    <row r="3" spans="1:17" ht="12.75" customHeight="1" x14ac:dyDescent="0.2">
      <c r="A3" s="12" t="s">
        <v>5</v>
      </c>
      <c r="B3" s="13" t="s">
        <v>6</v>
      </c>
      <c r="C3" s="13" t="s">
        <v>7</v>
      </c>
      <c r="D3" s="13" t="s">
        <v>2</v>
      </c>
      <c r="E3" s="14" t="s">
        <v>8</v>
      </c>
      <c r="F3" s="15">
        <v>0</v>
      </c>
      <c r="G3" s="15">
        <f>984556.4*1.076</f>
        <v>1059382.6864</v>
      </c>
      <c r="H3" s="16">
        <f t="shared" si="0"/>
        <v>1059382.6864</v>
      </c>
      <c r="I3" s="17"/>
      <c r="J3" s="18"/>
      <c r="K3" s="36"/>
      <c r="L3" s="36"/>
      <c r="M3" s="18" t="s">
        <v>362</v>
      </c>
      <c r="N3" s="18"/>
      <c r="O3" s="18"/>
      <c r="P3" s="18"/>
      <c r="Q3" s="18"/>
    </row>
    <row r="4" spans="1:17" ht="12.75" customHeight="1" x14ac:dyDescent="0.2">
      <c r="A4" s="12" t="s">
        <v>9</v>
      </c>
      <c r="B4" s="13" t="s">
        <v>10</v>
      </c>
      <c r="C4" s="13" t="s">
        <v>11</v>
      </c>
      <c r="D4" s="13" t="s">
        <v>2</v>
      </c>
      <c r="E4" s="14" t="s">
        <v>12</v>
      </c>
      <c r="F4" s="15">
        <v>0</v>
      </c>
      <c r="G4" s="15">
        <f>593944*1.076</f>
        <v>639083.74400000006</v>
      </c>
      <c r="H4" s="16">
        <f t="shared" si="0"/>
        <v>639083.74400000006</v>
      </c>
      <c r="I4" s="17"/>
      <c r="J4" s="18"/>
      <c r="K4" s="36"/>
      <c r="L4" s="36"/>
      <c r="M4" s="18" t="s">
        <v>362</v>
      </c>
      <c r="N4" s="18"/>
      <c r="O4" s="18"/>
      <c r="P4" s="18"/>
      <c r="Q4" s="18"/>
    </row>
    <row r="5" spans="1:17" ht="12.75" customHeight="1" x14ac:dyDescent="0.2">
      <c r="A5" s="12" t="s">
        <v>13</v>
      </c>
      <c r="B5" s="13" t="s">
        <v>14</v>
      </c>
      <c r="C5" s="13" t="s">
        <v>16</v>
      </c>
      <c r="D5" s="13" t="s">
        <v>15</v>
      </c>
      <c r="E5" s="14" t="s">
        <v>17</v>
      </c>
      <c r="F5" s="15">
        <v>0</v>
      </c>
      <c r="G5" s="15">
        <f>197981*1.076</f>
        <v>213027.55600000001</v>
      </c>
      <c r="H5" s="16">
        <f t="shared" si="0"/>
        <v>213027.55600000001</v>
      </c>
      <c r="I5" s="17"/>
      <c r="J5" s="18"/>
      <c r="K5" s="36"/>
      <c r="L5" s="36"/>
      <c r="M5" s="18" t="s">
        <v>363</v>
      </c>
      <c r="N5" s="18"/>
      <c r="O5" s="18"/>
      <c r="P5" s="18"/>
      <c r="Q5" s="18"/>
    </row>
    <row r="6" spans="1:17" ht="12.75" customHeight="1" x14ac:dyDescent="0.2">
      <c r="A6" s="12" t="s">
        <v>18</v>
      </c>
      <c r="B6" s="13" t="s">
        <v>19</v>
      </c>
      <c r="C6" s="13" t="s">
        <v>20</v>
      </c>
      <c r="D6" s="13" t="s">
        <v>15</v>
      </c>
      <c r="E6" s="14" t="s">
        <v>21</v>
      </c>
      <c r="F6" s="15">
        <f>522953.53*1.069</f>
        <v>559037.32357000001</v>
      </c>
      <c r="G6" s="15">
        <f>2001217.9*1.076</f>
        <v>2153310.4604000002</v>
      </c>
      <c r="H6" s="16">
        <f>SUM(F6+G6)</f>
        <v>2712347.7839700002</v>
      </c>
      <c r="I6" s="17"/>
      <c r="J6" s="18"/>
      <c r="K6" s="36"/>
      <c r="L6" s="36"/>
      <c r="M6" s="18"/>
      <c r="N6" s="18"/>
      <c r="O6" s="18"/>
      <c r="P6" s="18"/>
      <c r="Q6" s="18"/>
    </row>
    <row r="7" spans="1:17" ht="12.75" customHeight="1" x14ac:dyDescent="0.2">
      <c r="A7" s="12" t="s">
        <v>22</v>
      </c>
      <c r="B7" s="13" t="s">
        <v>23</v>
      </c>
      <c r="C7" s="13" t="s">
        <v>24</v>
      </c>
      <c r="D7" s="19" t="s">
        <v>15</v>
      </c>
      <c r="E7" s="14" t="s">
        <v>25</v>
      </c>
      <c r="F7" s="15">
        <v>0</v>
      </c>
      <c r="G7" s="15">
        <f>508331*1.076</f>
        <v>546964.15600000008</v>
      </c>
      <c r="H7" s="16">
        <f>SUM(F7:G7)</f>
        <v>546964.15600000008</v>
      </c>
      <c r="I7" s="17"/>
      <c r="J7" s="18"/>
      <c r="K7" s="36"/>
      <c r="L7" s="36"/>
      <c r="M7" s="18" t="s">
        <v>363</v>
      </c>
      <c r="N7" s="18" t="s">
        <v>358</v>
      </c>
      <c r="O7" s="18" t="s">
        <v>358</v>
      </c>
      <c r="P7" s="18" t="s">
        <v>358</v>
      </c>
      <c r="Q7" s="18"/>
    </row>
    <row r="8" spans="1:17" ht="12.75" customHeight="1" x14ac:dyDescent="0.2">
      <c r="A8" s="12" t="s">
        <v>26</v>
      </c>
      <c r="B8" s="13" t="s">
        <v>27</v>
      </c>
      <c r="C8" s="13" t="s">
        <v>28</v>
      </c>
      <c r="D8" s="13" t="s">
        <v>15</v>
      </c>
      <c r="E8" s="14" t="s">
        <v>29</v>
      </c>
      <c r="F8" s="15">
        <f>1044857*1.069</f>
        <v>1116952.1329999999</v>
      </c>
      <c r="G8" s="15">
        <f>3504147*1.076</f>
        <v>3770462.1720000003</v>
      </c>
      <c r="H8" s="16">
        <f t="shared" si="0"/>
        <v>4887414.3049999997</v>
      </c>
      <c r="I8" s="17" t="s">
        <v>359</v>
      </c>
      <c r="J8" s="18"/>
      <c r="K8" s="36"/>
      <c r="L8" s="36"/>
      <c r="M8" s="18" t="s">
        <v>363</v>
      </c>
      <c r="N8" s="18"/>
      <c r="O8" s="18"/>
      <c r="P8" s="18"/>
      <c r="Q8" s="18"/>
    </row>
    <row r="9" spans="1:17" ht="12.75" customHeight="1" x14ac:dyDescent="0.2">
      <c r="A9" s="12" t="s">
        <v>30</v>
      </c>
      <c r="B9" s="13" t="s">
        <v>31</v>
      </c>
      <c r="C9" s="13" t="s">
        <v>28</v>
      </c>
      <c r="D9" s="13" t="s">
        <v>15</v>
      </c>
      <c r="E9" s="14" t="s">
        <v>32</v>
      </c>
      <c r="F9" s="15">
        <v>0</v>
      </c>
      <c r="G9" s="15">
        <f>428068*1.076</f>
        <v>460601.16800000001</v>
      </c>
      <c r="H9" s="16">
        <f t="shared" si="0"/>
        <v>460601.16800000001</v>
      </c>
      <c r="I9" s="17"/>
      <c r="J9" s="18"/>
      <c r="K9" s="36"/>
      <c r="L9" s="36"/>
      <c r="M9" s="18" t="s">
        <v>363</v>
      </c>
      <c r="N9" s="18"/>
      <c r="O9" s="18"/>
      <c r="P9" s="18"/>
      <c r="Q9" s="18"/>
    </row>
    <row r="10" spans="1:17" ht="12.75" customHeight="1" x14ac:dyDescent="0.2">
      <c r="A10" s="12" t="s">
        <v>33</v>
      </c>
      <c r="B10" s="13" t="s">
        <v>34</v>
      </c>
      <c r="C10" s="13" t="s">
        <v>28</v>
      </c>
      <c r="D10" s="13" t="s">
        <v>15</v>
      </c>
      <c r="E10" s="14" t="s">
        <v>35</v>
      </c>
      <c r="F10" s="15">
        <f>84008.6*1.069</f>
        <v>89805.193400000004</v>
      </c>
      <c r="G10" s="15">
        <f>749119*1.076</f>
        <v>806052.04399999999</v>
      </c>
      <c r="H10" s="16">
        <f t="shared" si="0"/>
        <v>895857.23739999998</v>
      </c>
      <c r="I10" s="17"/>
      <c r="J10" s="18"/>
      <c r="K10" s="36"/>
      <c r="L10" s="36"/>
      <c r="M10" s="18" t="s">
        <v>363</v>
      </c>
      <c r="N10" s="18"/>
      <c r="O10" s="18"/>
      <c r="P10" s="18"/>
      <c r="Q10" s="18"/>
    </row>
    <row r="11" spans="1:17" ht="12.75" customHeight="1" x14ac:dyDescent="0.2">
      <c r="A11" s="12" t="s">
        <v>36</v>
      </c>
      <c r="B11" s="13" t="s">
        <v>37</v>
      </c>
      <c r="C11" s="13" t="s">
        <v>38</v>
      </c>
      <c r="D11" s="13" t="s">
        <v>15</v>
      </c>
      <c r="E11" s="14" t="s">
        <v>39</v>
      </c>
      <c r="F11" s="15">
        <v>0</v>
      </c>
      <c r="G11" s="15">
        <f>51368*1.076</f>
        <v>55271.968000000001</v>
      </c>
      <c r="H11" s="16">
        <f t="shared" si="0"/>
        <v>55271.968000000001</v>
      </c>
      <c r="I11" s="17"/>
      <c r="J11" s="18"/>
      <c r="K11" s="36"/>
      <c r="L11" s="36"/>
      <c r="M11" s="18" t="s">
        <v>363</v>
      </c>
      <c r="N11" s="18"/>
      <c r="O11" s="18"/>
      <c r="P11" s="18"/>
      <c r="Q11" s="18"/>
    </row>
    <row r="12" spans="1:17" ht="12.75" customHeight="1" x14ac:dyDescent="0.2">
      <c r="A12" s="12" t="s">
        <v>40</v>
      </c>
      <c r="B12" s="13" t="s">
        <v>41</v>
      </c>
      <c r="C12" s="13" t="s">
        <v>42</v>
      </c>
      <c r="D12" s="13" t="s">
        <v>15</v>
      </c>
      <c r="E12" s="14" t="s">
        <v>43</v>
      </c>
      <c r="F12" s="15">
        <v>0</v>
      </c>
      <c r="G12" s="15">
        <f>294896*1.076</f>
        <v>317308.09600000002</v>
      </c>
      <c r="H12" s="16">
        <f t="shared" si="0"/>
        <v>317308.09600000002</v>
      </c>
      <c r="I12" s="17"/>
      <c r="J12" s="18"/>
      <c r="K12" s="36"/>
      <c r="L12" s="36"/>
      <c r="M12" s="18" t="s">
        <v>362</v>
      </c>
      <c r="N12" s="18"/>
      <c r="O12" s="18"/>
      <c r="P12" s="18"/>
      <c r="Q12" s="18"/>
    </row>
    <row r="13" spans="1:17" ht="12.75" customHeight="1" x14ac:dyDescent="0.2">
      <c r="A13" s="12" t="s">
        <v>44</v>
      </c>
      <c r="B13" s="13" t="s">
        <v>45</v>
      </c>
      <c r="C13" s="13" t="s">
        <v>46</v>
      </c>
      <c r="D13" s="13" t="s">
        <v>15</v>
      </c>
      <c r="E13" s="14" t="s">
        <v>47</v>
      </c>
      <c r="F13" s="15">
        <v>0</v>
      </c>
      <c r="G13" s="15">
        <f>477730*1.076</f>
        <v>514037.48000000004</v>
      </c>
      <c r="H13" s="16">
        <f t="shared" si="0"/>
        <v>514037.48000000004</v>
      </c>
      <c r="I13" s="17" t="s">
        <v>359</v>
      </c>
      <c r="J13" s="18"/>
      <c r="K13" s="36"/>
      <c r="L13" s="36"/>
      <c r="M13" s="18" t="s">
        <v>362</v>
      </c>
      <c r="N13" s="18"/>
      <c r="O13" s="18" t="s">
        <v>358</v>
      </c>
      <c r="P13" s="18" t="s">
        <v>358</v>
      </c>
      <c r="Q13" s="18"/>
    </row>
    <row r="14" spans="1:17" ht="12.75" customHeight="1" x14ac:dyDescent="0.2">
      <c r="A14" s="12" t="s">
        <v>48</v>
      </c>
      <c r="B14" s="13" t="s">
        <v>49</v>
      </c>
      <c r="C14" s="13" t="s">
        <v>50</v>
      </c>
      <c r="D14" s="13" t="s">
        <v>15</v>
      </c>
      <c r="E14" s="14" t="s">
        <v>51</v>
      </c>
      <c r="F14" s="15">
        <v>0</v>
      </c>
      <c r="G14" s="15">
        <f>401058*1.076</f>
        <v>431538.40800000005</v>
      </c>
      <c r="H14" s="16">
        <f t="shared" si="0"/>
        <v>431538.40800000005</v>
      </c>
      <c r="I14" s="17"/>
      <c r="J14" s="18"/>
      <c r="K14" s="36"/>
      <c r="L14" s="36"/>
      <c r="M14" s="18" t="s">
        <v>362</v>
      </c>
      <c r="N14" s="18"/>
      <c r="O14" s="18"/>
      <c r="P14" s="18"/>
      <c r="Q14" s="18"/>
    </row>
    <row r="15" spans="1:17" ht="12.75" customHeight="1" x14ac:dyDescent="0.2">
      <c r="A15" s="12" t="s">
        <v>52</v>
      </c>
      <c r="B15" s="13" t="s">
        <v>53</v>
      </c>
      <c r="C15" s="13" t="s">
        <v>54</v>
      </c>
      <c r="D15" s="13" t="s">
        <v>15</v>
      </c>
      <c r="E15" s="14" t="s">
        <v>55</v>
      </c>
      <c r="F15" s="15">
        <v>0</v>
      </c>
      <c r="G15" s="15">
        <f>18873*1.076</f>
        <v>20307.348000000002</v>
      </c>
      <c r="H15" s="16">
        <f t="shared" si="0"/>
        <v>20307.348000000002</v>
      </c>
      <c r="I15" s="17"/>
      <c r="J15" s="18"/>
      <c r="K15" s="36"/>
      <c r="L15" s="36"/>
      <c r="M15" s="18" t="s">
        <v>362</v>
      </c>
      <c r="N15" s="18"/>
      <c r="O15" s="18"/>
      <c r="P15" s="18"/>
      <c r="Q15" s="18"/>
    </row>
    <row r="16" spans="1:17" ht="12.75" customHeight="1" x14ac:dyDescent="0.2">
      <c r="A16" s="12" t="s">
        <v>56</v>
      </c>
      <c r="B16" s="13" t="s">
        <v>57</v>
      </c>
      <c r="C16" s="13" t="s">
        <v>54</v>
      </c>
      <c r="D16" s="13" t="s">
        <v>15</v>
      </c>
      <c r="E16" s="14" t="s">
        <v>58</v>
      </c>
      <c r="F16" s="15">
        <f>540805*1.069</f>
        <v>578120.54499999993</v>
      </c>
      <c r="G16" s="15">
        <v>0</v>
      </c>
      <c r="H16" s="16">
        <f>SUM(F16:G16)</f>
        <v>578120.54499999993</v>
      </c>
      <c r="I16" s="17"/>
      <c r="J16" s="18"/>
      <c r="K16" s="36"/>
      <c r="L16" s="36"/>
      <c r="M16" s="18" t="s">
        <v>363</v>
      </c>
      <c r="N16" s="18"/>
      <c r="O16" s="18"/>
      <c r="P16" s="18"/>
      <c r="Q16" s="18"/>
    </row>
    <row r="17" spans="1:17" ht="12.75" customHeight="1" x14ac:dyDescent="0.2">
      <c r="A17" s="12" t="s">
        <v>59</v>
      </c>
      <c r="B17" s="13" t="s">
        <v>60</v>
      </c>
      <c r="C17" s="13" t="s">
        <v>42</v>
      </c>
      <c r="D17" s="13" t="s">
        <v>15</v>
      </c>
      <c r="E17" s="13" t="s">
        <v>61</v>
      </c>
      <c r="F17" s="15">
        <v>0</v>
      </c>
      <c r="G17" s="15">
        <f>1546396*1.076</f>
        <v>1663922.0960000001</v>
      </c>
      <c r="H17" s="16">
        <f t="shared" si="0"/>
        <v>1663922.0960000001</v>
      </c>
      <c r="I17" s="17" t="s">
        <v>359</v>
      </c>
      <c r="J17" s="18"/>
      <c r="K17" s="36" t="s">
        <v>375</v>
      </c>
      <c r="L17" s="36"/>
      <c r="M17" s="18" t="s">
        <v>363</v>
      </c>
      <c r="N17" s="18"/>
      <c r="O17" s="18" t="s">
        <v>358</v>
      </c>
      <c r="P17" s="18"/>
      <c r="Q17" s="18"/>
    </row>
    <row r="18" spans="1:17" ht="12.75" customHeight="1" x14ac:dyDescent="0.2">
      <c r="A18" s="12" t="s">
        <v>62</v>
      </c>
      <c r="B18" s="13" t="s">
        <v>63</v>
      </c>
      <c r="C18" s="13" t="s">
        <v>42</v>
      </c>
      <c r="D18" s="13" t="s">
        <v>15</v>
      </c>
      <c r="E18" s="14" t="s">
        <v>64</v>
      </c>
      <c r="F18" s="15">
        <v>0</v>
      </c>
      <c r="G18" s="15">
        <f>3462000*1.076</f>
        <v>3725112.0000000005</v>
      </c>
      <c r="H18" s="16">
        <f t="shared" si="0"/>
        <v>3725112.0000000005</v>
      </c>
      <c r="I18" s="17" t="s">
        <v>359</v>
      </c>
      <c r="J18" s="18"/>
      <c r="K18" s="36"/>
      <c r="L18" s="36"/>
      <c r="M18" s="18" t="s">
        <v>363</v>
      </c>
      <c r="N18" s="18" t="s">
        <v>358</v>
      </c>
      <c r="O18" s="18" t="s">
        <v>358</v>
      </c>
      <c r="P18" s="18" t="s">
        <v>358</v>
      </c>
      <c r="Q18" s="18"/>
    </row>
    <row r="19" spans="1:17" ht="12.75" customHeight="1" x14ac:dyDescent="0.2">
      <c r="A19" s="12" t="s">
        <v>65</v>
      </c>
      <c r="B19" s="13" t="s">
        <v>66</v>
      </c>
      <c r="C19" s="13" t="s">
        <v>42</v>
      </c>
      <c r="D19" s="13" t="s">
        <v>15</v>
      </c>
      <c r="E19" s="14" t="s">
        <v>39</v>
      </c>
      <c r="F19" s="15">
        <v>0</v>
      </c>
      <c r="G19" s="15">
        <f>51368*1.076</f>
        <v>55271.968000000001</v>
      </c>
      <c r="H19" s="16">
        <f t="shared" si="0"/>
        <v>55271.968000000001</v>
      </c>
      <c r="I19" s="17"/>
      <c r="J19" s="18"/>
      <c r="K19" s="36"/>
      <c r="L19" s="36"/>
      <c r="M19" s="18" t="s">
        <v>363</v>
      </c>
      <c r="N19" s="18"/>
      <c r="O19" s="18"/>
      <c r="P19" s="18"/>
      <c r="Q19" s="18"/>
    </row>
    <row r="20" spans="1:17" ht="12.75" customHeight="1" x14ac:dyDescent="0.2">
      <c r="A20" s="12" t="s">
        <v>67</v>
      </c>
      <c r="B20" s="13" t="s">
        <v>68</v>
      </c>
      <c r="C20" s="13" t="s">
        <v>42</v>
      </c>
      <c r="D20" s="13" t="s">
        <v>15</v>
      </c>
      <c r="E20" s="14" t="s">
        <v>69</v>
      </c>
      <c r="F20" s="15">
        <f>21002*1.069</f>
        <v>22451.137999999999</v>
      </c>
      <c r="G20" s="15">
        <f>58859*1.076</f>
        <v>63332.284000000007</v>
      </c>
      <c r="H20" s="16">
        <f t="shared" si="0"/>
        <v>85783.422000000006</v>
      </c>
      <c r="I20" s="17"/>
      <c r="J20" s="18"/>
      <c r="K20" s="36"/>
      <c r="L20" s="36"/>
      <c r="M20" s="18" t="s">
        <v>362</v>
      </c>
      <c r="N20" s="18"/>
      <c r="O20" s="18" t="s">
        <v>358</v>
      </c>
      <c r="P20" s="18" t="s">
        <v>358</v>
      </c>
      <c r="Q20" s="18"/>
    </row>
    <row r="21" spans="1:17" ht="12.75" customHeight="1" x14ac:dyDescent="0.2">
      <c r="A21" s="12" t="s">
        <v>70</v>
      </c>
      <c r="B21" s="13" t="s">
        <v>68</v>
      </c>
      <c r="C21" s="13" t="s">
        <v>46</v>
      </c>
      <c r="D21" s="13" t="s">
        <v>15</v>
      </c>
      <c r="E21" s="14" t="s">
        <v>71</v>
      </c>
      <c r="F21" s="15">
        <f>18902*1.069</f>
        <v>20206.237999999998</v>
      </c>
      <c r="G21" s="15">
        <f>181929*1.076</f>
        <v>195755.60400000002</v>
      </c>
      <c r="H21" s="16">
        <f t="shared" si="0"/>
        <v>215961.842</v>
      </c>
      <c r="I21" s="17"/>
      <c r="J21" s="18"/>
      <c r="K21" s="36"/>
      <c r="L21" s="36"/>
      <c r="M21" s="18" t="s">
        <v>362</v>
      </c>
      <c r="N21" s="18"/>
      <c r="O21" s="18"/>
      <c r="P21" s="18"/>
      <c r="Q21" s="18"/>
    </row>
    <row r="22" spans="1:17" ht="12.75" customHeight="1" x14ac:dyDescent="0.2">
      <c r="A22" s="12" t="s">
        <v>72</v>
      </c>
      <c r="B22" s="13" t="s">
        <v>73</v>
      </c>
      <c r="C22" s="13" t="s">
        <v>74</v>
      </c>
      <c r="D22" s="13" t="s">
        <v>15</v>
      </c>
      <c r="E22" s="14" t="s">
        <v>75</v>
      </c>
      <c r="F22" s="15">
        <f>68257*1.069</f>
        <v>72966.732999999993</v>
      </c>
      <c r="G22" s="15">
        <v>0</v>
      </c>
      <c r="H22" s="16">
        <f t="shared" si="0"/>
        <v>72966.732999999993</v>
      </c>
      <c r="I22" s="17"/>
      <c r="J22" s="18"/>
      <c r="K22" s="36"/>
      <c r="L22" s="36"/>
      <c r="M22" s="18" t="s">
        <v>362</v>
      </c>
      <c r="N22" s="18" t="s">
        <v>358</v>
      </c>
      <c r="O22" s="18" t="s">
        <v>358</v>
      </c>
      <c r="P22" s="18"/>
      <c r="Q22" s="18"/>
    </row>
    <row r="23" spans="1:17" ht="12.75" customHeight="1" x14ac:dyDescent="0.2">
      <c r="A23" s="12" t="s">
        <v>76</v>
      </c>
      <c r="B23" s="13" t="s">
        <v>77</v>
      </c>
      <c r="C23" s="13" t="s">
        <v>74</v>
      </c>
      <c r="D23" s="13" t="s">
        <v>15</v>
      </c>
      <c r="E23" s="14" t="s">
        <v>78</v>
      </c>
      <c r="F23" s="15">
        <f>63006*1.069</f>
        <v>67353.41399999999</v>
      </c>
      <c r="G23" s="15">
        <v>0</v>
      </c>
      <c r="H23" s="16">
        <f t="shared" si="0"/>
        <v>67353.41399999999</v>
      </c>
      <c r="I23" s="17"/>
      <c r="J23" s="18"/>
      <c r="K23" s="36"/>
      <c r="L23" s="36"/>
      <c r="M23" s="18" t="s">
        <v>362</v>
      </c>
      <c r="N23" s="18" t="s">
        <v>358</v>
      </c>
      <c r="O23" s="18" t="s">
        <v>358</v>
      </c>
      <c r="P23" s="18"/>
      <c r="Q23" s="18"/>
    </row>
    <row r="24" spans="1:17" ht="12.75" customHeight="1" x14ac:dyDescent="0.2">
      <c r="A24" s="12" t="s">
        <v>79</v>
      </c>
      <c r="B24" s="13" t="s">
        <v>80</v>
      </c>
      <c r="C24" s="13" t="s">
        <v>74</v>
      </c>
      <c r="D24" s="13" t="s">
        <v>15</v>
      </c>
      <c r="E24" s="14" t="s">
        <v>81</v>
      </c>
      <c r="F24" s="15">
        <v>0</v>
      </c>
      <c r="G24" s="15">
        <f>1969113*1.076</f>
        <v>2118765.588</v>
      </c>
      <c r="H24" s="16">
        <f>SUM(F24:G24)</f>
        <v>2118765.588</v>
      </c>
      <c r="I24" s="17"/>
      <c r="J24" s="18"/>
      <c r="K24" s="36"/>
      <c r="L24" s="36"/>
      <c r="M24" s="18" t="s">
        <v>362</v>
      </c>
      <c r="N24" s="18"/>
      <c r="O24" s="18"/>
      <c r="P24" s="18"/>
      <c r="Q24" s="18"/>
    </row>
    <row r="25" spans="1:17" ht="12.75" customHeight="1" x14ac:dyDescent="0.2">
      <c r="A25" s="12" t="s">
        <v>82</v>
      </c>
      <c r="B25" s="13" t="s">
        <v>83</v>
      </c>
      <c r="C25" s="13" t="s">
        <v>74</v>
      </c>
      <c r="D25" s="13" t="s">
        <v>15</v>
      </c>
      <c r="E25" s="14" t="s">
        <v>84</v>
      </c>
      <c r="F25" s="15">
        <v>0</v>
      </c>
      <c r="G25" s="15">
        <f>214034*1.076</f>
        <v>230300.584</v>
      </c>
      <c r="H25" s="16">
        <f t="shared" si="0"/>
        <v>230300.584</v>
      </c>
      <c r="I25" s="17"/>
      <c r="J25" s="18"/>
      <c r="K25" s="36"/>
      <c r="L25" s="36"/>
      <c r="M25" s="18" t="s">
        <v>363</v>
      </c>
      <c r="N25" s="18"/>
      <c r="O25" s="18"/>
      <c r="P25" s="18"/>
      <c r="Q25" s="18"/>
    </row>
    <row r="26" spans="1:17" ht="12.75" customHeight="1" x14ac:dyDescent="0.2">
      <c r="A26" s="12" t="s">
        <v>85</v>
      </c>
      <c r="B26" s="13" t="s">
        <v>86</v>
      </c>
      <c r="C26" s="13" t="s">
        <v>87</v>
      </c>
      <c r="D26" s="13" t="s">
        <v>15</v>
      </c>
      <c r="E26" s="14" t="s">
        <v>88</v>
      </c>
      <c r="F26" s="15">
        <v>0</v>
      </c>
      <c r="G26" s="15">
        <f>1369818*1.076</f>
        <v>1473924.1680000001</v>
      </c>
      <c r="H26" s="16">
        <f t="shared" si="0"/>
        <v>1473924.1680000001</v>
      </c>
      <c r="I26" s="17"/>
      <c r="J26" s="18"/>
      <c r="K26" s="36"/>
      <c r="L26" s="36"/>
      <c r="M26" s="18" t="s">
        <v>362</v>
      </c>
      <c r="N26" s="18"/>
      <c r="O26" s="18"/>
      <c r="P26" s="18"/>
      <c r="Q26" s="18"/>
    </row>
    <row r="27" spans="1:17" ht="12.75" customHeight="1" x14ac:dyDescent="0.2">
      <c r="A27" s="12" t="s">
        <v>89</v>
      </c>
      <c r="B27" s="13" t="s">
        <v>90</v>
      </c>
      <c r="C27" s="13" t="s">
        <v>87</v>
      </c>
      <c r="D27" s="13" t="s">
        <v>15</v>
      </c>
      <c r="E27" s="13" t="s">
        <v>91</v>
      </c>
      <c r="F27" s="15">
        <f>4000000*1.069</f>
        <v>4276000</v>
      </c>
      <c r="G27" s="15">
        <f>9373351*1.076</f>
        <v>10085725.676000001</v>
      </c>
      <c r="H27" s="16">
        <f t="shared" si="0"/>
        <v>14361725.676000001</v>
      </c>
      <c r="I27" s="17"/>
      <c r="J27" s="18"/>
      <c r="K27" s="36"/>
      <c r="L27" s="36"/>
      <c r="M27" s="18" t="s">
        <v>363</v>
      </c>
      <c r="N27" s="18"/>
      <c r="O27" s="18" t="s">
        <v>358</v>
      </c>
      <c r="P27" s="18"/>
      <c r="Q27" s="18"/>
    </row>
    <row r="28" spans="1:17" ht="12.75" customHeight="1" x14ac:dyDescent="0.2">
      <c r="A28" s="12" t="s">
        <v>92</v>
      </c>
      <c r="B28" s="13" t="s">
        <v>93</v>
      </c>
      <c r="C28" s="13" t="s">
        <v>87</v>
      </c>
      <c r="D28" s="13" t="s">
        <v>15</v>
      </c>
      <c r="E28" s="14" t="s">
        <v>94</v>
      </c>
      <c r="F28" s="15">
        <f>246775*1.069</f>
        <v>263802.47499999998</v>
      </c>
      <c r="G28" s="15">
        <f>2884108*1.076</f>
        <v>3103300.2080000001</v>
      </c>
      <c r="H28" s="16">
        <f t="shared" si="0"/>
        <v>3367102.6830000002</v>
      </c>
      <c r="I28" s="17"/>
      <c r="J28" s="18"/>
      <c r="K28" s="36"/>
      <c r="L28" s="36"/>
      <c r="M28" s="18" t="s">
        <v>362</v>
      </c>
      <c r="N28" s="18" t="s">
        <v>358</v>
      </c>
      <c r="O28" s="18"/>
      <c r="P28" s="18"/>
      <c r="Q28" s="18"/>
    </row>
    <row r="29" spans="1:17" ht="12.75" customHeight="1" x14ac:dyDescent="0.2">
      <c r="A29" s="12" t="s">
        <v>95</v>
      </c>
      <c r="B29" s="13" t="s">
        <v>96</v>
      </c>
      <c r="C29" s="13" t="s">
        <v>87</v>
      </c>
      <c r="D29" s="13" t="s">
        <v>15</v>
      </c>
      <c r="E29" s="14" t="s">
        <v>97</v>
      </c>
      <c r="F29" s="15">
        <f>5045767*1.069</f>
        <v>5393924.9229999995</v>
      </c>
      <c r="G29" s="15">
        <f>28841082/100*57.5*1.076</f>
        <v>17843977.433400001</v>
      </c>
      <c r="H29" s="16">
        <f>SUM(F29+G29)</f>
        <v>23237902.356400002</v>
      </c>
      <c r="I29" s="17"/>
      <c r="J29" s="18"/>
      <c r="K29" s="36"/>
      <c r="L29" s="36"/>
      <c r="M29" s="18"/>
      <c r="N29" s="18"/>
      <c r="O29" s="18"/>
      <c r="P29" s="18"/>
      <c r="Q29" s="18"/>
    </row>
    <row r="30" spans="1:17" ht="12.75" customHeight="1" x14ac:dyDescent="0.2">
      <c r="A30" s="12" t="s">
        <v>98</v>
      </c>
      <c r="B30" s="13" t="s">
        <v>99</v>
      </c>
      <c r="C30" s="13" t="s">
        <v>100</v>
      </c>
      <c r="D30" s="13" t="s">
        <v>15</v>
      </c>
      <c r="E30" s="14" t="s">
        <v>101</v>
      </c>
      <c r="F30" s="15">
        <v>0</v>
      </c>
      <c r="G30" s="15">
        <f>2728934*1.076</f>
        <v>2936332.9840000002</v>
      </c>
      <c r="H30" s="16">
        <f t="shared" si="0"/>
        <v>2936332.9840000002</v>
      </c>
      <c r="I30" s="17"/>
      <c r="J30" s="18"/>
      <c r="K30" s="36"/>
      <c r="L30" s="36"/>
      <c r="M30" s="18" t="s">
        <v>362</v>
      </c>
      <c r="N30" s="18"/>
      <c r="O30" s="18" t="s">
        <v>358</v>
      </c>
      <c r="P30" s="18" t="s">
        <v>358</v>
      </c>
      <c r="Q30" s="18"/>
    </row>
    <row r="31" spans="1:17" ht="12.75" customHeight="1" x14ac:dyDescent="0.2">
      <c r="A31" s="12" t="s">
        <v>102</v>
      </c>
      <c r="B31" s="13" t="s">
        <v>103</v>
      </c>
      <c r="C31" s="13" t="s">
        <v>104</v>
      </c>
      <c r="D31" s="13" t="s">
        <v>15</v>
      </c>
      <c r="E31" s="14" t="s">
        <v>105</v>
      </c>
      <c r="F31" s="15">
        <f>78758*1.069</f>
        <v>84192.301999999996</v>
      </c>
      <c r="G31" s="15">
        <f>856136*1.076</f>
        <v>921202.33600000001</v>
      </c>
      <c r="H31" s="16">
        <f t="shared" ref="H31:H58" si="1">SUM(F31+G31)</f>
        <v>1005394.638</v>
      </c>
      <c r="I31" s="17"/>
      <c r="J31" s="18"/>
      <c r="K31" s="36"/>
      <c r="L31" s="36"/>
      <c r="M31" s="18" t="s">
        <v>362</v>
      </c>
      <c r="N31" s="18" t="s">
        <v>358</v>
      </c>
      <c r="O31" s="18"/>
      <c r="P31" s="18"/>
      <c r="Q31" s="18"/>
    </row>
    <row r="32" spans="1:17" ht="12.75" customHeight="1" x14ac:dyDescent="0.2">
      <c r="A32" s="12" t="s">
        <v>106</v>
      </c>
      <c r="B32" s="13" t="s">
        <v>107</v>
      </c>
      <c r="C32" s="13" t="s">
        <v>104</v>
      </c>
      <c r="D32" s="13" t="s">
        <v>15</v>
      </c>
      <c r="E32" s="14" t="s">
        <v>108</v>
      </c>
      <c r="F32" s="15">
        <f>745576*1.069</f>
        <v>797020.74399999995</v>
      </c>
      <c r="G32" s="15">
        <f>2359725*1.076</f>
        <v>2539064.1</v>
      </c>
      <c r="H32" s="16">
        <f t="shared" si="1"/>
        <v>3336084.844</v>
      </c>
      <c r="I32" s="17"/>
      <c r="J32" s="18"/>
      <c r="K32" s="36"/>
      <c r="L32" s="36"/>
      <c r="M32" s="18" t="s">
        <v>362</v>
      </c>
      <c r="N32" s="18"/>
      <c r="O32" s="18"/>
      <c r="P32" s="18"/>
      <c r="Q32" s="18"/>
    </row>
    <row r="33" spans="1:17" ht="12.75" customHeight="1" x14ac:dyDescent="0.2">
      <c r="A33" s="12" t="s">
        <v>109</v>
      </c>
      <c r="B33" s="13" t="s">
        <v>110</v>
      </c>
      <c r="C33" s="13" t="s">
        <v>111</v>
      </c>
      <c r="D33" s="13" t="s">
        <v>15</v>
      </c>
      <c r="E33" s="14" t="s">
        <v>112</v>
      </c>
      <c r="F33" s="15">
        <f>866339*1.069</f>
        <v>926116.39099999995</v>
      </c>
      <c r="G33" s="15">
        <f>5463218*1.076</f>
        <v>5878422.568</v>
      </c>
      <c r="H33" s="16">
        <f t="shared" si="1"/>
        <v>6804538.9589999998</v>
      </c>
      <c r="I33" s="17"/>
      <c r="J33" s="18"/>
      <c r="K33" s="36"/>
      <c r="L33" s="36"/>
      <c r="M33" s="18" t="s">
        <v>363</v>
      </c>
      <c r="N33" s="18" t="s">
        <v>358</v>
      </c>
      <c r="O33" s="18" t="s">
        <v>358</v>
      </c>
      <c r="P33" s="18"/>
      <c r="Q33" s="18"/>
    </row>
    <row r="34" spans="1:17" ht="12.75" customHeight="1" x14ac:dyDescent="0.2">
      <c r="A34" s="12" t="s">
        <v>113</v>
      </c>
      <c r="B34" s="13" t="s">
        <v>114</v>
      </c>
      <c r="C34" s="13" t="s">
        <v>115</v>
      </c>
      <c r="D34" s="13" t="s">
        <v>15</v>
      </c>
      <c r="E34" s="14" t="s">
        <v>116</v>
      </c>
      <c r="F34" s="15">
        <f>714073*1.069</f>
        <v>763344.03700000001</v>
      </c>
      <c r="G34" s="15">
        <f>2568408*1.076</f>
        <v>2763607.0080000004</v>
      </c>
      <c r="H34" s="16">
        <f t="shared" si="1"/>
        <v>3526951.0450000004</v>
      </c>
      <c r="I34" s="17"/>
      <c r="J34" s="18"/>
      <c r="K34" s="36"/>
      <c r="L34" s="36"/>
      <c r="M34" s="18" t="s">
        <v>362</v>
      </c>
      <c r="N34" s="18"/>
      <c r="O34" s="18"/>
      <c r="P34" s="18"/>
      <c r="Q34" s="18"/>
    </row>
    <row r="35" spans="1:17" ht="12.75" customHeight="1" x14ac:dyDescent="0.2">
      <c r="A35" s="12" t="s">
        <v>117</v>
      </c>
      <c r="B35" s="13" t="s">
        <v>118</v>
      </c>
      <c r="C35" s="13" t="s">
        <v>119</v>
      </c>
      <c r="D35" s="13" t="s">
        <v>15</v>
      </c>
      <c r="E35" s="13" t="s">
        <v>366</v>
      </c>
      <c r="F35" s="15">
        <v>0</v>
      </c>
      <c r="G35" s="15">
        <f>1701570*1.076</f>
        <v>1830889.32</v>
      </c>
      <c r="H35" s="16">
        <f t="shared" si="1"/>
        <v>1830889.32</v>
      </c>
      <c r="I35" s="17" t="s">
        <v>359</v>
      </c>
      <c r="J35" s="18"/>
      <c r="K35" s="36"/>
      <c r="L35" s="36"/>
      <c r="M35" s="18" t="s">
        <v>363</v>
      </c>
      <c r="N35" s="18" t="s">
        <v>358</v>
      </c>
      <c r="O35" s="18" t="s">
        <v>358</v>
      </c>
      <c r="P35" s="18"/>
      <c r="Q35" s="18"/>
    </row>
    <row r="36" spans="1:17" ht="12.75" customHeight="1" x14ac:dyDescent="0.2">
      <c r="A36" s="12" t="s">
        <v>120</v>
      </c>
      <c r="B36" s="13" t="s">
        <v>121</v>
      </c>
      <c r="C36" s="13" t="s">
        <v>122</v>
      </c>
      <c r="D36" s="13" t="s">
        <v>15</v>
      </c>
      <c r="E36" s="14" t="s">
        <v>123</v>
      </c>
      <c r="F36" s="15">
        <f>672069*1.069</f>
        <v>718441.76099999994</v>
      </c>
      <c r="G36" s="15">
        <f>3210510*1.076</f>
        <v>3454508.7600000002</v>
      </c>
      <c r="H36" s="16">
        <f t="shared" si="1"/>
        <v>4172950.5210000002</v>
      </c>
      <c r="I36" s="17"/>
      <c r="J36" s="18"/>
      <c r="K36" s="36"/>
      <c r="L36" s="36"/>
      <c r="M36" s="18" t="s">
        <v>363</v>
      </c>
      <c r="N36" s="18" t="s">
        <v>358</v>
      </c>
      <c r="O36" s="18" t="s">
        <v>358</v>
      </c>
      <c r="P36" s="18"/>
      <c r="Q36" s="18"/>
    </row>
    <row r="37" spans="1:17" ht="12.75" customHeight="1" x14ac:dyDescent="0.2">
      <c r="A37" s="12" t="s">
        <v>124</v>
      </c>
      <c r="B37" s="13" t="s">
        <v>125</v>
      </c>
      <c r="C37" s="13" t="s">
        <v>126</v>
      </c>
      <c r="D37" s="13" t="s">
        <v>15</v>
      </c>
      <c r="E37" s="13" t="s">
        <v>127</v>
      </c>
      <c r="F37" s="15">
        <f>1491153*1.069</f>
        <v>1594042.557</v>
      </c>
      <c r="G37" s="15">
        <f>7303910*1.076</f>
        <v>7859007.1600000001</v>
      </c>
      <c r="H37" s="16">
        <f t="shared" si="1"/>
        <v>9453049.7170000002</v>
      </c>
      <c r="I37" s="17"/>
      <c r="J37" s="18"/>
      <c r="K37" s="36"/>
      <c r="L37" s="36"/>
      <c r="M37" s="18"/>
      <c r="N37" s="18"/>
      <c r="O37" s="18"/>
      <c r="P37" s="18"/>
      <c r="Q37" s="18"/>
    </row>
    <row r="38" spans="1:17" ht="12.75" customHeight="1" x14ac:dyDescent="0.2">
      <c r="A38" s="12" t="s">
        <v>128</v>
      </c>
      <c r="B38" s="13" t="s">
        <v>129</v>
      </c>
      <c r="C38" s="13" t="s">
        <v>130</v>
      </c>
      <c r="D38" s="13" t="s">
        <v>15</v>
      </c>
      <c r="E38" s="14" t="s">
        <v>131</v>
      </c>
      <c r="F38" s="15">
        <v>0</v>
      </c>
      <c r="G38" s="15">
        <f>1043416*1.076</f>
        <v>1122715.6160000002</v>
      </c>
      <c r="H38" s="16">
        <f t="shared" si="1"/>
        <v>1122715.6160000002</v>
      </c>
      <c r="I38" s="17"/>
      <c r="J38" s="18"/>
      <c r="K38" s="36"/>
      <c r="L38" s="36"/>
      <c r="M38" s="18" t="s">
        <v>364</v>
      </c>
      <c r="N38" s="18"/>
      <c r="O38" s="18" t="s">
        <v>358</v>
      </c>
      <c r="P38" s="18"/>
      <c r="Q38" s="18"/>
    </row>
    <row r="39" spans="1:17" ht="12.75" customHeight="1" x14ac:dyDescent="0.2">
      <c r="A39" s="12" t="s">
        <v>132</v>
      </c>
      <c r="B39" s="13" t="s">
        <v>133</v>
      </c>
      <c r="C39" s="13" t="s">
        <v>130</v>
      </c>
      <c r="D39" s="19" t="s">
        <v>15</v>
      </c>
      <c r="E39" s="14" t="s">
        <v>134</v>
      </c>
      <c r="F39" s="15">
        <v>0</v>
      </c>
      <c r="G39" s="15">
        <f>9096445*1.076</f>
        <v>9787774.8200000003</v>
      </c>
      <c r="H39" s="16">
        <f>SUM(F39:G39)</f>
        <v>9787774.8200000003</v>
      </c>
      <c r="I39" s="17"/>
      <c r="J39" s="18"/>
      <c r="K39" s="36"/>
      <c r="L39" s="36"/>
      <c r="M39" s="18" t="s">
        <v>363</v>
      </c>
      <c r="N39" s="18" t="s">
        <v>358</v>
      </c>
      <c r="O39" s="18" t="s">
        <v>358</v>
      </c>
      <c r="P39" s="18"/>
      <c r="Q39" s="18"/>
    </row>
    <row r="40" spans="1:17" ht="12.75" customHeight="1" x14ac:dyDescent="0.2">
      <c r="A40" s="12" t="s">
        <v>135</v>
      </c>
      <c r="B40" s="13" t="s">
        <v>136</v>
      </c>
      <c r="C40" s="13" t="s">
        <v>130</v>
      </c>
      <c r="D40" s="13" t="s">
        <v>15</v>
      </c>
      <c r="E40" s="14" t="s">
        <v>137</v>
      </c>
      <c r="F40" s="15">
        <f>273028*1.069</f>
        <v>291866.93199999997</v>
      </c>
      <c r="G40" s="15">
        <f>3478053*1.076</f>
        <v>3742385.0280000004</v>
      </c>
      <c r="H40" s="16">
        <f t="shared" si="1"/>
        <v>4034251.9600000004</v>
      </c>
      <c r="I40" s="17"/>
      <c r="J40" s="18"/>
      <c r="K40" s="36"/>
      <c r="L40" s="36"/>
      <c r="M40" s="18" t="s">
        <v>363</v>
      </c>
      <c r="N40" s="18" t="s">
        <v>358</v>
      </c>
      <c r="O40" s="18"/>
      <c r="P40" s="18"/>
      <c r="Q40" s="18"/>
    </row>
    <row r="41" spans="1:17" ht="12.75" customHeight="1" x14ac:dyDescent="0.2">
      <c r="A41" s="12" t="s">
        <v>138</v>
      </c>
      <c r="B41" s="13" t="s">
        <v>139</v>
      </c>
      <c r="C41" s="13" t="s">
        <v>130</v>
      </c>
      <c r="D41" s="13" t="s">
        <v>15</v>
      </c>
      <c r="E41" s="14" t="s">
        <v>140</v>
      </c>
      <c r="F41" s="15">
        <v>0</v>
      </c>
      <c r="G41" s="15">
        <f>497629*1.076</f>
        <v>535448.804</v>
      </c>
      <c r="H41" s="16">
        <f t="shared" si="1"/>
        <v>535448.804</v>
      </c>
      <c r="I41" s="17"/>
      <c r="J41" s="18"/>
      <c r="K41" s="36"/>
      <c r="L41" s="36"/>
      <c r="M41" s="18" t="s">
        <v>363</v>
      </c>
      <c r="N41" s="18"/>
      <c r="O41" s="18"/>
      <c r="P41" s="18"/>
      <c r="Q41" s="18"/>
    </row>
    <row r="42" spans="1:17" ht="12.75" customHeight="1" x14ac:dyDescent="0.2">
      <c r="A42" s="12" t="s">
        <v>141</v>
      </c>
      <c r="B42" s="13" t="s">
        <v>142</v>
      </c>
      <c r="C42" s="13" t="s">
        <v>143</v>
      </c>
      <c r="D42" s="13" t="s">
        <v>15</v>
      </c>
      <c r="E42" s="13" t="s">
        <v>144</v>
      </c>
      <c r="F42" s="15">
        <v>0</v>
      </c>
      <c r="G42" s="15">
        <f>2092182*1.076</f>
        <v>2251187.8319999999</v>
      </c>
      <c r="H42" s="16">
        <f t="shared" si="1"/>
        <v>2251187.8319999999</v>
      </c>
      <c r="I42" s="17"/>
      <c r="J42" s="18"/>
      <c r="K42" s="36"/>
      <c r="L42" s="36"/>
      <c r="M42" s="18" t="s">
        <v>362</v>
      </c>
      <c r="N42" s="18" t="s">
        <v>358</v>
      </c>
      <c r="O42" s="18" t="s">
        <v>358</v>
      </c>
      <c r="P42" s="18" t="s">
        <v>358</v>
      </c>
      <c r="Q42" s="18"/>
    </row>
    <row r="43" spans="1:17" ht="12.75" customHeight="1" x14ac:dyDescent="0.2">
      <c r="A43" s="12" t="s">
        <v>145</v>
      </c>
      <c r="B43" s="13" t="s">
        <v>146</v>
      </c>
      <c r="C43" s="13" t="s">
        <v>147</v>
      </c>
      <c r="D43" s="13" t="s">
        <v>15</v>
      </c>
      <c r="E43" s="13" t="s">
        <v>148</v>
      </c>
      <c r="F43" s="15">
        <v>0</v>
      </c>
      <c r="G43" s="15">
        <f>465524*1.076</f>
        <v>500903.82400000002</v>
      </c>
      <c r="H43" s="16">
        <f t="shared" si="1"/>
        <v>500903.82400000002</v>
      </c>
      <c r="I43" s="17"/>
      <c r="J43" s="18"/>
      <c r="K43" s="36"/>
      <c r="L43" s="36"/>
      <c r="M43" s="18" t="s">
        <v>364</v>
      </c>
      <c r="N43" s="18"/>
      <c r="O43" s="18"/>
      <c r="P43" s="18"/>
      <c r="Q43" s="18"/>
    </row>
    <row r="44" spans="1:17" ht="12.75" customHeight="1" x14ac:dyDescent="0.2">
      <c r="A44" s="12" t="s">
        <v>149</v>
      </c>
      <c r="B44" s="13" t="s">
        <v>150</v>
      </c>
      <c r="C44" s="13" t="s">
        <v>147</v>
      </c>
      <c r="D44" s="13" t="s">
        <v>15</v>
      </c>
      <c r="E44" s="13" t="s">
        <v>151</v>
      </c>
      <c r="F44" s="15">
        <v>0</v>
      </c>
      <c r="G44" s="15">
        <f>754470*1.076</f>
        <v>811809.72000000009</v>
      </c>
      <c r="H44" s="16">
        <f t="shared" si="1"/>
        <v>811809.72000000009</v>
      </c>
      <c r="I44" s="17"/>
      <c r="J44" s="18"/>
      <c r="K44" s="36"/>
      <c r="L44" s="36"/>
      <c r="M44" s="18"/>
      <c r="N44" s="18"/>
      <c r="O44" s="18"/>
      <c r="P44" s="18"/>
      <c r="Q44" s="18"/>
    </row>
    <row r="45" spans="1:17" ht="12.75" customHeight="1" x14ac:dyDescent="0.2">
      <c r="A45" s="12" t="s">
        <v>152</v>
      </c>
      <c r="B45" s="13" t="s">
        <v>153</v>
      </c>
      <c r="C45" s="13" t="s">
        <v>154</v>
      </c>
      <c r="D45" s="13" t="s">
        <v>15</v>
      </c>
      <c r="E45" s="14" t="s">
        <v>155</v>
      </c>
      <c r="F45" s="15">
        <f>792831*1.069</f>
        <v>847536.33899999992</v>
      </c>
      <c r="G45" s="15">
        <f>3825858/100*82.5*1.076</f>
        <v>3396214.1466000001</v>
      </c>
      <c r="H45" s="16">
        <f t="shared" si="1"/>
        <v>4243750.4856000002</v>
      </c>
      <c r="I45" s="17"/>
      <c r="J45" s="18"/>
      <c r="K45" s="36"/>
      <c r="L45" s="36"/>
      <c r="M45" s="18" t="s">
        <v>363</v>
      </c>
      <c r="N45" s="18" t="s">
        <v>358</v>
      </c>
      <c r="O45" s="18" t="s">
        <v>358</v>
      </c>
      <c r="P45" s="18"/>
      <c r="Q45" s="18"/>
    </row>
    <row r="46" spans="1:17" ht="12.75" customHeight="1" x14ac:dyDescent="0.2">
      <c r="A46" s="12" t="s">
        <v>156</v>
      </c>
      <c r="B46" s="13" t="s">
        <v>157</v>
      </c>
      <c r="C46" s="13" t="s">
        <v>154</v>
      </c>
      <c r="D46" s="13" t="s">
        <v>15</v>
      </c>
      <c r="E46" s="14" t="s">
        <v>158</v>
      </c>
      <c r="F46" s="15">
        <f>78758*1.069</f>
        <v>84192.301999999996</v>
      </c>
      <c r="G46" s="15">
        <f>3825858/100*17.5*1.076</f>
        <v>720409.06140000012</v>
      </c>
      <c r="H46" s="16">
        <f t="shared" si="1"/>
        <v>804601.36340000015</v>
      </c>
      <c r="I46" s="17"/>
      <c r="J46" s="18"/>
      <c r="K46" s="36"/>
      <c r="L46" s="36"/>
      <c r="M46" s="18" t="s">
        <v>365</v>
      </c>
      <c r="N46" s="18"/>
      <c r="O46" s="18"/>
      <c r="P46" s="18"/>
      <c r="Q46" s="18"/>
    </row>
    <row r="47" spans="1:17" ht="12.75" customHeight="1" x14ac:dyDescent="0.2">
      <c r="A47" s="12" t="s">
        <v>159</v>
      </c>
      <c r="B47" s="13" t="s">
        <v>160</v>
      </c>
      <c r="C47" s="13" t="s">
        <v>161</v>
      </c>
      <c r="D47" s="13" t="s">
        <v>15</v>
      </c>
      <c r="E47" s="14" t="s">
        <v>162</v>
      </c>
      <c r="F47" s="15">
        <v>0</v>
      </c>
      <c r="G47" s="15">
        <f>14982*1.076</f>
        <v>16120.632000000001</v>
      </c>
      <c r="H47" s="16">
        <f t="shared" si="1"/>
        <v>16120.632000000001</v>
      </c>
      <c r="I47" s="17"/>
      <c r="J47" s="18"/>
      <c r="K47" s="36"/>
      <c r="L47" s="36"/>
      <c r="M47" s="18" t="s">
        <v>363</v>
      </c>
      <c r="N47" s="18"/>
      <c r="O47" s="18"/>
      <c r="P47" s="18"/>
      <c r="Q47" s="18"/>
    </row>
    <row r="48" spans="1:17" ht="12.75" customHeight="1" x14ac:dyDescent="0.2">
      <c r="A48" s="12" t="s">
        <v>163</v>
      </c>
      <c r="B48" s="13" t="s">
        <v>164</v>
      </c>
      <c r="C48" s="13" t="s">
        <v>165</v>
      </c>
      <c r="D48" s="13" t="s">
        <v>15</v>
      </c>
      <c r="E48" s="14" t="s">
        <v>166</v>
      </c>
      <c r="F48" s="15">
        <f>399041*1.069</f>
        <v>426574.82899999997</v>
      </c>
      <c r="G48" s="15">
        <f>1375168*1.076</f>
        <v>1479680.7680000002</v>
      </c>
      <c r="H48" s="16">
        <f t="shared" si="1"/>
        <v>1906255.5970000001</v>
      </c>
      <c r="I48" s="17"/>
      <c r="J48" s="18"/>
      <c r="K48" s="36"/>
      <c r="L48" s="36"/>
      <c r="M48" s="18"/>
      <c r="N48" s="18"/>
      <c r="O48" s="18"/>
      <c r="P48" s="18"/>
      <c r="Q48" s="18"/>
    </row>
    <row r="49" spans="1:17" ht="12.75" customHeight="1" x14ac:dyDescent="0.2">
      <c r="A49" s="12" t="s">
        <v>167</v>
      </c>
      <c r="B49" s="13" t="s">
        <v>168</v>
      </c>
      <c r="C49" s="13" t="s">
        <v>169</v>
      </c>
      <c r="D49" s="13" t="s">
        <v>15</v>
      </c>
      <c r="E49" s="14" t="s">
        <v>170</v>
      </c>
      <c r="F49" s="15">
        <f>134414*1.069</f>
        <v>143688.56599999999</v>
      </c>
      <c r="G49" s="15">
        <f>1294906*1.076</f>
        <v>1393318.8560000001</v>
      </c>
      <c r="H49" s="16">
        <f t="shared" si="1"/>
        <v>1537007.4220000003</v>
      </c>
      <c r="I49" s="17"/>
      <c r="J49" s="18"/>
      <c r="K49" s="36"/>
      <c r="L49" s="36"/>
      <c r="M49" s="18" t="s">
        <v>362</v>
      </c>
      <c r="N49" s="18" t="s">
        <v>358</v>
      </c>
      <c r="O49" s="18"/>
      <c r="P49" s="18"/>
      <c r="Q49" s="18" t="s">
        <v>358</v>
      </c>
    </row>
    <row r="50" spans="1:17" ht="12.75" customHeight="1" x14ac:dyDescent="0.2">
      <c r="A50" s="12" t="s">
        <v>171</v>
      </c>
      <c r="B50" s="13" t="s">
        <v>172</v>
      </c>
      <c r="C50" s="13" t="s">
        <v>169</v>
      </c>
      <c r="D50" s="13" t="s">
        <v>15</v>
      </c>
      <c r="E50" s="14" t="s">
        <v>173</v>
      </c>
      <c r="F50" s="15">
        <v>0</v>
      </c>
      <c r="G50" s="15">
        <f>583243*1.076</f>
        <v>627569.46799999999</v>
      </c>
      <c r="H50" s="16">
        <f t="shared" si="1"/>
        <v>627569.46799999999</v>
      </c>
      <c r="I50" s="17" t="s">
        <v>359</v>
      </c>
      <c r="J50" s="18"/>
      <c r="K50" s="36"/>
      <c r="L50" s="36"/>
      <c r="M50" s="18" t="s">
        <v>362</v>
      </c>
      <c r="N50" s="18"/>
      <c r="O50" s="18"/>
      <c r="P50" s="18"/>
      <c r="Q50" s="18" t="s">
        <v>374</v>
      </c>
    </row>
    <row r="51" spans="1:17" ht="12.75" customHeight="1" x14ac:dyDescent="0.2">
      <c r="A51" s="12" t="s">
        <v>174</v>
      </c>
      <c r="B51" s="13" t="s">
        <v>175</v>
      </c>
      <c r="C51" s="13" t="s">
        <v>169</v>
      </c>
      <c r="D51" s="13" t="s">
        <v>15</v>
      </c>
      <c r="E51" s="14" t="s">
        <v>176</v>
      </c>
      <c r="F51" s="15">
        <v>0</v>
      </c>
      <c r="G51" s="15">
        <f>74912*1.076</f>
        <v>80605.312000000005</v>
      </c>
      <c r="H51" s="16">
        <f t="shared" si="1"/>
        <v>80605.312000000005</v>
      </c>
      <c r="I51" s="17"/>
      <c r="J51" s="18"/>
      <c r="K51" s="36"/>
      <c r="L51" s="36"/>
      <c r="M51" s="18" t="s">
        <v>363</v>
      </c>
      <c r="N51" s="18"/>
      <c r="O51" s="18" t="s">
        <v>358</v>
      </c>
      <c r="P51" s="18"/>
      <c r="Q51" s="18"/>
    </row>
    <row r="52" spans="1:17" ht="12.75" customHeight="1" x14ac:dyDescent="0.2">
      <c r="A52" s="12" t="s">
        <v>177</v>
      </c>
      <c r="B52" s="13" t="s">
        <v>178</v>
      </c>
      <c r="C52" s="13" t="s">
        <v>179</v>
      </c>
      <c r="D52" s="13" t="s">
        <v>15</v>
      </c>
      <c r="E52" s="14" t="s">
        <v>180</v>
      </c>
      <c r="F52" s="15">
        <f>435795*1.069</f>
        <v>465864.85499999998</v>
      </c>
      <c r="G52" s="15">
        <f>2306216*1.076</f>
        <v>2481488.4160000002</v>
      </c>
      <c r="H52" s="16">
        <f t="shared" si="1"/>
        <v>2947353.2710000002</v>
      </c>
      <c r="I52" s="31"/>
      <c r="J52" s="32" t="s">
        <v>359</v>
      </c>
      <c r="K52" s="36"/>
      <c r="L52" s="36"/>
      <c r="M52" s="18" t="s">
        <v>362</v>
      </c>
      <c r="N52" s="18"/>
      <c r="O52" s="18"/>
      <c r="P52" s="18"/>
      <c r="Q52" s="18"/>
    </row>
    <row r="53" spans="1:17" ht="12.75" customHeight="1" x14ac:dyDescent="0.2">
      <c r="A53" s="12" t="s">
        <v>181</v>
      </c>
      <c r="B53" s="13" t="s">
        <v>182</v>
      </c>
      <c r="C53" s="13" t="s">
        <v>183</v>
      </c>
      <c r="D53" s="13" t="s">
        <v>15</v>
      </c>
      <c r="E53" s="13" t="s">
        <v>184</v>
      </c>
      <c r="F53" s="15">
        <f>2756532*1.069</f>
        <v>2946732.7079999996</v>
      </c>
      <c r="G53" s="15">
        <f>9711793*1.076</f>
        <v>10449889.268000001</v>
      </c>
      <c r="H53" s="16">
        <f t="shared" si="1"/>
        <v>13396621.976</v>
      </c>
      <c r="I53" s="31" t="s">
        <v>359</v>
      </c>
      <c r="J53" s="32"/>
      <c r="K53" s="36"/>
      <c r="L53" s="36"/>
      <c r="M53" s="18"/>
      <c r="N53" s="18"/>
      <c r="O53" s="18"/>
      <c r="P53" s="18"/>
      <c r="Q53" s="18"/>
    </row>
    <row r="54" spans="1:17" ht="12.75" customHeight="1" x14ac:dyDescent="0.2">
      <c r="A54" s="12" t="s">
        <v>185</v>
      </c>
      <c r="B54" s="13" t="s">
        <v>186</v>
      </c>
      <c r="C54" s="13" t="s">
        <v>187</v>
      </c>
      <c r="D54" s="13" t="s">
        <v>15</v>
      </c>
      <c r="E54" s="14" t="s">
        <v>188</v>
      </c>
      <c r="F54" s="15">
        <v>0</v>
      </c>
      <c r="G54" s="15">
        <f>288946*1.076</f>
        <v>310905.89600000001</v>
      </c>
      <c r="H54" s="16">
        <f t="shared" si="1"/>
        <v>310905.89600000001</v>
      </c>
      <c r="I54" s="31"/>
      <c r="J54" s="32"/>
      <c r="K54" s="36"/>
      <c r="L54" s="36"/>
      <c r="M54" s="18" t="s">
        <v>363</v>
      </c>
      <c r="N54" s="18"/>
      <c r="O54" s="18" t="s">
        <v>358</v>
      </c>
      <c r="P54" s="18"/>
      <c r="Q54" s="18"/>
    </row>
    <row r="55" spans="1:17" ht="12.75" customHeight="1" x14ac:dyDescent="0.2">
      <c r="A55" s="12" t="s">
        <v>189</v>
      </c>
      <c r="B55" s="13" t="s">
        <v>190</v>
      </c>
      <c r="C55" s="13" t="s">
        <v>187</v>
      </c>
      <c r="D55" s="13" t="s">
        <v>15</v>
      </c>
      <c r="E55" s="14" t="s">
        <v>191</v>
      </c>
      <c r="F55" s="15">
        <f>414792*1.069</f>
        <v>443412.64799999999</v>
      </c>
      <c r="G55" s="15">
        <f>4473311*1.076</f>
        <v>4813282.6359999999</v>
      </c>
      <c r="H55" s="16">
        <f t="shared" si="1"/>
        <v>5256695.284</v>
      </c>
      <c r="I55" s="31" t="s">
        <v>359</v>
      </c>
      <c r="J55" s="32"/>
      <c r="K55" s="36"/>
      <c r="L55" s="36"/>
      <c r="M55" s="18" t="s">
        <v>363</v>
      </c>
      <c r="N55" s="18" t="s">
        <v>358</v>
      </c>
      <c r="O55" s="18"/>
      <c r="P55" s="18"/>
      <c r="Q55" s="18"/>
    </row>
    <row r="56" spans="1:17" ht="12.75" customHeight="1" x14ac:dyDescent="0.2">
      <c r="A56" s="12" t="s">
        <v>192</v>
      </c>
      <c r="B56" s="13" t="s">
        <v>193</v>
      </c>
      <c r="C56" s="13" t="s">
        <v>187</v>
      </c>
      <c r="D56" s="13" t="s">
        <v>15</v>
      </c>
      <c r="E56" s="14" t="s">
        <v>194</v>
      </c>
      <c r="F56" s="15">
        <f>267777*1.069</f>
        <v>286253.61300000001</v>
      </c>
      <c r="G56" s="15">
        <f>1829991*1.076</f>
        <v>1969070.3160000001</v>
      </c>
      <c r="H56" s="16">
        <f t="shared" si="1"/>
        <v>2255323.929</v>
      </c>
      <c r="I56" s="31"/>
      <c r="J56" s="32"/>
      <c r="K56" s="36"/>
      <c r="L56" s="36"/>
      <c r="M56" s="18" t="s">
        <v>363</v>
      </c>
      <c r="N56" s="18"/>
      <c r="O56" s="18"/>
      <c r="P56" s="18"/>
      <c r="Q56" s="18"/>
    </row>
    <row r="57" spans="1:17" ht="12.75" customHeight="1" x14ac:dyDescent="0.2">
      <c r="A57" s="12" t="s">
        <v>195</v>
      </c>
      <c r="B57" s="13" t="s">
        <v>196</v>
      </c>
      <c r="C57" s="13" t="s">
        <v>197</v>
      </c>
      <c r="D57" s="13" t="s">
        <v>15</v>
      </c>
      <c r="E57" s="14" t="s">
        <v>198</v>
      </c>
      <c r="F57" s="15">
        <v>0</v>
      </c>
      <c r="G57" s="15">
        <f>3788402*1.076</f>
        <v>4076320.5520000001</v>
      </c>
      <c r="H57" s="16">
        <f t="shared" si="1"/>
        <v>4076320.5520000001</v>
      </c>
      <c r="I57" s="31"/>
      <c r="J57" s="32"/>
      <c r="K57" s="36"/>
      <c r="L57" s="36"/>
      <c r="M57" s="18" t="s">
        <v>362</v>
      </c>
      <c r="N57" s="18"/>
      <c r="O57" s="18"/>
      <c r="P57" s="18"/>
      <c r="Q57" s="18" t="s">
        <v>358</v>
      </c>
    </row>
    <row r="58" spans="1:17" ht="12.75" customHeight="1" x14ac:dyDescent="0.2">
      <c r="A58" s="12" t="s">
        <v>199</v>
      </c>
      <c r="B58" s="13" t="s">
        <v>200</v>
      </c>
      <c r="C58" s="13" t="s">
        <v>201</v>
      </c>
      <c r="D58" s="13" t="s">
        <v>15</v>
      </c>
      <c r="E58" s="14" t="s">
        <v>202</v>
      </c>
      <c r="F58" s="15">
        <f>666818*1.069</f>
        <v>712828.44199999992</v>
      </c>
      <c r="G58" s="15">
        <f>3317527/100*80*1.076</f>
        <v>2855727.2415999998</v>
      </c>
      <c r="H58" s="16">
        <f t="shared" si="1"/>
        <v>3568555.6835999996</v>
      </c>
      <c r="I58" s="31"/>
      <c r="J58" s="32"/>
      <c r="K58" s="36"/>
      <c r="L58" s="36"/>
      <c r="M58" s="18"/>
      <c r="N58" s="18"/>
      <c r="O58" s="18"/>
      <c r="P58" s="18"/>
      <c r="Q58" s="18"/>
    </row>
    <row r="59" spans="1:17" ht="12.75" customHeight="1" x14ac:dyDescent="0.2">
      <c r="A59" s="12" t="s">
        <v>203</v>
      </c>
      <c r="B59" s="13" t="s">
        <v>200</v>
      </c>
      <c r="C59" s="13" t="s">
        <v>201</v>
      </c>
      <c r="D59" s="13" t="s">
        <v>15</v>
      </c>
      <c r="E59" s="14" t="s">
        <v>204</v>
      </c>
      <c r="F59" s="15">
        <f>72457*1.069</f>
        <v>77456.532999999996</v>
      </c>
      <c r="G59" s="15">
        <f>3317527/100*20*1.076</f>
        <v>713931.81039999996</v>
      </c>
      <c r="H59" s="16">
        <f>SUM(F59+G59)</f>
        <v>791388.3433999999</v>
      </c>
      <c r="I59" s="31"/>
      <c r="J59" s="32"/>
      <c r="K59" s="36"/>
      <c r="L59" s="36"/>
      <c r="M59" s="18"/>
      <c r="N59" s="18"/>
      <c r="O59" s="18"/>
      <c r="P59" s="18"/>
      <c r="Q59" s="18"/>
    </row>
    <row r="60" spans="1:17" ht="12.75" customHeight="1" x14ac:dyDescent="0.2">
      <c r="A60" s="12" t="s">
        <v>205</v>
      </c>
      <c r="B60" s="13" t="s">
        <v>206</v>
      </c>
      <c r="C60" s="13" t="s">
        <v>207</v>
      </c>
      <c r="D60" s="13" t="s">
        <v>15</v>
      </c>
      <c r="E60" s="14" t="s">
        <v>208</v>
      </c>
      <c r="F60" s="15">
        <v>0</v>
      </c>
      <c r="G60" s="15">
        <f>561839*1.076</f>
        <v>604538.76400000008</v>
      </c>
      <c r="H60" s="16">
        <f t="shared" ref="H60" si="2">SUM(F60+G60)</f>
        <v>604538.76400000008</v>
      </c>
      <c r="I60" s="31"/>
      <c r="J60" s="32"/>
      <c r="K60" s="36"/>
      <c r="L60" s="36"/>
      <c r="M60" s="18" t="s">
        <v>363</v>
      </c>
      <c r="N60" s="18" t="s">
        <v>358</v>
      </c>
      <c r="O60" s="18"/>
      <c r="P60" s="18"/>
      <c r="Q60" s="18"/>
    </row>
    <row r="61" spans="1:17" ht="12.75" customHeight="1" x14ac:dyDescent="0.2">
      <c r="A61" s="12" t="s">
        <v>209</v>
      </c>
      <c r="B61" s="13" t="s">
        <v>210</v>
      </c>
      <c r="C61" s="13" t="s">
        <v>211</v>
      </c>
      <c r="D61" s="13" t="s">
        <v>15</v>
      </c>
      <c r="E61" s="14" t="s">
        <v>212</v>
      </c>
      <c r="F61" s="15">
        <f>2626*1.069</f>
        <v>2807.194</v>
      </c>
      <c r="G61" s="15">
        <f>21403*1.076</f>
        <v>23029.628000000001</v>
      </c>
      <c r="H61" s="16">
        <f>SUM(F61+G61)</f>
        <v>25836.822</v>
      </c>
      <c r="I61" s="31"/>
      <c r="J61" s="32"/>
      <c r="K61" s="36"/>
      <c r="L61" s="36"/>
      <c r="M61" s="18" t="s">
        <v>363</v>
      </c>
      <c r="N61" s="18"/>
      <c r="O61" s="18"/>
      <c r="P61" s="18"/>
      <c r="Q61" s="18"/>
    </row>
    <row r="62" spans="1:17" ht="12.75" customHeight="1" x14ac:dyDescent="0.2">
      <c r="A62" s="12" t="s">
        <v>213</v>
      </c>
      <c r="B62" s="13" t="s">
        <v>214</v>
      </c>
      <c r="C62" s="13" t="s">
        <v>216</v>
      </c>
      <c r="D62" s="13" t="s">
        <v>215</v>
      </c>
      <c r="E62" s="13" t="s">
        <v>368</v>
      </c>
      <c r="F62" s="15">
        <f>414792*1.069</f>
        <v>443412.64799999999</v>
      </c>
      <c r="G62" s="15">
        <f>1610606*1.076</f>
        <v>1733012.0560000001</v>
      </c>
      <c r="H62" s="16">
        <f t="shared" ref="H62:H80" si="3">SUM(F62+G62)</f>
        <v>2176424.7039999999</v>
      </c>
      <c r="I62" s="31"/>
      <c r="J62" s="32"/>
      <c r="K62" s="36"/>
      <c r="L62" s="36"/>
      <c r="M62" s="18" t="s">
        <v>363</v>
      </c>
      <c r="N62" s="18" t="s">
        <v>358</v>
      </c>
      <c r="O62" s="18"/>
      <c r="P62" s="18"/>
      <c r="Q62" s="18"/>
    </row>
    <row r="63" spans="1:17" ht="12.75" customHeight="1" x14ac:dyDescent="0.2">
      <c r="A63" s="12" t="s">
        <v>217</v>
      </c>
      <c r="B63" s="13" t="s">
        <v>218</v>
      </c>
      <c r="C63" s="13" t="s">
        <v>219</v>
      </c>
      <c r="D63" s="13" t="s">
        <v>15</v>
      </c>
      <c r="E63" s="13" t="s">
        <v>220</v>
      </c>
      <c r="F63" s="15">
        <v>0</v>
      </c>
      <c r="G63" s="15">
        <f>904294*1.076</f>
        <v>973020.34400000004</v>
      </c>
      <c r="H63" s="16">
        <f t="shared" si="3"/>
        <v>973020.34400000004</v>
      </c>
      <c r="I63" s="17"/>
      <c r="J63" s="18"/>
      <c r="K63" s="36"/>
      <c r="L63" s="36"/>
      <c r="M63" s="18" t="s">
        <v>363</v>
      </c>
      <c r="N63" s="18"/>
      <c r="O63" s="18"/>
      <c r="P63" s="18"/>
      <c r="Q63" s="18"/>
    </row>
    <row r="64" spans="1:17" ht="12.75" customHeight="1" x14ac:dyDescent="0.2">
      <c r="A64" s="12" t="s">
        <v>221</v>
      </c>
      <c r="B64" s="13" t="s">
        <v>222</v>
      </c>
      <c r="C64" s="13" t="s">
        <v>223</v>
      </c>
      <c r="D64" s="13" t="s">
        <v>15</v>
      </c>
      <c r="E64" s="13" t="s">
        <v>224</v>
      </c>
      <c r="F64" s="15">
        <v>0</v>
      </c>
      <c r="G64" s="15">
        <f>8614869*1.076</f>
        <v>9269599.0439999998</v>
      </c>
      <c r="H64" s="16">
        <f t="shared" si="3"/>
        <v>9269599.0439999998</v>
      </c>
      <c r="I64" s="17"/>
      <c r="J64" s="18"/>
      <c r="K64" s="36"/>
      <c r="L64" s="36"/>
      <c r="M64" s="18" t="s">
        <v>362</v>
      </c>
      <c r="N64" s="18" t="s">
        <v>358</v>
      </c>
      <c r="O64" s="18" t="s">
        <v>358</v>
      </c>
      <c r="P64" s="18" t="s">
        <v>358</v>
      </c>
      <c r="Q64" s="18"/>
    </row>
    <row r="65" spans="1:17" ht="12.75" customHeight="1" x14ac:dyDescent="0.2">
      <c r="A65" s="12" t="s">
        <v>225</v>
      </c>
      <c r="B65" s="13" t="s">
        <v>226</v>
      </c>
      <c r="C65" s="13" t="s">
        <v>227</v>
      </c>
      <c r="D65" s="13" t="s">
        <v>15</v>
      </c>
      <c r="E65" s="14" t="s">
        <v>228</v>
      </c>
      <c r="F65" s="15">
        <v>0</v>
      </c>
      <c r="G65" s="15">
        <f>232063*1.076</f>
        <v>249699.78800000003</v>
      </c>
      <c r="H65" s="16">
        <f t="shared" si="3"/>
        <v>249699.78800000003</v>
      </c>
      <c r="I65" s="17"/>
      <c r="J65" s="18"/>
      <c r="K65" s="36"/>
      <c r="L65" s="36"/>
      <c r="M65" s="18"/>
      <c r="N65" s="18"/>
      <c r="O65" s="18"/>
      <c r="P65" s="18"/>
      <c r="Q65" s="18"/>
    </row>
    <row r="66" spans="1:17" ht="12.75" customHeight="1" x14ac:dyDescent="0.2">
      <c r="A66" s="12" t="s">
        <v>225</v>
      </c>
      <c r="B66" s="13" t="s">
        <v>226</v>
      </c>
      <c r="C66" s="13" t="s">
        <v>227</v>
      </c>
      <c r="D66" s="13" t="s">
        <v>15</v>
      </c>
      <c r="E66" s="14" t="s">
        <v>229</v>
      </c>
      <c r="F66" s="15">
        <v>0</v>
      </c>
      <c r="G66" s="15">
        <f>232063*1.076</f>
        <v>249699.78800000003</v>
      </c>
      <c r="H66" s="16">
        <f t="shared" si="3"/>
        <v>249699.78800000003</v>
      </c>
      <c r="I66" s="17"/>
      <c r="J66" s="18"/>
      <c r="K66" s="36"/>
      <c r="L66" s="36"/>
      <c r="M66" s="18"/>
      <c r="N66" s="18"/>
      <c r="O66" s="18"/>
      <c r="P66" s="18"/>
      <c r="Q66" s="18"/>
    </row>
    <row r="67" spans="1:17" ht="12.75" customHeight="1" x14ac:dyDescent="0.2">
      <c r="A67" s="12" t="s">
        <v>225</v>
      </c>
      <c r="B67" s="13" t="s">
        <v>226</v>
      </c>
      <c r="C67" s="13" t="s">
        <v>227</v>
      </c>
      <c r="D67" s="13" t="s">
        <v>15</v>
      </c>
      <c r="E67" s="14" t="s">
        <v>230</v>
      </c>
      <c r="F67" s="15">
        <v>0</v>
      </c>
      <c r="G67" s="15">
        <f>232063*1.076</f>
        <v>249699.78800000003</v>
      </c>
      <c r="H67" s="16">
        <f t="shared" si="3"/>
        <v>249699.78800000003</v>
      </c>
      <c r="I67" s="17"/>
      <c r="J67" s="18"/>
      <c r="K67" s="36"/>
      <c r="L67" s="36"/>
      <c r="M67" s="18"/>
      <c r="N67" s="18"/>
      <c r="O67" s="18"/>
      <c r="P67" s="18"/>
      <c r="Q67" s="18"/>
    </row>
    <row r="68" spans="1:17" ht="12.75" customHeight="1" x14ac:dyDescent="0.2">
      <c r="A68" s="12" t="s">
        <v>225</v>
      </c>
      <c r="B68" s="13" t="s">
        <v>226</v>
      </c>
      <c r="C68" s="13" t="s">
        <v>227</v>
      </c>
      <c r="D68" s="13" t="s">
        <v>15</v>
      </c>
      <c r="E68" s="14" t="s">
        <v>231</v>
      </c>
      <c r="F68" s="15">
        <v>0</v>
      </c>
      <c r="G68" s="15">
        <f>232063*1.076</f>
        <v>249699.78800000003</v>
      </c>
      <c r="H68" s="16">
        <f t="shared" si="3"/>
        <v>249699.78800000003</v>
      </c>
      <c r="I68" s="17"/>
      <c r="J68" s="18"/>
      <c r="K68" s="36"/>
      <c r="L68" s="36"/>
      <c r="M68" s="18"/>
      <c r="N68" s="18"/>
      <c r="O68" s="18"/>
      <c r="P68" s="18"/>
      <c r="Q68" s="18"/>
    </row>
    <row r="69" spans="1:17" ht="12.75" customHeight="1" x14ac:dyDescent="0.2">
      <c r="A69" s="12" t="s">
        <v>232</v>
      </c>
      <c r="B69" s="13" t="s">
        <v>233</v>
      </c>
      <c r="C69" s="13" t="s">
        <v>227</v>
      </c>
      <c r="D69" s="13" t="s">
        <v>15</v>
      </c>
      <c r="E69" s="14" t="s">
        <v>234</v>
      </c>
      <c r="F69" s="15">
        <f>5355548*1.069</f>
        <v>5725080.8119999999</v>
      </c>
      <c r="G69" s="15">
        <f>18406924*1.076</f>
        <v>19805850.223999999</v>
      </c>
      <c r="H69" s="16">
        <f t="shared" si="3"/>
        <v>25530931.035999998</v>
      </c>
      <c r="I69" s="17"/>
      <c r="J69" s="18"/>
      <c r="K69" s="36"/>
      <c r="L69" s="36"/>
      <c r="M69" s="18" t="s">
        <v>362</v>
      </c>
      <c r="N69" s="18" t="s">
        <v>358</v>
      </c>
      <c r="O69" s="18" t="s">
        <v>358</v>
      </c>
      <c r="P69" s="18" t="s">
        <v>358</v>
      </c>
      <c r="Q69" s="18"/>
    </row>
    <row r="70" spans="1:17" ht="12.75" customHeight="1" x14ac:dyDescent="0.2">
      <c r="A70" s="12" t="s">
        <v>225</v>
      </c>
      <c r="B70" s="13" t="s">
        <v>233</v>
      </c>
      <c r="C70" s="13" t="s">
        <v>227</v>
      </c>
      <c r="D70" s="13" t="s">
        <v>15</v>
      </c>
      <c r="E70" s="14" t="s">
        <v>235</v>
      </c>
      <c r="F70" s="15">
        <v>0</v>
      </c>
      <c r="G70" s="15">
        <f>940385*1.076</f>
        <v>1011854.26</v>
      </c>
      <c r="H70" s="16">
        <f t="shared" si="3"/>
        <v>1011854.26</v>
      </c>
      <c r="I70" s="17"/>
      <c r="J70" s="18"/>
      <c r="K70" s="36"/>
      <c r="L70" s="36"/>
      <c r="M70" s="18"/>
      <c r="N70" s="18"/>
      <c r="O70" s="18"/>
      <c r="P70" s="18"/>
      <c r="Q70" s="18"/>
    </row>
    <row r="71" spans="1:17" ht="12.75" customHeight="1" x14ac:dyDescent="0.2">
      <c r="A71" s="12" t="s">
        <v>236</v>
      </c>
      <c r="B71" s="13" t="s">
        <v>237</v>
      </c>
      <c r="C71" s="13" t="s">
        <v>223</v>
      </c>
      <c r="D71" s="13" t="s">
        <v>15</v>
      </c>
      <c r="E71" s="13" t="s">
        <v>238</v>
      </c>
      <c r="F71" s="15">
        <f>2136969*1.069</f>
        <v>2284419.861</v>
      </c>
      <c r="G71" s="15">
        <v>0</v>
      </c>
      <c r="H71" s="16">
        <f t="shared" si="3"/>
        <v>2284419.861</v>
      </c>
      <c r="I71" s="17"/>
      <c r="J71" s="18"/>
      <c r="K71" s="36"/>
      <c r="L71" s="36" t="s">
        <v>372</v>
      </c>
      <c r="M71" s="18" t="s">
        <v>363</v>
      </c>
      <c r="N71" s="18" t="s">
        <v>358</v>
      </c>
      <c r="O71" s="18" t="s">
        <v>358</v>
      </c>
      <c r="P71" s="18" t="s">
        <v>358</v>
      </c>
      <c r="Q71" s="18"/>
    </row>
    <row r="72" spans="1:17" ht="12.75" customHeight="1" x14ac:dyDescent="0.2">
      <c r="A72" s="12" t="s">
        <v>239</v>
      </c>
      <c r="B72" s="13" t="s">
        <v>240</v>
      </c>
      <c r="C72" s="13" t="s">
        <v>241</v>
      </c>
      <c r="D72" s="13" t="s">
        <v>15</v>
      </c>
      <c r="E72" s="14" t="s">
        <v>242</v>
      </c>
      <c r="F72" s="15">
        <f>35704*1.069</f>
        <v>38167.576000000001</v>
      </c>
      <c r="G72" s="15">
        <f>113438*1.076</f>
        <v>122059.288</v>
      </c>
      <c r="H72" s="16">
        <f t="shared" si="3"/>
        <v>160226.864</v>
      </c>
      <c r="I72" s="17"/>
      <c r="J72" s="18"/>
      <c r="K72" s="36"/>
      <c r="L72" s="36"/>
      <c r="M72" s="18" t="s">
        <v>363</v>
      </c>
      <c r="N72" s="18"/>
      <c r="O72" s="18"/>
      <c r="P72" s="18"/>
      <c r="Q72" s="18"/>
    </row>
    <row r="73" spans="1:17" ht="12.75" customHeight="1" x14ac:dyDescent="0.2">
      <c r="A73" s="12" t="s">
        <v>243</v>
      </c>
      <c r="B73" s="13" t="s">
        <v>244</v>
      </c>
      <c r="C73" s="13" t="s">
        <v>241</v>
      </c>
      <c r="D73" s="13" t="s">
        <v>15</v>
      </c>
      <c r="E73" s="14" t="s">
        <v>245</v>
      </c>
      <c r="F73" s="15">
        <v>0</v>
      </c>
      <c r="G73" s="15">
        <f>1086223*1.076</f>
        <v>1168775.9480000001</v>
      </c>
      <c r="H73" s="16">
        <f t="shared" si="3"/>
        <v>1168775.9480000001</v>
      </c>
      <c r="I73" s="17"/>
      <c r="J73" s="18"/>
      <c r="K73" s="36"/>
      <c r="L73" s="36"/>
      <c r="M73" s="18" t="s">
        <v>362</v>
      </c>
      <c r="N73" s="18"/>
      <c r="O73" s="18"/>
      <c r="P73" s="18"/>
      <c r="Q73" s="18"/>
    </row>
    <row r="74" spans="1:17" ht="12.75" customHeight="1" x14ac:dyDescent="0.2">
      <c r="A74" s="12" t="s">
        <v>246</v>
      </c>
      <c r="B74" s="13" t="s">
        <v>247</v>
      </c>
      <c r="C74" s="13" t="s">
        <v>248</v>
      </c>
      <c r="D74" s="13" t="s">
        <v>15</v>
      </c>
      <c r="E74" s="14" t="s">
        <v>249</v>
      </c>
      <c r="F74" s="15">
        <f>246775*1.069</f>
        <v>263802.47499999998</v>
      </c>
      <c r="G74" s="15">
        <f>3692087*1.076</f>
        <v>3972685.6120000002</v>
      </c>
      <c r="H74" s="16">
        <f t="shared" si="3"/>
        <v>4236488.0870000003</v>
      </c>
      <c r="I74" s="17"/>
      <c r="J74" s="18"/>
      <c r="K74" s="36"/>
      <c r="L74" s="36"/>
      <c r="M74" s="18" t="s">
        <v>363</v>
      </c>
      <c r="N74" s="18" t="s">
        <v>358</v>
      </c>
      <c r="O74" s="18"/>
      <c r="P74" s="18"/>
      <c r="Q74" s="18"/>
    </row>
    <row r="75" spans="1:17" ht="12.75" customHeight="1" x14ac:dyDescent="0.2">
      <c r="A75" s="12" t="s">
        <v>250</v>
      </c>
      <c r="B75" s="13" t="s">
        <v>251</v>
      </c>
      <c r="C75" s="13" t="s">
        <v>252</v>
      </c>
      <c r="D75" s="13" t="s">
        <v>15</v>
      </c>
      <c r="E75" s="14" t="s">
        <v>253</v>
      </c>
      <c r="F75" s="15">
        <f>273028*1.069</f>
        <v>291866.93199999997</v>
      </c>
      <c r="G75" s="15">
        <f>1605255*1.076</f>
        <v>1727254.3800000001</v>
      </c>
      <c r="H75" s="16">
        <f t="shared" si="3"/>
        <v>2019121.3120000002</v>
      </c>
      <c r="I75" s="17"/>
      <c r="J75" s="18"/>
      <c r="K75" s="36"/>
      <c r="L75" s="36"/>
      <c r="M75" s="18" t="s">
        <v>363</v>
      </c>
      <c r="N75" s="18" t="s">
        <v>358</v>
      </c>
      <c r="O75" s="18" t="s">
        <v>358</v>
      </c>
      <c r="P75" s="18" t="s">
        <v>358</v>
      </c>
      <c r="Q75" s="18"/>
    </row>
    <row r="76" spans="1:17" ht="12.75" customHeight="1" x14ac:dyDescent="0.2">
      <c r="A76" s="12" t="s">
        <v>254</v>
      </c>
      <c r="B76" s="13" t="s">
        <v>255</v>
      </c>
      <c r="C76" s="13" t="s">
        <v>256</v>
      </c>
      <c r="D76" s="13" t="s">
        <v>15</v>
      </c>
      <c r="E76" s="14" t="s">
        <v>257</v>
      </c>
      <c r="F76" s="15">
        <f>7351*1.069</f>
        <v>7858.2190000000001</v>
      </c>
      <c r="G76" s="15">
        <f>32105*1.076</f>
        <v>34544.980000000003</v>
      </c>
      <c r="H76" s="16">
        <f t="shared" si="3"/>
        <v>42403.199000000001</v>
      </c>
      <c r="I76" s="17"/>
      <c r="J76" s="18"/>
      <c r="K76" s="36"/>
      <c r="L76" s="36"/>
      <c r="M76" s="18"/>
      <c r="N76" s="18"/>
      <c r="O76" s="18"/>
      <c r="P76" s="18"/>
      <c r="Q76" s="18"/>
    </row>
    <row r="77" spans="1:17" ht="12.75" customHeight="1" x14ac:dyDescent="0.2">
      <c r="A77" s="12" t="s">
        <v>259</v>
      </c>
      <c r="B77" s="13" t="s">
        <v>260</v>
      </c>
      <c r="C77" s="13" t="s">
        <v>258</v>
      </c>
      <c r="D77" s="13" t="s">
        <v>15</v>
      </c>
      <c r="E77" s="14" t="s">
        <v>261</v>
      </c>
      <c r="F77" s="20">
        <f>92865*1.069</f>
        <v>99272.684999999998</v>
      </c>
      <c r="G77" s="15">
        <v>0</v>
      </c>
      <c r="H77" s="16">
        <f t="shared" si="3"/>
        <v>99272.684999999998</v>
      </c>
      <c r="I77" s="17"/>
      <c r="J77" s="18"/>
      <c r="K77" s="36"/>
      <c r="L77" s="36"/>
      <c r="M77" s="18" t="s">
        <v>363</v>
      </c>
      <c r="N77" s="18"/>
      <c r="O77" s="18"/>
      <c r="P77" s="18"/>
      <c r="Q77" s="18"/>
    </row>
    <row r="78" spans="1:17" ht="12.75" customHeight="1" x14ac:dyDescent="0.2">
      <c r="A78" s="12" t="s">
        <v>262</v>
      </c>
      <c r="B78" s="13" t="s">
        <v>263</v>
      </c>
      <c r="C78" s="13" t="s">
        <v>258</v>
      </c>
      <c r="D78" s="13" t="s">
        <v>15</v>
      </c>
      <c r="E78" s="14" t="s">
        <v>264</v>
      </c>
      <c r="F78" s="20">
        <v>1354784.32</v>
      </c>
      <c r="G78" s="15">
        <v>0</v>
      </c>
      <c r="H78" s="16">
        <f t="shared" si="3"/>
        <v>1354784.32</v>
      </c>
      <c r="I78" s="17"/>
      <c r="J78" s="18"/>
      <c r="K78" s="36"/>
      <c r="L78" s="36"/>
      <c r="M78" s="18" t="s">
        <v>363</v>
      </c>
      <c r="N78" s="18"/>
      <c r="O78" s="18" t="s">
        <v>358</v>
      </c>
      <c r="P78" s="18"/>
      <c r="Q78" s="18"/>
    </row>
    <row r="79" spans="1:17" ht="12.75" customHeight="1" x14ac:dyDescent="0.2">
      <c r="A79" s="12" t="s">
        <v>265</v>
      </c>
      <c r="B79" s="13" t="s">
        <v>263</v>
      </c>
      <c r="C79" s="13" t="s">
        <v>258</v>
      </c>
      <c r="D79" s="13" t="s">
        <v>15</v>
      </c>
      <c r="E79" s="14" t="s">
        <v>266</v>
      </c>
      <c r="F79" s="15">
        <v>0</v>
      </c>
      <c r="G79" s="15">
        <f>7303978*1.076</f>
        <v>7859080.3280000007</v>
      </c>
      <c r="H79" s="16">
        <f t="shared" si="3"/>
        <v>7859080.3280000007</v>
      </c>
      <c r="I79" s="31" t="s">
        <v>359</v>
      </c>
      <c r="J79" s="32"/>
      <c r="K79" s="36"/>
      <c r="L79" s="36"/>
      <c r="M79" s="18"/>
      <c r="N79" s="18"/>
      <c r="O79" s="18"/>
      <c r="P79" s="18"/>
      <c r="Q79" s="18"/>
    </row>
    <row r="80" spans="1:17" ht="12.75" customHeight="1" x14ac:dyDescent="0.2">
      <c r="A80" s="12" t="s">
        <v>267</v>
      </c>
      <c r="B80" s="13" t="s">
        <v>268</v>
      </c>
      <c r="C80" s="13" t="s">
        <v>269</v>
      </c>
      <c r="D80" s="13" t="s">
        <v>15</v>
      </c>
      <c r="E80" s="14" t="s">
        <v>270</v>
      </c>
      <c r="F80" s="15">
        <v>0</v>
      </c>
      <c r="G80" s="15">
        <f>947100*1.076</f>
        <v>1019079.6000000001</v>
      </c>
      <c r="H80" s="16">
        <f t="shared" si="3"/>
        <v>1019079.6000000001</v>
      </c>
      <c r="I80" s="17"/>
      <c r="J80" s="18"/>
      <c r="K80" s="36"/>
      <c r="L80" s="36"/>
      <c r="M80" s="18" t="s">
        <v>362</v>
      </c>
      <c r="N80" s="18"/>
      <c r="O80" s="18"/>
      <c r="P80" s="18"/>
      <c r="Q80" s="18"/>
    </row>
    <row r="81" spans="1:17" ht="12.75" customHeight="1" x14ac:dyDescent="0.2">
      <c r="A81" s="12" t="s">
        <v>271</v>
      </c>
      <c r="B81" s="13" t="s">
        <v>272</v>
      </c>
      <c r="C81" s="13" t="s">
        <v>273</v>
      </c>
      <c r="D81" s="13" t="s">
        <v>15</v>
      </c>
      <c r="E81" s="14" t="s">
        <v>274</v>
      </c>
      <c r="F81" s="15">
        <f>74588*1.069</f>
        <v>79734.572</v>
      </c>
      <c r="G81" s="15">
        <f>749119*1.076</f>
        <v>806052.04399999999</v>
      </c>
      <c r="H81" s="16">
        <f t="shared" ref="H81:H98" si="4">SUM(F81+G81)</f>
        <v>885786.61600000004</v>
      </c>
      <c r="I81" s="17"/>
      <c r="J81" s="18"/>
      <c r="K81" s="36"/>
      <c r="L81" s="36"/>
      <c r="M81" s="18" t="s">
        <v>362</v>
      </c>
      <c r="N81" s="18"/>
      <c r="O81" s="18"/>
      <c r="P81" s="18"/>
      <c r="Q81" s="18"/>
    </row>
    <row r="82" spans="1:17" ht="12.75" customHeight="1" x14ac:dyDescent="0.2">
      <c r="A82" s="12" t="s">
        <v>275</v>
      </c>
      <c r="B82" s="13" t="s">
        <v>276</v>
      </c>
      <c r="C82" s="13" t="s">
        <v>273</v>
      </c>
      <c r="D82" s="13" t="s">
        <v>15</v>
      </c>
      <c r="E82" s="14" t="s">
        <v>277</v>
      </c>
      <c r="F82" s="15">
        <f>572309*1.069</f>
        <v>611798.321</v>
      </c>
      <c r="G82" s="15">
        <f>2621917*1.076</f>
        <v>2821182.6920000003</v>
      </c>
      <c r="H82" s="16">
        <f t="shared" si="4"/>
        <v>3432981.0130000003</v>
      </c>
      <c r="I82" s="17" t="s">
        <v>359</v>
      </c>
      <c r="J82" s="18"/>
      <c r="K82" s="36"/>
      <c r="L82" s="36"/>
      <c r="M82" s="18" t="s">
        <v>362</v>
      </c>
      <c r="N82" s="18"/>
      <c r="O82" s="18"/>
      <c r="P82" s="18"/>
      <c r="Q82" s="18"/>
    </row>
    <row r="83" spans="1:17" ht="12.75" customHeight="1" x14ac:dyDescent="0.2">
      <c r="A83" s="12" t="s">
        <v>278</v>
      </c>
      <c r="B83" s="13" t="s">
        <v>279</v>
      </c>
      <c r="C83" s="13" t="s">
        <v>280</v>
      </c>
      <c r="D83" s="13" t="s">
        <v>15</v>
      </c>
      <c r="E83" s="14" t="s">
        <v>281</v>
      </c>
      <c r="F83" s="15">
        <f>462047*1.069</f>
        <v>493928.24299999996</v>
      </c>
      <c r="G83" s="15">
        <f>2814547*1.076</f>
        <v>3028452.5720000002</v>
      </c>
      <c r="H83" s="16">
        <f t="shared" si="4"/>
        <v>3522380.8149999999</v>
      </c>
      <c r="I83" s="17"/>
      <c r="J83" s="18"/>
      <c r="K83" s="36"/>
      <c r="L83" s="36"/>
      <c r="M83" s="18" t="s">
        <v>362</v>
      </c>
      <c r="N83" s="18"/>
      <c r="O83" s="18"/>
      <c r="P83" s="18"/>
      <c r="Q83" s="18"/>
    </row>
    <row r="84" spans="1:17" ht="12.75" customHeight="1" x14ac:dyDescent="0.2">
      <c r="A84" s="12" t="s">
        <v>282</v>
      </c>
      <c r="B84" s="13" t="s">
        <v>283</v>
      </c>
      <c r="C84" s="13" t="s">
        <v>284</v>
      </c>
      <c r="D84" s="13" t="s">
        <v>15</v>
      </c>
      <c r="E84" s="14" t="s">
        <v>285</v>
      </c>
      <c r="F84" s="15">
        <v>0</v>
      </c>
      <c r="G84" s="15">
        <f>57789*1.076</f>
        <v>62180.964000000007</v>
      </c>
      <c r="H84" s="16">
        <f t="shared" si="4"/>
        <v>62180.964000000007</v>
      </c>
      <c r="I84" s="17"/>
      <c r="J84" s="18"/>
      <c r="K84" s="36"/>
      <c r="L84" s="36"/>
      <c r="M84" s="18"/>
      <c r="N84" s="18"/>
      <c r="O84" s="18"/>
      <c r="P84" s="18"/>
      <c r="Q84" s="18"/>
    </row>
    <row r="85" spans="1:17" ht="12.75" customHeight="1" x14ac:dyDescent="0.2">
      <c r="A85" s="12" t="s">
        <v>286</v>
      </c>
      <c r="B85" s="13" t="s">
        <v>287</v>
      </c>
      <c r="C85" s="13" t="s">
        <v>288</v>
      </c>
      <c r="D85" s="13" t="s">
        <v>15</v>
      </c>
      <c r="E85" s="14" t="s">
        <v>289</v>
      </c>
      <c r="F85" s="15">
        <f>619563*1.069</f>
        <v>662312.84699999995</v>
      </c>
      <c r="G85" s="15">
        <f>2118937*1.076</f>
        <v>2279976.2120000003</v>
      </c>
      <c r="H85" s="16">
        <f t="shared" si="4"/>
        <v>2942289.0590000004</v>
      </c>
      <c r="I85" s="17"/>
      <c r="J85" s="18"/>
      <c r="K85" s="36"/>
      <c r="L85" s="36"/>
      <c r="M85" s="18"/>
      <c r="N85" s="18"/>
      <c r="O85" s="18"/>
      <c r="P85" s="18"/>
      <c r="Q85" s="18"/>
    </row>
    <row r="86" spans="1:17" ht="12.75" customHeight="1" x14ac:dyDescent="0.2">
      <c r="A86" s="21" t="s">
        <v>290</v>
      </c>
      <c r="B86" s="13" t="s">
        <v>287</v>
      </c>
      <c r="C86" s="13" t="s">
        <v>288</v>
      </c>
      <c r="D86" s="13" t="s">
        <v>15</v>
      </c>
      <c r="E86" s="14" t="s">
        <v>291</v>
      </c>
      <c r="F86" s="15">
        <v>0</v>
      </c>
      <c r="G86" s="15">
        <f>246243*1.076</f>
        <v>264957.46799999999</v>
      </c>
      <c r="H86" s="16">
        <f t="shared" si="4"/>
        <v>264957.46799999999</v>
      </c>
      <c r="I86" s="17"/>
      <c r="J86" s="18"/>
      <c r="K86" s="36"/>
      <c r="L86" s="36"/>
      <c r="M86" s="18"/>
      <c r="N86" s="18"/>
      <c r="O86" s="18"/>
      <c r="P86" s="18"/>
      <c r="Q86" s="18"/>
    </row>
    <row r="87" spans="1:17" ht="12.75" customHeight="1" x14ac:dyDescent="0.2">
      <c r="A87" s="12" t="s">
        <v>292</v>
      </c>
      <c r="B87" s="13" t="s">
        <v>293</v>
      </c>
      <c r="C87" s="13" t="s">
        <v>294</v>
      </c>
      <c r="D87" s="13" t="s">
        <v>15</v>
      </c>
      <c r="E87" s="14" t="s">
        <v>295</v>
      </c>
      <c r="F87" s="15">
        <f>735075*1.069</f>
        <v>785795.17499999993</v>
      </c>
      <c r="G87" s="15">
        <f>3210510*1.076</f>
        <v>3454508.7600000002</v>
      </c>
      <c r="H87" s="16">
        <f t="shared" si="4"/>
        <v>4240303.9350000005</v>
      </c>
      <c r="I87" s="17" t="s">
        <v>359</v>
      </c>
      <c r="J87" s="18"/>
      <c r="K87" s="36"/>
      <c r="L87" s="36"/>
      <c r="M87" s="18"/>
      <c r="N87" s="18"/>
      <c r="O87" s="18"/>
      <c r="P87" s="18"/>
      <c r="Q87" s="18"/>
    </row>
    <row r="88" spans="1:17" ht="12.75" customHeight="1" x14ac:dyDescent="0.2">
      <c r="A88" s="12" t="s">
        <v>296</v>
      </c>
      <c r="B88" s="13" t="s">
        <v>297</v>
      </c>
      <c r="C88" s="13" t="s">
        <v>298</v>
      </c>
      <c r="D88" s="13" t="s">
        <v>15</v>
      </c>
      <c r="E88" s="14" t="s">
        <v>299</v>
      </c>
      <c r="F88" s="15">
        <f>425294*1.069</f>
        <v>454639.28599999996</v>
      </c>
      <c r="G88" s="15">
        <f>2894810*1.076</f>
        <v>3114815.56</v>
      </c>
      <c r="H88" s="16">
        <f t="shared" si="4"/>
        <v>3569454.8459999999</v>
      </c>
      <c r="I88" s="17"/>
      <c r="J88" s="18"/>
      <c r="K88" s="36"/>
      <c r="L88" s="36"/>
      <c r="M88" s="18" t="s">
        <v>363</v>
      </c>
      <c r="N88" s="18" t="s">
        <v>358</v>
      </c>
      <c r="O88" s="18" t="s">
        <v>358</v>
      </c>
      <c r="P88" s="18"/>
      <c r="Q88" s="18"/>
    </row>
    <row r="89" spans="1:17" ht="12.75" customHeight="1" x14ac:dyDescent="0.2">
      <c r="A89" s="12" t="s">
        <v>300</v>
      </c>
      <c r="B89" s="13" t="s">
        <v>301</v>
      </c>
      <c r="C89" s="13" t="s">
        <v>302</v>
      </c>
      <c r="D89" s="13" t="s">
        <v>15</v>
      </c>
      <c r="E89" s="14" t="s">
        <v>367</v>
      </c>
      <c r="F89" s="15">
        <v>200000</v>
      </c>
      <c r="G89" s="15">
        <f>2407883*1.076</f>
        <v>2590882.108</v>
      </c>
      <c r="H89" s="16">
        <f t="shared" si="4"/>
        <v>2790882.108</v>
      </c>
      <c r="I89" s="17"/>
      <c r="J89" s="18"/>
      <c r="K89" s="36"/>
      <c r="L89" s="36"/>
      <c r="M89" s="18" t="s">
        <v>363</v>
      </c>
      <c r="N89" s="18" t="s">
        <v>358</v>
      </c>
      <c r="O89" s="18"/>
      <c r="P89" s="18"/>
      <c r="Q89" s="18"/>
    </row>
    <row r="90" spans="1:17" ht="12.75" customHeight="1" x14ac:dyDescent="0.2">
      <c r="A90" s="12" t="s">
        <v>303</v>
      </c>
      <c r="B90" s="13" t="s">
        <v>304</v>
      </c>
      <c r="C90" s="13" t="s">
        <v>305</v>
      </c>
      <c r="D90" s="13" t="s">
        <v>15</v>
      </c>
      <c r="E90" s="13" t="s">
        <v>306</v>
      </c>
      <c r="F90" s="15">
        <f>141765*1.069</f>
        <v>151546.785</v>
      </c>
      <c r="G90" s="15">
        <f>3959629*1.076</f>
        <v>4260560.8040000005</v>
      </c>
      <c r="H90" s="16">
        <f t="shared" si="4"/>
        <v>4412107.5890000006</v>
      </c>
      <c r="I90" s="17"/>
      <c r="J90" s="18"/>
      <c r="K90" s="36" t="s">
        <v>376</v>
      </c>
      <c r="L90" s="36"/>
      <c r="M90" s="18" t="s">
        <v>363</v>
      </c>
      <c r="N90" s="18"/>
      <c r="O90" s="18" t="s">
        <v>358</v>
      </c>
      <c r="P90" s="18"/>
      <c r="Q90" s="18"/>
    </row>
    <row r="91" spans="1:17" ht="12.75" customHeight="1" x14ac:dyDescent="0.2">
      <c r="A91" s="12" t="s">
        <v>307</v>
      </c>
      <c r="B91" s="13" t="s">
        <v>308</v>
      </c>
      <c r="C91" s="13" t="s">
        <v>310</v>
      </c>
      <c r="D91" s="13" t="s">
        <v>309</v>
      </c>
      <c r="E91" s="14" t="s">
        <v>311</v>
      </c>
      <c r="F91" s="15">
        <v>0</v>
      </c>
      <c r="G91" s="15">
        <f>1573150*1.076</f>
        <v>1692709.4000000001</v>
      </c>
      <c r="H91" s="16">
        <f t="shared" si="4"/>
        <v>1692709.4000000001</v>
      </c>
      <c r="I91" s="17"/>
      <c r="J91" s="18"/>
      <c r="K91" s="36"/>
      <c r="L91" s="36"/>
      <c r="M91" s="18" t="s">
        <v>362</v>
      </c>
      <c r="N91" s="18"/>
      <c r="O91" s="18"/>
      <c r="P91" s="18"/>
      <c r="Q91" s="18" t="s">
        <v>358</v>
      </c>
    </row>
    <row r="92" spans="1:17" ht="12.75" customHeight="1" x14ac:dyDescent="0.2">
      <c r="A92" s="12" t="s">
        <v>312</v>
      </c>
      <c r="B92" s="13" t="s">
        <v>313</v>
      </c>
      <c r="C92" s="13" t="s">
        <v>314</v>
      </c>
      <c r="D92" s="13" t="s">
        <v>309</v>
      </c>
      <c r="E92" s="14" t="s">
        <v>315</v>
      </c>
      <c r="F92" s="15">
        <v>0</v>
      </c>
      <c r="G92" s="15">
        <f>1797886*1.076</f>
        <v>1934525.3360000001</v>
      </c>
      <c r="H92" s="16">
        <f t="shared" si="4"/>
        <v>1934525.3360000001</v>
      </c>
      <c r="I92" s="17"/>
      <c r="J92" s="18"/>
      <c r="K92" s="36"/>
      <c r="L92" s="36"/>
      <c r="M92" s="18" t="s">
        <v>363</v>
      </c>
      <c r="N92" s="18"/>
      <c r="O92" s="18" t="s">
        <v>358</v>
      </c>
      <c r="P92" s="18"/>
      <c r="Q92" s="18"/>
    </row>
    <row r="93" spans="1:17" ht="12.75" customHeight="1" x14ac:dyDescent="0.2">
      <c r="A93" s="12" t="s">
        <v>316</v>
      </c>
      <c r="B93" s="13" t="s">
        <v>317</v>
      </c>
      <c r="C93" s="13" t="s">
        <v>318</v>
      </c>
      <c r="D93" s="13" t="s">
        <v>309</v>
      </c>
      <c r="E93" s="14" t="s">
        <v>319</v>
      </c>
      <c r="F93" s="15">
        <f>519803*1.069</f>
        <v>555669.40700000001</v>
      </c>
      <c r="G93" s="15">
        <f>2086832*1.076</f>
        <v>2245431.2320000003</v>
      </c>
      <c r="H93" s="16">
        <f t="shared" si="4"/>
        <v>2801100.6390000004</v>
      </c>
      <c r="I93" s="17"/>
      <c r="J93" s="18"/>
      <c r="K93" s="36"/>
      <c r="L93" s="36"/>
      <c r="M93" s="18"/>
      <c r="N93" s="18"/>
      <c r="O93" s="18"/>
      <c r="P93" s="18"/>
      <c r="Q93" s="18"/>
    </row>
    <row r="94" spans="1:17" ht="12.75" customHeight="1" x14ac:dyDescent="0.2">
      <c r="A94" s="12" t="s">
        <v>320</v>
      </c>
      <c r="B94" s="13" t="s">
        <v>321</v>
      </c>
      <c r="C94" s="13" t="s">
        <v>322</v>
      </c>
      <c r="D94" s="13" t="s">
        <v>309</v>
      </c>
      <c r="E94" s="14" t="s">
        <v>323</v>
      </c>
      <c r="F94" s="15">
        <v>0</v>
      </c>
      <c r="G94" s="15">
        <f>347976*1.076</f>
        <v>374422.17600000004</v>
      </c>
      <c r="H94" s="16">
        <f>SUM(F94+G94)</f>
        <v>374422.17600000004</v>
      </c>
      <c r="I94" s="17"/>
      <c r="J94" s="18"/>
      <c r="K94" s="36"/>
      <c r="L94" s="36"/>
      <c r="M94" s="18"/>
      <c r="N94" s="18"/>
      <c r="O94" s="18"/>
      <c r="P94" s="18"/>
      <c r="Q94" s="18" t="s">
        <v>358</v>
      </c>
    </row>
    <row r="95" spans="1:17" ht="12.75" customHeight="1" x14ac:dyDescent="0.2">
      <c r="A95" s="12" t="s">
        <v>324</v>
      </c>
      <c r="B95" s="13" t="s">
        <v>325</v>
      </c>
      <c r="C95" s="13" t="s">
        <v>326</v>
      </c>
      <c r="D95" s="19" t="s">
        <v>309</v>
      </c>
      <c r="E95" s="14" t="s">
        <v>327</v>
      </c>
      <c r="F95" s="15">
        <v>0</v>
      </c>
      <c r="G95" s="15">
        <f>454822*1.076</f>
        <v>489388.47200000001</v>
      </c>
      <c r="H95" s="16">
        <f>SUM(F95:G95)</f>
        <v>489388.47200000001</v>
      </c>
      <c r="I95" s="17"/>
      <c r="J95" s="18"/>
      <c r="K95" s="36"/>
      <c r="L95" s="36"/>
      <c r="M95" s="18" t="s">
        <v>363</v>
      </c>
      <c r="N95" s="18" t="s">
        <v>358</v>
      </c>
      <c r="O95" s="18" t="s">
        <v>358</v>
      </c>
      <c r="P95" s="18" t="s">
        <v>358</v>
      </c>
      <c r="Q95" s="18"/>
    </row>
    <row r="96" spans="1:17" ht="12.75" customHeight="1" x14ac:dyDescent="0.2">
      <c r="A96" s="12" t="s">
        <v>328</v>
      </c>
      <c r="B96" s="13" t="s">
        <v>329</v>
      </c>
      <c r="C96" s="13" t="s">
        <v>331</v>
      </c>
      <c r="D96" s="13" t="s">
        <v>330</v>
      </c>
      <c r="E96" s="14" t="s">
        <v>332</v>
      </c>
      <c r="F96" s="15">
        <f>175368*1.069</f>
        <v>187468.39199999999</v>
      </c>
      <c r="G96" s="15">
        <f>706312*1.076</f>
        <v>759991.71200000006</v>
      </c>
      <c r="H96" s="16">
        <f t="shared" si="4"/>
        <v>947460.10400000005</v>
      </c>
      <c r="I96" s="17"/>
      <c r="J96" s="18"/>
      <c r="K96" s="36"/>
      <c r="L96" s="36"/>
      <c r="M96" s="18" t="s">
        <v>362</v>
      </c>
      <c r="N96" s="18"/>
      <c r="O96" s="18" t="s">
        <v>358</v>
      </c>
      <c r="P96" s="18"/>
      <c r="Q96" s="18"/>
    </row>
    <row r="97" spans="1:17" ht="12.75" customHeight="1" x14ac:dyDescent="0.2">
      <c r="A97" s="12" t="s">
        <v>333</v>
      </c>
      <c r="B97" s="13" t="s">
        <v>334</v>
      </c>
      <c r="C97" s="13" t="s">
        <v>335</v>
      </c>
      <c r="D97" s="13" t="s">
        <v>330</v>
      </c>
      <c r="E97" s="14" t="s">
        <v>336</v>
      </c>
      <c r="F97" s="15">
        <v>0</v>
      </c>
      <c r="G97" s="15">
        <f>727716*1.076</f>
        <v>783022.41600000008</v>
      </c>
      <c r="H97" s="16">
        <f t="shared" si="4"/>
        <v>783022.41600000008</v>
      </c>
      <c r="I97" s="17"/>
      <c r="J97" s="18"/>
      <c r="K97" s="36"/>
      <c r="L97" s="36"/>
      <c r="M97" s="18" t="s">
        <v>362</v>
      </c>
      <c r="N97" s="18"/>
      <c r="O97" s="18"/>
      <c r="P97" s="18"/>
      <c r="Q97" s="18" t="s">
        <v>358</v>
      </c>
    </row>
    <row r="98" spans="1:17" ht="12.75" customHeight="1" x14ac:dyDescent="0.2">
      <c r="A98" s="12" t="s">
        <v>337</v>
      </c>
      <c r="B98" s="13" t="s">
        <v>338</v>
      </c>
      <c r="C98" s="13" t="s">
        <v>339</v>
      </c>
      <c r="D98" s="13" t="s">
        <v>330</v>
      </c>
      <c r="E98" s="14" t="s">
        <v>340</v>
      </c>
      <c r="F98" s="15">
        <v>0</v>
      </c>
      <c r="G98" s="15">
        <f>385261*1.076</f>
        <v>414540.83600000001</v>
      </c>
      <c r="H98" s="16">
        <f t="shared" si="4"/>
        <v>414540.83600000001</v>
      </c>
      <c r="I98" s="17"/>
      <c r="J98" s="18"/>
      <c r="K98" s="36"/>
      <c r="L98" s="36"/>
      <c r="M98" s="18" t="s">
        <v>362</v>
      </c>
      <c r="N98" s="18"/>
      <c r="O98" s="18"/>
      <c r="P98" s="18"/>
      <c r="Q98" s="18"/>
    </row>
    <row r="99" spans="1:17" ht="12.75" customHeight="1" x14ac:dyDescent="0.2">
      <c r="A99" s="12"/>
      <c r="B99" s="13" t="s">
        <v>341</v>
      </c>
      <c r="C99" s="13"/>
      <c r="D99" s="19" t="s">
        <v>15</v>
      </c>
      <c r="E99" s="14" t="s">
        <v>342</v>
      </c>
      <c r="F99" s="15">
        <v>0</v>
      </c>
      <c r="G99" s="15">
        <f>2165924*1.076</f>
        <v>2330534.2239999999</v>
      </c>
      <c r="H99" s="16">
        <f>SUM(F99:G99)</f>
        <v>2330534.2239999999</v>
      </c>
      <c r="I99" s="17"/>
      <c r="J99" s="18"/>
      <c r="K99" s="36"/>
      <c r="L99" s="36"/>
      <c r="M99" s="18"/>
      <c r="N99" s="18"/>
      <c r="O99" s="18"/>
      <c r="P99" s="18"/>
      <c r="Q99" s="18"/>
    </row>
    <row r="100" spans="1:17" ht="12.75" customHeight="1" x14ac:dyDescent="0.2">
      <c r="A100" s="12"/>
      <c r="B100" s="13" t="s">
        <v>343</v>
      </c>
      <c r="C100" s="13" t="s">
        <v>28</v>
      </c>
      <c r="D100" s="19" t="s">
        <v>15</v>
      </c>
      <c r="E100" s="14" t="s">
        <v>344</v>
      </c>
      <c r="F100" s="15">
        <v>0</v>
      </c>
      <c r="G100" s="15">
        <f>754470*1.076</f>
        <v>811809.72000000009</v>
      </c>
      <c r="H100" s="16">
        <f>F100+G100</f>
        <v>811809.72000000009</v>
      </c>
      <c r="I100" s="17"/>
      <c r="J100" s="18"/>
      <c r="K100" s="36"/>
      <c r="L100" s="36"/>
      <c r="M100" s="18"/>
      <c r="N100" s="18"/>
      <c r="O100" s="18"/>
      <c r="P100" s="18"/>
      <c r="Q100" s="18"/>
    </row>
    <row r="101" spans="1:17" ht="12.75" customHeight="1" x14ac:dyDescent="0.2">
      <c r="A101" s="12"/>
      <c r="B101" s="13" t="s">
        <v>345</v>
      </c>
      <c r="C101" s="13" t="s">
        <v>130</v>
      </c>
      <c r="D101" s="19" t="s">
        <v>15</v>
      </c>
      <c r="E101" s="14" t="s">
        <v>346</v>
      </c>
      <c r="F101" s="15">
        <v>350000</v>
      </c>
      <c r="G101" s="15">
        <v>4710744</v>
      </c>
      <c r="H101" s="16">
        <f>F101+G101</f>
        <v>5060744</v>
      </c>
      <c r="I101" s="17" t="s">
        <v>359</v>
      </c>
      <c r="J101" s="18"/>
      <c r="K101" s="36"/>
      <c r="L101" s="36"/>
      <c r="M101" s="18" t="s">
        <v>363</v>
      </c>
      <c r="N101" s="18" t="s">
        <v>358</v>
      </c>
      <c r="O101" s="18" t="s">
        <v>358</v>
      </c>
      <c r="P101" s="18"/>
      <c r="Q101" s="18"/>
    </row>
    <row r="102" spans="1:17" ht="12.75" customHeight="1" x14ac:dyDescent="0.2">
      <c r="A102" s="6"/>
      <c r="B102" s="7"/>
      <c r="C102" s="7"/>
      <c r="D102" s="7"/>
      <c r="E102" s="8"/>
      <c r="F102" s="29">
        <f>SUM(F2:F101)</f>
        <v>39369373.230969988</v>
      </c>
      <c r="G102" s="29">
        <f>SUM(G2:G101)</f>
        <v>224629479.53819996</v>
      </c>
      <c r="H102" s="30">
        <f>SUM(H2:H101)</f>
        <v>263998852.76916993</v>
      </c>
    </row>
    <row r="104" spans="1:17" x14ac:dyDescent="0.2">
      <c r="D104" s="34"/>
      <c r="E104" s="33"/>
    </row>
    <row r="105" spans="1:17" x14ac:dyDescent="0.2">
      <c r="D105" s="34"/>
      <c r="E105" s="33"/>
    </row>
    <row r="106" spans="1:17" x14ac:dyDescent="0.2">
      <c r="D106" s="34"/>
      <c r="E106" s="35"/>
    </row>
    <row r="107" spans="1:17" x14ac:dyDescent="0.2">
      <c r="D107" s="34"/>
      <c r="E107" s="35"/>
    </row>
    <row r="108" spans="1:17" x14ac:dyDescent="0.2">
      <c r="D108" s="34"/>
      <c r="E108" s="35"/>
    </row>
    <row r="109" spans="1:17" x14ac:dyDescent="0.2">
      <c r="E109" s="35"/>
    </row>
    <row r="110" spans="1:17" x14ac:dyDescent="0.2">
      <c r="E110" s="35"/>
    </row>
    <row r="111" spans="1:17" x14ac:dyDescent="0.2">
      <c r="E111" s="35"/>
    </row>
    <row r="112" spans="1:17" x14ac:dyDescent="0.2">
      <c r="E112" s="35"/>
    </row>
    <row r="113" spans="4:5" x14ac:dyDescent="0.2">
      <c r="E113" s="35"/>
    </row>
    <row r="114" spans="4:5" x14ac:dyDescent="0.2">
      <c r="D114" s="38"/>
      <c r="E114" s="3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F36FE-B60B-464B-9032-6F50ADB2908B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van Hoogdalem</dc:creator>
  <cp:lastModifiedBy>Menno van Hoogdalem</cp:lastModifiedBy>
  <dcterms:created xsi:type="dcterms:W3CDTF">2022-09-14T14:13:54Z</dcterms:created>
  <dcterms:modified xsi:type="dcterms:W3CDTF">2022-11-07T15:07:18Z</dcterms:modified>
</cp:coreProperties>
</file>