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B:\BOR\0 Staf\08 Verzekeringen\Verzekeringen\BUCH polissen\Factuurafhandeling\Naverrekening Brand\2022\Nota van inlichtingen aanbesteding brand 2022\Perceel 2 - Uitgeest\"/>
    </mc:Choice>
  </mc:AlternateContent>
  <bookViews>
    <workbookView xWindow="-120" yWindow="-120" windowWidth="29040" windowHeight="15840"/>
  </bookViews>
  <sheets>
    <sheet name="specificatie" sheetId="1" r:id="rId1"/>
    <sheet name="premieberekening" sheetId="2" r:id="rId2"/>
  </sheets>
  <definedNames>
    <definedName name="_xlnm.Print_Area" localSheetId="1">premieberekening!$A$1:$F$11</definedName>
    <definedName name="_xlnm.Print_Area" localSheetId="0">specificatie!$C$1:$W$31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4" i="1" l="1"/>
  <c r="V4" i="1" s="1"/>
  <c r="T6" i="1"/>
  <c r="V6" i="1" s="1"/>
  <c r="S26" i="1" l="1"/>
  <c r="T26" i="1" s="1"/>
  <c r="S25" i="1"/>
  <c r="T25" i="1" s="1"/>
  <c r="S24" i="1"/>
  <c r="T24" i="1" s="1"/>
  <c r="S23" i="1"/>
  <c r="T23" i="1" s="1"/>
  <c r="S22" i="1"/>
  <c r="T22" i="1" s="1"/>
  <c r="S15" i="1"/>
  <c r="T15" i="1" s="1"/>
  <c r="V15" i="1" s="1"/>
  <c r="S14" i="1"/>
  <c r="T14" i="1" s="1"/>
  <c r="V14" i="1" s="1"/>
  <c r="S13" i="1"/>
  <c r="T13" i="1" s="1"/>
  <c r="V13" i="1" s="1"/>
  <c r="S12" i="1"/>
  <c r="T12" i="1" s="1"/>
  <c r="S11" i="1"/>
  <c r="T11" i="1" s="1"/>
  <c r="V11" i="1" s="1"/>
  <c r="S10" i="1"/>
  <c r="T10" i="1" s="1"/>
  <c r="S9" i="1"/>
  <c r="T9" i="1" s="1"/>
  <c r="V9" i="1" s="1"/>
  <c r="S8" i="1"/>
  <c r="T8" i="1" s="1"/>
  <c r="V8" i="1" s="1"/>
  <c r="S7" i="1"/>
  <c r="T7" i="1" s="1"/>
  <c r="V7" i="1" s="1"/>
  <c r="S5" i="1"/>
  <c r="T5" i="1" s="1"/>
  <c r="V5" i="1" s="1"/>
  <c r="T28" i="1" l="1"/>
  <c r="T17" i="1"/>
  <c r="S17" i="1"/>
  <c r="S28" i="1"/>
  <c r="U23" i="1"/>
  <c r="V23" i="1" s="1"/>
  <c r="H23" i="1"/>
  <c r="I23" i="1" s="1"/>
  <c r="J23" i="1" s="1"/>
  <c r="L23" i="1" s="1"/>
  <c r="M23" i="1" s="1"/>
  <c r="N23" i="1" s="1"/>
  <c r="O23" i="1" s="1"/>
  <c r="P23" i="1" s="1"/>
  <c r="Q23" i="1" s="1"/>
  <c r="R28" i="1" l="1"/>
  <c r="U26" i="1"/>
  <c r="V26" i="1" s="1"/>
  <c r="U25" i="1"/>
  <c r="V25" i="1" s="1"/>
  <c r="U24" i="1"/>
  <c r="V24" i="1" s="1"/>
  <c r="U22" i="1"/>
  <c r="V22" i="1" s="1"/>
  <c r="R17" i="1"/>
  <c r="U12" i="1"/>
  <c r="V12" i="1" s="1"/>
  <c r="U10" i="1"/>
  <c r="V10" i="1" s="1"/>
  <c r="V17" i="1" l="1"/>
  <c r="U17" i="1"/>
  <c r="Q6" i="1"/>
  <c r="N10" i="1" l="1"/>
  <c r="O10" i="1" s="1"/>
  <c r="P10" i="1" l="1"/>
  <c r="H5" i="1"/>
  <c r="I5" i="1" s="1"/>
  <c r="H7" i="1"/>
  <c r="I7" i="1" s="1"/>
  <c r="J7" i="1" s="1"/>
  <c r="L7" i="1" s="1"/>
  <c r="H8" i="1"/>
  <c r="I8" i="1" s="1"/>
  <c r="J8" i="1" s="1"/>
  <c r="L8" i="1" s="1"/>
  <c r="H9" i="1"/>
  <c r="I9" i="1" s="1"/>
  <c r="J9" i="1" s="1"/>
  <c r="L9" i="1" s="1"/>
  <c r="I10" i="1"/>
  <c r="J10" i="1" s="1"/>
  <c r="L10" i="1" s="1"/>
  <c r="H11" i="1"/>
  <c r="I11" i="1" s="1"/>
  <c r="J11" i="1" s="1"/>
  <c r="L11" i="1" s="1"/>
  <c r="H12" i="1"/>
  <c r="I12" i="1" s="1"/>
  <c r="J12" i="1" s="1"/>
  <c r="L12" i="1" s="1"/>
  <c r="I13" i="1"/>
  <c r="J13" i="1" s="1"/>
  <c r="L13" i="1" s="1"/>
  <c r="J14" i="1"/>
  <c r="L14" i="1" s="1"/>
  <c r="G17" i="1"/>
  <c r="I22" i="1"/>
  <c r="J22" i="1" s="1"/>
  <c r="L22" i="1" s="1"/>
  <c r="H24" i="1"/>
  <c r="I24" i="1" s="1"/>
  <c r="J24" i="1" s="1"/>
  <c r="L24" i="1" s="1"/>
  <c r="H25" i="1"/>
  <c r="I25" i="1" s="1"/>
  <c r="J25" i="1" s="1"/>
  <c r="L25" i="1" s="1"/>
  <c r="H26" i="1"/>
  <c r="I26" i="1" s="1"/>
  <c r="J26" i="1" s="1"/>
  <c r="L26" i="1" s="1"/>
  <c r="G28" i="1"/>
  <c r="U28" i="1"/>
  <c r="Q10" i="1" l="1"/>
  <c r="M26" i="1"/>
  <c r="N26" i="1" s="1"/>
  <c r="O26" i="1" s="1"/>
  <c r="M24" i="1"/>
  <c r="N24" i="1" s="1"/>
  <c r="O24" i="1" s="1"/>
  <c r="M22" i="1"/>
  <c r="N22" i="1" s="1"/>
  <c r="O22" i="1" s="1"/>
  <c r="M14" i="1"/>
  <c r="N14" i="1" s="1"/>
  <c r="O14" i="1" s="1"/>
  <c r="M12" i="1"/>
  <c r="N12" i="1" s="1"/>
  <c r="O12" i="1" s="1"/>
  <c r="M8" i="1"/>
  <c r="M25" i="1"/>
  <c r="N25" i="1" s="1"/>
  <c r="O25" i="1" s="1"/>
  <c r="M13" i="1"/>
  <c r="N13" i="1" s="1"/>
  <c r="O13" i="1" s="1"/>
  <c r="M11" i="1"/>
  <c r="N11" i="1" s="1"/>
  <c r="O11" i="1" s="1"/>
  <c r="M9" i="1"/>
  <c r="N9" i="1" s="1"/>
  <c r="O9" i="1" s="1"/>
  <c r="M7" i="1"/>
  <c r="H28" i="1"/>
  <c r="I17" i="1"/>
  <c r="J5" i="1"/>
  <c r="J28" i="1"/>
  <c r="H17" i="1"/>
  <c r="I28" i="1"/>
  <c r="P25" i="1" l="1"/>
  <c r="P22" i="1"/>
  <c r="P26" i="1"/>
  <c r="P24" i="1"/>
  <c r="P14" i="1"/>
  <c r="P9" i="1"/>
  <c r="P13" i="1"/>
  <c r="P12" i="1"/>
  <c r="P11" i="1"/>
  <c r="N7" i="1"/>
  <c r="O7" i="1" s="1"/>
  <c r="M28" i="1"/>
  <c r="N8" i="1"/>
  <c r="O8" i="1" s="1"/>
  <c r="J17" i="1"/>
  <c r="L5" i="1"/>
  <c r="M5" i="1" s="1"/>
  <c r="L28" i="1"/>
  <c r="Q11" i="1" l="1"/>
  <c r="Q9" i="1"/>
  <c r="Q24" i="1"/>
  <c r="Q26" i="1"/>
  <c r="Q25" i="1"/>
  <c r="Q12" i="1"/>
  <c r="Q13" i="1"/>
  <c r="Q14" i="1"/>
  <c r="Q22" i="1"/>
  <c r="P28" i="1"/>
  <c r="P8" i="1"/>
  <c r="P7" i="1"/>
  <c r="Q7" i="1" s="1"/>
  <c r="O28" i="1"/>
  <c r="N28" i="1"/>
  <c r="N5" i="1"/>
  <c r="O5" i="1" s="1"/>
  <c r="P5" i="1" s="1"/>
  <c r="Q5" i="1" s="1"/>
  <c r="M17" i="1"/>
  <c r="L17" i="1"/>
  <c r="Q8" i="1" l="1"/>
  <c r="Q28" i="1"/>
  <c r="P17" i="1"/>
  <c r="O17" i="1"/>
  <c r="V28" i="1"/>
  <c r="N17" i="1"/>
  <c r="Q17" i="1" l="1"/>
  <c r="V30" i="1"/>
  <c r="C3" i="2" s="1"/>
  <c r="F3" i="2" l="1"/>
  <c r="C4" i="2"/>
  <c r="C5" i="2" l="1"/>
  <c r="F4" i="2"/>
  <c r="C6" i="2" l="1"/>
  <c r="F5" i="2"/>
  <c r="F6" i="2" l="1"/>
  <c r="C7" i="2"/>
  <c r="F7" i="2" s="1"/>
  <c r="F8" i="2" s="1"/>
  <c r="F10" i="2" l="1"/>
  <c r="F11" i="2" s="1"/>
  <c r="H9" i="2"/>
  <c r="Y4" i="1" s="1"/>
  <c r="Z4" i="1" s="1"/>
  <c r="Y9" i="1" l="1"/>
  <c r="Z9" i="1" s="1"/>
  <c r="Y7" i="1"/>
  <c r="Z7" i="1" s="1"/>
  <c r="Y24" i="1"/>
  <c r="Z24" i="1" s="1"/>
  <c r="Y23" i="1"/>
  <c r="Z23" i="1" s="1"/>
  <c r="Y26" i="1"/>
  <c r="Z26" i="1" s="1"/>
  <c r="Y6" i="1"/>
  <c r="Z6" i="1" s="1"/>
  <c r="Y5" i="1"/>
  <c r="Z5" i="1" s="1"/>
  <c r="Y22" i="1"/>
  <c r="Z22" i="1" s="1"/>
  <c r="Y15" i="1"/>
  <c r="Z15" i="1" s="1"/>
  <c r="Y25" i="1"/>
  <c r="Z25" i="1" s="1"/>
  <c r="Y10" i="1"/>
  <c r="Z10" i="1" s="1"/>
  <c r="Y8" i="1"/>
  <c r="Z8" i="1" s="1"/>
  <c r="Y14" i="1"/>
  <c r="Z14" i="1" s="1"/>
  <c r="Y13" i="1"/>
  <c r="Z13" i="1" s="1"/>
  <c r="Y12" i="1"/>
  <c r="Z12" i="1" s="1"/>
  <c r="Y11" i="1"/>
  <c r="Z11" i="1" s="1"/>
  <c r="Z17" i="1" l="1"/>
  <c r="Z28" i="1"/>
  <c r="Z30" i="1" l="1"/>
</calcChain>
</file>

<file path=xl/comments1.xml><?xml version="1.0" encoding="utf-8"?>
<comments xmlns="http://schemas.openxmlformats.org/spreadsheetml/2006/main">
  <authors>
    <author>Marscha Lieveld</author>
  </authors>
  <commentList>
    <comment ref="M10" authorId="0" shapeId="0">
      <text>
        <r>
          <rPr>
            <b/>
            <sz val="9"/>
            <color indexed="81"/>
            <rFont val="Tahoma"/>
            <family val="2"/>
          </rPr>
          <t xml:space="preserve">getaxeerd 15.04.2015
Rapportnr. 2015.04.0450.001-O
Indexcijfer 120,4
</t>
        </r>
      </text>
    </comment>
  </commentList>
</comments>
</file>

<file path=xl/sharedStrings.xml><?xml version="1.0" encoding="utf-8"?>
<sst xmlns="http://schemas.openxmlformats.org/spreadsheetml/2006/main" count="288" uniqueCount="119">
  <si>
    <t>Omschrijving</t>
  </si>
  <si>
    <t>Plaats</t>
  </si>
  <si>
    <t>Adres</t>
  </si>
  <si>
    <t>Opstal</t>
  </si>
  <si>
    <t>Inventaris</t>
  </si>
  <si>
    <t>Totaal</t>
  </si>
  <si>
    <t>Premie</t>
  </si>
  <si>
    <t>Opmerkingen</t>
  </si>
  <si>
    <t>A1.</t>
  </si>
  <si>
    <t>‰</t>
  </si>
  <si>
    <t>Index 110,6</t>
  </si>
  <si>
    <t>Index 113,8</t>
  </si>
  <si>
    <t>Index 117,8</t>
  </si>
  <si>
    <t>Zwembad De Zien</t>
  </si>
  <si>
    <t>Uitgeest</t>
  </si>
  <si>
    <t>Zienlaan 8</t>
  </si>
  <si>
    <t>Zwembad De Zien (speeltoestellen)</t>
  </si>
  <si>
    <t>Kerktoren</t>
  </si>
  <si>
    <t>Kerkbuurt 1</t>
  </si>
  <si>
    <t>t Regthuys</t>
  </si>
  <si>
    <t>Cultureel Centrum (geen zorgloket meer)</t>
  </si>
  <si>
    <t>Hogeweg 8</t>
  </si>
  <si>
    <t>Gemeentehuis (is nu zorgloket)</t>
  </si>
  <si>
    <t>Middelweg 28</t>
  </si>
  <si>
    <t>Sporthal De Meet</t>
  </si>
  <si>
    <t>Gemeentewerf</t>
  </si>
  <si>
    <t>Molenwerf 27</t>
  </si>
  <si>
    <t>Loods Gemeentewerf</t>
  </si>
  <si>
    <t>Zienhouse</t>
  </si>
  <si>
    <t>Zienlaan 10</t>
  </si>
  <si>
    <t xml:space="preserve">Scholen </t>
  </si>
  <si>
    <t>A2.</t>
  </si>
  <si>
    <t>BS De Wissel (P.O)</t>
  </si>
  <si>
    <t>De Hoop 3</t>
  </si>
  <si>
    <t>Basisschool Binnemeer</t>
  </si>
  <si>
    <t>Langebuurt 31</t>
  </si>
  <si>
    <t>De Vrijburg (P.O)</t>
  </si>
  <si>
    <t>Niesvenstraat 2</t>
  </si>
  <si>
    <t>De Molenhoek</t>
  </si>
  <si>
    <t>Meidoornlaan 21</t>
  </si>
  <si>
    <t>Kornak school</t>
  </si>
  <si>
    <t>Benningskantlaan 60</t>
  </si>
  <si>
    <t>Gebouwen</t>
  </si>
  <si>
    <t>Index 118,8</t>
  </si>
  <si>
    <t>Index 120,2</t>
  </si>
  <si>
    <t>Index 121,0</t>
  </si>
  <si>
    <t>Castricummerweg 13</t>
  </si>
  <si>
    <t>Index 123,1</t>
  </si>
  <si>
    <t>Postcode</t>
  </si>
  <si>
    <t>1911 TR</t>
  </si>
  <si>
    <t>1911 CM</t>
  </si>
  <si>
    <t>1911 GH</t>
  </si>
  <si>
    <t>1911 EG</t>
  </si>
  <si>
    <t>1911 GA</t>
  </si>
  <si>
    <t>1911 VA</t>
  </si>
  <si>
    <t>1911 DB</t>
  </si>
  <si>
    <t>1911 KV</t>
  </si>
  <si>
    <t>1911 AS</t>
  </si>
  <si>
    <t>1911 BS</t>
  </si>
  <si>
    <t>1911 LP</t>
  </si>
  <si>
    <t>Index 125,8</t>
  </si>
  <si>
    <t>Index 134,2</t>
  </si>
  <si>
    <t>De Zwaan</t>
  </si>
  <si>
    <t>Middelweg 5</t>
  </si>
  <si>
    <t>1911 EA</t>
  </si>
  <si>
    <t>Index 144,3</t>
  </si>
  <si>
    <t>grootboeknummer</t>
  </si>
  <si>
    <t>omschrijving</t>
  </si>
  <si>
    <t>Zwembad de Zien</t>
  </si>
  <si>
    <t>Beheer Kerktoren</t>
  </si>
  <si>
    <t>Beheer Regthuys</t>
  </si>
  <si>
    <t>Cultureel centrum Hogeweg 8</t>
  </si>
  <si>
    <t>Gemeentehuis</t>
  </si>
  <si>
    <t>Sportzaal de Meet</t>
  </si>
  <si>
    <t>Buitendienst</t>
  </si>
  <si>
    <t>OBS De Wissel, De Hoop 3 - Uitgeest</t>
  </si>
  <si>
    <t>BBS De Binnenmeer, Langebuurt 31 – Uitgeest</t>
  </si>
  <si>
    <t>BBS De Vrijburg, Niesvenstraat 2 - Uitgeest</t>
  </si>
  <si>
    <t>BBS De Molenhoek, Meidoornstraat 21 – Uitgeest</t>
  </si>
  <si>
    <t>BBS Kornak, Benningskamplaan 60 - Uitgeest</t>
  </si>
  <si>
    <t>taxatierapporten Lengkeek 1-1-2020</t>
  </si>
  <si>
    <t>Index 151,5</t>
  </si>
  <si>
    <t>Premieberekening voor de termijn 01-01-2021/2022:</t>
  </si>
  <si>
    <t>Verzekeraars</t>
  </si>
  <si>
    <t>verzekerd bedrag</t>
  </si>
  <si>
    <t>premie‰</t>
  </si>
  <si>
    <t>aandeel</t>
  </si>
  <si>
    <t>premie</t>
  </si>
  <si>
    <t>Nationale-Nederlanden Schadeverzekering Mij. N.V.</t>
  </si>
  <si>
    <t>Allianz Nederland Corporate</t>
  </si>
  <si>
    <t>Corins B.V.</t>
  </si>
  <si>
    <t>Fatum General Insurance N.V.
vertegenwoordigd door Intermont Assuradeuren B.V.</t>
  </si>
  <si>
    <t>Poliskosten</t>
  </si>
  <si>
    <t>21% assurantiebelasting</t>
  </si>
  <si>
    <t>Door verzekeringnemer te voldoen</t>
  </si>
  <si>
    <t>Baloise Insurance N.V.
vertegenwoordigd door Intermont Assuradeuren B.V.</t>
  </si>
  <si>
    <t>Sporthal de Zien</t>
  </si>
  <si>
    <t>Zienlaan 4</t>
  </si>
  <si>
    <t>nieuw conform mail 250621</t>
  </si>
  <si>
    <t>Index 159,8</t>
  </si>
  <si>
    <t>inbraakalarm</t>
  </si>
  <si>
    <t>sprinkler</t>
  </si>
  <si>
    <t>bmi</t>
  </si>
  <si>
    <t>zonnepanelen</t>
  </si>
  <si>
    <t>zwembad vollectoiren</t>
  </si>
  <si>
    <t>x</t>
  </si>
  <si>
    <t>ontruimingsinstallatie geen doormelding naar brw , kan zelf aangaan of aanzetten</t>
  </si>
  <si>
    <t xml:space="preserve">v  </t>
  </si>
  <si>
    <t>v</t>
  </si>
  <si>
    <t>komen eraan</t>
  </si>
  <si>
    <t xml:space="preserve">v - </t>
  </si>
  <si>
    <t>Kindcentrum</t>
  </si>
  <si>
    <t xml:space="preserve">Wiekenlaan 2 </t>
  </si>
  <si>
    <t>1911XR</t>
  </si>
  <si>
    <t>nieuw per 1-10-2022</t>
  </si>
  <si>
    <t>2220KTA015262-58</t>
  </si>
  <si>
    <t>2220KTA015270-31</t>
  </si>
  <si>
    <t>taxatie opstal</t>
  </si>
  <si>
    <t>taxatie inventaris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</si>
</sst>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 &quot;* #,##0.00_-;_-&quot;€ &quot;* #,##0.00\-;_-&quot;€ &quot;* \-??_-;_-@_-"/>
    <numFmt numFmtId="166" formatCode="_-&quot;€ &quot;* #,##0_-;_-&quot;€ &quot;* #,##0\-;_-&quot;€ &quot;* \-_-;_-@_-"/>
    <numFmt numFmtId="167" formatCode="dd/mm/yy;@"/>
    <numFmt numFmtId="168" formatCode="dd/mm/yyyy"/>
    <numFmt numFmtId="169" formatCode="&quot;€ &quot;#,##0_-;[Red]&quot;€ &quot;#,##0\-"/>
    <numFmt numFmtId="170" formatCode="_-&quot;€ &quot;* #,##0.00_-;_-&quot;€ &quot;* #,##0.00\-;_-&quot;€ &quot;* \-_-;_-@_-"/>
    <numFmt numFmtId="171" formatCode="_ [$€-413]\ * #,##0.00_ ;_ [$€-413]\ * \-#,##0.00_ ;_ [$€-413]\ * &quot;-&quot;??_ ;_ @_ "/>
    <numFmt numFmtId="172" formatCode="0.0000"/>
    <numFmt numFmtId="173" formatCode="0.000000"/>
  </numFmts>
  <fonts count="2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9"/>
      <color rgb="FF222222"/>
      <name val="Arial"/>
      <family val="2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165" fontId="21" fillId="0" borderId="0" applyFill="0" applyBorder="0" applyAlignment="0" applyProtection="0"/>
    <xf numFmtId="0" fontId="5" fillId="0" borderId="3" applyNumberFormat="0" applyFill="0" applyAlignment="0" applyProtection="0"/>
    <xf numFmtId="0" fontId="6" fillId="4" borderId="0" applyNumberFormat="0" applyBorder="0" applyAlignment="0" applyProtection="0"/>
    <xf numFmtId="0" fontId="7" fillId="7" borderId="1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1" fillId="23" borderId="7" applyNumberFormat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20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97">
    <xf numFmtId="0" fontId="0" fillId="0" borderId="0" xfId="0"/>
    <xf numFmtId="166" fontId="0" fillId="0" borderId="0" xfId="27" applyNumberFormat="1" applyFont="1" applyFill="1" applyBorder="1" applyAlignment="1" applyProtection="1"/>
    <xf numFmtId="49" fontId="0" fillId="0" borderId="18" xfId="0" applyNumberFormat="1" applyFont="1" applyBorder="1"/>
    <xf numFmtId="0" fontId="0" fillId="0" borderId="18" xfId="0" applyFont="1" applyFill="1" applyBorder="1"/>
    <xf numFmtId="0" fontId="0" fillId="0" borderId="18" xfId="0" applyFont="1" applyBorder="1"/>
    <xf numFmtId="165" fontId="0" fillId="0" borderId="18" xfId="27" applyFont="1" applyFill="1" applyBorder="1" applyAlignment="1" applyProtection="1"/>
    <xf numFmtId="166" fontId="0" fillId="0" borderId="18" xfId="0" applyNumberFormat="1" applyFont="1" applyBorder="1"/>
    <xf numFmtId="165" fontId="0" fillId="0" borderId="18" xfId="0" applyNumberFormat="1" applyFont="1" applyBorder="1"/>
    <xf numFmtId="169" fontId="0" fillId="0" borderId="0" xfId="0" applyNumberFormat="1"/>
    <xf numFmtId="169" fontId="0" fillId="0" borderId="18" xfId="0" applyNumberFormat="1" applyFont="1" applyBorder="1"/>
    <xf numFmtId="169" fontId="19" fillId="0" borderId="0" xfId="0" applyNumberFormat="1" applyFont="1"/>
    <xf numFmtId="0" fontId="19" fillId="0" borderId="0" xfId="0" applyFont="1"/>
    <xf numFmtId="0" fontId="18" fillId="0" borderId="18" xfId="0" applyFont="1" applyBorder="1"/>
    <xf numFmtId="0" fontId="20" fillId="0" borderId="18" xfId="0" applyFont="1" applyBorder="1"/>
    <xf numFmtId="165" fontId="18" fillId="0" borderId="18" xfId="27" applyFont="1" applyFill="1" applyBorder="1" applyAlignment="1" applyProtection="1"/>
    <xf numFmtId="165" fontId="18" fillId="0" borderId="18" xfId="0" applyNumberFormat="1" applyFont="1" applyBorder="1"/>
    <xf numFmtId="0" fontId="0" fillId="0" borderId="0" xfId="0" applyFont="1"/>
    <xf numFmtId="165" fontId="0" fillId="0" borderId="0" xfId="27" applyFont="1" applyFill="1" applyBorder="1" applyAlignment="1" applyProtection="1"/>
    <xf numFmtId="0" fontId="0" fillId="0" borderId="18" xfId="0" applyBorder="1"/>
    <xf numFmtId="165" fontId="0" fillId="0" borderId="18" xfId="0" applyNumberFormat="1" applyBorder="1"/>
    <xf numFmtId="165" fontId="20" fillId="0" borderId="0" xfId="27" applyFont="1" applyFill="1" applyBorder="1" applyAlignment="1" applyProtection="1"/>
    <xf numFmtId="166" fontId="20" fillId="0" borderId="0" xfId="27" applyNumberFormat="1" applyFont="1" applyFill="1" applyBorder="1" applyAlignment="1" applyProtection="1"/>
    <xf numFmtId="0" fontId="0" fillId="0" borderId="0" xfId="0" applyFill="1"/>
    <xf numFmtId="0" fontId="18" fillId="0" borderId="0" xfId="0" applyFont="1" applyFill="1"/>
    <xf numFmtId="165" fontId="18" fillId="0" borderId="19" xfId="0" applyNumberFormat="1" applyFont="1" applyBorder="1"/>
    <xf numFmtId="165" fontId="18" fillId="0" borderId="0" xfId="0" applyNumberFormat="1" applyFont="1" applyBorder="1"/>
    <xf numFmtId="164" fontId="0" fillId="0" borderId="0" xfId="0" applyNumberFormat="1"/>
    <xf numFmtId="43" fontId="0" fillId="0" borderId="0" xfId="0" applyNumberFormat="1"/>
    <xf numFmtId="44" fontId="0" fillId="0" borderId="18" xfId="27" applyNumberFormat="1" applyFont="1" applyFill="1" applyBorder="1" applyAlignment="1" applyProtection="1"/>
    <xf numFmtId="44" fontId="18" fillId="0" borderId="18" xfId="27" applyNumberFormat="1" applyFont="1" applyFill="1" applyBorder="1" applyAlignment="1" applyProtection="1"/>
    <xf numFmtId="164" fontId="0" fillId="0" borderId="0" xfId="0" applyNumberFormat="1" applyBorder="1"/>
    <xf numFmtId="49" fontId="0" fillId="0" borderId="18" xfId="0" applyNumberFormat="1" applyFont="1" applyBorder="1" applyAlignment="1">
      <alignment vertical="top"/>
    </xf>
    <xf numFmtId="0" fontId="0" fillId="0" borderId="18" xfId="0" applyFont="1" applyFill="1" applyBorder="1" applyAlignment="1">
      <alignment vertical="top"/>
    </xf>
    <xf numFmtId="0" fontId="0" fillId="0" borderId="18" xfId="0" applyFont="1" applyBorder="1" applyAlignment="1">
      <alignment vertical="top"/>
    </xf>
    <xf numFmtId="165" fontId="0" fillId="0" borderId="18" xfId="27" applyFont="1" applyFill="1" applyBorder="1" applyAlignment="1" applyProtection="1">
      <alignment vertical="top"/>
    </xf>
    <xf numFmtId="166" fontId="0" fillId="0" borderId="18" xfId="0" applyNumberFormat="1" applyFont="1" applyBorder="1" applyAlignment="1">
      <alignment vertical="top"/>
    </xf>
    <xf numFmtId="16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4" fontId="0" fillId="0" borderId="18" xfId="27" applyNumberFormat="1" applyFont="1" applyFill="1" applyBorder="1" applyAlignment="1" applyProtection="1">
      <alignment vertical="top"/>
    </xf>
    <xf numFmtId="44" fontId="0" fillId="0" borderId="0" xfId="43" applyFont="1"/>
    <xf numFmtId="166" fontId="0" fillId="0" borderId="18" xfId="0" applyNumberFormat="1" applyFont="1" applyBorder="1" applyAlignment="1">
      <alignment horizontal="left" vertical="top"/>
    </xf>
    <xf numFmtId="165" fontId="0" fillId="0" borderId="18" xfId="0" applyNumberFormat="1" applyFont="1" applyBorder="1" applyAlignment="1">
      <alignment vertical="top"/>
    </xf>
    <xf numFmtId="44" fontId="0" fillId="0" borderId="0" xfId="0" applyNumberFormat="1"/>
    <xf numFmtId="166" fontId="18" fillId="0" borderId="0" xfId="27" applyNumberFormat="1" applyFont="1" applyFill="1" applyBorder="1" applyAlignment="1" applyProtection="1"/>
    <xf numFmtId="0" fontId="18" fillId="24" borderId="10" xfId="0" applyFont="1" applyFill="1" applyBorder="1"/>
    <xf numFmtId="0" fontId="18" fillId="24" borderId="11" xfId="0" applyFont="1" applyFill="1" applyBorder="1"/>
    <xf numFmtId="166" fontId="18" fillId="24" borderId="11" xfId="27" applyNumberFormat="1" applyFont="1" applyFill="1" applyBorder="1" applyAlignment="1" applyProtection="1">
      <alignment horizontal="left"/>
    </xf>
    <xf numFmtId="0" fontId="18" fillId="24" borderId="11" xfId="0" applyFont="1" applyFill="1" applyBorder="1" applyAlignment="1">
      <alignment horizontal="left"/>
    </xf>
    <xf numFmtId="0" fontId="18" fillId="24" borderId="12" xfId="0" applyFont="1" applyFill="1" applyBorder="1" applyAlignment="1">
      <alignment horizontal="left"/>
    </xf>
    <xf numFmtId="0" fontId="18" fillId="24" borderId="13" xfId="0" applyFont="1" applyFill="1" applyBorder="1"/>
    <xf numFmtId="0" fontId="18" fillId="24" borderId="0" xfId="0" applyFont="1" applyFill="1" applyBorder="1"/>
    <xf numFmtId="167" fontId="18" fillId="24" borderId="0" xfId="0" applyNumberFormat="1" applyFont="1" applyFill="1" applyBorder="1" applyAlignment="1">
      <alignment horizontal="left"/>
    </xf>
    <xf numFmtId="166" fontId="18" fillId="24" borderId="0" xfId="27" applyNumberFormat="1" applyFont="1" applyFill="1" applyBorder="1" applyAlignment="1" applyProtection="1"/>
    <xf numFmtId="0" fontId="18" fillId="24" borderId="14" xfId="0" applyFont="1" applyFill="1" applyBorder="1"/>
    <xf numFmtId="0" fontId="0" fillId="24" borderId="15" xfId="0" applyFill="1" applyBorder="1"/>
    <xf numFmtId="0" fontId="0" fillId="24" borderId="16" xfId="0" applyFill="1" applyBorder="1"/>
    <xf numFmtId="168" fontId="0" fillId="24" borderId="16" xfId="0" applyNumberFormat="1" applyFill="1" applyBorder="1"/>
    <xf numFmtId="168" fontId="18" fillId="24" borderId="16" xfId="0" applyNumberFormat="1" applyFont="1" applyFill="1" applyBorder="1"/>
    <xf numFmtId="44" fontId="0" fillId="24" borderId="16" xfId="27" applyNumberFormat="1" applyFont="1" applyFill="1" applyBorder="1" applyAlignment="1" applyProtection="1"/>
    <xf numFmtId="0" fontId="0" fillId="24" borderId="17" xfId="0" applyFill="1" applyBorder="1"/>
    <xf numFmtId="168" fontId="18" fillId="24" borderId="0" xfId="0" applyNumberFormat="1" applyFont="1" applyFill="1" applyBorder="1" applyAlignment="1">
      <alignment horizontal="left"/>
    </xf>
    <xf numFmtId="166" fontId="0" fillId="24" borderId="16" xfId="27" applyNumberFormat="1" applyFont="1" applyFill="1" applyBorder="1" applyAlignment="1" applyProtection="1"/>
    <xf numFmtId="44" fontId="0" fillId="0" borderId="0" xfId="43" applyFont="1" applyBorder="1"/>
    <xf numFmtId="0" fontId="22" fillId="0" borderId="0" xfId="0" applyFont="1"/>
    <xf numFmtId="44" fontId="0" fillId="0" borderId="18" xfId="43" applyFont="1" applyBorder="1"/>
    <xf numFmtId="44" fontId="0" fillId="0" borderId="18" xfId="43" applyFont="1" applyBorder="1" applyAlignment="1">
      <alignment vertical="top"/>
    </xf>
    <xf numFmtId="170" fontId="18" fillId="0" borderId="19" xfId="27" applyNumberFormat="1" applyFont="1" applyFill="1" applyBorder="1" applyAlignment="1" applyProtection="1"/>
    <xf numFmtId="44" fontId="18" fillId="0" borderId="0" xfId="43" applyFont="1" applyFill="1" applyBorder="1" applyAlignment="1" applyProtection="1"/>
    <xf numFmtId="0" fontId="22" fillId="0" borderId="20" xfId="0" applyFont="1" applyBorder="1"/>
    <xf numFmtId="0" fontId="22" fillId="25" borderId="20" xfId="0" applyFont="1" applyFill="1" applyBorder="1"/>
    <xf numFmtId="171" fontId="0" fillId="0" borderId="18" xfId="0" applyNumberFormat="1" applyFont="1" applyBorder="1"/>
    <xf numFmtId="0" fontId="0" fillId="0" borderId="20" xfId="0" applyFont="1" applyBorder="1"/>
    <xf numFmtId="0" fontId="21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10" fontId="18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 wrapText="1"/>
    </xf>
    <xf numFmtId="171" fontId="21" fillId="0" borderId="0" xfId="44" applyNumberFormat="1" applyFont="1" applyAlignment="1">
      <alignment horizontal="left" vertical="top"/>
    </xf>
    <xf numFmtId="172" fontId="21" fillId="0" borderId="0" xfId="0" applyNumberFormat="1" applyFont="1" applyAlignment="1">
      <alignment horizontal="left" vertical="top"/>
    </xf>
    <xf numFmtId="10" fontId="21" fillId="0" borderId="0" xfId="0" applyNumberFormat="1" applyFont="1" applyAlignment="1">
      <alignment horizontal="left" vertical="top"/>
    </xf>
    <xf numFmtId="44" fontId="21" fillId="0" borderId="0" xfId="0" applyNumberFormat="1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44" fontId="21" fillId="0" borderId="21" xfId="0" applyNumberFormat="1" applyFont="1" applyBorder="1" applyAlignment="1">
      <alignment horizontal="left" vertical="top"/>
    </xf>
    <xf numFmtId="164" fontId="21" fillId="0" borderId="0" xfId="0" applyNumberFormat="1" applyFont="1" applyAlignment="1">
      <alignment horizontal="right" vertical="top"/>
    </xf>
    <xf numFmtId="171" fontId="21" fillId="0" borderId="0" xfId="45" applyNumberFormat="1" applyFont="1" applyFill="1" applyAlignment="1">
      <alignment horizontal="left" vertical="top"/>
    </xf>
    <xf numFmtId="173" fontId="21" fillId="0" borderId="0" xfId="0" applyNumberFormat="1" applyFont="1" applyAlignment="1">
      <alignment horizontal="left" vertical="top"/>
    </xf>
    <xf numFmtId="171" fontId="21" fillId="0" borderId="22" xfId="45" applyNumberFormat="1" applyFont="1" applyFill="1" applyBorder="1" applyAlignment="1">
      <alignment horizontal="left" vertical="top"/>
    </xf>
    <xf numFmtId="44" fontId="21" fillId="0" borderId="18" xfId="27" applyNumberFormat="1" applyFont="1" applyFill="1" applyBorder="1" applyAlignment="1" applyProtection="1">
      <alignment vertical="top"/>
    </xf>
    <xf numFmtId="44" fontId="0" fillId="0" borderId="20" xfId="43" applyFont="1" applyBorder="1"/>
    <xf numFmtId="164" fontId="0" fillId="0" borderId="0" xfId="0" applyNumberFormat="1" applyFill="1" applyBorder="1"/>
    <xf numFmtId="0" fontId="26" fillId="0" borderId="0" xfId="0" quotePrefix="1" applyFont="1" applyAlignment="1">
      <alignment wrapText="1"/>
    </xf>
    <xf numFmtId="0" fontId="26" fillId="0" borderId="0" xfId="0" applyFont="1" applyAlignment="1">
      <alignment wrapText="1"/>
    </xf>
    <xf numFmtId="165" fontId="0" fillId="0" borderId="18" xfId="0" applyNumberFormat="1" applyFont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Border="1" applyAlignment="1">
      <alignment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Euro" xfId="27"/>
    <cellStyle name="Euro 2" xfId="45"/>
    <cellStyle name="Gekoppelde cel" xfId="28" builtinId="24" customBuiltin="1"/>
    <cellStyle name="Goed" xfId="29" builtinId="26" customBuiltin="1"/>
    <cellStyle name="Invoer" xfId="30" builtinId="20" customBuiltin="1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titie" xfId="36" builtinId="10" customBuiltin="1"/>
    <cellStyle name="Ongeldig" xfId="37" builtinId="27" customBuiltin="1"/>
    <cellStyle name="Standaard" xfId="0" builtinId="0"/>
    <cellStyle name="Titel" xfId="38" builtinId="15" customBuiltin="1"/>
    <cellStyle name="Totaal" xfId="39" builtinId="25" customBuiltin="1"/>
    <cellStyle name="Uitvoer" xfId="40" builtinId="21" customBuiltin="1"/>
    <cellStyle name="Valuta" xfId="43" builtinId="4"/>
    <cellStyle name="Valuta 2" xfId="44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colors>
    <mruColors>
      <color rgb="FFB7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49"/>
  <sheetViews>
    <sheetView tabSelected="1" topLeftCell="C1" zoomScaleNormal="100" workbookViewId="0">
      <selection activeCell="AA19" sqref="AA19"/>
    </sheetView>
  </sheetViews>
  <sheetFormatPr defaultRowHeight="12.75" x14ac:dyDescent="0.2"/>
  <cols>
    <col min="1" max="1" width="0" hidden="1" customWidth="1"/>
    <col min="2" max="2" width="46.28515625" hidden="1" customWidth="1"/>
    <col min="3" max="3" width="35.28515625" customWidth="1"/>
    <col min="4" max="4" width="18.7109375" bestFit="1" customWidth="1"/>
    <col min="5" max="5" width="9.5703125" bestFit="1" customWidth="1"/>
    <col min="6" max="6" width="9.5703125" customWidth="1"/>
    <col min="7" max="9" width="0" hidden="1" customWidth="1"/>
    <col min="10" max="15" width="15.7109375" hidden="1" customWidth="1"/>
    <col min="16" max="19" width="20.85546875" hidden="1" customWidth="1"/>
    <col min="20" max="20" width="20.85546875" customWidth="1"/>
    <col min="21" max="21" width="19.85546875" bestFit="1" customWidth="1"/>
    <col min="22" max="22" width="21.5703125" style="1" bestFit="1" customWidth="1"/>
    <col min="23" max="23" width="34.7109375" bestFit="1" customWidth="1"/>
    <col min="24" max="24" width="15.5703125" customWidth="1"/>
    <col min="25" max="25" width="7.7109375" customWidth="1"/>
    <col min="26" max="26" width="16.28515625" bestFit="1" customWidth="1"/>
    <col min="27" max="27" width="17.28515625" customWidth="1"/>
    <col min="28" max="28" width="17.42578125" bestFit="1" customWidth="1"/>
  </cols>
  <sheetData>
    <row r="1" spans="1:36" x14ac:dyDescent="0.2">
      <c r="A1" t="s">
        <v>66</v>
      </c>
      <c r="B1" t="s">
        <v>67</v>
      </c>
      <c r="C1" s="44" t="s">
        <v>0</v>
      </c>
      <c r="D1" s="45" t="s">
        <v>2</v>
      </c>
      <c r="E1" s="45" t="s">
        <v>48</v>
      </c>
      <c r="F1" s="45" t="s">
        <v>1</v>
      </c>
      <c r="G1" s="45" t="s">
        <v>3</v>
      </c>
      <c r="H1" s="45" t="s">
        <v>3</v>
      </c>
      <c r="I1" s="45" t="s">
        <v>3</v>
      </c>
      <c r="J1" s="45" t="s">
        <v>42</v>
      </c>
      <c r="K1" s="45"/>
      <c r="L1" s="45" t="s">
        <v>42</v>
      </c>
      <c r="M1" s="45" t="s">
        <v>42</v>
      </c>
      <c r="N1" s="45" t="s">
        <v>42</v>
      </c>
      <c r="O1" s="45" t="s">
        <v>42</v>
      </c>
      <c r="P1" s="45" t="s">
        <v>42</v>
      </c>
      <c r="Q1" s="45" t="s">
        <v>42</v>
      </c>
      <c r="R1" s="45" t="s">
        <v>42</v>
      </c>
      <c r="S1" s="45" t="s">
        <v>42</v>
      </c>
      <c r="T1" s="45" t="s">
        <v>42</v>
      </c>
      <c r="U1" s="45" t="s">
        <v>4</v>
      </c>
      <c r="V1" s="46" t="s">
        <v>5</v>
      </c>
      <c r="W1" s="48" t="s">
        <v>7</v>
      </c>
      <c r="Y1" s="45" t="s">
        <v>6</v>
      </c>
      <c r="Z1" s="47" t="s">
        <v>6</v>
      </c>
      <c r="AC1" s="50" t="s">
        <v>100</v>
      </c>
      <c r="AD1" s="50" t="s">
        <v>101</v>
      </c>
      <c r="AE1" s="50" t="s">
        <v>102</v>
      </c>
      <c r="AF1" s="50" t="s">
        <v>103</v>
      </c>
    </row>
    <row r="2" spans="1:36" x14ac:dyDescent="0.2">
      <c r="C2" s="49" t="s">
        <v>8</v>
      </c>
      <c r="D2" s="50"/>
      <c r="E2" s="50"/>
      <c r="F2" s="50"/>
      <c r="G2" s="51">
        <v>39814</v>
      </c>
      <c r="H2" s="51">
        <v>40179</v>
      </c>
      <c r="I2" s="51">
        <v>40909</v>
      </c>
      <c r="J2" s="51">
        <v>41275</v>
      </c>
      <c r="K2" s="51"/>
      <c r="L2" s="51">
        <v>41640</v>
      </c>
      <c r="M2" s="51">
        <v>42005</v>
      </c>
      <c r="N2" s="51">
        <v>42370</v>
      </c>
      <c r="O2" s="51">
        <v>42736</v>
      </c>
      <c r="P2" s="51">
        <v>43101</v>
      </c>
      <c r="Q2" s="51">
        <v>43466</v>
      </c>
      <c r="R2" s="51">
        <v>43831</v>
      </c>
      <c r="S2" s="51">
        <v>44197</v>
      </c>
      <c r="T2" s="51">
        <v>44562</v>
      </c>
      <c r="U2" s="50"/>
      <c r="V2" s="52"/>
      <c r="W2" s="53"/>
      <c r="Y2" s="50" t="s">
        <v>9</v>
      </c>
      <c r="Z2" s="50"/>
    </row>
    <row r="3" spans="1:36" x14ac:dyDescent="0.2">
      <c r="C3" s="54"/>
      <c r="D3" s="55"/>
      <c r="E3" s="55"/>
      <c r="F3" s="55"/>
      <c r="G3" s="56"/>
      <c r="H3" s="56" t="s">
        <v>10</v>
      </c>
      <c r="I3" s="57" t="s">
        <v>11</v>
      </c>
      <c r="J3" s="57" t="s">
        <v>12</v>
      </c>
      <c r="K3" s="57"/>
      <c r="L3" s="57" t="s">
        <v>43</v>
      </c>
      <c r="M3" s="57" t="s">
        <v>44</v>
      </c>
      <c r="N3" s="57" t="s">
        <v>45</v>
      </c>
      <c r="O3" s="57" t="s">
        <v>47</v>
      </c>
      <c r="P3" s="57" t="s">
        <v>60</v>
      </c>
      <c r="Q3" s="57" t="s">
        <v>61</v>
      </c>
      <c r="R3" s="57" t="s">
        <v>65</v>
      </c>
      <c r="S3" s="57" t="s">
        <v>81</v>
      </c>
      <c r="T3" s="57" t="s">
        <v>99</v>
      </c>
      <c r="U3" s="55"/>
      <c r="V3" s="58"/>
      <c r="W3" s="59"/>
      <c r="Y3" s="55"/>
      <c r="Z3" s="55"/>
      <c r="AA3" t="s">
        <v>117</v>
      </c>
      <c r="AB3" t="s">
        <v>118</v>
      </c>
    </row>
    <row r="4" spans="1:36" s="16" customFormat="1" ht="30" x14ac:dyDescent="0.25">
      <c r="C4" s="71" t="s">
        <v>96</v>
      </c>
      <c r="D4" s="71" t="s">
        <v>97</v>
      </c>
      <c r="E4" s="71" t="s">
        <v>49</v>
      </c>
      <c r="F4" s="71" t="s">
        <v>14</v>
      </c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89">
        <v>7300000</v>
      </c>
      <c r="T4" s="64">
        <f>ROUND(S4/153.1*159.8,-2)</f>
        <v>7619500</v>
      </c>
      <c r="U4" s="89">
        <v>570878</v>
      </c>
      <c r="V4" s="38">
        <f>T4+U4</f>
        <v>8190378</v>
      </c>
      <c r="W4" s="71" t="s">
        <v>98</v>
      </c>
      <c r="Y4" s="4">
        <f>premieberekening!H$9</f>
        <v>0.62880000000000003</v>
      </c>
      <c r="Z4" s="7">
        <f t="shared" ref="Z4" si="0">ROUND(V4*Y4/1000,2)</f>
        <v>5150.1099999999997</v>
      </c>
      <c r="AA4" s="91" t="s">
        <v>115</v>
      </c>
      <c r="AB4" s="92" t="s">
        <v>116</v>
      </c>
    </row>
    <row r="5" spans="1:36" ht="25.5" x14ac:dyDescent="0.2">
      <c r="A5">
        <v>6520032</v>
      </c>
      <c r="B5" t="s">
        <v>68</v>
      </c>
      <c r="C5" s="2" t="s">
        <v>13</v>
      </c>
      <c r="D5" s="4" t="s">
        <v>15</v>
      </c>
      <c r="E5" s="6" t="s">
        <v>49</v>
      </c>
      <c r="F5" s="3" t="s">
        <v>14</v>
      </c>
      <c r="G5" s="5">
        <v>1061757</v>
      </c>
      <c r="H5" s="6">
        <f>ROUND(G5/162*163,0)</f>
        <v>1068311</v>
      </c>
      <c r="I5" s="6">
        <f>ROUND(H5/110.6*113.8,0)</f>
        <v>1099221</v>
      </c>
      <c r="J5" s="6">
        <f>ROUND(I5/113.8*117.8,0)</f>
        <v>1137858</v>
      </c>
      <c r="K5" s="6"/>
      <c r="L5" s="6">
        <f>ROUND(J5/117.8*118.8,0)</f>
        <v>1147517</v>
      </c>
      <c r="M5" s="6">
        <f>ROUND(L5/118.8*120.2,0)</f>
        <v>1161040</v>
      </c>
      <c r="N5" s="6">
        <f>ROUND(M5/120.2*121,0)</f>
        <v>1168767</v>
      </c>
      <c r="O5" s="6">
        <f>ROUND(N5/121*123.1,0)</f>
        <v>1189051</v>
      </c>
      <c r="P5" s="6">
        <f>ROUND(O5/123.1*125.8,0)</f>
        <v>1215131</v>
      </c>
      <c r="Q5" s="64">
        <f>ROUND(P5/125.8*134.2,0)</f>
        <v>1296269</v>
      </c>
      <c r="R5" s="64">
        <v>3250000</v>
      </c>
      <c r="S5" s="64">
        <f>ROUND(R5/144.3*151.5,-2)</f>
        <v>3412200</v>
      </c>
      <c r="T5" s="64">
        <f t="shared" ref="T5:T15" si="1">ROUND(S5/151.5*159.8,-2)</f>
        <v>3599100</v>
      </c>
      <c r="U5" s="64"/>
      <c r="V5" s="88">
        <f t="shared" ref="V5:V15" si="2">T5+U5</f>
        <v>3599100</v>
      </c>
      <c r="W5" s="7" t="s">
        <v>80</v>
      </c>
      <c r="X5" s="8"/>
      <c r="Y5" s="4">
        <f>premieberekening!H$9</f>
        <v>0.62880000000000003</v>
      </c>
      <c r="Z5" s="7">
        <f t="shared" ref="Z5:Z15" si="3">ROUND(V5*Y5/1000,2)</f>
        <v>2263.11</v>
      </c>
      <c r="AA5" s="93" t="s">
        <v>80</v>
      </c>
      <c r="AB5" s="93"/>
      <c r="AC5" s="27" t="s">
        <v>110</v>
      </c>
      <c r="AF5" t="s">
        <v>104</v>
      </c>
      <c r="AI5" s="16"/>
      <c r="AJ5" s="16"/>
    </row>
    <row r="6" spans="1:36" ht="25.5" x14ac:dyDescent="0.2">
      <c r="A6">
        <v>6520032</v>
      </c>
      <c r="B6" t="s">
        <v>68</v>
      </c>
      <c r="C6" s="2" t="s">
        <v>16</v>
      </c>
      <c r="D6" s="4" t="s">
        <v>15</v>
      </c>
      <c r="E6" s="6" t="s">
        <v>49</v>
      </c>
      <c r="F6" s="3" t="s">
        <v>14</v>
      </c>
      <c r="G6" s="5">
        <v>0</v>
      </c>
      <c r="H6" s="6">
        <v>0</v>
      </c>
      <c r="I6" s="6">
        <v>0</v>
      </c>
      <c r="J6" s="6"/>
      <c r="K6" s="6"/>
      <c r="L6" s="6"/>
      <c r="M6" s="6"/>
      <c r="N6" s="6"/>
      <c r="O6" s="6"/>
      <c r="P6" s="6"/>
      <c r="Q6" s="64">
        <f t="shared" ref="Q6:Q14" si="4">ROUND(P6/125.8*134.2,0)</f>
        <v>0</v>
      </c>
      <c r="R6" s="64"/>
      <c r="S6" s="64"/>
      <c r="T6" s="64">
        <f t="shared" si="1"/>
        <v>0</v>
      </c>
      <c r="U6" s="64">
        <v>50000</v>
      </c>
      <c r="V6" s="88">
        <f t="shared" si="2"/>
        <v>50000</v>
      </c>
      <c r="W6" s="7" t="s">
        <v>80</v>
      </c>
      <c r="X6" s="8"/>
      <c r="Y6" s="4">
        <f>premieberekening!H$9</f>
        <v>0.62880000000000003</v>
      </c>
      <c r="Z6" s="7">
        <f t="shared" si="3"/>
        <v>31.44</v>
      </c>
      <c r="AA6" s="93" t="s">
        <v>80</v>
      </c>
      <c r="AB6" s="93" t="s">
        <v>80</v>
      </c>
      <c r="AC6" s="27"/>
    </row>
    <row r="7" spans="1:36" ht="25.5" x14ac:dyDescent="0.2">
      <c r="A7">
        <v>6550012</v>
      </c>
      <c r="B7" t="s">
        <v>69</v>
      </c>
      <c r="C7" s="2" t="s">
        <v>17</v>
      </c>
      <c r="D7" s="4" t="s">
        <v>18</v>
      </c>
      <c r="E7" s="6" t="s">
        <v>50</v>
      </c>
      <c r="F7" s="3" t="s">
        <v>14</v>
      </c>
      <c r="G7" s="5">
        <v>2342432</v>
      </c>
      <c r="H7" s="6">
        <f>ROUND(G7/162*163,0)</f>
        <v>2356891</v>
      </c>
      <c r="I7" s="6">
        <f t="shared" ref="I7:I13" si="5">ROUND(H7/110.6*113.8,0)</f>
        <v>2425083</v>
      </c>
      <c r="J7" s="6">
        <f t="shared" ref="J7:J14" si="6">ROUND(I7/113.8*117.8,0)</f>
        <v>2510323</v>
      </c>
      <c r="K7" s="6"/>
      <c r="L7" s="6">
        <f t="shared" ref="L7:L14" si="7">ROUND(J7/117.8*118.8,0)</f>
        <v>2531633</v>
      </c>
      <c r="M7" s="6">
        <f t="shared" ref="M7:M14" si="8">ROUND(L7/118.8*120.2,0)</f>
        <v>2561467</v>
      </c>
      <c r="N7" s="6">
        <f t="shared" ref="N7:N14" si="9">ROUND(M7/120.2*121,0)</f>
        <v>2578515</v>
      </c>
      <c r="O7" s="6">
        <f t="shared" ref="O7:O14" si="10">ROUND(N7/121*123.1,0)</f>
        <v>2623266</v>
      </c>
      <c r="P7" s="6">
        <f t="shared" ref="P7:P14" si="11">ROUND(O7/123.1*125.8,0)</f>
        <v>2680803</v>
      </c>
      <c r="Q7" s="64">
        <f t="shared" si="4"/>
        <v>2859807</v>
      </c>
      <c r="R7" s="64">
        <v>2690000</v>
      </c>
      <c r="S7" s="64">
        <f t="shared" ref="S7:S15" si="12">ROUND(R7/144.3*151.5,-2)</f>
        <v>2824200</v>
      </c>
      <c r="T7" s="64">
        <f t="shared" si="1"/>
        <v>2978900</v>
      </c>
      <c r="U7" s="64"/>
      <c r="V7" s="88">
        <f t="shared" si="2"/>
        <v>2978900</v>
      </c>
      <c r="W7" s="7" t="s">
        <v>80</v>
      </c>
      <c r="X7" s="8"/>
      <c r="Y7" s="4">
        <f>premieberekening!H$9</f>
        <v>0.62880000000000003</v>
      </c>
      <c r="Z7" s="7">
        <f t="shared" si="3"/>
        <v>1873.13</v>
      </c>
      <c r="AA7" s="93" t="s">
        <v>80</v>
      </c>
      <c r="AB7" s="93"/>
      <c r="AC7" s="27" t="s">
        <v>105</v>
      </c>
      <c r="AD7" t="s">
        <v>105</v>
      </c>
      <c r="AE7" t="s">
        <v>105</v>
      </c>
      <c r="AF7" t="s">
        <v>105</v>
      </c>
    </row>
    <row r="8" spans="1:36" ht="25.5" x14ac:dyDescent="0.2">
      <c r="A8">
        <v>6550022</v>
      </c>
      <c r="B8" t="s">
        <v>70</v>
      </c>
      <c r="C8" s="2" t="s">
        <v>19</v>
      </c>
      <c r="D8" s="4" t="s">
        <v>18</v>
      </c>
      <c r="E8" s="6" t="s">
        <v>50</v>
      </c>
      <c r="F8" s="3" t="s">
        <v>14</v>
      </c>
      <c r="G8" s="5">
        <v>328378</v>
      </c>
      <c r="H8" s="6">
        <f>ROUND(G8/162*163,0)</f>
        <v>330405</v>
      </c>
      <c r="I8" s="6">
        <f t="shared" si="5"/>
        <v>339965</v>
      </c>
      <c r="J8" s="6">
        <f t="shared" si="6"/>
        <v>351915</v>
      </c>
      <c r="K8" s="6"/>
      <c r="L8" s="6">
        <f t="shared" si="7"/>
        <v>354902</v>
      </c>
      <c r="M8" s="6">
        <f t="shared" si="8"/>
        <v>359084</v>
      </c>
      <c r="N8" s="6">
        <f t="shared" si="9"/>
        <v>361474</v>
      </c>
      <c r="O8" s="6">
        <f t="shared" si="10"/>
        <v>367748</v>
      </c>
      <c r="P8" s="6">
        <f t="shared" si="11"/>
        <v>375814</v>
      </c>
      <c r="Q8" s="64">
        <f t="shared" si="4"/>
        <v>400908</v>
      </c>
      <c r="R8" s="64">
        <v>335000</v>
      </c>
      <c r="S8" s="64">
        <f t="shared" si="12"/>
        <v>351700</v>
      </c>
      <c r="T8" s="64">
        <f t="shared" si="1"/>
        <v>371000</v>
      </c>
      <c r="U8" s="64">
        <v>35000</v>
      </c>
      <c r="V8" s="88">
        <f t="shared" si="2"/>
        <v>406000</v>
      </c>
      <c r="W8" s="7" t="s">
        <v>80</v>
      </c>
      <c r="X8" s="8"/>
      <c r="Y8" s="4">
        <f>premieberekening!H$9</f>
        <v>0.62880000000000003</v>
      </c>
      <c r="Z8" s="7">
        <f t="shared" si="3"/>
        <v>255.29</v>
      </c>
      <c r="AA8" s="93" t="s">
        <v>80</v>
      </c>
      <c r="AB8" s="93" t="s">
        <v>80</v>
      </c>
      <c r="AC8" s="27" t="s">
        <v>105</v>
      </c>
      <c r="AD8" t="s">
        <v>105</v>
      </c>
      <c r="AE8" t="s">
        <v>105</v>
      </c>
      <c r="AF8" t="s">
        <v>105</v>
      </c>
    </row>
    <row r="9" spans="1:36" ht="25.5" x14ac:dyDescent="0.2">
      <c r="A9">
        <v>6610212</v>
      </c>
      <c r="B9" t="s">
        <v>71</v>
      </c>
      <c r="C9" s="2" t="s">
        <v>20</v>
      </c>
      <c r="D9" s="4" t="s">
        <v>21</v>
      </c>
      <c r="E9" s="6" t="s">
        <v>51</v>
      </c>
      <c r="F9" s="3" t="s">
        <v>14</v>
      </c>
      <c r="G9" s="5">
        <v>1888176</v>
      </c>
      <c r="H9" s="6">
        <f>ROUND(G9/162*163,0)</f>
        <v>1899831</v>
      </c>
      <c r="I9" s="6">
        <f t="shared" si="5"/>
        <v>1954799</v>
      </c>
      <c r="J9" s="6">
        <f t="shared" si="6"/>
        <v>2023509</v>
      </c>
      <c r="K9" s="6"/>
      <c r="L9" s="6">
        <f t="shared" si="7"/>
        <v>2040686</v>
      </c>
      <c r="M9" s="6">
        <f t="shared" si="8"/>
        <v>2064734</v>
      </c>
      <c r="N9" s="6">
        <f t="shared" si="9"/>
        <v>2078476</v>
      </c>
      <c r="O9" s="6">
        <f t="shared" si="10"/>
        <v>2114549</v>
      </c>
      <c r="P9" s="6">
        <f t="shared" si="11"/>
        <v>2160928</v>
      </c>
      <c r="Q9" s="64">
        <f t="shared" si="4"/>
        <v>2305219</v>
      </c>
      <c r="R9" s="64">
        <v>1860000</v>
      </c>
      <c r="S9" s="64">
        <f t="shared" si="12"/>
        <v>1952800</v>
      </c>
      <c r="T9" s="64">
        <f t="shared" si="1"/>
        <v>2059800</v>
      </c>
      <c r="U9" s="64">
        <v>60000</v>
      </c>
      <c r="V9" s="88">
        <f t="shared" si="2"/>
        <v>2119800</v>
      </c>
      <c r="W9" s="7" t="s">
        <v>80</v>
      </c>
      <c r="X9" s="8"/>
      <c r="Y9" s="4">
        <f>premieberekening!H$9</f>
        <v>0.62880000000000003</v>
      </c>
      <c r="Z9" s="7">
        <f t="shared" si="3"/>
        <v>1332.93</v>
      </c>
      <c r="AA9" s="93" t="s">
        <v>80</v>
      </c>
      <c r="AB9" s="93" t="s">
        <v>80</v>
      </c>
      <c r="AC9" s="27" t="s">
        <v>105</v>
      </c>
      <c r="AD9" t="s">
        <v>105</v>
      </c>
      <c r="AE9" t="s">
        <v>105</v>
      </c>
      <c r="AF9" t="s">
        <v>105</v>
      </c>
      <c r="AG9" t="s">
        <v>106</v>
      </c>
    </row>
    <row r="10" spans="1:36" s="37" customFormat="1" ht="25.5" x14ac:dyDescent="0.2">
      <c r="A10" s="37">
        <v>6040012</v>
      </c>
      <c r="B10" t="s">
        <v>72</v>
      </c>
      <c r="C10" s="31" t="s">
        <v>22</v>
      </c>
      <c r="D10" s="33" t="s">
        <v>23</v>
      </c>
      <c r="E10" s="35" t="s">
        <v>52</v>
      </c>
      <c r="F10" s="32" t="s">
        <v>14</v>
      </c>
      <c r="G10" s="34">
        <v>5527703</v>
      </c>
      <c r="H10" s="35">
        <v>5641824</v>
      </c>
      <c r="I10" s="35">
        <f t="shared" si="5"/>
        <v>5805059</v>
      </c>
      <c r="J10" s="35">
        <f t="shared" si="6"/>
        <v>6009103</v>
      </c>
      <c r="K10" s="35"/>
      <c r="L10" s="35">
        <f t="shared" si="7"/>
        <v>6060114</v>
      </c>
      <c r="M10" s="35">
        <v>7199500</v>
      </c>
      <c r="N10" s="35">
        <f>ROUND(M10/120.4*121,0)</f>
        <v>7235378</v>
      </c>
      <c r="O10" s="35">
        <f t="shared" si="10"/>
        <v>7360951</v>
      </c>
      <c r="P10" s="40">
        <f t="shared" si="11"/>
        <v>7522402</v>
      </c>
      <c r="Q10" s="64">
        <f t="shared" si="4"/>
        <v>8024693</v>
      </c>
      <c r="R10" s="65">
        <v>5510000</v>
      </c>
      <c r="S10" s="64">
        <f t="shared" si="12"/>
        <v>5784900</v>
      </c>
      <c r="T10" s="64">
        <f t="shared" si="1"/>
        <v>6101800</v>
      </c>
      <c r="U10" s="65">
        <f>765000+230000</f>
        <v>995000</v>
      </c>
      <c r="V10" s="88">
        <f t="shared" si="2"/>
        <v>7096800</v>
      </c>
      <c r="W10" s="7" t="s">
        <v>80</v>
      </c>
      <c r="X10" s="36"/>
      <c r="Y10" s="4">
        <f>premieberekening!H$9</f>
        <v>0.62880000000000003</v>
      </c>
      <c r="Z10" s="41">
        <f t="shared" si="3"/>
        <v>4462.47</v>
      </c>
      <c r="AA10" s="93" t="s">
        <v>80</v>
      </c>
      <c r="AB10" s="93" t="s">
        <v>80</v>
      </c>
      <c r="AC10" s="27" t="s">
        <v>107</v>
      </c>
      <c r="AD10" s="37" t="s">
        <v>105</v>
      </c>
      <c r="AE10" s="37" t="s">
        <v>108</v>
      </c>
      <c r="AF10" s="37" t="s">
        <v>109</v>
      </c>
      <c r="AI10"/>
      <c r="AJ10"/>
    </row>
    <row r="11" spans="1:36" ht="25.5" x14ac:dyDescent="0.2">
      <c r="A11">
        <v>6520042</v>
      </c>
      <c r="B11" t="s">
        <v>73</v>
      </c>
      <c r="C11" s="2" t="s">
        <v>24</v>
      </c>
      <c r="D11" s="4" t="s">
        <v>46</v>
      </c>
      <c r="E11" s="6" t="s">
        <v>53</v>
      </c>
      <c r="F11" s="3" t="s">
        <v>14</v>
      </c>
      <c r="G11" s="5">
        <v>1340878</v>
      </c>
      <c r="H11" s="6">
        <f>ROUND(G11/162*163,0)</f>
        <v>1349155</v>
      </c>
      <c r="I11" s="6">
        <f t="shared" si="5"/>
        <v>1388190</v>
      </c>
      <c r="J11" s="6">
        <f t="shared" si="6"/>
        <v>1436984</v>
      </c>
      <c r="K11" s="6"/>
      <c r="L11" s="6">
        <f t="shared" si="7"/>
        <v>1449183</v>
      </c>
      <c r="M11" s="6">
        <f t="shared" si="8"/>
        <v>1466261</v>
      </c>
      <c r="N11" s="6">
        <f t="shared" si="9"/>
        <v>1476020</v>
      </c>
      <c r="O11" s="6">
        <f t="shared" si="10"/>
        <v>1501637</v>
      </c>
      <c r="P11" s="6">
        <f t="shared" si="11"/>
        <v>1534573</v>
      </c>
      <c r="Q11" s="64">
        <f t="shared" si="4"/>
        <v>1637041</v>
      </c>
      <c r="R11" s="64">
        <v>1620000</v>
      </c>
      <c r="S11" s="64">
        <f t="shared" si="12"/>
        <v>1700800</v>
      </c>
      <c r="T11" s="64">
        <f t="shared" si="1"/>
        <v>1794000</v>
      </c>
      <c r="U11" s="64">
        <v>80000</v>
      </c>
      <c r="V11" s="88">
        <f t="shared" si="2"/>
        <v>1874000</v>
      </c>
      <c r="W11" s="7" t="s">
        <v>80</v>
      </c>
      <c r="X11" s="8"/>
      <c r="Y11" s="4">
        <f>premieberekening!H$9</f>
        <v>0.62880000000000003</v>
      </c>
      <c r="Z11" s="7">
        <f t="shared" si="3"/>
        <v>1178.3699999999999</v>
      </c>
      <c r="AA11" s="93" t="s">
        <v>80</v>
      </c>
      <c r="AB11" s="93" t="s">
        <v>80</v>
      </c>
      <c r="AC11" s="27" t="s">
        <v>105</v>
      </c>
      <c r="AD11" t="s">
        <v>105</v>
      </c>
      <c r="AE11" t="s">
        <v>105</v>
      </c>
      <c r="AF11" t="s">
        <v>105</v>
      </c>
      <c r="AI11" s="37"/>
      <c r="AJ11" s="37"/>
    </row>
    <row r="12" spans="1:36" ht="25.5" x14ac:dyDescent="0.2">
      <c r="A12">
        <v>6030022</v>
      </c>
      <c r="B12" t="s">
        <v>74</v>
      </c>
      <c r="C12" s="2" t="s">
        <v>25</v>
      </c>
      <c r="D12" s="4" t="s">
        <v>26</v>
      </c>
      <c r="E12" s="6" t="s">
        <v>55</v>
      </c>
      <c r="F12" s="3" t="s">
        <v>14</v>
      </c>
      <c r="G12" s="5">
        <v>536351</v>
      </c>
      <c r="H12" s="6">
        <f>ROUND(G12/162*163,0)</f>
        <v>539662</v>
      </c>
      <c r="I12" s="6">
        <f t="shared" si="5"/>
        <v>555276</v>
      </c>
      <c r="J12" s="6">
        <f t="shared" si="6"/>
        <v>574794</v>
      </c>
      <c r="K12" s="6"/>
      <c r="L12" s="6">
        <f t="shared" si="7"/>
        <v>579673</v>
      </c>
      <c r="M12" s="6">
        <f t="shared" si="8"/>
        <v>586504</v>
      </c>
      <c r="N12" s="6">
        <f t="shared" si="9"/>
        <v>590408</v>
      </c>
      <c r="O12" s="6">
        <f t="shared" si="10"/>
        <v>600655</v>
      </c>
      <c r="P12" s="6">
        <f t="shared" si="11"/>
        <v>613829</v>
      </c>
      <c r="Q12" s="64">
        <f t="shared" si="4"/>
        <v>654816</v>
      </c>
      <c r="R12" s="64">
        <v>945000</v>
      </c>
      <c r="S12" s="64">
        <f t="shared" si="12"/>
        <v>992200</v>
      </c>
      <c r="T12" s="64">
        <f t="shared" si="1"/>
        <v>1046600</v>
      </c>
      <c r="U12" s="64">
        <f>107500+7500</f>
        <v>115000</v>
      </c>
      <c r="V12" s="88">
        <f t="shared" si="2"/>
        <v>1161600</v>
      </c>
      <c r="W12" s="7" t="s">
        <v>80</v>
      </c>
      <c r="X12" s="8"/>
      <c r="Y12" s="4">
        <f>premieberekening!H$9</f>
        <v>0.62880000000000003</v>
      </c>
      <c r="Z12" s="7">
        <f t="shared" si="3"/>
        <v>730.41</v>
      </c>
      <c r="AA12" s="93" t="s">
        <v>80</v>
      </c>
      <c r="AB12" s="93" t="s">
        <v>80</v>
      </c>
      <c r="AC12" s="27" t="s">
        <v>105</v>
      </c>
      <c r="AD12" t="s">
        <v>105</v>
      </c>
      <c r="AE12" t="s">
        <v>105</v>
      </c>
      <c r="AF12" t="s">
        <v>108</v>
      </c>
    </row>
    <row r="13" spans="1:36" ht="25.5" x14ac:dyDescent="0.2">
      <c r="A13">
        <v>6030022</v>
      </c>
      <c r="B13" t="s">
        <v>74</v>
      </c>
      <c r="C13" s="2" t="s">
        <v>27</v>
      </c>
      <c r="D13" s="4" t="s">
        <v>26</v>
      </c>
      <c r="E13" s="6" t="s">
        <v>55</v>
      </c>
      <c r="F13" s="3" t="s">
        <v>14</v>
      </c>
      <c r="G13" s="5">
        <v>70000</v>
      </c>
      <c r="H13" s="6">
        <v>70000</v>
      </c>
      <c r="I13" s="6">
        <f t="shared" si="5"/>
        <v>72025</v>
      </c>
      <c r="J13" s="6">
        <f t="shared" si="6"/>
        <v>74557</v>
      </c>
      <c r="K13" s="6"/>
      <c r="L13" s="6">
        <f t="shared" si="7"/>
        <v>75190</v>
      </c>
      <c r="M13" s="6">
        <f t="shared" si="8"/>
        <v>76076</v>
      </c>
      <c r="N13" s="6">
        <f t="shared" si="9"/>
        <v>76582</v>
      </c>
      <c r="O13" s="6">
        <f t="shared" si="10"/>
        <v>77911</v>
      </c>
      <c r="P13" s="6">
        <f t="shared" si="11"/>
        <v>79620</v>
      </c>
      <c r="Q13" s="64">
        <f t="shared" si="4"/>
        <v>84936</v>
      </c>
      <c r="R13" s="64">
        <v>75000</v>
      </c>
      <c r="S13" s="64">
        <f t="shared" si="12"/>
        <v>78700</v>
      </c>
      <c r="T13" s="64">
        <f t="shared" si="1"/>
        <v>83000</v>
      </c>
      <c r="U13" s="64"/>
      <c r="V13" s="88">
        <f t="shared" si="2"/>
        <v>83000</v>
      </c>
      <c r="W13" s="7" t="s">
        <v>80</v>
      </c>
      <c r="X13" s="8"/>
      <c r="Y13" s="4">
        <f>premieberekening!H$9</f>
        <v>0.62880000000000003</v>
      </c>
      <c r="Z13" s="7">
        <f t="shared" si="3"/>
        <v>52.19</v>
      </c>
      <c r="AA13" s="93" t="s">
        <v>80</v>
      </c>
      <c r="AB13" s="93" t="s">
        <v>80</v>
      </c>
      <c r="AC13" s="27" t="s">
        <v>105</v>
      </c>
      <c r="AD13" t="s">
        <v>105</v>
      </c>
      <c r="AE13" t="s">
        <v>105</v>
      </c>
      <c r="AF13" t="s">
        <v>105</v>
      </c>
    </row>
    <row r="14" spans="1:36" s="11" customFormat="1" ht="25.5" x14ac:dyDescent="0.2">
      <c r="A14" s="11">
        <v>6610222</v>
      </c>
      <c r="B14" t="s">
        <v>28</v>
      </c>
      <c r="C14" s="2" t="s">
        <v>28</v>
      </c>
      <c r="D14" s="4" t="s">
        <v>29</v>
      </c>
      <c r="E14" s="6" t="s">
        <v>49</v>
      </c>
      <c r="F14" s="3" t="s">
        <v>14</v>
      </c>
      <c r="G14" s="5"/>
      <c r="H14" s="6"/>
      <c r="I14" s="9">
        <v>653000</v>
      </c>
      <c r="J14" s="6">
        <f t="shared" si="6"/>
        <v>675953</v>
      </c>
      <c r="K14" s="6"/>
      <c r="L14" s="6">
        <f t="shared" si="7"/>
        <v>681691</v>
      </c>
      <c r="M14" s="6">
        <f t="shared" si="8"/>
        <v>689724</v>
      </c>
      <c r="N14" s="6">
        <f t="shared" si="9"/>
        <v>694315</v>
      </c>
      <c r="O14" s="6">
        <f t="shared" si="10"/>
        <v>706365</v>
      </c>
      <c r="P14" s="6">
        <f t="shared" si="11"/>
        <v>721858</v>
      </c>
      <c r="Q14" s="64">
        <f t="shared" si="4"/>
        <v>770058</v>
      </c>
      <c r="R14" s="64">
        <v>1020000</v>
      </c>
      <c r="S14" s="64">
        <f t="shared" si="12"/>
        <v>1070900</v>
      </c>
      <c r="T14" s="64">
        <f t="shared" si="1"/>
        <v>1129600</v>
      </c>
      <c r="U14" s="64">
        <v>10000</v>
      </c>
      <c r="V14" s="88">
        <f t="shared" si="2"/>
        <v>1139600</v>
      </c>
      <c r="W14" s="7" t="s">
        <v>80</v>
      </c>
      <c r="X14" s="10"/>
      <c r="Y14" s="4">
        <f>premieberekening!H$9</f>
        <v>0.62880000000000003</v>
      </c>
      <c r="Z14" s="7">
        <f t="shared" si="3"/>
        <v>716.58</v>
      </c>
      <c r="AA14" s="93" t="s">
        <v>80</v>
      </c>
      <c r="AB14" s="93" t="s">
        <v>80</v>
      </c>
      <c r="AC14" s="27" t="s">
        <v>108</v>
      </c>
      <c r="AD14" s="11" t="s">
        <v>105</v>
      </c>
      <c r="AE14" s="11" t="s">
        <v>105</v>
      </c>
      <c r="AF14" s="11" t="s">
        <v>109</v>
      </c>
      <c r="AG14" t="s">
        <v>106</v>
      </c>
      <c r="AI14"/>
      <c r="AJ14"/>
    </row>
    <row r="15" spans="1:36" s="63" customFormat="1" ht="25.5" x14ac:dyDescent="0.2">
      <c r="A15"/>
      <c r="B15" t="s">
        <v>62</v>
      </c>
      <c r="C15" s="71" t="s">
        <v>62</v>
      </c>
      <c r="D15" s="71" t="s">
        <v>63</v>
      </c>
      <c r="E15" s="71" t="s">
        <v>64</v>
      </c>
      <c r="F15" s="71" t="s">
        <v>14</v>
      </c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9"/>
      <c r="R15" s="28">
        <v>1830000</v>
      </c>
      <c r="S15" s="64">
        <f t="shared" si="12"/>
        <v>1921300</v>
      </c>
      <c r="T15" s="64">
        <f t="shared" si="1"/>
        <v>2026600</v>
      </c>
      <c r="U15" s="5">
        <v>170000</v>
      </c>
      <c r="V15" s="88">
        <f t="shared" si="2"/>
        <v>2196600</v>
      </c>
      <c r="W15" s="7" t="s">
        <v>80</v>
      </c>
      <c r="Y15" s="4">
        <f>premieberekening!H$9</f>
        <v>0.62880000000000003</v>
      </c>
      <c r="Z15" s="7">
        <f t="shared" si="3"/>
        <v>1381.22</v>
      </c>
      <c r="AA15" s="93" t="s">
        <v>80</v>
      </c>
      <c r="AB15" s="93" t="s">
        <v>80</v>
      </c>
      <c r="AC15" s="27" t="s">
        <v>108</v>
      </c>
      <c r="AD15" s="26" t="s">
        <v>105</v>
      </c>
      <c r="AE15" t="s">
        <v>108</v>
      </c>
      <c r="AF15" t="s">
        <v>108</v>
      </c>
      <c r="AG15"/>
      <c r="AH15"/>
      <c r="AI15" s="11"/>
      <c r="AJ15" s="11"/>
    </row>
    <row r="16" spans="1:36" x14ac:dyDescent="0.2">
      <c r="C16" s="4"/>
      <c r="D16" s="4"/>
      <c r="E16" s="4"/>
      <c r="F16" s="4"/>
      <c r="G16" s="5"/>
      <c r="H16" s="5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5"/>
      <c r="V16" s="28"/>
      <c r="W16" s="4"/>
      <c r="Y16" s="4"/>
      <c r="Z16" s="4"/>
      <c r="AA16" s="94"/>
      <c r="AB16" s="95"/>
      <c r="AC16" s="27"/>
      <c r="AD16" s="30"/>
    </row>
    <row r="17" spans="1:32" x14ac:dyDescent="0.2">
      <c r="C17" s="12" t="s">
        <v>5</v>
      </c>
      <c r="D17" s="13"/>
      <c r="E17" s="13"/>
      <c r="F17" s="13"/>
      <c r="G17" s="14">
        <f>SUM(G5:G13)</f>
        <v>13095675</v>
      </c>
      <c r="H17" s="14">
        <f>SUM(H5:H13)</f>
        <v>13256079</v>
      </c>
      <c r="I17" s="14">
        <f>SUM(I5:I16)</f>
        <v>14292618</v>
      </c>
      <c r="J17" s="14">
        <f>SUM(J5:J16)</f>
        <v>14794996</v>
      </c>
      <c r="K17" s="14"/>
      <c r="L17" s="14">
        <f t="shared" ref="L17:R17" si="13">SUM(L5:L16)</f>
        <v>14920589</v>
      </c>
      <c r="M17" s="14">
        <f t="shared" si="13"/>
        <v>16164390</v>
      </c>
      <c r="N17" s="14">
        <f t="shared" si="13"/>
        <v>16259935</v>
      </c>
      <c r="O17" s="14">
        <f t="shared" si="13"/>
        <v>16542133</v>
      </c>
      <c r="P17" s="14">
        <f t="shared" si="13"/>
        <v>16904958</v>
      </c>
      <c r="Q17" s="14">
        <f t="shared" si="13"/>
        <v>18033747</v>
      </c>
      <c r="R17" s="14">
        <f t="shared" si="13"/>
        <v>19135000</v>
      </c>
      <c r="S17" s="14">
        <f>SUM(S4:S16)</f>
        <v>27389700</v>
      </c>
      <c r="T17" s="14">
        <f>SUM(T4:T16)</f>
        <v>28809900</v>
      </c>
      <c r="U17" s="14">
        <f t="shared" ref="U17:V17" si="14">SUM(U4:U16)</f>
        <v>2085878</v>
      </c>
      <c r="V17" s="14">
        <f t="shared" si="14"/>
        <v>30895778</v>
      </c>
      <c r="W17" s="15"/>
      <c r="X17" s="8"/>
      <c r="Y17" s="9"/>
      <c r="Z17" s="15">
        <f>SUM(Z4:Z16)</f>
        <v>19427.25</v>
      </c>
      <c r="AA17" s="94"/>
      <c r="AB17" s="95"/>
      <c r="AC17" s="27"/>
      <c r="AD17" s="30"/>
    </row>
    <row r="18" spans="1:32" x14ac:dyDescent="0.2">
      <c r="C18" s="16"/>
      <c r="D18" s="16"/>
      <c r="E18" s="16"/>
      <c r="F18" s="16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W18" s="16"/>
      <c r="Y18" s="16"/>
      <c r="Z18" s="16"/>
      <c r="AA18" s="96"/>
      <c r="AB18" s="95"/>
      <c r="AC18" s="27"/>
      <c r="AD18" s="30"/>
    </row>
    <row r="19" spans="1:32" x14ac:dyDescent="0.2">
      <c r="C19" s="44" t="s">
        <v>30</v>
      </c>
      <c r="D19" s="45" t="s">
        <v>2</v>
      </c>
      <c r="E19" s="45"/>
      <c r="F19" s="45" t="s">
        <v>1</v>
      </c>
      <c r="G19" s="45" t="s">
        <v>3</v>
      </c>
      <c r="H19" s="45" t="s">
        <v>3</v>
      </c>
      <c r="I19" s="45" t="s">
        <v>3</v>
      </c>
      <c r="J19" s="45" t="s">
        <v>42</v>
      </c>
      <c r="K19" s="45"/>
      <c r="L19" s="45" t="s">
        <v>42</v>
      </c>
      <c r="M19" s="45" t="s">
        <v>42</v>
      </c>
      <c r="N19" s="45" t="s">
        <v>42</v>
      </c>
      <c r="O19" s="45" t="s">
        <v>42</v>
      </c>
      <c r="P19" s="45" t="s">
        <v>42</v>
      </c>
      <c r="Q19" s="45" t="s">
        <v>42</v>
      </c>
      <c r="R19" s="45" t="s">
        <v>42</v>
      </c>
      <c r="S19" s="45" t="s">
        <v>42</v>
      </c>
      <c r="T19" s="45" t="s">
        <v>42</v>
      </c>
      <c r="U19" s="45" t="s">
        <v>4</v>
      </c>
      <c r="V19" s="46" t="s">
        <v>5</v>
      </c>
      <c r="W19" s="48" t="s">
        <v>7</v>
      </c>
      <c r="Y19" s="45" t="s">
        <v>6</v>
      </c>
      <c r="Z19" s="47" t="s">
        <v>6</v>
      </c>
      <c r="AA19" s="96"/>
      <c r="AB19" s="95"/>
      <c r="AC19" s="27"/>
      <c r="AD19" s="30"/>
    </row>
    <row r="20" spans="1:32" x14ac:dyDescent="0.2">
      <c r="C20" s="49" t="s">
        <v>31</v>
      </c>
      <c r="D20" s="50"/>
      <c r="E20" s="50"/>
      <c r="F20" s="50"/>
      <c r="G20" s="60">
        <v>39814</v>
      </c>
      <c r="H20" s="60">
        <v>40179</v>
      </c>
      <c r="I20" s="60">
        <v>40909</v>
      </c>
      <c r="J20" s="51">
        <v>41275</v>
      </c>
      <c r="K20" s="51"/>
      <c r="L20" s="51">
        <v>41640</v>
      </c>
      <c r="M20" s="51">
        <v>42005</v>
      </c>
      <c r="N20" s="51">
        <v>42370</v>
      </c>
      <c r="O20" s="51">
        <v>42736</v>
      </c>
      <c r="P20" s="51">
        <v>43101</v>
      </c>
      <c r="Q20" s="51">
        <v>43466</v>
      </c>
      <c r="R20" s="51">
        <v>43831</v>
      </c>
      <c r="S20" s="51">
        <v>44197</v>
      </c>
      <c r="T20" s="51">
        <v>44562</v>
      </c>
      <c r="U20" s="50"/>
      <c r="V20" s="52"/>
      <c r="W20" s="53"/>
      <c r="Y20" s="50" t="s">
        <v>9</v>
      </c>
      <c r="Z20" s="50"/>
      <c r="AA20" s="96"/>
      <c r="AB20" s="95"/>
    </row>
    <row r="21" spans="1:32" x14ac:dyDescent="0.2">
      <c r="C21" s="54"/>
      <c r="D21" s="55"/>
      <c r="E21" s="55"/>
      <c r="F21" s="55"/>
      <c r="G21" s="56"/>
      <c r="H21" s="56" t="s">
        <v>10</v>
      </c>
      <c r="I21" s="57" t="s">
        <v>11</v>
      </c>
      <c r="J21" s="57" t="s">
        <v>12</v>
      </c>
      <c r="K21" s="57"/>
      <c r="L21" s="57" t="s">
        <v>43</v>
      </c>
      <c r="M21" s="57" t="s">
        <v>44</v>
      </c>
      <c r="N21" s="57" t="s">
        <v>45</v>
      </c>
      <c r="O21" s="57" t="s">
        <v>47</v>
      </c>
      <c r="P21" s="57" t="s">
        <v>60</v>
      </c>
      <c r="Q21" s="57" t="s">
        <v>61</v>
      </c>
      <c r="R21" s="57" t="s">
        <v>65</v>
      </c>
      <c r="S21" s="57" t="s">
        <v>81</v>
      </c>
      <c r="T21" s="57" t="s">
        <v>99</v>
      </c>
      <c r="U21" s="55"/>
      <c r="V21" s="61"/>
      <c r="W21" s="59"/>
      <c r="Y21" s="55"/>
      <c r="Z21" s="55"/>
      <c r="AA21" s="96"/>
      <c r="AB21" s="93"/>
    </row>
    <row r="22" spans="1:32" ht="25.5" x14ac:dyDescent="0.2">
      <c r="A22">
        <v>6420062</v>
      </c>
      <c r="B22" t="s">
        <v>75</v>
      </c>
      <c r="C22" s="2" t="s">
        <v>32</v>
      </c>
      <c r="D22" s="4" t="s">
        <v>33</v>
      </c>
      <c r="E22" s="4" t="s">
        <v>56</v>
      </c>
      <c r="F22" s="3" t="s">
        <v>14</v>
      </c>
      <c r="G22" s="6">
        <v>2982770</v>
      </c>
      <c r="H22" s="6">
        <v>3086182</v>
      </c>
      <c r="I22" s="6">
        <f t="shared" ref="I22:I26" si="15">ROUND(H22/110.6*113.8,0)</f>
        <v>3175475</v>
      </c>
      <c r="J22" s="6">
        <f t="shared" ref="J22:J26" si="16">ROUND(I22/113.8*117.8,0)</f>
        <v>3287091</v>
      </c>
      <c r="K22" s="6"/>
      <c r="L22" s="6">
        <f t="shared" ref="L22:L26" si="17">ROUND(J22/117.8*118.8,0)</f>
        <v>3314995</v>
      </c>
      <c r="M22" s="6">
        <f t="shared" ref="M22:M26" si="18">ROUND(L22/118.8*120.2,0)</f>
        <v>3354061</v>
      </c>
      <c r="N22" s="6">
        <f t="shared" ref="N22:N26" si="19">ROUND(M22/120.2*121,0)</f>
        <v>3376384</v>
      </c>
      <c r="O22" s="6">
        <f t="shared" ref="O22:O26" si="20">ROUND(N22/121*123.1,0)</f>
        <v>3434982</v>
      </c>
      <c r="P22" s="6">
        <f t="shared" ref="P22:P26" si="21">ROUND(O22/123.1*125.8,0)</f>
        <v>3510323</v>
      </c>
      <c r="Q22" s="64">
        <f t="shared" ref="Q22:Q26" si="22">ROUND(P22/125.8*134.2,0)</f>
        <v>3744717</v>
      </c>
      <c r="R22" s="70">
        <v>3730000</v>
      </c>
      <c r="S22" s="64">
        <f t="shared" ref="S22:S26" si="23">ROUND(R22/144.3*151.5,-2)</f>
        <v>3916100</v>
      </c>
      <c r="T22" s="64">
        <f t="shared" ref="T22:T26" si="24">ROUND(S22/151.5*159.8,-2)</f>
        <v>4130600</v>
      </c>
      <c r="U22" s="70">
        <f>390000+230000</f>
        <v>620000</v>
      </c>
      <c r="V22" s="88">
        <f t="shared" ref="V22:V26" si="25">T22+U22</f>
        <v>4750600</v>
      </c>
      <c r="W22" s="7" t="s">
        <v>80</v>
      </c>
      <c r="Y22" s="4">
        <f>premieberekening!H$9</f>
        <v>0.62880000000000003</v>
      </c>
      <c r="Z22" s="7">
        <f>ROUND(V22*Y22/1000,2)</f>
        <v>2987.18</v>
      </c>
      <c r="AA22" s="93" t="s">
        <v>80</v>
      </c>
      <c r="AB22" s="93" t="s">
        <v>80</v>
      </c>
      <c r="AC22" s="27"/>
      <c r="AD22" s="30"/>
      <c r="AF22" t="s">
        <v>108</v>
      </c>
    </row>
    <row r="23" spans="1:32" ht="25.5" x14ac:dyDescent="0.2">
      <c r="A23">
        <v>6420022</v>
      </c>
      <c r="B23" t="s">
        <v>76</v>
      </c>
      <c r="C23" s="2" t="s">
        <v>34</v>
      </c>
      <c r="D23" s="4" t="s">
        <v>35</v>
      </c>
      <c r="E23" s="4" t="s">
        <v>57</v>
      </c>
      <c r="F23" s="3" t="s">
        <v>14</v>
      </c>
      <c r="G23" s="6">
        <v>3311149</v>
      </c>
      <c r="H23" s="6">
        <f>ROUND(G23/162*163,0)</f>
        <v>3331588</v>
      </c>
      <c r="I23" s="6">
        <f t="shared" ref="I23" si="26">ROUND(H23/110.6*113.8,0)</f>
        <v>3427981</v>
      </c>
      <c r="J23" s="6">
        <f t="shared" ref="J23" si="27">ROUND(I23/113.8*117.8,0)</f>
        <v>3548472</v>
      </c>
      <c r="K23" s="6"/>
      <c r="L23" s="6">
        <f t="shared" ref="L23" si="28">ROUND(J23/117.8*118.8,0)</f>
        <v>3578595</v>
      </c>
      <c r="M23" s="6">
        <f t="shared" ref="M23" si="29">ROUND(L23/118.8*120.2,0)</f>
        <v>3620767</v>
      </c>
      <c r="N23" s="6">
        <f t="shared" ref="N23" si="30">ROUND(M23/120.2*121,0)</f>
        <v>3644865</v>
      </c>
      <c r="O23" s="6">
        <f t="shared" ref="O23" si="31">ROUND(N23/121*123.1,0)</f>
        <v>3708123</v>
      </c>
      <c r="P23" s="6">
        <f t="shared" ref="P23" si="32">ROUND(O23/123.1*125.8,0)</f>
        <v>3789455</v>
      </c>
      <c r="Q23" s="64">
        <f t="shared" ref="Q23" si="33">ROUND(P23/125.8*134.2,0)</f>
        <v>4042487</v>
      </c>
      <c r="R23" s="70">
        <v>4350000</v>
      </c>
      <c r="S23" s="64">
        <f t="shared" si="23"/>
        <v>4567000</v>
      </c>
      <c r="T23" s="64">
        <f t="shared" si="24"/>
        <v>4817200</v>
      </c>
      <c r="U23" s="70">
        <f>415000+350000</f>
        <v>765000</v>
      </c>
      <c r="V23" s="88">
        <f t="shared" si="25"/>
        <v>5582200</v>
      </c>
      <c r="W23" s="7" t="s">
        <v>80</v>
      </c>
      <c r="X23" s="63"/>
      <c r="Y23" s="4">
        <f>premieberekening!H$9</f>
        <v>0.62880000000000003</v>
      </c>
      <c r="Z23" s="7">
        <f>ROUND(V23*Y23/1000,2)</f>
        <v>3510.09</v>
      </c>
      <c r="AA23" s="93" t="s">
        <v>80</v>
      </c>
      <c r="AB23" s="93" t="s">
        <v>80</v>
      </c>
      <c r="AC23" s="27" t="s">
        <v>108</v>
      </c>
      <c r="AD23" s="30" t="s">
        <v>105</v>
      </c>
      <c r="AE23" t="s">
        <v>108</v>
      </c>
      <c r="AF23" t="s">
        <v>108</v>
      </c>
    </row>
    <row r="24" spans="1:32" ht="25.5" x14ac:dyDescent="0.2">
      <c r="A24">
        <v>6420032</v>
      </c>
      <c r="B24" t="s">
        <v>77</v>
      </c>
      <c r="C24" s="2" t="s">
        <v>36</v>
      </c>
      <c r="D24" s="4" t="s">
        <v>37</v>
      </c>
      <c r="E24" s="4" t="s">
        <v>54</v>
      </c>
      <c r="F24" s="3" t="s">
        <v>14</v>
      </c>
      <c r="G24" s="6">
        <v>1844392</v>
      </c>
      <c r="H24" s="6">
        <f>ROUND(G24/162*163,0)</f>
        <v>1855777</v>
      </c>
      <c r="I24" s="6">
        <f t="shared" si="15"/>
        <v>1909470</v>
      </c>
      <c r="J24" s="6">
        <f t="shared" si="16"/>
        <v>1976587</v>
      </c>
      <c r="K24" s="6"/>
      <c r="L24" s="6">
        <f t="shared" si="17"/>
        <v>1993366</v>
      </c>
      <c r="M24" s="6">
        <f t="shared" si="18"/>
        <v>2016857</v>
      </c>
      <c r="N24" s="6">
        <f t="shared" si="19"/>
        <v>2030280</v>
      </c>
      <c r="O24" s="6">
        <f t="shared" si="20"/>
        <v>2065516</v>
      </c>
      <c r="P24" s="6">
        <f t="shared" si="21"/>
        <v>2110820</v>
      </c>
      <c r="Q24" s="64">
        <f t="shared" si="22"/>
        <v>2251765</v>
      </c>
      <c r="R24" s="70">
        <v>2250000</v>
      </c>
      <c r="S24" s="64">
        <f t="shared" si="23"/>
        <v>2362300</v>
      </c>
      <c r="T24" s="64">
        <f t="shared" si="24"/>
        <v>2491700</v>
      </c>
      <c r="U24" s="70">
        <f>285000+215000</f>
        <v>500000</v>
      </c>
      <c r="V24" s="88">
        <f t="shared" si="25"/>
        <v>2991700</v>
      </c>
      <c r="W24" s="7" t="s">
        <v>80</v>
      </c>
      <c r="Y24" s="4">
        <f>premieberekening!H$9</f>
        <v>0.62880000000000003</v>
      </c>
      <c r="Z24" s="7">
        <f>ROUND(V24*Y24/1000,2)</f>
        <v>1881.18</v>
      </c>
      <c r="AA24" s="93" t="s">
        <v>80</v>
      </c>
      <c r="AB24" s="93" t="s">
        <v>80</v>
      </c>
      <c r="AC24" s="27" t="s">
        <v>108</v>
      </c>
      <c r="AD24" s="30" t="s">
        <v>105</v>
      </c>
      <c r="AE24" t="s">
        <v>108</v>
      </c>
    </row>
    <row r="25" spans="1:32" ht="25.5" x14ac:dyDescent="0.2">
      <c r="A25">
        <v>6420012</v>
      </c>
      <c r="B25" t="s">
        <v>78</v>
      </c>
      <c r="C25" s="2" t="s">
        <v>38</v>
      </c>
      <c r="D25" s="4" t="s">
        <v>39</v>
      </c>
      <c r="E25" s="4" t="s">
        <v>58</v>
      </c>
      <c r="F25" s="3" t="s">
        <v>14</v>
      </c>
      <c r="G25" s="6">
        <v>1669257</v>
      </c>
      <c r="H25" s="6">
        <f>ROUND(G25/162*163,0)</f>
        <v>1679561</v>
      </c>
      <c r="I25" s="6">
        <f t="shared" si="15"/>
        <v>1728156</v>
      </c>
      <c r="J25" s="6">
        <f t="shared" si="16"/>
        <v>1788900</v>
      </c>
      <c r="K25" s="6"/>
      <c r="L25" s="6">
        <f t="shared" si="17"/>
        <v>1804086</v>
      </c>
      <c r="M25" s="6">
        <f t="shared" si="18"/>
        <v>1825346</v>
      </c>
      <c r="N25" s="6">
        <f t="shared" si="19"/>
        <v>1837495</v>
      </c>
      <c r="O25" s="6">
        <f t="shared" si="20"/>
        <v>1869385</v>
      </c>
      <c r="P25" s="6">
        <f t="shared" si="21"/>
        <v>1910387</v>
      </c>
      <c r="Q25" s="64">
        <f t="shared" si="22"/>
        <v>2037949</v>
      </c>
      <c r="R25" s="70">
        <v>1815000</v>
      </c>
      <c r="S25" s="64">
        <f t="shared" si="23"/>
        <v>1905600</v>
      </c>
      <c r="T25" s="64">
        <f t="shared" si="24"/>
        <v>2010000</v>
      </c>
      <c r="U25" s="70">
        <f>335000+105000</f>
        <v>440000</v>
      </c>
      <c r="V25" s="88">
        <f t="shared" si="25"/>
        <v>2450000</v>
      </c>
      <c r="W25" s="7" t="s">
        <v>80</v>
      </c>
      <c r="Y25" s="4">
        <f>premieberekening!H$9</f>
        <v>0.62880000000000003</v>
      </c>
      <c r="Z25" s="7">
        <f>ROUND(V25*Y25/1000,2)</f>
        <v>1540.56</v>
      </c>
      <c r="AA25" s="93" t="s">
        <v>80</v>
      </c>
      <c r="AB25" s="93" t="s">
        <v>80</v>
      </c>
      <c r="AC25" s="27" t="s">
        <v>108</v>
      </c>
      <c r="AD25" t="s">
        <v>105</v>
      </c>
      <c r="AE25" t="s">
        <v>108</v>
      </c>
    </row>
    <row r="26" spans="1:32" ht="25.5" x14ac:dyDescent="0.2">
      <c r="A26">
        <v>6420042</v>
      </c>
      <c r="B26" t="s">
        <v>79</v>
      </c>
      <c r="C26" s="2" t="s">
        <v>40</v>
      </c>
      <c r="D26" s="4" t="s">
        <v>41</v>
      </c>
      <c r="E26" s="4" t="s">
        <v>59</v>
      </c>
      <c r="F26" s="3" t="s">
        <v>14</v>
      </c>
      <c r="G26" s="6">
        <v>3785725</v>
      </c>
      <c r="H26" s="6">
        <f>ROUND(G26/162*163,0)</f>
        <v>3809094</v>
      </c>
      <c r="I26" s="6">
        <f t="shared" si="15"/>
        <v>3919303</v>
      </c>
      <c r="J26" s="6">
        <f t="shared" si="16"/>
        <v>4057064</v>
      </c>
      <c r="K26" s="6"/>
      <c r="L26" s="6">
        <f t="shared" si="17"/>
        <v>4091504</v>
      </c>
      <c r="M26" s="6">
        <f t="shared" si="18"/>
        <v>4139720</v>
      </c>
      <c r="N26" s="6">
        <f t="shared" si="19"/>
        <v>4167272</v>
      </c>
      <c r="O26" s="6">
        <f t="shared" si="20"/>
        <v>4239597</v>
      </c>
      <c r="P26" s="6">
        <f t="shared" si="21"/>
        <v>4332586</v>
      </c>
      <c r="Q26" s="64">
        <f t="shared" si="22"/>
        <v>4621884</v>
      </c>
      <c r="R26" s="70">
        <v>5150000</v>
      </c>
      <c r="S26" s="64">
        <f t="shared" si="23"/>
        <v>5407000</v>
      </c>
      <c r="T26" s="64">
        <f t="shared" si="24"/>
        <v>5703200</v>
      </c>
      <c r="U26" s="70">
        <f>645000+305000</f>
        <v>950000</v>
      </c>
      <c r="V26" s="88">
        <f t="shared" si="25"/>
        <v>6653200</v>
      </c>
      <c r="W26" s="7" t="s">
        <v>80</v>
      </c>
      <c r="Y26" s="4">
        <f>premieberekening!H$9</f>
        <v>0.62880000000000003</v>
      </c>
      <c r="Z26" s="7">
        <f>ROUND(V26*Y26/1000,2)</f>
        <v>4183.53</v>
      </c>
      <c r="AA26" s="93" t="s">
        <v>80</v>
      </c>
      <c r="AB26" s="93" t="s">
        <v>80</v>
      </c>
      <c r="AC26" s="27" t="s">
        <v>108</v>
      </c>
      <c r="AD26" s="90" t="s">
        <v>105</v>
      </c>
      <c r="AE26" t="s">
        <v>108</v>
      </c>
      <c r="AF26" t="s">
        <v>108</v>
      </c>
    </row>
    <row r="27" spans="1:32" x14ac:dyDescent="0.2">
      <c r="C27" s="18"/>
      <c r="D27" s="18"/>
      <c r="E27" s="18"/>
      <c r="F27" s="18"/>
      <c r="G27" s="5"/>
      <c r="H27" s="5"/>
      <c r="I27" s="5"/>
      <c r="J27" s="5"/>
      <c r="K27" s="5"/>
      <c r="L27" s="5"/>
      <c r="M27" s="5"/>
      <c r="N27" s="5"/>
      <c r="O27" s="5"/>
      <c r="P27" s="6"/>
      <c r="Q27" s="6"/>
      <c r="R27" s="6"/>
      <c r="S27" s="6"/>
      <c r="T27" s="6"/>
      <c r="U27" s="5"/>
      <c r="V27" s="28"/>
      <c r="W27" s="18"/>
      <c r="Y27" s="18"/>
      <c r="Z27" s="7"/>
    </row>
    <row r="28" spans="1:32" x14ac:dyDescent="0.2">
      <c r="C28" s="12" t="s">
        <v>5</v>
      </c>
      <c r="D28" s="18"/>
      <c r="E28" s="18"/>
      <c r="F28" s="18"/>
      <c r="G28" s="14">
        <f>SUM(G22:G26)</f>
        <v>13593293</v>
      </c>
      <c r="H28" s="14">
        <f>SUM(H22:H26)</f>
        <v>13762202</v>
      </c>
      <c r="I28" s="14">
        <f>SUM(I22:I26)</f>
        <v>14160385</v>
      </c>
      <c r="J28" s="14">
        <f>SUM(J22:J26)</f>
        <v>14658114</v>
      </c>
      <c r="K28" s="14"/>
      <c r="L28" s="14">
        <f t="shared" ref="L28:V28" si="34">SUM(L22:L26)</f>
        <v>14782546</v>
      </c>
      <c r="M28" s="14">
        <f t="shared" si="34"/>
        <v>14956751</v>
      </c>
      <c r="N28" s="14">
        <f t="shared" si="34"/>
        <v>15056296</v>
      </c>
      <c r="O28" s="14">
        <f t="shared" si="34"/>
        <v>15317603</v>
      </c>
      <c r="P28" s="14">
        <f t="shared" si="34"/>
        <v>15653571</v>
      </c>
      <c r="Q28" s="14">
        <f t="shared" si="34"/>
        <v>16698802</v>
      </c>
      <c r="R28" s="14">
        <f t="shared" si="34"/>
        <v>17295000</v>
      </c>
      <c r="S28" s="14">
        <f t="shared" si="34"/>
        <v>18158000</v>
      </c>
      <c r="T28" s="14">
        <f t="shared" si="34"/>
        <v>19152700</v>
      </c>
      <c r="U28" s="14">
        <f t="shared" si="34"/>
        <v>3275000</v>
      </c>
      <c r="V28" s="29">
        <f t="shared" si="34"/>
        <v>22427700</v>
      </c>
      <c r="W28" s="15"/>
      <c r="Y28" s="19"/>
      <c r="Z28" s="15">
        <f>SUM(Z22:Z26)</f>
        <v>14102.54</v>
      </c>
    </row>
    <row r="29" spans="1:32" x14ac:dyDescent="0.2"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1"/>
    </row>
    <row r="30" spans="1:32" ht="13.5" thickBot="1" x14ac:dyDescent="0.25">
      <c r="C30" s="23"/>
      <c r="D30" s="22"/>
      <c r="E30" s="22"/>
      <c r="F30" s="22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66">
        <f>V17+V28</f>
        <v>53323478</v>
      </c>
      <c r="W30" s="25"/>
      <c r="Z30" s="24">
        <f>SUM(Z28,Z17)</f>
        <v>33529.79</v>
      </c>
    </row>
    <row r="31" spans="1:32" ht="13.5" thickTop="1" x14ac:dyDescent="0.2">
      <c r="C31" s="23"/>
      <c r="D31" s="22"/>
      <c r="E31" s="22"/>
      <c r="F31" s="22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43"/>
      <c r="W31" s="25"/>
      <c r="Z31" s="25"/>
    </row>
    <row r="32" spans="1:32" x14ac:dyDescent="0.2">
      <c r="C32" s="23" t="s">
        <v>111</v>
      </c>
      <c r="D32" s="22" t="s">
        <v>112</v>
      </c>
      <c r="E32" s="22" t="s">
        <v>113</v>
      </c>
      <c r="F32" s="22" t="s">
        <v>14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43"/>
      <c r="W32" s="25"/>
      <c r="Z32" s="25"/>
      <c r="AA32" t="s">
        <v>114</v>
      </c>
    </row>
    <row r="33" spans="3:26" x14ac:dyDescent="0.2">
      <c r="C33" s="23"/>
      <c r="D33" s="22"/>
      <c r="E33" s="22"/>
      <c r="F33" s="22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67"/>
      <c r="W33" s="25"/>
      <c r="Z33" s="25"/>
    </row>
    <row r="34" spans="3:26" x14ac:dyDescent="0.2">
      <c r="C34" s="23"/>
      <c r="D34" s="22"/>
      <c r="E34" s="22"/>
      <c r="F34" s="22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67"/>
      <c r="W34" s="25"/>
      <c r="Z34" s="25"/>
    </row>
    <row r="35" spans="3:26" x14ac:dyDescent="0.2">
      <c r="C35" s="23"/>
      <c r="D35" s="22"/>
      <c r="E35" s="22"/>
      <c r="F35" s="22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67"/>
      <c r="W35" s="25"/>
      <c r="Z35" s="25"/>
    </row>
    <row r="37" spans="3:26" x14ac:dyDescent="0.2">
      <c r="Z37" s="39"/>
    </row>
    <row r="38" spans="3:26" x14ac:dyDescent="0.2">
      <c r="Z38" s="62"/>
    </row>
    <row r="39" spans="3:26" x14ac:dyDescent="0.2">
      <c r="Z39" s="62"/>
    </row>
    <row r="40" spans="3:26" x14ac:dyDescent="0.2">
      <c r="Z40" s="62"/>
    </row>
    <row r="41" spans="3:26" x14ac:dyDescent="0.2">
      <c r="Z41" s="62"/>
    </row>
    <row r="42" spans="3:26" x14ac:dyDescent="0.2">
      <c r="Z42" s="62"/>
    </row>
    <row r="43" spans="3:26" x14ac:dyDescent="0.2">
      <c r="Z43" s="27"/>
    </row>
    <row r="46" spans="3:26" x14ac:dyDescent="0.2">
      <c r="Z46" s="42"/>
    </row>
    <row r="47" spans="3:26" x14ac:dyDescent="0.2">
      <c r="Z47" s="42"/>
    </row>
    <row r="48" spans="3:26" x14ac:dyDescent="0.2">
      <c r="Z48" s="42"/>
    </row>
    <row r="49" spans="26:26" x14ac:dyDescent="0.2">
      <c r="Z49" s="42"/>
    </row>
  </sheetData>
  <sheetProtection selectLockedCells="1" selectUnlockedCells="1"/>
  <pageMargins left="0.59055118110236227" right="0.59055118110236227" top="1.7716535433070868" bottom="0.98425196850393704" header="0.51181102362204722" footer="0.51181102362204722"/>
  <pageSetup paperSize="9" scale="80" firstPageNumber="0" orientation="landscape" r:id="rId1"/>
  <headerFooter alignWithMargins="0">
    <oddFooter>&amp;L&amp;F&amp;C&amp;P&amp;R&amp;D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D14" sqref="D14"/>
    </sheetView>
  </sheetViews>
  <sheetFormatPr defaultRowHeight="12.75" x14ac:dyDescent="0.2"/>
  <cols>
    <col min="1" max="1" width="2" bestFit="1" customWidth="1"/>
    <col min="2" max="2" width="48.42578125" bestFit="1" customWidth="1"/>
    <col min="3" max="3" width="17.28515625" bestFit="1" customWidth="1"/>
    <col min="5" max="5" width="9.7109375" customWidth="1"/>
    <col min="6" max="6" width="13.42578125" bestFit="1" customWidth="1"/>
    <col min="8" max="8" width="10.42578125" bestFit="1" customWidth="1"/>
  </cols>
  <sheetData>
    <row r="1" spans="1:8" x14ac:dyDescent="0.2">
      <c r="A1" s="72"/>
      <c r="B1" s="73" t="s">
        <v>82</v>
      </c>
      <c r="C1" s="73"/>
      <c r="D1" s="74"/>
      <c r="E1" s="74"/>
      <c r="F1" s="74"/>
      <c r="G1" s="74"/>
      <c r="H1" s="74"/>
    </row>
    <row r="2" spans="1:8" x14ac:dyDescent="0.2">
      <c r="A2" s="72"/>
      <c r="B2" s="73" t="s">
        <v>83</v>
      </c>
      <c r="C2" s="73" t="s">
        <v>84</v>
      </c>
      <c r="D2" s="73" t="s">
        <v>85</v>
      </c>
      <c r="E2" s="75" t="s">
        <v>86</v>
      </c>
      <c r="F2" s="73" t="s">
        <v>87</v>
      </c>
      <c r="G2" s="72"/>
      <c r="H2" s="72"/>
    </row>
    <row r="3" spans="1:8" x14ac:dyDescent="0.2">
      <c r="A3" s="72">
        <v>1</v>
      </c>
      <c r="B3" s="76" t="s">
        <v>88</v>
      </c>
      <c r="C3" s="77">
        <f>specificatie!V30</f>
        <v>53323478</v>
      </c>
      <c r="D3" s="78">
        <v>0.64</v>
      </c>
      <c r="E3" s="79">
        <v>0.3</v>
      </c>
      <c r="F3" s="80">
        <f>ROUND(C3*D3/1000*E3,2)</f>
        <v>10238.11</v>
      </c>
      <c r="G3" s="72"/>
      <c r="H3" s="72"/>
    </row>
    <row r="4" spans="1:8" x14ac:dyDescent="0.2">
      <c r="A4" s="72">
        <v>2</v>
      </c>
      <c r="B4" s="81" t="s">
        <v>89</v>
      </c>
      <c r="C4" s="77">
        <f>C3</f>
        <v>53323478</v>
      </c>
      <c r="D4" s="78">
        <v>0.6</v>
      </c>
      <c r="E4" s="79">
        <v>0.25</v>
      </c>
      <c r="F4" s="80">
        <f>ROUND(C4*D4/1000*E4,2)</f>
        <v>7998.52</v>
      </c>
      <c r="G4" s="72"/>
      <c r="H4" s="72"/>
    </row>
    <row r="5" spans="1:8" x14ac:dyDescent="0.2">
      <c r="A5" s="72">
        <v>3</v>
      </c>
      <c r="B5" s="76" t="s">
        <v>90</v>
      </c>
      <c r="C5" s="77">
        <f>C4</f>
        <v>53323478</v>
      </c>
      <c r="D5" s="78">
        <v>0.55200000000000005</v>
      </c>
      <c r="E5" s="79">
        <v>0.15</v>
      </c>
      <c r="F5" s="80">
        <f t="shared" ref="F5:F7" si="0">ROUND(C5*D5/1000*E5,2)</f>
        <v>4415.18</v>
      </c>
      <c r="G5" s="72"/>
      <c r="H5" s="72"/>
    </row>
    <row r="6" spans="1:8" ht="24" x14ac:dyDescent="0.2">
      <c r="A6" s="72">
        <v>4</v>
      </c>
      <c r="B6" s="82" t="s">
        <v>91</v>
      </c>
      <c r="C6" s="77">
        <f>C5</f>
        <v>53323478</v>
      </c>
      <c r="D6" s="78">
        <v>0.68</v>
      </c>
      <c r="E6" s="79">
        <v>0.1</v>
      </c>
      <c r="F6" s="80">
        <f t="shared" si="0"/>
        <v>3626</v>
      </c>
      <c r="G6" s="72"/>
      <c r="H6" s="72"/>
    </row>
    <row r="7" spans="1:8" ht="24" x14ac:dyDescent="0.2">
      <c r="A7" s="72">
        <v>5</v>
      </c>
      <c r="B7" s="82" t="s">
        <v>95</v>
      </c>
      <c r="C7" s="77">
        <f>C6</f>
        <v>53323478</v>
      </c>
      <c r="D7" s="78">
        <v>0.68</v>
      </c>
      <c r="E7" s="79">
        <v>0.2</v>
      </c>
      <c r="F7" s="83">
        <f t="shared" si="0"/>
        <v>7251.99</v>
      </c>
      <c r="G7" s="72"/>
      <c r="H7" s="72"/>
    </row>
    <row r="8" spans="1:8" x14ac:dyDescent="0.2">
      <c r="A8" s="72"/>
      <c r="B8" s="81"/>
      <c r="C8" s="80"/>
      <c r="D8" s="72"/>
      <c r="E8" s="79"/>
      <c r="F8" s="80">
        <f>SUM(F3:F7)</f>
        <v>33529.800000000003</v>
      </c>
      <c r="G8" s="72"/>
      <c r="H8" s="72"/>
    </row>
    <row r="9" spans="1:8" x14ac:dyDescent="0.2">
      <c r="A9" s="74"/>
      <c r="B9" s="74"/>
      <c r="C9" s="72"/>
      <c r="D9" s="72"/>
      <c r="E9" s="84" t="s">
        <v>92</v>
      </c>
      <c r="F9" s="85">
        <v>7.5</v>
      </c>
      <c r="G9" s="72"/>
      <c r="H9" s="86">
        <f>ROUND(F8/C3*1000,5)</f>
        <v>0.62880000000000003</v>
      </c>
    </row>
    <row r="10" spans="1:8" x14ac:dyDescent="0.2">
      <c r="A10" s="74"/>
      <c r="B10" s="74"/>
      <c r="C10" s="72"/>
      <c r="D10" s="72"/>
      <c r="E10" s="84" t="s">
        <v>93</v>
      </c>
      <c r="F10" s="85">
        <f>ROUND((F8+F9)*21%,2)</f>
        <v>7042.83</v>
      </c>
      <c r="G10" s="72"/>
      <c r="H10" s="72"/>
    </row>
    <row r="11" spans="1:8" ht="13.5" thickBot="1" x14ac:dyDescent="0.25">
      <c r="A11" s="74"/>
      <c r="B11" s="74"/>
      <c r="C11" s="72"/>
      <c r="D11" s="72"/>
      <c r="E11" s="84" t="s">
        <v>94</v>
      </c>
      <c r="F11" s="87">
        <f>SUM(F8:F10)</f>
        <v>40580.130000000005</v>
      </c>
      <c r="G11" s="72"/>
      <c r="H11" s="72"/>
    </row>
    <row r="12" spans="1:8" ht="13.5" thickTop="1" x14ac:dyDescent="0.2"/>
  </sheetData>
  <pageMargins left="0.70866141732283472" right="0.70866141732283472" top="1.7322834645669292" bottom="0.94488188976377963" header="0.31496062992125984" footer="0.70866141732283472"/>
  <pageSetup paperSize="9" orientation="landscape" r:id="rId1"/>
  <headerFooter>
    <oddFooter>&amp;L&amp;F &amp;A&amp;C&amp;P&amp;R&amp;D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</vt:lpstr>
      <vt:lpstr>premieberekening</vt:lpstr>
      <vt:lpstr>premieberekening!Afdrukbereik</vt:lpstr>
      <vt:lpstr>specificatie!Afdrukbereik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BeNoo51</cp:lastModifiedBy>
  <cp:lastPrinted>2021-03-01T10:52:31Z</cp:lastPrinted>
  <dcterms:created xsi:type="dcterms:W3CDTF">2014-04-24T11:55:38Z</dcterms:created>
  <dcterms:modified xsi:type="dcterms:W3CDTF">2022-10-21T09:38:20Z</dcterms:modified>
</cp:coreProperties>
</file>