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backupFile="1"/>
  <mc:AlternateContent xmlns:mc="http://schemas.openxmlformats.org/markup-compatibility/2006">
    <mc:Choice Requires="x15">
      <x15ac:absPath xmlns:x15ac="http://schemas.microsoft.com/office/spreadsheetml/2010/11/ac" url="B:\BOR\0 Staf\08 Verzekeringen\Verzekeringen\BUCH polissen\Factuurafhandeling\Naverrekening Brand\2022\Nota van inlichtingen aanbesteding brand 2022\Perceel 1 - Bergen\"/>
    </mc:Choice>
  </mc:AlternateContent>
  <bookViews>
    <workbookView xWindow="13350" yWindow="90" windowWidth="14910" windowHeight="15465"/>
  </bookViews>
  <sheets>
    <sheet name="specificatie" sheetId="3" r:id="rId1"/>
  </sheets>
  <definedNames>
    <definedName name="_xlnm._FilterDatabase" localSheetId="0" hidden="1">specificatie!$A$1:$O$108</definedName>
    <definedName name="_xlnm.Print_Area" localSheetId="0">specificatie!$C$1:$O$117</definedName>
    <definedName name="_xlnm.Print_Titles" localSheetId="0">specificatie!$1:$4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08" i="3" l="1"/>
  <c r="T107" i="3"/>
  <c r="T106" i="3"/>
  <c r="T102" i="3"/>
  <c r="T100" i="3"/>
  <c r="T99" i="3"/>
  <c r="T97" i="3"/>
  <c r="T95" i="3"/>
  <c r="T94" i="3"/>
  <c r="T93" i="3"/>
  <c r="T92" i="3"/>
  <c r="T76" i="3"/>
  <c r="T72" i="3"/>
  <c r="T70" i="3"/>
  <c r="T64" i="3"/>
  <c r="T60" i="3"/>
  <c r="T54" i="3"/>
  <c r="T41" i="3"/>
  <c r="T38" i="3"/>
  <c r="T34" i="3"/>
  <c r="T33" i="3"/>
  <c r="T31" i="3"/>
  <c r="T28" i="3"/>
  <c r="T26" i="3"/>
  <c r="T25" i="3"/>
  <c r="T24" i="3"/>
  <c r="T23" i="3"/>
  <c r="T20" i="3"/>
  <c r="T19" i="3"/>
  <c r="T17" i="3"/>
  <c r="T15" i="3"/>
  <c r="T14" i="3"/>
  <c r="T12" i="3"/>
  <c r="T11" i="3"/>
  <c r="T10" i="3"/>
  <c r="T7" i="3"/>
  <c r="T5" i="3"/>
  <c r="L112" i="3" l="1"/>
  <c r="N112" i="3"/>
  <c r="N110" i="3"/>
  <c r="M110" i="3"/>
  <c r="M6" i="3"/>
  <c r="N6" i="3"/>
  <c r="M7" i="3"/>
  <c r="N7" i="3"/>
  <c r="M8" i="3"/>
  <c r="N8" i="3"/>
  <c r="M9" i="3"/>
  <c r="N9" i="3"/>
  <c r="M10" i="3"/>
  <c r="N10" i="3"/>
  <c r="M11" i="3"/>
  <c r="N11" i="3"/>
  <c r="M12" i="3"/>
  <c r="N12" i="3"/>
  <c r="M13" i="3"/>
  <c r="N13" i="3"/>
  <c r="M14" i="3"/>
  <c r="N14" i="3"/>
  <c r="M15" i="3"/>
  <c r="N15" i="3"/>
  <c r="M16" i="3"/>
  <c r="N16" i="3"/>
  <c r="M17" i="3"/>
  <c r="N17" i="3"/>
  <c r="M18" i="3"/>
  <c r="N18" i="3"/>
  <c r="M19" i="3"/>
  <c r="N19" i="3"/>
  <c r="M20" i="3"/>
  <c r="N20" i="3"/>
  <c r="M21" i="3"/>
  <c r="N21" i="3"/>
  <c r="M22" i="3"/>
  <c r="N22" i="3"/>
  <c r="M23" i="3"/>
  <c r="N23" i="3"/>
  <c r="M24" i="3"/>
  <c r="N24" i="3"/>
  <c r="M25" i="3"/>
  <c r="N25" i="3"/>
  <c r="M26" i="3"/>
  <c r="N26" i="3"/>
  <c r="M27" i="3"/>
  <c r="N27" i="3"/>
  <c r="M28" i="3"/>
  <c r="N28" i="3"/>
  <c r="M29" i="3"/>
  <c r="N29" i="3"/>
  <c r="M30" i="3"/>
  <c r="N30" i="3"/>
  <c r="M31" i="3"/>
  <c r="N31" i="3"/>
  <c r="M32" i="3"/>
  <c r="N32" i="3"/>
  <c r="M33" i="3"/>
  <c r="N33" i="3"/>
  <c r="M34" i="3"/>
  <c r="N34" i="3"/>
  <c r="M35" i="3"/>
  <c r="N35" i="3"/>
  <c r="M36" i="3"/>
  <c r="N36" i="3"/>
  <c r="M37" i="3"/>
  <c r="N37" i="3"/>
  <c r="M38" i="3"/>
  <c r="N38" i="3"/>
  <c r="M39" i="3"/>
  <c r="N39" i="3"/>
  <c r="M40" i="3"/>
  <c r="N40" i="3"/>
  <c r="M41" i="3"/>
  <c r="N41" i="3"/>
  <c r="M42" i="3"/>
  <c r="N42" i="3"/>
  <c r="M43" i="3"/>
  <c r="N43" i="3"/>
  <c r="M44" i="3"/>
  <c r="N44" i="3"/>
  <c r="M45" i="3"/>
  <c r="N45" i="3"/>
  <c r="M46" i="3"/>
  <c r="N46" i="3"/>
  <c r="M47" i="3"/>
  <c r="N47" i="3"/>
  <c r="M48" i="3"/>
  <c r="N48" i="3"/>
  <c r="M49" i="3"/>
  <c r="N49" i="3"/>
  <c r="M50" i="3"/>
  <c r="N50" i="3"/>
  <c r="M51" i="3"/>
  <c r="N51" i="3"/>
  <c r="M52" i="3"/>
  <c r="N52" i="3"/>
  <c r="M53" i="3"/>
  <c r="N53" i="3"/>
  <c r="M54" i="3"/>
  <c r="N54" i="3"/>
  <c r="M55" i="3"/>
  <c r="N55" i="3"/>
  <c r="M56" i="3"/>
  <c r="N56" i="3"/>
  <c r="M57" i="3"/>
  <c r="N57" i="3"/>
  <c r="M58" i="3"/>
  <c r="N58" i="3"/>
  <c r="M59" i="3"/>
  <c r="N59" i="3"/>
  <c r="M60" i="3"/>
  <c r="N60" i="3"/>
  <c r="M61" i="3"/>
  <c r="N61" i="3"/>
  <c r="M62" i="3"/>
  <c r="N62" i="3"/>
  <c r="M63" i="3"/>
  <c r="N63" i="3"/>
  <c r="M64" i="3"/>
  <c r="N64" i="3"/>
  <c r="M65" i="3"/>
  <c r="N65" i="3"/>
  <c r="M66" i="3"/>
  <c r="N66" i="3"/>
  <c r="M67" i="3"/>
  <c r="N67" i="3"/>
  <c r="M68" i="3"/>
  <c r="N68" i="3"/>
  <c r="M69" i="3"/>
  <c r="N69" i="3"/>
  <c r="M70" i="3"/>
  <c r="N70" i="3"/>
  <c r="M71" i="3"/>
  <c r="N71" i="3"/>
  <c r="M72" i="3"/>
  <c r="N72" i="3"/>
  <c r="M73" i="3"/>
  <c r="N73" i="3"/>
  <c r="M74" i="3"/>
  <c r="N74" i="3"/>
  <c r="M75" i="3"/>
  <c r="N75" i="3"/>
  <c r="M76" i="3"/>
  <c r="N76" i="3"/>
  <c r="M77" i="3"/>
  <c r="N77" i="3"/>
  <c r="M78" i="3"/>
  <c r="N78" i="3"/>
  <c r="M79" i="3"/>
  <c r="N79" i="3"/>
  <c r="M80" i="3"/>
  <c r="N80" i="3"/>
  <c r="M81" i="3"/>
  <c r="N81" i="3"/>
  <c r="M82" i="3"/>
  <c r="N82" i="3"/>
  <c r="M83" i="3"/>
  <c r="N83" i="3"/>
  <c r="M84" i="3"/>
  <c r="N84" i="3"/>
  <c r="M85" i="3"/>
  <c r="N85" i="3"/>
  <c r="M86" i="3"/>
  <c r="N86" i="3"/>
  <c r="M87" i="3"/>
  <c r="N87" i="3"/>
  <c r="M88" i="3"/>
  <c r="N88" i="3"/>
  <c r="M89" i="3"/>
  <c r="N89" i="3"/>
  <c r="M90" i="3"/>
  <c r="N90" i="3"/>
  <c r="M91" i="3"/>
  <c r="N91" i="3"/>
  <c r="M92" i="3"/>
  <c r="N92" i="3"/>
  <c r="M93" i="3"/>
  <c r="N93" i="3"/>
  <c r="M94" i="3"/>
  <c r="N94" i="3"/>
  <c r="M95" i="3"/>
  <c r="N95" i="3"/>
  <c r="M96" i="3"/>
  <c r="N96" i="3"/>
  <c r="M97" i="3"/>
  <c r="N97" i="3"/>
  <c r="M98" i="3"/>
  <c r="N98" i="3"/>
  <c r="M99" i="3"/>
  <c r="N99" i="3"/>
  <c r="M100" i="3"/>
  <c r="N100" i="3"/>
  <c r="M101" i="3"/>
  <c r="N101" i="3"/>
  <c r="M102" i="3"/>
  <c r="N102" i="3"/>
  <c r="M103" i="3"/>
  <c r="N103" i="3"/>
  <c r="M104" i="3"/>
  <c r="N104" i="3"/>
  <c r="M105" i="3"/>
  <c r="N105" i="3"/>
  <c r="M106" i="3"/>
  <c r="N106" i="3"/>
  <c r="M107" i="3"/>
  <c r="N107" i="3"/>
  <c r="M108" i="3"/>
  <c r="N108" i="3"/>
  <c r="N5" i="3"/>
  <c r="M5" i="3"/>
  <c r="I98" i="3" l="1"/>
  <c r="K78" i="3"/>
  <c r="K79" i="3"/>
  <c r="K80" i="3"/>
  <c r="K81" i="3"/>
  <c r="K82" i="3"/>
  <c r="K83" i="3"/>
  <c r="K84" i="3"/>
  <c r="K88" i="3"/>
  <c r="J47" i="3"/>
  <c r="L47" i="3" s="1"/>
  <c r="I47" i="3"/>
  <c r="K47" i="3" s="1"/>
  <c r="J88" i="3"/>
  <c r="L88" i="3" s="1"/>
  <c r="I18" i="3" l="1"/>
  <c r="K18" i="3" s="1"/>
  <c r="J18" i="3"/>
  <c r="L18" i="3" s="1"/>
  <c r="I77" i="3"/>
  <c r="K77" i="3" s="1"/>
  <c r="J95" i="3"/>
  <c r="L95" i="3" s="1"/>
  <c r="I95" i="3"/>
  <c r="K95" i="3" s="1"/>
  <c r="J84" i="3"/>
  <c r="L84" i="3" s="1"/>
  <c r="J83" i="3"/>
  <c r="L83" i="3" s="1"/>
  <c r="J82" i="3"/>
  <c r="L82" i="3" s="1"/>
  <c r="J81" i="3"/>
  <c r="L81" i="3" s="1"/>
  <c r="J80" i="3"/>
  <c r="L80" i="3" s="1"/>
  <c r="J79" i="3"/>
  <c r="L79" i="3" s="1"/>
  <c r="J78" i="3"/>
  <c r="L78" i="3" s="1"/>
  <c r="J77" i="3"/>
  <c r="L77" i="3" s="1"/>
  <c r="J22" i="3" l="1"/>
  <c r="L22" i="3" s="1"/>
  <c r="J105" i="3"/>
  <c r="L105" i="3" s="1"/>
  <c r="I107" i="3"/>
  <c r="K107" i="3" s="1"/>
  <c r="J107" i="3"/>
  <c r="L107" i="3" s="1"/>
  <c r="I108" i="3"/>
  <c r="K108" i="3" s="1"/>
  <c r="J108" i="3"/>
  <c r="L108" i="3" s="1"/>
  <c r="K98" i="3" l="1"/>
  <c r="I75" i="3"/>
  <c r="K75" i="3" s="1"/>
  <c r="J6" i="3" l="1"/>
  <c r="L6" i="3" s="1"/>
  <c r="J7" i="3"/>
  <c r="L7" i="3" s="1"/>
  <c r="J8" i="3"/>
  <c r="L8" i="3" s="1"/>
  <c r="J9" i="3"/>
  <c r="L9" i="3" s="1"/>
  <c r="J10" i="3"/>
  <c r="L10" i="3" s="1"/>
  <c r="J11" i="3"/>
  <c r="L11" i="3" s="1"/>
  <c r="J12" i="3"/>
  <c r="L12" i="3" s="1"/>
  <c r="J13" i="3"/>
  <c r="L13" i="3" s="1"/>
  <c r="J14" i="3"/>
  <c r="L14" i="3" s="1"/>
  <c r="J15" i="3"/>
  <c r="L15" i="3" s="1"/>
  <c r="J16" i="3"/>
  <c r="L16" i="3" s="1"/>
  <c r="J17" i="3"/>
  <c r="L17" i="3" s="1"/>
  <c r="J19" i="3"/>
  <c r="L19" i="3" s="1"/>
  <c r="J20" i="3"/>
  <c r="L20" i="3" s="1"/>
  <c r="J21" i="3"/>
  <c r="L21" i="3" s="1"/>
  <c r="J23" i="3"/>
  <c r="L23" i="3" s="1"/>
  <c r="J24" i="3"/>
  <c r="L24" i="3" s="1"/>
  <c r="J25" i="3"/>
  <c r="L25" i="3" s="1"/>
  <c r="J26" i="3"/>
  <c r="L26" i="3" s="1"/>
  <c r="J27" i="3"/>
  <c r="L27" i="3" s="1"/>
  <c r="J28" i="3"/>
  <c r="L28" i="3" s="1"/>
  <c r="J29" i="3"/>
  <c r="L29" i="3" s="1"/>
  <c r="J30" i="3"/>
  <c r="L30" i="3" s="1"/>
  <c r="J31" i="3"/>
  <c r="L31" i="3" s="1"/>
  <c r="J32" i="3"/>
  <c r="L32" i="3" s="1"/>
  <c r="J33" i="3"/>
  <c r="L33" i="3" s="1"/>
  <c r="J34" i="3"/>
  <c r="L34" i="3" s="1"/>
  <c r="J35" i="3"/>
  <c r="L35" i="3" s="1"/>
  <c r="J36" i="3"/>
  <c r="L36" i="3" s="1"/>
  <c r="J37" i="3"/>
  <c r="L37" i="3" s="1"/>
  <c r="J38" i="3"/>
  <c r="L38" i="3" s="1"/>
  <c r="J39" i="3"/>
  <c r="L39" i="3" s="1"/>
  <c r="J40" i="3"/>
  <c r="L40" i="3" s="1"/>
  <c r="J41" i="3"/>
  <c r="L41" i="3" s="1"/>
  <c r="J42" i="3"/>
  <c r="L42" i="3" s="1"/>
  <c r="J43" i="3"/>
  <c r="L43" i="3" s="1"/>
  <c r="J44" i="3"/>
  <c r="L44" i="3" s="1"/>
  <c r="J45" i="3"/>
  <c r="L45" i="3" s="1"/>
  <c r="J46" i="3"/>
  <c r="L46" i="3" s="1"/>
  <c r="J48" i="3"/>
  <c r="L48" i="3" s="1"/>
  <c r="J49" i="3"/>
  <c r="L49" i="3" s="1"/>
  <c r="J50" i="3"/>
  <c r="L50" i="3" s="1"/>
  <c r="J51" i="3"/>
  <c r="L51" i="3" s="1"/>
  <c r="J52" i="3"/>
  <c r="L52" i="3" s="1"/>
  <c r="J53" i="3"/>
  <c r="L53" i="3" s="1"/>
  <c r="J54" i="3"/>
  <c r="L54" i="3" s="1"/>
  <c r="J55" i="3"/>
  <c r="L55" i="3" s="1"/>
  <c r="J56" i="3"/>
  <c r="L56" i="3" s="1"/>
  <c r="J57" i="3"/>
  <c r="L57" i="3" s="1"/>
  <c r="J58" i="3"/>
  <c r="L58" i="3" s="1"/>
  <c r="J59" i="3"/>
  <c r="L59" i="3" s="1"/>
  <c r="J60" i="3"/>
  <c r="L60" i="3" s="1"/>
  <c r="J61" i="3"/>
  <c r="L61" i="3" s="1"/>
  <c r="J62" i="3"/>
  <c r="L62" i="3" s="1"/>
  <c r="J63" i="3"/>
  <c r="L63" i="3" s="1"/>
  <c r="J64" i="3"/>
  <c r="L64" i="3" s="1"/>
  <c r="J65" i="3"/>
  <c r="L65" i="3" s="1"/>
  <c r="J67" i="3"/>
  <c r="L67" i="3" s="1"/>
  <c r="J68" i="3"/>
  <c r="L68" i="3" s="1"/>
  <c r="J69" i="3"/>
  <c r="L69" i="3" s="1"/>
  <c r="J70" i="3"/>
  <c r="L70" i="3" s="1"/>
  <c r="J71" i="3"/>
  <c r="L71" i="3" s="1"/>
  <c r="J72" i="3"/>
  <c r="L72" i="3" s="1"/>
  <c r="J73" i="3"/>
  <c r="L73" i="3" s="1"/>
  <c r="J74" i="3"/>
  <c r="L74" i="3" s="1"/>
  <c r="J75" i="3"/>
  <c r="L75" i="3" s="1"/>
  <c r="J76" i="3"/>
  <c r="L76" i="3" s="1"/>
  <c r="J85" i="3"/>
  <c r="L85" i="3" s="1"/>
  <c r="J86" i="3"/>
  <c r="L86" i="3" s="1"/>
  <c r="J87" i="3"/>
  <c r="L87" i="3" s="1"/>
  <c r="J89" i="3"/>
  <c r="L89" i="3" s="1"/>
  <c r="J90" i="3"/>
  <c r="L90" i="3" s="1"/>
  <c r="J91" i="3"/>
  <c r="L91" i="3" s="1"/>
  <c r="J92" i="3"/>
  <c r="L92" i="3" s="1"/>
  <c r="J93" i="3"/>
  <c r="L93" i="3" s="1"/>
  <c r="J94" i="3"/>
  <c r="L94" i="3" s="1"/>
  <c r="J96" i="3"/>
  <c r="L96" i="3" s="1"/>
  <c r="J97" i="3"/>
  <c r="L97" i="3" s="1"/>
  <c r="J98" i="3"/>
  <c r="L98" i="3" s="1"/>
  <c r="J99" i="3"/>
  <c r="L99" i="3" s="1"/>
  <c r="J100" i="3"/>
  <c r="L100" i="3" s="1"/>
  <c r="J101" i="3"/>
  <c r="L101" i="3" s="1"/>
  <c r="J102" i="3"/>
  <c r="L102" i="3" s="1"/>
  <c r="J103" i="3"/>
  <c r="L103" i="3" s="1"/>
  <c r="J104" i="3"/>
  <c r="L104" i="3" s="1"/>
  <c r="J106" i="3"/>
  <c r="L106" i="3" s="1"/>
  <c r="J5" i="3"/>
  <c r="L5" i="3" s="1"/>
  <c r="I6" i="3"/>
  <c r="K6" i="3" s="1"/>
  <c r="I7" i="3"/>
  <c r="K7" i="3" s="1"/>
  <c r="I8" i="3"/>
  <c r="K8" i="3" s="1"/>
  <c r="I9" i="3"/>
  <c r="K9" i="3" s="1"/>
  <c r="I10" i="3"/>
  <c r="K10" i="3" s="1"/>
  <c r="I11" i="3"/>
  <c r="K11" i="3" s="1"/>
  <c r="I12" i="3"/>
  <c r="K12" i="3" s="1"/>
  <c r="I13" i="3"/>
  <c r="K13" i="3" s="1"/>
  <c r="I14" i="3"/>
  <c r="K14" i="3" s="1"/>
  <c r="I15" i="3"/>
  <c r="K15" i="3" s="1"/>
  <c r="I16" i="3"/>
  <c r="K16" i="3" s="1"/>
  <c r="I17" i="3"/>
  <c r="K17" i="3" s="1"/>
  <c r="I19" i="3"/>
  <c r="K19" i="3" s="1"/>
  <c r="I20" i="3"/>
  <c r="K20" i="3" s="1"/>
  <c r="I21" i="3"/>
  <c r="K21" i="3" s="1"/>
  <c r="I22" i="3"/>
  <c r="K22" i="3" s="1"/>
  <c r="I23" i="3"/>
  <c r="K23" i="3" s="1"/>
  <c r="I24" i="3"/>
  <c r="K24" i="3" s="1"/>
  <c r="I25" i="3"/>
  <c r="K25" i="3" s="1"/>
  <c r="I26" i="3"/>
  <c r="K26" i="3" s="1"/>
  <c r="I27" i="3"/>
  <c r="K27" i="3" s="1"/>
  <c r="I28" i="3"/>
  <c r="K28" i="3" s="1"/>
  <c r="I29" i="3"/>
  <c r="K29" i="3" s="1"/>
  <c r="I30" i="3"/>
  <c r="K30" i="3" s="1"/>
  <c r="I31" i="3"/>
  <c r="K31" i="3" s="1"/>
  <c r="I32" i="3"/>
  <c r="K32" i="3" s="1"/>
  <c r="I33" i="3"/>
  <c r="K33" i="3" s="1"/>
  <c r="I34" i="3"/>
  <c r="K34" i="3" s="1"/>
  <c r="I35" i="3"/>
  <c r="K35" i="3" s="1"/>
  <c r="I36" i="3"/>
  <c r="K36" i="3" s="1"/>
  <c r="I37" i="3"/>
  <c r="K37" i="3" s="1"/>
  <c r="I38" i="3"/>
  <c r="K38" i="3" s="1"/>
  <c r="I39" i="3"/>
  <c r="K39" i="3" s="1"/>
  <c r="I40" i="3"/>
  <c r="K40" i="3" s="1"/>
  <c r="I41" i="3"/>
  <c r="K41" i="3" s="1"/>
  <c r="I42" i="3"/>
  <c r="K42" i="3" s="1"/>
  <c r="I43" i="3"/>
  <c r="K43" i="3" s="1"/>
  <c r="I44" i="3"/>
  <c r="K44" i="3" s="1"/>
  <c r="I45" i="3"/>
  <c r="K45" i="3" s="1"/>
  <c r="I46" i="3"/>
  <c r="K46" i="3" s="1"/>
  <c r="I48" i="3"/>
  <c r="K48" i="3" s="1"/>
  <c r="I49" i="3"/>
  <c r="K49" i="3" s="1"/>
  <c r="I50" i="3"/>
  <c r="K50" i="3" s="1"/>
  <c r="I51" i="3"/>
  <c r="K51" i="3" s="1"/>
  <c r="I52" i="3"/>
  <c r="K52" i="3" s="1"/>
  <c r="I53" i="3"/>
  <c r="K53" i="3" s="1"/>
  <c r="I54" i="3"/>
  <c r="K54" i="3" s="1"/>
  <c r="I55" i="3"/>
  <c r="K55" i="3" s="1"/>
  <c r="I56" i="3"/>
  <c r="K56" i="3" s="1"/>
  <c r="I57" i="3"/>
  <c r="K57" i="3" s="1"/>
  <c r="I58" i="3"/>
  <c r="K58" i="3" s="1"/>
  <c r="I59" i="3"/>
  <c r="K59" i="3" s="1"/>
  <c r="I60" i="3"/>
  <c r="K60" i="3" s="1"/>
  <c r="I61" i="3"/>
  <c r="K61" i="3" s="1"/>
  <c r="I62" i="3"/>
  <c r="K62" i="3" s="1"/>
  <c r="I63" i="3"/>
  <c r="K63" i="3" s="1"/>
  <c r="I64" i="3"/>
  <c r="K64" i="3" s="1"/>
  <c r="I65" i="3"/>
  <c r="K65" i="3" s="1"/>
  <c r="I67" i="3"/>
  <c r="K67" i="3" s="1"/>
  <c r="I68" i="3"/>
  <c r="K68" i="3" s="1"/>
  <c r="I69" i="3"/>
  <c r="K69" i="3" s="1"/>
  <c r="I70" i="3"/>
  <c r="K70" i="3" s="1"/>
  <c r="I71" i="3"/>
  <c r="K71" i="3" s="1"/>
  <c r="I72" i="3"/>
  <c r="K72" i="3" s="1"/>
  <c r="I73" i="3"/>
  <c r="K73" i="3" s="1"/>
  <c r="I74" i="3"/>
  <c r="K74" i="3" s="1"/>
  <c r="I76" i="3"/>
  <c r="K76" i="3" s="1"/>
  <c r="I85" i="3"/>
  <c r="K85" i="3" s="1"/>
  <c r="I86" i="3"/>
  <c r="K86" i="3" s="1"/>
  <c r="I87" i="3"/>
  <c r="K87" i="3" s="1"/>
  <c r="I89" i="3"/>
  <c r="K89" i="3" s="1"/>
  <c r="I90" i="3"/>
  <c r="K90" i="3" s="1"/>
  <c r="I91" i="3"/>
  <c r="K91" i="3" s="1"/>
  <c r="I92" i="3"/>
  <c r="K92" i="3" s="1"/>
  <c r="I93" i="3"/>
  <c r="K93" i="3" s="1"/>
  <c r="I94" i="3"/>
  <c r="K94" i="3" s="1"/>
  <c r="I96" i="3"/>
  <c r="K96" i="3" s="1"/>
  <c r="I97" i="3"/>
  <c r="K97" i="3" s="1"/>
  <c r="I99" i="3"/>
  <c r="K99" i="3" s="1"/>
  <c r="I100" i="3"/>
  <c r="K100" i="3" s="1"/>
  <c r="I101" i="3"/>
  <c r="K101" i="3" s="1"/>
  <c r="I102" i="3"/>
  <c r="K102" i="3" s="1"/>
  <c r="I103" i="3"/>
  <c r="K103" i="3" s="1"/>
  <c r="I104" i="3"/>
  <c r="K104" i="3" s="1"/>
  <c r="I105" i="3"/>
  <c r="K105" i="3" s="1"/>
  <c r="I106" i="3"/>
  <c r="K106" i="3" s="1"/>
  <c r="I5" i="3"/>
  <c r="K5" i="3" s="1"/>
  <c r="K110" i="3" l="1"/>
  <c r="L110" i="3"/>
  <c r="J110" i="3"/>
  <c r="I110" i="3"/>
  <c r="I112" i="3" l="1"/>
</calcChain>
</file>

<file path=xl/comments1.xml><?xml version="1.0" encoding="utf-8"?>
<comments xmlns="http://schemas.openxmlformats.org/spreadsheetml/2006/main">
  <authors>
    <author>Petra Cornelisse</author>
  </authors>
  <commentList>
    <comment ref="C98" authorId="0" shapeId="0">
      <text>
        <r>
          <rPr>
            <sz val="9"/>
            <color indexed="81"/>
            <rFont val="Tahoma"/>
            <family val="2"/>
          </rPr>
          <t>asbest is al wel gesaneerd</t>
        </r>
      </text>
    </comment>
  </commentList>
</comments>
</file>

<file path=xl/sharedStrings.xml><?xml version="1.0" encoding="utf-8"?>
<sst xmlns="http://schemas.openxmlformats.org/spreadsheetml/2006/main" count="892" uniqueCount="522">
  <si>
    <t>Poliskenmerk</t>
  </si>
  <si>
    <t>Adres</t>
  </si>
  <si>
    <t>Omschrijving</t>
  </si>
  <si>
    <t>Rubriek</t>
  </si>
  <si>
    <t>Postcode</t>
  </si>
  <si>
    <t>1051</t>
  </si>
  <si>
    <t>Admiraal de Ruyterweg 2</t>
  </si>
  <si>
    <t>O.B.S. 'De Driemaster'</t>
  </si>
  <si>
    <t>scholen</t>
  </si>
  <si>
    <t>1931 VE</t>
  </si>
  <si>
    <t/>
  </si>
  <si>
    <t>1080</t>
  </si>
  <si>
    <t>Bovenweg 6</t>
  </si>
  <si>
    <t>Cultureel pand (voormalige Oosterkimschool)</t>
  </si>
  <si>
    <t>overige objecten</t>
  </si>
  <si>
    <t>1871 VN</t>
  </si>
  <si>
    <t>1061</t>
  </si>
  <si>
    <t>Bovenweg 8</t>
  </si>
  <si>
    <t>Gymnastieklokaal Bovenweg</t>
  </si>
  <si>
    <t>sportaccommodaties</t>
  </si>
  <si>
    <t>1108</t>
  </si>
  <si>
    <t>Duinweg 5</t>
  </si>
  <si>
    <t>Torenspits met klok en uurwerk</t>
  </si>
  <si>
    <t>1871 AC</t>
  </si>
  <si>
    <t>1187</t>
  </si>
  <si>
    <t>Elkshove 1</t>
  </si>
  <si>
    <t>Brandweerkazerne en politiepost</t>
  </si>
  <si>
    <t>Gemeentelijke instellingen</t>
  </si>
  <si>
    <t>1862 ED</t>
  </si>
  <si>
    <t>1084</t>
  </si>
  <si>
    <t>Geestweg 19</t>
  </si>
  <si>
    <t>Petrus Canisius College</t>
  </si>
  <si>
    <t>1861 TL</t>
  </si>
  <si>
    <t>1090</t>
  </si>
  <si>
    <t>Gymnastieklokaal Geestweg (PCC)</t>
  </si>
  <si>
    <t>1060</t>
  </si>
  <si>
    <t>Gruttoweg 4</t>
  </si>
  <si>
    <t>Gymnastieklokaal Gruttoweg</t>
  </si>
  <si>
    <t>1873 JC</t>
  </si>
  <si>
    <t>1052</t>
  </si>
  <si>
    <t>Guyotte v IJsselsteinln 34</t>
  </si>
  <si>
    <t>O.B.S. 'De Boswaïd', incl. fietsenstalling</t>
  </si>
  <si>
    <t>1934 GN</t>
  </si>
  <si>
    <t>1076</t>
  </si>
  <si>
    <t>Herenweg 72 A</t>
  </si>
  <si>
    <t>De Windhoek</t>
  </si>
  <si>
    <t>1935 AG</t>
  </si>
  <si>
    <t>1064</t>
  </si>
  <si>
    <t>Kapelweidtje 2</t>
  </si>
  <si>
    <t>Willem Alexanderschool (protestants christelijk)</t>
  </si>
  <si>
    <t>1861 JH</t>
  </si>
  <si>
    <t>1107</t>
  </si>
  <si>
    <t>Kerkbrink 1</t>
  </si>
  <si>
    <t>1873 HH</t>
  </si>
  <si>
    <t>Basisschool Het Klimduin</t>
  </si>
  <si>
    <t>1873 JA</t>
  </si>
  <si>
    <t>1055</t>
  </si>
  <si>
    <t>Korhoendersweg 4</t>
  </si>
  <si>
    <t>1088</t>
  </si>
  <si>
    <t>Loudelsweg 38</t>
  </si>
  <si>
    <t>Adriaan Roland Holstschool</t>
  </si>
  <si>
    <t>1861 TG</t>
  </si>
  <si>
    <t>1058</t>
  </si>
  <si>
    <t>Maesdammerlaan 3</t>
  </si>
  <si>
    <t>Gymnastieklokaal Maesdammerlaan (vh.Jan Hogervorstschool)</t>
  </si>
  <si>
    <t>1861 LN</t>
  </si>
  <si>
    <t>1053</t>
  </si>
  <si>
    <t>Molenweg 11</t>
  </si>
  <si>
    <t>O.B.S. 'Teun de Jager'</t>
  </si>
  <si>
    <t>1871 CD</t>
  </si>
  <si>
    <t>1172</t>
  </si>
  <si>
    <t>Molenweg 13</t>
  </si>
  <si>
    <t>grondzeiler/korenmolen "Kijkduin"</t>
  </si>
  <si>
    <t>1189</t>
  </si>
  <si>
    <t>Oudtburghweg 1</t>
  </si>
  <si>
    <t>BSV clubgebouw</t>
  </si>
  <si>
    <t>1862 PX</t>
  </si>
  <si>
    <t>1083</t>
  </si>
  <si>
    <t>Oudtburghweg 3</t>
  </si>
  <si>
    <t>Mytylschool 'De Ruimte',  incl. gymlokaal</t>
  </si>
  <si>
    <t>1073</t>
  </si>
  <si>
    <t>Pastoor van Kleefstraat 19</t>
  </si>
  <si>
    <t>Basisschool De Branding</t>
  </si>
  <si>
    <t>1931 BL</t>
  </si>
  <si>
    <t>1069</t>
  </si>
  <si>
    <t>Prins Hendriklaan 56/58</t>
  </si>
  <si>
    <t>Adriaan Roland Holstschool (vh. De Vrije School)</t>
  </si>
  <si>
    <t>1862 EL</t>
  </si>
  <si>
    <t>1070</t>
  </si>
  <si>
    <t>Prinses Marijkelaan 1</t>
  </si>
  <si>
    <t>Sint Jozefschool (rooms katholiek), incl. fietsenstalling</t>
  </si>
  <si>
    <t>1934 EA</t>
  </si>
  <si>
    <t>1105</t>
  </si>
  <si>
    <t>Torenspits met carillon</t>
  </si>
  <si>
    <t>1861 KS</t>
  </si>
  <si>
    <t>1067</t>
  </si>
  <si>
    <t>Rondelaan 30</t>
  </si>
  <si>
    <t>Bosschool, incl. 1e etage en dislokatie</t>
  </si>
  <si>
    <t>1861 ED</t>
  </si>
  <si>
    <t>1068</t>
  </si>
  <si>
    <t>Bosschool, buitenlokaal 'Boshut' t.b.v. handenarbeid</t>
  </si>
  <si>
    <t>1087</t>
  </si>
  <si>
    <t>Rondelaan 32</t>
  </si>
  <si>
    <t>Berger Scholengemeenschap, conciërgewoning</t>
  </si>
  <si>
    <t>1085</t>
  </si>
  <si>
    <t>Rondelaan 34</t>
  </si>
  <si>
    <t>Berger Scholengemeenschap</t>
  </si>
  <si>
    <t>1089</t>
  </si>
  <si>
    <t>Gymnastieklokaal (inventaris zie BSG, object 1085)</t>
  </si>
  <si>
    <t>1062</t>
  </si>
  <si>
    <t>Sint Adelbertuslaan 3</t>
  </si>
  <si>
    <t>Adriaan Roland Holstschool v.o.</t>
  </si>
  <si>
    <t>1861 TK</t>
  </si>
  <si>
    <t>1047</t>
  </si>
  <si>
    <t>Spaanschepad 1</t>
  </si>
  <si>
    <t>O.B.S. Van Reenenschool (incl. buitenspelmateriaal)</t>
  </si>
  <si>
    <t>1861 LM</t>
  </si>
  <si>
    <t>1106</t>
  </si>
  <si>
    <t>Trompstraat</t>
  </si>
  <si>
    <t>1931 EL</t>
  </si>
  <si>
    <t>1171</t>
  </si>
  <si>
    <t>Voert 5</t>
  </si>
  <si>
    <t>watervijzelmolen "De Philisteinsemolen"</t>
  </si>
  <si>
    <t>1861 PE</t>
  </si>
  <si>
    <t>1113</t>
  </si>
  <si>
    <t>Voorstraat 82 A</t>
  </si>
  <si>
    <t>1931 AN</t>
  </si>
  <si>
    <t>1179</t>
  </si>
  <si>
    <t>Zakedijkje 38</t>
  </si>
  <si>
    <t>Brede School (Lucebertschool en M.Wiegmanschool)</t>
  </si>
  <si>
    <t>1862 HB</t>
  </si>
  <si>
    <t>1100</t>
  </si>
  <si>
    <t>Berkenlaan 2</t>
  </si>
  <si>
    <t>Gebouw tbv. opslag- en werkruimte kunst- en museumbezit</t>
  </si>
  <si>
    <t>1861 CV</t>
  </si>
  <si>
    <t>1117</t>
  </si>
  <si>
    <t>Binnenhof 9-11</t>
  </si>
  <si>
    <t>Gebouw in gebruik bij Stichting Welzijn Bergen</t>
  </si>
  <si>
    <t>1861 JW</t>
  </si>
  <si>
    <t>1038</t>
  </si>
  <si>
    <t>Damweg 9</t>
  </si>
  <si>
    <t>Opslagloods Schoorlse Reddingsbrigade</t>
  </si>
  <si>
    <t>1871 BM</t>
  </si>
  <si>
    <t>Woonhuis</t>
  </si>
  <si>
    <t>Verspreide woningen</t>
  </si>
  <si>
    <t>1178</t>
  </si>
  <si>
    <t>Eeuwigelaan 9 B</t>
  </si>
  <si>
    <t>Kantoorunit (wisselende locaties)</t>
  </si>
  <si>
    <t>1861 CL</t>
  </si>
  <si>
    <t>1164</t>
  </si>
  <si>
    <t>Egmonderstraatweg 12</t>
  </si>
  <si>
    <t>Woning</t>
  </si>
  <si>
    <t>1934 AC</t>
  </si>
  <si>
    <t>1042</t>
  </si>
  <si>
    <t>Hargerzeeweg nnb</t>
  </si>
  <si>
    <t>Rijwielstalling/parkeerplaats, nabij strand Hargen</t>
  </si>
  <si>
    <t>1180</t>
  </si>
  <si>
    <t>Heereweg 56</t>
  </si>
  <si>
    <t>Kantoorgebouw  (voormalige Rabobank)</t>
  </si>
  <si>
    <t>1871 EJ</t>
  </si>
  <si>
    <t>1118</t>
  </si>
  <si>
    <t>Herenweg 72</t>
  </si>
  <si>
    <t>Tandartspraktijk/kinderopvang/fysiotherapie</t>
  </si>
  <si>
    <t>1102</t>
  </si>
  <si>
    <t>Hoflaan 26</t>
  </si>
  <si>
    <t>1861 CR</t>
  </si>
  <si>
    <t>1140</t>
  </si>
  <si>
    <t>Karel de Grotelaan 11</t>
  </si>
  <si>
    <t>1861 KH</t>
  </si>
  <si>
    <t>1141</t>
  </si>
  <si>
    <t>Karel de Grotelaan 15</t>
  </si>
  <si>
    <t>Woningen met garages</t>
  </si>
  <si>
    <t>1114</t>
  </si>
  <si>
    <t>Karel de Grotelaan 17</t>
  </si>
  <si>
    <t>Woning H.O.D. (voorheen Thuiszorg)</t>
  </si>
  <si>
    <t>Leegstaande gebouwen</t>
  </si>
  <si>
    <t>1115</t>
  </si>
  <si>
    <t>Kerkbrink 19</t>
  </si>
  <si>
    <t>Vm. raadhuis in gebruik bij "Nederlands Hervormde Kerk"</t>
  </si>
  <si>
    <t>1139</t>
  </si>
  <si>
    <t>Kerkedijk 31/33</t>
  </si>
  <si>
    <t>2 Woningen (vm. complex R, woningbedrijf)</t>
  </si>
  <si>
    <t>1862 BD</t>
  </si>
  <si>
    <t>1015</t>
  </si>
  <si>
    <t>Kerkedijk 35</t>
  </si>
  <si>
    <t>Voormalige woning, kantoor opzichters, magazijn, garage</t>
  </si>
  <si>
    <t>1005</t>
  </si>
  <si>
    <t>Kerkedijk 35 S</t>
  </si>
  <si>
    <t>Inventaris gemeentewerf (object 1007 t/m 1016)</t>
  </si>
  <si>
    <t>1007</t>
  </si>
  <si>
    <t>Werkplaats, garage, kantine, kantoor gemeentewerf</t>
  </si>
  <si>
    <t>1008</t>
  </si>
  <si>
    <t>Zoutloods gemeentewerf</t>
  </si>
  <si>
    <t>1010</t>
  </si>
  <si>
    <t>Kapschuur opslag hooi met stalling/rijwielstalling</t>
  </si>
  <si>
    <t>1012</t>
  </si>
  <si>
    <t>Kantine wijkteam</t>
  </si>
  <si>
    <t>1014</t>
  </si>
  <si>
    <t>Opslagruimte, 2 "Mavo" prefab betongarages</t>
  </si>
  <si>
    <t>1128</t>
  </si>
  <si>
    <t>Kerkedijk 41 S</t>
  </si>
  <si>
    <t>Uitvaartcentrum, werkschuur begraafplaats</t>
  </si>
  <si>
    <t>1041</t>
  </si>
  <si>
    <t>Kerkplein</t>
  </si>
  <si>
    <t>Muziektent Egmond-Binnen</t>
  </si>
  <si>
    <t>1935</t>
  </si>
  <si>
    <t>1124</t>
  </si>
  <si>
    <t>Kogendijk 42 A</t>
  </si>
  <si>
    <t>Ontmoetingscentrum T en O; sociaal culturele accommodatie</t>
  </si>
  <si>
    <t>1862 XE</t>
  </si>
  <si>
    <t>1160</t>
  </si>
  <si>
    <t>Kogendijk 91/91 S</t>
  </si>
  <si>
    <t>Boerderij en opslag hooi</t>
  </si>
  <si>
    <t>1862 PS</t>
  </si>
  <si>
    <t>1131</t>
  </si>
  <si>
    <t>Molenweg 6</t>
  </si>
  <si>
    <t>Aula bij Algemene Begraafplaats</t>
  </si>
  <si>
    <t>1132</t>
  </si>
  <si>
    <t>Lijkhuisje bij Algemene Begraafplaats</t>
  </si>
  <si>
    <t>1862 BC</t>
  </si>
  <si>
    <t>1133</t>
  </si>
  <si>
    <t>Molenweidtje 4 A</t>
  </si>
  <si>
    <t>1134</t>
  </si>
  <si>
    <t>1862 CD</t>
  </si>
  <si>
    <t>1135</t>
  </si>
  <si>
    <t>1021</t>
  </si>
  <si>
    <t>Nieuwedam 1-3</t>
  </si>
  <si>
    <t>Kantoor/kantine, brandweerkazerne</t>
  </si>
  <si>
    <t>1871 BL</t>
  </si>
  <si>
    <t>1022</t>
  </si>
  <si>
    <t>Garage gemeentewerf</t>
  </si>
  <si>
    <t>1101</t>
  </si>
  <si>
    <t>Oude Prinsweg 21</t>
  </si>
  <si>
    <t>Museum t Sterkenhuis</t>
  </si>
  <si>
    <t>1861 CS</t>
  </si>
  <si>
    <t>1110</t>
  </si>
  <si>
    <t>Parnassiapark</t>
  </si>
  <si>
    <t>Parnassiapark; voorlichtingscentrum I.V.N.</t>
  </si>
  <si>
    <t>1111</t>
  </si>
  <si>
    <t>1112</t>
  </si>
  <si>
    <t>Parnassiapark; bergschuur en dierenverblijf</t>
  </si>
  <si>
    <t>1019</t>
  </si>
  <si>
    <t>Pieter Schotsmanstraat 10</t>
  </si>
  <si>
    <t>Gemeentewerf, kantoor en brandweerkazerne</t>
  </si>
  <si>
    <t>1931 AR</t>
  </si>
  <si>
    <t>1183</t>
  </si>
  <si>
    <t>Plein 1</t>
  </si>
  <si>
    <t>Voormalig VVV-kantoor</t>
  </si>
  <si>
    <t>1861 JX</t>
  </si>
  <si>
    <t>1186</t>
  </si>
  <si>
    <t>Plein 11 A</t>
  </si>
  <si>
    <t>Appartement</t>
  </si>
  <si>
    <t>1181</t>
  </si>
  <si>
    <t>Plein 13 A</t>
  </si>
  <si>
    <t>Appartement in de Bakema flat</t>
  </si>
  <si>
    <t>1184</t>
  </si>
  <si>
    <t>Plein 1a-3a</t>
  </si>
  <si>
    <t>1182</t>
  </si>
  <si>
    <t>Plein 7</t>
  </si>
  <si>
    <t>Voormalige NHKC gebouw</t>
  </si>
  <si>
    <t>1185</t>
  </si>
  <si>
    <t>Plein 9a</t>
  </si>
  <si>
    <t>1123</t>
  </si>
  <si>
    <t>Raadhuisstraat 2-4</t>
  </si>
  <si>
    <t>Vm. raadhuis; sociaal culturele accommodatie</t>
  </si>
  <si>
    <t>1104</t>
  </si>
  <si>
    <t>Slotweg 17</t>
  </si>
  <si>
    <t>Expositieruimte De Kapberg</t>
  </si>
  <si>
    <t>1934 CM</t>
  </si>
  <si>
    <t>1151</t>
  </si>
  <si>
    <t>Slotweg 42</t>
  </si>
  <si>
    <t>Schuur / Galerie</t>
  </si>
  <si>
    <t>1934 CN</t>
  </si>
  <si>
    <t>1091</t>
  </si>
  <si>
    <t>Slotweg 46</t>
  </si>
  <si>
    <t>Historisch Informatie Centrum (voorheen Bibliotheek Slotweg)</t>
  </si>
  <si>
    <t>1188</t>
  </si>
  <si>
    <t>Sportlaan 5</t>
  </si>
  <si>
    <t>Voormalig politiebureau</t>
  </si>
  <si>
    <t>1871 EP</t>
  </si>
  <si>
    <t>1176</t>
  </si>
  <si>
    <t>Sportlaan 7</t>
  </si>
  <si>
    <t>Jongerencentrum De Wal</t>
  </si>
  <si>
    <t>1931 AV</t>
  </si>
  <si>
    <t>1039</t>
  </si>
  <si>
    <t>Strand Hargen aan zee nnb</t>
  </si>
  <si>
    <t>Containers (6) reddingsbrigade</t>
  </si>
  <si>
    <t>1040</t>
  </si>
  <si>
    <t>Strand Schoorl aan zee nnb</t>
  </si>
  <si>
    <t>unit reddingsbrigade, incl. aanwezige inventaris</t>
  </si>
  <si>
    <t>1033</t>
  </si>
  <si>
    <t>Strand nnb</t>
  </si>
  <si>
    <t>Containers (5), incl. aanwezige inventaris</t>
  </si>
  <si>
    <t>1037</t>
  </si>
  <si>
    <t>1146</t>
  </si>
  <si>
    <t>Torenstraat 12</t>
  </si>
  <si>
    <t>1931 GG</t>
  </si>
  <si>
    <t>1109</t>
  </si>
  <si>
    <t>Van Reenenpark</t>
  </si>
  <si>
    <t>Hertenkamp; nachtverblijf en voederopslag</t>
  </si>
  <si>
    <t>1130</t>
  </si>
  <si>
    <t>Voorstraat</t>
  </si>
  <si>
    <t>1096</t>
  </si>
  <si>
    <t>Watertorenweg 36</t>
  </si>
  <si>
    <t>Sportcentrum "De Watertoren</t>
  </si>
  <si>
    <t>1931 BA</t>
  </si>
  <si>
    <t>1153</t>
  </si>
  <si>
    <t>Weg naar de Oude Veert 3-5</t>
  </si>
  <si>
    <t>Woonhuis met berging</t>
  </si>
  <si>
    <t>1934 CJ</t>
  </si>
  <si>
    <t>1003</t>
  </si>
  <si>
    <t>Jan Ligthartstraat 4</t>
  </si>
  <si>
    <t>Gemeentehuis, vm. HEAO</t>
  </si>
  <si>
    <t>1817 MR</t>
  </si>
  <si>
    <t>1031</t>
  </si>
  <si>
    <t>Gruttoweg 4 A</t>
  </si>
  <si>
    <t>Brandweergarage (belendend aan sportzaal)</t>
  </si>
  <si>
    <t>1025</t>
  </si>
  <si>
    <t>Karel de Grotelaan 21/21a</t>
  </si>
  <si>
    <t>H.O.D. en jongerenclub (Voormalige brandweerkaz en units)</t>
  </si>
  <si>
    <t>1028</t>
  </si>
  <si>
    <t>Schipper van de Plasstr 4</t>
  </si>
  <si>
    <t>Voormalige brandweerkazerne (Reddingsbrigade)</t>
  </si>
  <si>
    <t>1931 EK</t>
  </si>
  <si>
    <t>1032</t>
  </si>
  <si>
    <t>Van Hasseltweg 1</t>
  </si>
  <si>
    <t>Onderkomen reddingsbrigade t.b.v. stalling reddingsboten</t>
  </si>
  <si>
    <t>1865 AL</t>
  </si>
  <si>
    <t>Totaal</t>
  </si>
  <si>
    <t>Totaal opstal + inventaris</t>
  </si>
  <si>
    <t>Plein 5a</t>
  </si>
  <si>
    <t>bouwgrondexploitatie</t>
  </si>
  <si>
    <t>Plein 7a</t>
  </si>
  <si>
    <t>1934 PH</t>
  </si>
  <si>
    <t>Verzekerde som</t>
  </si>
  <si>
    <t>gebouwen</t>
  </si>
  <si>
    <t>inventaris</t>
  </si>
  <si>
    <t>Plaats</t>
  </si>
  <si>
    <t>Alkmaar</t>
  </si>
  <si>
    <t>Bergen</t>
  </si>
  <si>
    <t>Bergen aan Zee</t>
  </si>
  <si>
    <t>Schoorl</t>
  </si>
  <si>
    <t>Egmond aan Zee</t>
  </si>
  <si>
    <t>Groet</t>
  </si>
  <si>
    <t>Egmond aan den Hoef</t>
  </si>
  <si>
    <t>Egmond-Binnen</t>
  </si>
  <si>
    <t>1861 EL</t>
  </si>
  <si>
    <t>1873 HK</t>
  </si>
  <si>
    <t>bijeenkomstruimte</t>
  </si>
  <si>
    <t>Kerkedijk 41</t>
  </si>
  <si>
    <t>Slooppand - Bollenschuur (sloopwaarde)</t>
  </si>
  <si>
    <t>Reddingsbrigade Egmond aan Zee</t>
  </si>
  <si>
    <t>Boulevard Zuid 5</t>
  </si>
  <si>
    <t>1931 AA</t>
  </si>
  <si>
    <t>Strandpost Camperduin</t>
  </si>
  <si>
    <t>per 31-12-2019</t>
  </si>
  <si>
    <t>indexcijfer 138,1</t>
  </si>
  <si>
    <t>indexcijfer 120,2</t>
  </si>
  <si>
    <t>Unit reddingsbrigade, incl. aanwezige inventaris</t>
  </si>
  <si>
    <t>Oude Prinsweg 2</t>
  </si>
  <si>
    <t>Molenweidtje 4</t>
  </si>
  <si>
    <t>Aula</t>
  </si>
  <si>
    <t>Huisvesting vergunninghouders</t>
  </si>
  <si>
    <t>Parnassiapark: Opslag</t>
  </si>
  <si>
    <t>2 kleine gebouwtjes op begraafplaats</t>
  </si>
  <si>
    <t>#1 inventaris getaxeerd door Lengkeek d.d. 11-02-2020, rapportnummer 4045429-16 (inclusief computerapparatuur)</t>
  </si>
  <si>
    <t>#2 gebouw getaxeerd door Lengkeek d.d. 10-02-2020, rapportnummer 4045429-16 (inclusief fundering)</t>
  </si>
  <si>
    <t>#1, #2</t>
  </si>
  <si>
    <t>#3 gebouw getaxeerd door Lengkeek d.d. 10-02-2020, rapportnummer 4045429-15 (inclusief fundering)</t>
  </si>
  <si>
    <t>#3</t>
  </si>
  <si>
    <t>per 31-12-2020</t>
  </si>
  <si>
    <t>indexcijfer 148,5</t>
  </si>
  <si>
    <t>indexcijfer 122,1</t>
  </si>
  <si>
    <t>Getaxeerd</t>
  </si>
  <si>
    <t>per 31-12-2021</t>
  </si>
  <si>
    <t>indexcijfer 155,9</t>
  </si>
  <si>
    <t>indexcijfer 124,4</t>
  </si>
  <si>
    <t>Van Oldenborghweg 1/1z</t>
  </si>
  <si>
    <t>Slotweg 44, 44Z1 en 44Z2</t>
  </si>
  <si>
    <t>Museum Kranenburg (inclusief zonnepanelen)</t>
  </si>
  <si>
    <t>Zwembad de Beeck</t>
  </si>
  <si>
    <t>Molenweidtje 2 A</t>
  </si>
  <si>
    <t>per 31-12-2022</t>
  </si>
  <si>
    <t>indexcijfer 164,5</t>
  </si>
  <si>
    <t>indexcijfer 131,2</t>
  </si>
  <si>
    <t>gesloopt juni 2022</t>
  </si>
  <si>
    <t>opmerkingen</t>
  </si>
  <si>
    <t>taxatie 2022</t>
  </si>
  <si>
    <t>opstal</t>
  </si>
  <si>
    <t>totaal</t>
  </si>
  <si>
    <t>Zonnepanelen</t>
  </si>
  <si>
    <t>inbraakbeveiliging</t>
  </si>
  <si>
    <t>onruimingsinstallaties</t>
  </si>
  <si>
    <t>brandalarmering</t>
  </si>
  <si>
    <t>bliksembeveiliging</t>
  </si>
  <si>
    <t>pv cellen</t>
  </si>
  <si>
    <t>asbest</t>
  </si>
  <si>
    <t>monument</t>
  </si>
  <si>
    <t>anti kraak</t>
  </si>
  <si>
    <t>ja</t>
  </si>
  <si>
    <t>nee</t>
  </si>
  <si>
    <t>ja -15</t>
  </si>
  <si>
    <t>ja - 170</t>
  </si>
  <si>
    <t>deels</t>
  </si>
  <si>
    <t>slooppand</t>
  </si>
  <si>
    <t>gesloopt staan nu noodlokalen</t>
  </si>
  <si>
    <t>nieuw</t>
  </si>
  <si>
    <t>taxatierapport Opstal</t>
  </si>
  <si>
    <t>2220KTA015262-01</t>
  </si>
  <si>
    <t>2220KTA015262-02</t>
  </si>
  <si>
    <t>2220KTA015262-03</t>
  </si>
  <si>
    <t>2220KTA015262-04</t>
  </si>
  <si>
    <t>2220KTA015262-05</t>
  </si>
  <si>
    <t>2220KTA015262-06-1</t>
  </si>
  <si>
    <t>2220KTA015378-1</t>
  </si>
  <si>
    <t>2220KTA015262-07</t>
  </si>
  <si>
    <t>2220KTA015262-08</t>
  </si>
  <si>
    <t>2220KTA015262-09</t>
  </si>
  <si>
    <t>2220KTA015262-10</t>
  </si>
  <si>
    <t>2220KTA015262-11</t>
  </si>
  <si>
    <t>2220KTA015262-12</t>
  </si>
  <si>
    <t>2220KTA015262-13</t>
  </si>
  <si>
    <t>2220KTA015262-14</t>
  </si>
  <si>
    <t>2220KTA015262-15</t>
  </si>
  <si>
    <t>2220KTA015262-16</t>
  </si>
  <si>
    <t>2220KTA015262-17</t>
  </si>
  <si>
    <t>2220KTA015262-61</t>
  </si>
  <si>
    <t>2220KTA015262-19-b</t>
  </si>
  <si>
    <t>2220KTA015262-19-a</t>
  </si>
  <si>
    <t>2220KTA015262-20-a</t>
  </si>
  <si>
    <t>2220KTA015262-20-b</t>
  </si>
  <si>
    <t>2220KTA015262-21</t>
  </si>
  <si>
    <t>2220KTA015262-22</t>
  </si>
  <si>
    <t>2220KTA015262-23</t>
  </si>
  <si>
    <t>2220KTA015262-24</t>
  </si>
  <si>
    <t>2220KTA015262-25</t>
  </si>
  <si>
    <t>2220KTA015262-26</t>
  </si>
  <si>
    <t>2220KTA015378-9</t>
  </si>
  <si>
    <t>2220KTA015262-27</t>
  </si>
  <si>
    <t>2220KTA015262-28</t>
  </si>
  <si>
    <t>2220KTA015262-29</t>
  </si>
  <si>
    <t>2220KTA015262-30</t>
  </si>
  <si>
    <t>2220KTA015262-31-1</t>
  </si>
  <si>
    <t>2220KTA015262-31-2</t>
  </si>
  <si>
    <t>2220KTA015262-31-3</t>
  </si>
  <si>
    <t>2220KTA015262-32</t>
  </si>
  <si>
    <t>2220KTA015262-33</t>
  </si>
  <si>
    <t>2220KTA015262-34-a</t>
  </si>
  <si>
    <t>2220KTA015262-34-b</t>
  </si>
  <si>
    <t>2220KTA015262-34 - c</t>
  </si>
  <si>
    <t>2220KTA015262-34 - d</t>
  </si>
  <si>
    <t>2220KTA015262-34 - e</t>
  </si>
  <si>
    <t>2220KTA015262-34 - f</t>
  </si>
  <si>
    <t>2220KTA015262-35-b</t>
  </si>
  <si>
    <t>2220KTA015262-36</t>
  </si>
  <si>
    <t>2220KTA015262-38</t>
  </si>
  <si>
    <t>2220KTA015262-39</t>
  </si>
  <si>
    <t>2220KTA015262-40 - 2</t>
  </si>
  <si>
    <t>2220KTA015262-40 - 1</t>
  </si>
  <si>
    <t>2220KTA015262-35-a</t>
  </si>
  <si>
    <t>2220KTA015262-41</t>
  </si>
  <si>
    <t>2220KTA015262-42</t>
  </si>
  <si>
    <t>2220KTA015262-59</t>
  </si>
  <si>
    <t>2220KTA015262-44</t>
  </si>
  <si>
    <t>2220KTA015262-45</t>
  </si>
  <si>
    <t>2220KTA015262-46</t>
  </si>
  <si>
    <t>2220KTA015262-48</t>
  </si>
  <si>
    <t>2220KTA015262-49</t>
  </si>
  <si>
    <t>2220KTA015262-50</t>
  </si>
  <si>
    <t>2220KTA015378-5</t>
  </si>
  <si>
    <t>2220KTA015378-6</t>
  </si>
  <si>
    <t>2220KTA015378-7</t>
  </si>
  <si>
    <t>2220KTA015378-8</t>
  </si>
  <si>
    <t>2220KTA015262-51</t>
  </si>
  <si>
    <t>2220KTA015262-52</t>
  </si>
  <si>
    <t>2220KTA015262-60</t>
  </si>
  <si>
    <t>2220KTA015262-57</t>
  </si>
  <si>
    <t>2220KTA015262-54</t>
  </si>
  <si>
    <t>2220KTA015262-55</t>
  </si>
  <si>
    <t>2220KTA015262-06-2</t>
  </si>
  <si>
    <t>2220KTA015378-3</t>
  </si>
  <si>
    <t>2220KTA015378-2</t>
  </si>
  <si>
    <t>2220KTA015378-4</t>
  </si>
  <si>
    <t>taxatierapport Inventaris</t>
  </si>
  <si>
    <t>2220KTA015270-01</t>
  </si>
  <si>
    <t>2220KTA015270-02</t>
  </si>
  <si>
    <t>2220KTA015270-04-1</t>
  </si>
  <si>
    <t>2220KTA015270-04-2</t>
  </si>
  <si>
    <t>2220KTA015270-29</t>
  </si>
  <si>
    <t>2220KTA015270-06</t>
  </si>
  <si>
    <t>2220KTA015270-07</t>
  </si>
  <si>
    <t>2220KTA015270-08</t>
  </si>
  <si>
    <t>2220KTA015270-09</t>
  </si>
  <si>
    <t>2220KTA015270-10</t>
  </si>
  <si>
    <t>2220KTA015270-11</t>
  </si>
  <si>
    <t>2220KTA015270-12</t>
  </si>
  <si>
    <t>2220KTA015270-13</t>
  </si>
  <si>
    <t>2220KTA015270-14</t>
  </si>
  <si>
    <t>2220KTA015270-15</t>
  </si>
  <si>
    <t>2220KTA015270-16</t>
  </si>
  <si>
    <t>2220KTA015270-17</t>
  </si>
  <si>
    <t>2220KTA015270-18</t>
  </si>
  <si>
    <t>2220KTA015270-19</t>
  </si>
  <si>
    <t>2220KTA015380-4</t>
  </si>
  <si>
    <t>2220KTA015270-32</t>
  </si>
  <si>
    <t>2220KTA015270-33</t>
  </si>
  <si>
    <t>2220KTA015270-22</t>
  </si>
  <si>
    <t>2220KTA015270-24</t>
  </si>
  <si>
    <t>2220KTA015270-25</t>
  </si>
  <si>
    <t>2220KTA015270-26</t>
  </si>
  <si>
    <t>2220KTA015380-5</t>
  </si>
  <si>
    <t>2220KTA015380-6</t>
  </si>
  <si>
    <t>2220KTA015380-7</t>
  </si>
  <si>
    <t>2220KTA015380-8</t>
  </si>
  <si>
    <t>2220KTA015270-27</t>
  </si>
  <si>
    <t>2220KTA015270-35</t>
  </si>
  <si>
    <t>2220KTA015270-30</t>
  </si>
  <si>
    <t>2220KTA015270-28</t>
  </si>
  <si>
    <t>2220KTA015380-2</t>
  </si>
  <si>
    <t>2220KTA015380-9</t>
  </si>
  <si>
    <t>2220KTA015380-1</t>
  </si>
  <si>
    <t>4045429-16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</si>
</sst>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quotePrefix="1"/>
    <xf numFmtId="0" fontId="3" fillId="0" borderId="0" xfId="0" quotePrefix="1" applyFont="1"/>
    <xf numFmtId="0" fontId="3" fillId="0" borderId="0" xfId="0" applyFont="1"/>
    <xf numFmtId="44" fontId="0" fillId="0" borderId="0" xfId="3" applyFont="1"/>
    <xf numFmtId="44" fontId="3" fillId="0" borderId="0" xfId="3" applyFont="1"/>
    <xf numFmtId="0" fontId="3" fillId="2" borderId="2" xfId="0" quotePrefix="1" applyFont="1" applyFill="1" applyBorder="1"/>
    <xf numFmtId="0" fontId="3" fillId="2" borderId="3" xfId="0" quotePrefix="1" applyFont="1" applyFill="1" applyBorder="1"/>
    <xf numFmtId="44" fontId="3" fillId="2" borderId="3" xfId="3" quotePrefix="1" applyFont="1" applyFill="1" applyBorder="1"/>
    <xf numFmtId="0" fontId="3" fillId="2" borderId="5" xfId="0" quotePrefix="1" applyFont="1" applyFill="1" applyBorder="1"/>
    <xf numFmtId="0" fontId="3" fillId="2" borderId="0" xfId="0" quotePrefix="1" applyFont="1" applyFill="1" applyBorder="1"/>
    <xf numFmtId="44" fontId="3" fillId="2" borderId="0" xfId="3" quotePrefix="1" applyFont="1" applyFill="1" applyBorder="1"/>
    <xf numFmtId="0" fontId="0" fillId="0" borderId="7" xfId="0" quotePrefix="1" applyBorder="1"/>
    <xf numFmtId="44" fontId="0" fillId="0" borderId="7" xfId="3" applyFont="1" applyBorder="1"/>
    <xf numFmtId="44" fontId="3" fillId="0" borderId="1" xfId="3" applyFont="1" applyFill="1" applyBorder="1"/>
    <xf numFmtId="0" fontId="3" fillId="0" borderId="0" xfId="0" quotePrefix="1" applyFont="1" applyFill="1"/>
    <xf numFmtId="0" fontId="0" fillId="0" borderId="0" xfId="0" quotePrefix="1" applyFill="1"/>
    <xf numFmtId="0" fontId="0" fillId="0" borderId="7" xfId="0" quotePrefix="1" applyFill="1" applyBorder="1"/>
    <xf numFmtId="0" fontId="0" fillId="0" borderId="0" xfId="0" applyFill="1"/>
    <xf numFmtId="0" fontId="0" fillId="0" borderId="7" xfId="0" applyBorder="1"/>
    <xf numFmtId="44" fontId="0" fillId="0" borderId="10" xfId="3" applyFont="1" applyBorder="1"/>
    <xf numFmtId="0" fontId="0" fillId="3" borderId="7" xfId="0" applyFill="1" applyBorder="1"/>
    <xf numFmtId="44" fontId="6" fillId="0" borderId="7" xfId="3" applyFont="1" applyBorder="1"/>
    <xf numFmtId="0" fontId="6" fillId="0" borderId="7" xfId="0" quotePrefix="1" applyFont="1" applyFill="1" applyBorder="1"/>
    <xf numFmtId="44" fontId="6" fillId="0" borderId="7" xfId="3" applyFont="1" applyFill="1" applyBorder="1"/>
    <xf numFmtId="0" fontId="6" fillId="0" borderId="7" xfId="0" applyFont="1" applyBorder="1"/>
    <xf numFmtId="0" fontId="6" fillId="0" borderId="0" xfId="0" applyFont="1"/>
    <xf numFmtId="0" fontId="0" fillId="0" borderId="7" xfId="0" applyFill="1" applyBorder="1"/>
    <xf numFmtId="0" fontId="0" fillId="0" borderId="10" xfId="0" quotePrefix="1" applyBorder="1"/>
    <xf numFmtId="0" fontId="0" fillId="0" borderId="10" xfId="0" applyBorder="1"/>
    <xf numFmtId="0" fontId="3" fillId="2" borderId="11" xfId="0" quotePrefix="1" applyFont="1" applyFill="1" applyBorder="1"/>
    <xf numFmtId="0" fontId="3" fillId="2" borderId="12" xfId="0" quotePrefix="1" applyFont="1" applyFill="1" applyBorder="1"/>
    <xf numFmtId="44" fontId="3" fillId="2" borderId="12" xfId="3" quotePrefix="1" applyFont="1" applyFill="1" applyBorder="1"/>
    <xf numFmtId="44" fontId="7" fillId="0" borderId="7" xfId="3" applyFont="1" applyBorder="1"/>
    <xf numFmtId="0" fontId="6" fillId="0" borderId="7" xfId="0" quotePrefix="1" applyFont="1" applyBorder="1"/>
    <xf numFmtId="44" fontId="3" fillId="0" borderId="1" xfId="3" applyFont="1" applyBorder="1"/>
    <xf numFmtId="0" fontId="3" fillId="2" borderId="4" xfId="0" applyFont="1" applyFill="1" applyBorder="1" applyAlignment="1">
      <alignment horizontal="center" textRotation="90"/>
    </xf>
    <xf numFmtId="0" fontId="3" fillId="2" borderId="6" xfId="0" applyFont="1" applyFill="1" applyBorder="1" applyAlignment="1">
      <alignment horizontal="center" textRotation="90"/>
    </xf>
    <xf numFmtId="0" fontId="3" fillId="2" borderId="13" xfId="0" applyFont="1" applyFill="1" applyBorder="1" applyAlignment="1">
      <alignment horizontal="center" textRotation="90"/>
    </xf>
    <xf numFmtId="44" fontId="6" fillId="0" borderId="8" xfId="3" applyFont="1" applyBorder="1" applyAlignment="1">
      <alignment horizontal="center" vertical="center"/>
    </xf>
    <xf numFmtId="44" fontId="6" fillId="0" borderId="9" xfId="3" applyFont="1" applyBorder="1" applyAlignment="1">
      <alignment horizontal="center" vertical="center"/>
    </xf>
    <xf numFmtId="44" fontId="6" fillId="0" borderId="10" xfId="3" applyFont="1" applyBorder="1" applyAlignment="1">
      <alignment horizontal="center" vertical="center"/>
    </xf>
    <xf numFmtId="44" fontId="6" fillId="0" borderId="7" xfId="3" applyFont="1" applyFill="1" applyBorder="1" applyAlignment="1">
      <alignment horizontal="center" vertical="center"/>
    </xf>
    <xf numFmtId="44" fontId="0" fillId="0" borderId="8" xfId="3" applyFont="1" applyBorder="1" applyAlignment="1">
      <alignment horizontal="center" vertical="center"/>
    </xf>
    <xf numFmtId="44" fontId="0" fillId="0" borderId="9" xfId="3" applyFont="1" applyBorder="1" applyAlignment="1">
      <alignment horizontal="center" vertical="center"/>
    </xf>
    <xf numFmtId="44" fontId="0" fillId="0" borderId="10" xfId="3" applyFont="1" applyBorder="1" applyAlignment="1">
      <alignment horizontal="center" vertical="center"/>
    </xf>
    <xf numFmtId="4" fontId="0" fillId="0" borderId="0" xfId="0" applyNumberFormat="1"/>
    <xf numFmtId="4" fontId="0" fillId="4" borderId="0" xfId="0" applyNumberFormat="1" applyFill="1"/>
    <xf numFmtId="4" fontId="0" fillId="0" borderId="0" xfId="0" applyNumberFormat="1" applyFill="1"/>
    <xf numFmtId="0" fontId="3" fillId="5" borderId="0" xfId="0" quotePrefix="1" applyFont="1" applyFill="1"/>
  </cellXfs>
  <cellStyles count="5">
    <cellStyle name="Euro" xfId="4"/>
    <cellStyle name="Standaard" xfId="0" builtinId="0"/>
    <cellStyle name="Standaard 2" xfId="1"/>
    <cellStyle name="Standaard 3" xfId="2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117"/>
  <sheetViews>
    <sheetView tabSelected="1" zoomScaleNormal="100" workbookViewId="0">
      <pane xSplit="1" ySplit="1" topLeftCell="M76" activePane="bottomRight" state="frozen"/>
      <selection pane="topRight" activeCell="B1" sqref="B1"/>
      <selection pane="bottomLeft" activeCell="A2" sqref="A2"/>
      <selection pane="bottomRight" activeCell="C108" sqref="C108"/>
    </sheetView>
  </sheetViews>
  <sheetFormatPr defaultRowHeight="15" x14ac:dyDescent="0.25"/>
  <cols>
    <col min="1" max="1" width="13.28515625" style="3" bestFit="1" customWidth="1"/>
    <col min="2" max="2" width="25.85546875" bestFit="1" customWidth="1"/>
    <col min="3" max="3" width="58" bestFit="1" customWidth="1"/>
    <col min="4" max="4" width="26.42578125" bestFit="1" customWidth="1"/>
    <col min="5" max="5" width="14" bestFit="1" customWidth="1"/>
    <col min="6" max="6" width="26.42578125" customWidth="1"/>
    <col min="7" max="12" width="23.28515625" hidden="1" customWidth="1"/>
    <col min="13" max="14" width="23.28515625" customWidth="1"/>
    <col min="16" max="16" width="17.28515625" bestFit="1" customWidth="1"/>
    <col min="17" max="17" width="34.140625" style="3" customWidth="1"/>
    <col min="18" max="18" width="18.28515625" style="3" customWidth="1"/>
    <col min="19" max="19" width="12.7109375" bestFit="1" customWidth="1"/>
    <col min="20" max="20" width="11.7109375" bestFit="1" customWidth="1"/>
  </cols>
  <sheetData>
    <row r="1" spans="1:30" s="3" customFormat="1" x14ac:dyDescent="0.25">
      <c r="A1" s="2" t="s">
        <v>0</v>
      </c>
      <c r="B1" s="2" t="s">
        <v>3</v>
      </c>
      <c r="C1" s="6" t="s">
        <v>2</v>
      </c>
      <c r="D1" s="7" t="s">
        <v>1</v>
      </c>
      <c r="E1" s="7" t="s">
        <v>4</v>
      </c>
      <c r="F1" s="7" t="s">
        <v>337</v>
      </c>
      <c r="G1" s="8" t="s">
        <v>334</v>
      </c>
      <c r="H1" s="8" t="s">
        <v>334</v>
      </c>
      <c r="I1" s="8" t="s">
        <v>334</v>
      </c>
      <c r="J1" s="8" t="s">
        <v>334</v>
      </c>
      <c r="K1" s="8" t="s">
        <v>334</v>
      </c>
      <c r="L1" s="8" t="s">
        <v>334</v>
      </c>
      <c r="M1" s="8" t="s">
        <v>334</v>
      </c>
      <c r="N1" s="8" t="s">
        <v>334</v>
      </c>
      <c r="O1" s="36" t="s">
        <v>373</v>
      </c>
      <c r="Q1" s="2" t="s">
        <v>407</v>
      </c>
      <c r="R1" s="2" t="s">
        <v>483</v>
      </c>
      <c r="V1" s="3" t="s">
        <v>390</v>
      </c>
      <c r="W1" s="3" t="s">
        <v>391</v>
      </c>
      <c r="X1" s="3" t="s">
        <v>392</v>
      </c>
      <c r="Y1" s="3" t="s">
        <v>393</v>
      </c>
    </row>
    <row r="2" spans="1:30" s="3" customFormat="1" x14ac:dyDescent="0.25">
      <c r="A2" s="2"/>
      <c r="B2" s="2"/>
      <c r="C2" s="9"/>
      <c r="D2" s="10"/>
      <c r="E2" s="10"/>
      <c r="F2" s="10"/>
      <c r="G2" s="11" t="s">
        <v>335</v>
      </c>
      <c r="H2" s="11" t="s">
        <v>336</v>
      </c>
      <c r="I2" s="11" t="s">
        <v>335</v>
      </c>
      <c r="J2" s="11" t="s">
        <v>336</v>
      </c>
      <c r="K2" s="11" t="s">
        <v>335</v>
      </c>
      <c r="L2" s="11" t="s">
        <v>336</v>
      </c>
      <c r="M2" s="11" t="s">
        <v>335</v>
      </c>
      <c r="N2" s="11" t="s">
        <v>336</v>
      </c>
      <c r="O2" s="37"/>
      <c r="Q2" s="2"/>
      <c r="R2" s="2"/>
      <c r="S2" s="3" t="s">
        <v>387</v>
      </c>
      <c r="T2" s="3" t="s">
        <v>387</v>
      </c>
    </row>
    <row r="3" spans="1:30" s="3" customFormat="1" x14ac:dyDescent="0.25">
      <c r="A3" s="2"/>
      <c r="B3" s="2"/>
      <c r="C3" s="9"/>
      <c r="D3" s="10"/>
      <c r="E3" s="10"/>
      <c r="F3" s="10"/>
      <c r="G3" s="11" t="s">
        <v>355</v>
      </c>
      <c r="H3" s="11" t="s">
        <v>355</v>
      </c>
      <c r="I3" s="11" t="s">
        <v>370</v>
      </c>
      <c r="J3" s="11" t="s">
        <v>370</v>
      </c>
      <c r="K3" s="11" t="s">
        <v>374</v>
      </c>
      <c r="L3" s="11" t="s">
        <v>374</v>
      </c>
      <c r="M3" s="11" t="s">
        <v>382</v>
      </c>
      <c r="N3" s="11" t="s">
        <v>382</v>
      </c>
      <c r="O3" s="37"/>
      <c r="Q3" s="2"/>
      <c r="R3" s="2"/>
      <c r="V3" s="3" t="s">
        <v>390</v>
      </c>
      <c r="W3" s="3" t="s">
        <v>391</v>
      </c>
      <c r="X3" s="3" t="s">
        <v>392</v>
      </c>
      <c r="Y3" s="3" t="s">
        <v>393</v>
      </c>
      <c r="Z3" s="3" t="s">
        <v>394</v>
      </c>
      <c r="AA3" s="3" t="s">
        <v>395</v>
      </c>
      <c r="AB3" s="3" t="s">
        <v>396</v>
      </c>
      <c r="AC3" s="3" t="s">
        <v>397</v>
      </c>
      <c r="AD3" s="3" t="s">
        <v>398</v>
      </c>
    </row>
    <row r="4" spans="1:30" s="3" customFormat="1" ht="15.75" thickBot="1" x14ac:dyDescent="0.3">
      <c r="A4" s="2"/>
      <c r="B4" s="2"/>
      <c r="C4" s="30"/>
      <c r="D4" s="31"/>
      <c r="E4" s="31"/>
      <c r="F4" s="31"/>
      <c r="G4" s="32" t="s">
        <v>356</v>
      </c>
      <c r="H4" s="32" t="s">
        <v>357</v>
      </c>
      <c r="I4" s="32" t="s">
        <v>371</v>
      </c>
      <c r="J4" s="32" t="s">
        <v>372</v>
      </c>
      <c r="K4" s="32" t="s">
        <v>375</v>
      </c>
      <c r="L4" s="32" t="s">
        <v>376</v>
      </c>
      <c r="M4" s="32" t="s">
        <v>383</v>
      </c>
      <c r="N4" s="32" t="s">
        <v>384</v>
      </c>
      <c r="O4" s="38"/>
      <c r="P4" s="3" t="s">
        <v>386</v>
      </c>
      <c r="Q4" s="2"/>
      <c r="R4" s="2"/>
      <c r="S4" s="3" t="s">
        <v>388</v>
      </c>
      <c r="T4" s="3" t="s">
        <v>336</v>
      </c>
      <c r="U4" s="3" t="s">
        <v>389</v>
      </c>
    </row>
    <row r="5" spans="1:30" x14ac:dyDescent="0.25">
      <c r="A5" s="2" t="s">
        <v>5</v>
      </c>
      <c r="B5" s="1" t="s">
        <v>8</v>
      </c>
      <c r="C5" s="28" t="s">
        <v>7</v>
      </c>
      <c r="D5" s="28" t="s">
        <v>6</v>
      </c>
      <c r="E5" s="28" t="s">
        <v>9</v>
      </c>
      <c r="F5" s="28" t="s">
        <v>342</v>
      </c>
      <c r="G5" s="20">
        <v>2798067</v>
      </c>
      <c r="H5" s="20">
        <v>575650</v>
      </c>
      <c r="I5" s="20">
        <f>ROUND(G5/138.1*148.5,0)</f>
        <v>3008783</v>
      </c>
      <c r="J5" s="20">
        <f>ROUND(H5/120.2*122.1,0)</f>
        <v>584749</v>
      </c>
      <c r="K5" s="20">
        <f>ROUND(I5/148.5*155.9,0)</f>
        <v>3158716</v>
      </c>
      <c r="L5" s="20">
        <f>ROUND(J5/122.1*124.4,0)</f>
        <v>595764</v>
      </c>
      <c r="M5" s="20">
        <f>ROUND(K5/155.9*164.5,0)</f>
        <v>3332962</v>
      </c>
      <c r="N5" s="20">
        <f>ROUND(L5/124.4*131.2,0)</f>
        <v>628330</v>
      </c>
      <c r="O5" s="29"/>
      <c r="Q5" s="49" t="s">
        <v>408</v>
      </c>
      <c r="R5" s="49" t="s">
        <v>484</v>
      </c>
      <c r="S5" s="46">
        <v>3135000</v>
      </c>
      <c r="T5" s="46">
        <f>575000+44000</f>
        <v>619000</v>
      </c>
      <c r="V5" s="46" t="s">
        <v>399</v>
      </c>
      <c r="W5" t="s">
        <v>399</v>
      </c>
      <c r="X5" t="s">
        <v>399</v>
      </c>
      <c r="Y5" t="s">
        <v>399</v>
      </c>
    </row>
    <row r="6" spans="1:30" x14ac:dyDescent="0.25">
      <c r="A6" s="2" t="s">
        <v>11</v>
      </c>
      <c r="B6" s="1" t="s">
        <v>14</v>
      </c>
      <c r="C6" s="12" t="s">
        <v>13</v>
      </c>
      <c r="D6" s="12" t="s">
        <v>12</v>
      </c>
      <c r="E6" s="12" t="s">
        <v>15</v>
      </c>
      <c r="F6" s="12" t="s">
        <v>341</v>
      </c>
      <c r="G6" s="13">
        <v>1704435</v>
      </c>
      <c r="H6" s="13">
        <v>0</v>
      </c>
      <c r="I6" s="13">
        <f t="shared" ref="I6:I70" si="0">ROUND(G6/138.1*148.5,0)</f>
        <v>1832792</v>
      </c>
      <c r="J6" s="13">
        <f t="shared" ref="J6:J70" si="1">ROUND(H6/120.2*122.1,0)</f>
        <v>0</v>
      </c>
      <c r="K6" s="20">
        <f t="shared" ref="K6:K70" si="2">ROUND(I6/148.5*155.9,0)</f>
        <v>1924123</v>
      </c>
      <c r="L6" s="20">
        <f t="shared" ref="L6:L70" si="3">ROUND(J6/122.1*124.4,0)</f>
        <v>0</v>
      </c>
      <c r="M6" s="20">
        <f t="shared" ref="M6:M69" si="4">ROUND(K6/155.9*164.5,0)</f>
        <v>2030264</v>
      </c>
      <c r="N6" s="20">
        <f t="shared" ref="N6:N69" si="5">ROUND(L6/124.4*131.2,0)</f>
        <v>0</v>
      </c>
      <c r="O6" s="19"/>
      <c r="P6" t="s">
        <v>385</v>
      </c>
      <c r="S6" s="47">
        <v>100000</v>
      </c>
      <c r="T6" s="46"/>
      <c r="AD6" t="s">
        <v>399</v>
      </c>
    </row>
    <row r="7" spans="1:30" x14ac:dyDescent="0.25">
      <c r="A7" s="2" t="s">
        <v>16</v>
      </c>
      <c r="B7" s="1" t="s">
        <v>19</v>
      </c>
      <c r="C7" s="12" t="s">
        <v>18</v>
      </c>
      <c r="D7" s="12" t="s">
        <v>17</v>
      </c>
      <c r="E7" s="12" t="s">
        <v>15</v>
      </c>
      <c r="F7" s="12" t="s">
        <v>341</v>
      </c>
      <c r="G7" s="13">
        <v>901664</v>
      </c>
      <c r="H7" s="13">
        <v>90838</v>
      </c>
      <c r="I7" s="13">
        <f t="shared" si="0"/>
        <v>969566</v>
      </c>
      <c r="J7" s="13">
        <f t="shared" si="1"/>
        <v>92274</v>
      </c>
      <c r="K7" s="20">
        <f t="shared" si="2"/>
        <v>1017881</v>
      </c>
      <c r="L7" s="20">
        <f t="shared" si="3"/>
        <v>94012</v>
      </c>
      <c r="M7" s="20">
        <f t="shared" si="4"/>
        <v>1074031</v>
      </c>
      <c r="N7" s="20">
        <f t="shared" si="5"/>
        <v>99151</v>
      </c>
      <c r="O7" s="19"/>
      <c r="Q7" s="49" t="s">
        <v>409</v>
      </c>
      <c r="R7" s="49" t="s">
        <v>485</v>
      </c>
      <c r="S7" s="46">
        <v>975000</v>
      </c>
      <c r="T7">
        <f>81000+15000</f>
        <v>96000</v>
      </c>
      <c r="V7" s="46" t="s">
        <v>400</v>
      </c>
      <c r="W7" s="46" t="s">
        <v>400</v>
      </c>
      <c r="X7" s="46" t="s">
        <v>400</v>
      </c>
      <c r="Y7" s="46" t="s">
        <v>400</v>
      </c>
      <c r="Z7" s="46"/>
    </row>
    <row r="8" spans="1:30" x14ac:dyDescent="0.25">
      <c r="A8" s="2" t="s">
        <v>20</v>
      </c>
      <c r="B8" s="1" t="s">
        <v>14</v>
      </c>
      <c r="C8" s="12" t="s">
        <v>22</v>
      </c>
      <c r="D8" s="12" t="s">
        <v>21</v>
      </c>
      <c r="E8" s="12" t="s">
        <v>23</v>
      </c>
      <c r="F8" s="12" t="s">
        <v>341</v>
      </c>
      <c r="G8" s="13">
        <v>430472</v>
      </c>
      <c r="H8" s="13">
        <v>0</v>
      </c>
      <c r="I8" s="13">
        <f t="shared" si="0"/>
        <v>462890</v>
      </c>
      <c r="J8" s="13">
        <f t="shared" si="1"/>
        <v>0</v>
      </c>
      <c r="K8" s="20">
        <f t="shared" si="2"/>
        <v>485957</v>
      </c>
      <c r="L8" s="20">
        <f t="shared" si="3"/>
        <v>0</v>
      </c>
      <c r="M8" s="20">
        <f t="shared" si="4"/>
        <v>512764</v>
      </c>
      <c r="N8" s="20">
        <f t="shared" si="5"/>
        <v>0</v>
      </c>
      <c r="O8" s="19"/>
      <c r="Q8" s="49" t="s">
        <v>410</v>
      </c>
      <c r="R8" s="2"/>
      <c r="S8" s="46">
        <v>490000</v>
      </c>
      <c r="T8">
        <v>0</v>
      </c>
      <c r="V8" s="46" t="s">
        <v>400</v>
      </c>
      <c r="W8" s="46" t="s">
        <v>400</v>
      </c>
      <c r="X8" s="46" t="s">
        <v>400</v>
      </c>
      <c r="Y8" s="46" t="s">
        <v>400</v>
      </c>
    </row>
    <row r="9" spans="1:30" x14ac:dyDescent="0.25">
      <c r="A9" s="2" t="s">
        <v>24</v>
      </c>
      <c r="B9" s="1" t="s">
        <v>27</v>
      </c>
      <c r="C9" s="12" t="s">
        <v>26</v>
      </c>
      <c r="D9" s="12" t="s">
        <v>25</v>
      </c>
      <c r="E9" s="12" t="s">
        <v>28</v>
      </c>
      <c r="F9" s="12" t="s">
        <v>339</v>
      </c>
      <c r="G9" s="13">
        <v>2021261</v>
      </c>
      <c r="H9" s="13">
        <v>21126</v>
      </c>
      <c r="I9" s="13">
        <f t="shared" si="0"/>
        <v>2173478</v>
      </c>
      <c r="J9" s="13">
        <f t="shared" si="1"/>
        <v>21460</v>
      </c>
      <c r="K9" s="20">
        <f t="shared" si="2"/>
        <v>2281786</v>
      </c>
      <c r="L9" s="20">
        <f t="shared" si="3"/>
        <v>21864</v>
      </c>
      <c r="M9" s="20">
        <f t="shared" si="4"/>
        <v>2407657</v>
      </c>
      <c r="N9" s="20">
        <f t="shared" si="5"/>
        <v>23059</v>
      </c>
      <c r="O9" s="19"/>
      <c r="Q9" s="49" t="s">
        <v>411</v>
      </c>
      <c r="R9" s="2"/>
      <c r="S9" s="46">
        <v>2140000</v>
      </c>
      <c r="T9" s="46">
        <v>0</v>
      </c>
      <c r="V9" s="46" t="s">
        <v>400</v>
      </c>
      <c r="W9" t="s">
        <v>399</v>
      </c>
      <c r="Y9" t="s">
        <v>399</v>
      </c>
      <c r="Z9" t="s">
        <v>399</v>
      </c>
    </row>
    <row r="10" spans="1:30" x14ac:dyDescent="0.25">
      <c r="A10" s="2" t="s">
        <v>29</v>
      </c>
      <c r="B10" s="1" t="s">
        <v>8</v>
      </c>
      <c r="C10" s="12" t="s">
        <v>31</v>
      </c>
      <c r="D10" s="12" t="s">
        <v>30</v>
      </c>
      <c r="E10" s="12" t="s">
        <v>32</v>
      </c>
      <c r="F10" s="12" t="s">
        <v>339</v>
      </c>
      <c r="G10" s="13">
        <v>4915523</v>
      </c>
      <c r="H10" s="13">
        <v>856609</v>
      </c>
      <c r="I10" s="13">
        <f t="shared" si="0"/>
        <v>5285700</v>
      </c>
      <c r="J10" s="13">
        <f t="shared" si="1"/>
        <v>870149</v>
      </c>
      <c r="K10" s="20">
        <f t="shared" si="2"/>
        <v>5549095</v>
      </c>
      <c r="L10" s="20">
        <f t="shared" si="3"/>
        <v>886540</v>
      </c>
      <c r="M10" s="20">
        <f t="shared" si="4"/>
        <v>5855203</v>
      </c>
      <c r="N10" s="20">
        <f t="shared" si="5"/>
        <v>935000</v>
      </c>
      <c r="O10" s="19"/>
      <c r="Q10" s="49" t="s">
        <v>412</v>
      </c>
      <c r="R10" s="49" t="s">
        <v>486</v>
      </c>
      <c r="S10" s="46">
        <v>5405000</v>
      </c>
      <c r="T10" s="46">
        <f>718000+100000</f>
        <v>818000</v>
      </c>
      <c r="V10" s="46" t="s">
        <v>400</v>
      </c>
      <c r="W10" t="s">
        <v>399</v>
      </c>
      <c r="X10" t="s">
        <v>399</v>
      </c>
    </row>
    <row r="11" spans="1:30" x14ac:dyDescent="0.25">
      <c r="A11" s="2" t="s">
        <v>33</v>
      </c>
      <c r="B11" s="1" t="s">
        <v>19</v>
      </c>
      <c r="C11" s="12" t="s">
        <v>34</v>
      </c>
      <c r="D11" s="12" t="s">
        <v>30</v>
      </c>
      <c r="E11" s="12" t="s">
        <v>32</v>
      </c>
      <c r="F11" s="12" t="s">
        <v>339</v>
      </c>
      <c r="G11" s="13">
        <v>924933</v>
      </c>
      <c r="H11" s="13">
        <v>122525</v>
      </c>
      <c r="I11" s="13">
        <f t="shared" si="0"/>
        <v>994588</v>
      </c>
      <c r="J11" s="13">
        <f t="shared" si="1"/>
        <v>124462</v>
      </c>
      <c r="K11" s="20">
        <f t="shared" si="2"/>
        <v>1044150</v>
      </c>
      <c r="L11" s="20">
        <f t="shared" si="3"/>
        <v>126806</v>
      </c>
      <c r="M11" s="20">
        <f t="shared" si="4"/>
        <v>1101749</v>
      </c>
      <c r="N11" s="20">
        <f t="shared" si="5"/>
        <v>133738</v>
      </c>
      <c r="O11" s="19"/>
      <c r="Q11" s="2" t="s">
        <v>412</v>
      </c>
      <c r="R11" s="2" t="s">
        <v>487</v>
      </c>
      <c r="S11" s="46">
        <v>950000</v>
      </c>
      <c r="T11" s="46">
        <f>119000+18000</f>
        <v>137000</v>
      </c>
      <c r="V11" s="46" t="s">
        <v>399</v>
      </c>
    </row>
    <row r="12" spans="1:30" x14ac:dyDescent="0.25">
      <c r="A12" s="2" t="s">
        <v>35</v>
      </c>
      <c r="B12" s="1" t="s">
        <v>19</v>
      </c>
      <c r="C12" s="12" t="s">
        <v>37</v>
      </c>
      <c r="D12" s="12" t="s">
        <v>36</v>
      </c>
      <c r="E12" s="12" t="s">
        <v>38</v>
      </c>
      <c r="F12" s="12" t="s">
        <v>343</v>
      </c>
      <c r="G12" s="13">
        <v>674795</v>
      </c>
      <c r="H12" s="13">
        <v>91893</v>
      </c>
      <c r="I12" s="13">
        <f t="shared" si="0"/>
        <v>725612</v>
      </c>
      <c r="J12" s="13">
        <f t="shared" si="1"/>
        <v>93346</v>
      </c>
      <c r="K12" s="20">
        <f t="shared" si="2"/>
        <v>761770</v>
      </c>
      <c r="L12" s="20">
        <f t="shared" si="3"/>
        <v>95104</v>
      </c>
      <c r="M12" s="20">
        <f t="shared" si="4"/>
        <v>803792</v>
      </c>
      <c r="N12" s="20">
        <f t="shared" si="5"/>
        <v>100303</v>
      </c>
      <c r="O12" s="19"/>
      <c r="Q12" s="49" t="s">
        <v>413</v>
      </c>
      <c r="R12" s="49" t="s">
        <v>488</v>
      </c>
      <c r="S12" s="46">
        <v>750000</v>
      </c>
      <c r="T12" s="46">
        <f>88000+17000</f>
        <v>105000</v>
      </c>
      <c r="V12" s="46" t="s">
        <v>400</v>
      </c>
      <c r="W12" s="46" t="s">
        <v>400</v>
      </c>
      <c r="X12" s="46" t="s">
        <v>400</v>
      </c>
      <c r="Y12" s="46" t="s">
        <v>400</v>
      </c>
    </row>
    <row r="13" spans="1:30" x14ac:dyDescent="0.25">
      <c r="A13" s="2" t="s">
        <v>39</v>
      </c>
      <c r="B13" s="1" t="s">
        <v>8</v>
      </c>
      <c r="C13" s="12" t="s">
        <v>41</v>
      </c>
      <c r="D13" s="12" t="s">
        <v>40</v>
      </c>
      <c r="E13" s="12" t="s">
        <v>42</v>
      </c>
      <c r="F13" s="12" t="s">
        <v>344</v>
      </c>
      <c r="G13" s="13">
        <v>1681167</v>
      </c>
      <c r="H13" s="13">
        <v>512276</v>
      </c>
      <c r="I13" s="13">
        <f t="shared" si="0"/>
        <v>1807772</v>
      </c>
      <c r="J13" s="13">
        <f t="shared" si="1"/>
        <v>520374</v>
      </c>
      <c r="K13" s="20">
        <f t="shared" si="2"/>
        <v>1897856</v>
      </c>
      <c r="L13" s="20">
        <f t="shared" si="3"/>
        <v>530176</v>
      </c>
      <c r="M13" s="20">
        <f t="shared" si="4"/>
        <v>2002549</v>
      </c>
      <c r="N13" s="20">
        <f t="shared" si="5"/>
        <v>559157</v>
      </c>
      <c r="O13" s="19"/>
      <c r="Q13" s="2" t="s">
        <v>414</v>
      </c>
      <c r="R13" s="2"/>
      <c r="S13" s="46">
        <v>1850000</v>
      </c>
      <c r="T13" s="46">
        <v>0</v>
      </c>
      <c r="W13" t="s">
        <v>399</v>
      </c>
      <c r="X13" t="s">
        <v>399</v>
      </c>
      <c r="Y13" t="s">
        <v>399</v>
      </c>
    </row>
    <row r="14" spans="1:30" x14ac:dyDescent="0.25">
      <c r="A14" s="2" t="s">
        <v>43</v>
      </c>
      <c r="B14" s="1" t="s">
        <v>8</v>
      </c>
      <c r="C14" s="12" t="s">
        <v>45</v>
      </c>
      <c r="D14" s="12" t="s">
        <v>44</v>
      </c>
      <c r="E14" s="12" t="s">
        <v>46</v>
      </c>
      <c r="F14" s="12" t="s">
        <v>345</v>
      </c>
      <c r="G14" s="13">
        <v>3862611</v>
      </c>
      <c r="H14" s="13">
        <v>838654</v>
      </c>
      <c r="I14" s="13">
        <f t="shared" si="0"/>
        <v>4153496</v>
      </c>
      <c r="J14" s="13">
        <f t="shared" si="1"/>
        <v>851911</v>
      </c>
      <c r="K14" s="20">
        <f t="shared" si="2"/>
        <v>4360472</v>
      </c>
      <c r="L14" s="20">
        <f t="shared" si="3"/>
        <v>867958</v>
      </c>
      <c r="M14" s="20">
        <f t="shared" si="4"/>
        <v>4601011</v>
      </c>
      <c r="N14" s="20">
        <f t="shared" si="5"/>
        <v>915403</v>
      </c>
      <c r="O14" s="19"/>
      <c r="Q14" s="49" t="s">
        <v>415</v>
      </c>
      <c r="R14" s="49" t="s">
        <v>489</v>
      </c>
      <c r="S14" s="46">
        <v>4240000</v>
      </c>
      <c r="T14" s="46">
        <f>900000+80000</f>
        <v>980000</v>
      </c>
      <c r="V14" s="46"/>
      <c r="W14" t="s">
        <v>399</v>
      </c>
      <c r="X14" t="s">
        <v>399</v>
      </c>
      <c r="AA14" t="s">
        <v>399</v>
      </c>
    </row>
    <row r="15" spans="1:30" x14ac:dyDescent="0.25">
      <c r="A15" s="2" t="s">
        <v>47</v>
      </c>
      <c r="B15" s="1" t="s">
        <v>8</v>
      </c>
      <c r="C15" s="12" t="s">
        <v>49</v>
      </c>
      <c r="D15" s="12" t="s">
        <v>48</v>
      </c>
      <c r="E15" s="12" t="s">
        <v>50</v>
      </c>
      <c r="F15" s="12" t="s">
        <v>339</v>
      </c>
      <c r="G15" s="13">
        <v>2047648</v>
      </c>
      <c r="H15" s="13">
        <v>677050</v>
      </c>
      <c r="I15" s="13">
        <f t="shared" si="0"/>
        <v>2201852</v>
      </c>
      <c r="J15" s="13">
        <f t="shared" si="1"/>
        <v>687752</v>
      </c>
      <c r="K15" s="20">
        <f t="shared" si="2"/>
        <v>2311574</v>
      </c>
      <c r="L15" s="20">
        <f t="shared" si="3"/>
        <v>700707</v>
      </c>
      <c r="M15" s="20">
        <f t="shared" si="4"/>
        <v>2439089</v>
      </c>
      <c r="N15" s="20">
        <f t="shared" si="5"/>
        <v>739009</v>
      </c>
      <c r="O15" s="19"/>
      <c r="Q15" s="49" t="s">
        <v>416</v>
      </c>
      <c r="R15" s="49" t="s">
        <v>490</v>
      </c>
      <c r="S15" s="46">
        <v>2305000</v>
      </c>
      <c r="T15" s="46">
        <f>694000+85000</f>
        <v>779000</v>
      </c>
      <c r="V15" s="46" t="s">
        <v>399</v>
      </c>
      <c r="W15" t="s">
        <v>399</v>
      </c>
      <c r="Y15" t="s">
        <v>399</v>
      </c>
    </row>
    <row r="16" spans="1:30" x14ac:dyDescent="0.25">
      <c r="A16" s="2" t="s">
        <v>51</v>
      </c>
      <c r="B16" s="1" t="s">
        <v>14</v>
      </c>
      <c r="C16" s="12" t="s">
        <v>22</v>
      </c>
      <c r="D16" s="12" t="s">
        <v>52</v>
      </c>
      <c r="E16" s="12" t="s">
        <v>53</v>
      </c>
      <c r="F16" s="12" t="s">
        <v>343</v>
      </c>
      <c r="G16" s="13">
        <v>459557</v>
      </c>
      <c r="H16" s="13">
        <v>0</v>
      </c>
      <c r="I16" s="13">
        <f t="shared" si="0"/>
        <v>494165</v>
      </c>
      <c r="J16" s="13">
        <f t="shared" si="1"/>
        <v>0</v>
      </c>
      <c r="K16" s="20">
        <f t="shared" si="2"/>
        <v>518790</v>
      </c>
      <c r="L16" s="20">
        <f t="shared" si="3"/>
        <v>0</v>
      </c>
      <c r="M16" s="20">
        <f t="shared" si="4"/>
        <v>547408</v>
      </c>
      <c r="N16" s="20">
        <f t="shared" si="5"/>
        <v>0</v>
      </c>
      <c r="O16" s="19"/>
      <c r="Q16" s="49" t="s">
        <v>417</v>
      </c>
      <c r="R16" s="2"/>
      <c r="S16" s="46">
        <v>515000</v>
      </c>
      <c r="T16" s="46">
        <v>0</v>
      </c>
      <c r="Z16" t="s">
        <v>399</v>
      </c>
    </row>
    <row r="17" spans="1:28" x14ac:dyDescent="0.25">
      <c r="A17" s="2" t="s">
        <v>56</v>
      </c>
      <c r="B17" s="1" t="s">
        <v>8</v>
      </c>
      <c r="C17" s="12" t="s">
        <v>54</v>
      </c>
      <c r="D17" s="12" t="s">
        <v>57</v>
      </c>
      <c r="E17" s="12" t="s">
        <v>55</v>
      </c>
      <c r="F17" s="12" t="s">
        <v>343</v>
      </c>
      <c r="G17" s="13">
        <v>1745156</v>
      </c>
      <c r="H17" s="13">
        <v>497488</v>
      </c>
      <c r="I17" s="13">
        <f t="shared" si="0"/>
        <v>1876580</v>
      </c>
      <c r="J17" s="13">
        <f t="shared" si="1"/>
        <v>505352</v>
      </c>
      <c r="K17" s="20">
        <f t="shared" si="2"/>
        <v>1970093</v>
      </c>
      <c r="L17" s="20">
        <f t="shared" si="3"/>
        <v>514871</v>
      </c>
      <c r="M17" s="20">
        <f t="shared" si="4"/>
        <v>2078770</v>
      </c>
      <c r="N17" s="20">
        <f t="shared" si="5"/>
        <v>543015</v>
      </c>
      <c r="O17" s="19"/>
      <c r="Q17" s="49" t="s">
        <v>418</v>
      </c>
      <c r="R17" s="49" t="s">
        <v>491</v>
      </c>
      <c r="S17" s="46">
        <v>2000000</v>
      </c>
      <c r="T17" s="46">
        <f>538000+45000</f>
        <v>583000</v>
      </c>
      <c r="W17" t="s">
        <v>399</v>
      </c>
      <c r="X17" t="s">
        <v>399</v>
      </c>
      <c r="Y17" t="s">
        <v>399</v>
      </c>
    </row>
    <row r="18" spans="1:28" x14ac:dyDescent="0.25">
      <c r="A18" s="2" t="s">
        <v>58</v>
      </c>
      <c r="B18" s="1" t="s">
        <v>8</v>
      </c>
      <c r="C18" s="12" t="s">
        <v>60</v>
      </c>
      <c r="D18" s="12" t="s">
        <v>59</v>
      </c>
      <c r="E18" s="12" t="s">
        <v>61</v>
      </c>
      <c r="F18" s="12" t="s">
        <v>339</v>
      </c>
      <c r="G18" s="22">
        <v>10140000</v>
      </c>
      <c r="H18" s="22">
        <v>1800000</v>
      </c>
      <c r="I18" s="13">
        <f t="shared" si="0"/>
        <v>10903621</v>
      </c>
      <c r="J18" s="13">
        <f t="shared" si="1"/>
        <v>1828453</v>
      </c>
      <c r="K18" s="20">
        <f t="shared" si="2"/>
        <v>11446966</v>
      </c>
      <c r="L18" s="20">
        <f t="shared" si="3"/>
        <v>1862896</v>
      </c>
      <c r="M18" s="20">
        <f t="shared" si="4"/>
        <v>12078421</v>
      </c>
      <c r="N18" s="20">
        <f t="shared" si="5"/>
        <v>1964726</v>
      </c>
      <c r="O18" s="24" t="s">
        <v>367</v>
      </c>
      <c r="Q18" s="2" t="s">
        <v>521</v>
      </c>
      <c r="R18" s="2" t="s">
        <v>521</v>
      </c>
      <c r="S18" s="47">
        <v>11446966</v>
      </c>
      <c r="T18" s="47">
        <v>1862896</v>
      </c>
    </row>
    <row r="19" spans="1:28" x14ac:dyDescent="0.25">
      <c r="A19" s="2" t="s">
        <v>62</v>
      </c>
      <c r="B19" s="1" t="s">
        <v>19</v>
      </c>
      <c r="C19" s="12" t="s">
        <v>64</v>
      </c>
      <c r="D19" s="12" t="s">
        <v>63</v>
      </c>
      <c r="E19" s="12" t="s">
        <v>65</v>
      </c>
      <c r="F19" s="12" t="s">
        <v>339</v>
      </c>
      <c r="G19" s="13">
        <v>1099448</v>
      </c>
      <c r="H19" s="13">
        <v>94007</v>
      </c>
      <c r="I19" s="13">
        <f t="shared" si="0"/>
        <v>1182245</v>
      </c>
      <c r="J19" s="13">
        <f t="shared" si="1"/>
        <v>95493</v>
      </c>
      <c r="K19" s="20">
        <f t="shared" si="2"/>
        <v>1241158</v>
      </c>
      <c r="L19" s="20">
        <f t="shared" si="3"/>
        <v>97292</v>
      </c>
      <c r="M19" s="20">
        <f t="shared" si="4"/>
        <v>1309625</v>
      </c>
      <c r="N19" s="20">
        <f t="shared" si="5"/>
        <v>102610</v>
      </c>
      <c r="O19" s="19"/>
      <c r="Q19" s="49" t="s">
        <v>419</v>
      </c>
      <c r="R19" s="49" t="s">
        <v>492</v>
      </c>
      <c r="S19" s="46">
        <v>1320000</v>
      </c>
      <c r="T19" s="46">
        <f>92000+18000</f>
        <v>110000</v>
      </c>
    </row>
    <row r="20" spans="1:28" x14ac:dyDescent="0.25">
      <c r="A20" s="2" t="s">
        <v>66</v>
      </c>
      <c r="B20" s="1" t="s">
        <v>8</v>
      </c>
      <c r="C20" s="12" t="s">
        <v>68</v>
      </c>
      <c r="D20" s="12" t="s">
        <v>67</v>
      </c>
      <c r="E20" s="12" t="s">
        <v>69</v>
      </c>
      <c r="F20" s="12" t="s">
        <v>341</v>
      </c>
      <c r="G20" s="13">
        <v>2722443</v>
      </c>
      <c r="H20" s="13">
        <v>737255</v>
      </c>
      <c r="I20" s="13">
        <f t="shared" si="0"/>
        <v>2927464</v>
      </c>
      <c r="J20" s="13">
        <f t="shared" si="1"/>
        <v>748909</v>
      </c>
      <c r="K20" s="20">
        <f t="shared" si="2"/>
        <v>3073344</v>
      </c>
      <c r="L20" s="20">
        <f t="shared" si="3"/>
        <v>763016</v>
      </c>
      <c r="M20" s="20">
        <f t="shared" si="4"/>
        <v>3242881</v>
      </c>
      <c r="N20" s="20">
        <f t="shared" si="5"/>
        <v>804724</v>
      </c>
      <c r="O20" s="19"/>
      <c r="Q20" s="49" t="s">
        <v>420</v>
      </c>
      <c r="R20" s="49" t="s">
        <v>493</v>
      </c>
      <c r="S20" s="46">
        <v>3100000</v>
      </c>
      <c r="T20" s="46">
        <f>780000+65000</f>
        <v>845000</v>
      </c>
      <c r="V20" t="s">
        <v>399</v>
      </c>
      <c r="W20" t="s">
        <v>399</v>
      </c>
      <c r="X20" t="s">
        <v>399</v>
      </c>
      <c r="Y20" t="s">
        <v>399</v>
      </c>
    </row>
    <row r="21" spans="1:28" x14ac:dyDescent="0.25">
      <c r="A21" s="2" t="s">
        <v>70</v>
      </c>
      <c r="B21" s="1" t="s">
        <v>14</v>
      </c>
      <c r="C21" s="12" t="s">
        <v>72</v>
      </c>
      <c r="D21" s="12" t="s">
        <v>71</v>
      </c>
      <c r="E21" s="12" t="s">
        <v>69</v>
      </c>
      <c r="F21" s="12" t="s">
        <v>341</v>
      </c>
      <c r="G21" s="13">
        <v>1298967</v>
      </c>
      <c r="H21" s="13">
        <v>0</v>
      </c>
      <c r="I21" s="13">
        <f t="shared" si="0"/>
        <v>1396789</v>
      </c>
      <c r="J21" s="13">
        <f t="shared" si="1"/>
        <v>0</v>
      </c>
      <c r="K21" s="20">
        <f t="shared" si="2"/>
        <v>1466393</v>
      </c>
      <c r="L21" s="20">
        <f t="shared" si="3"/>
        <v>0</v>
      </c>
      <c r="M21" s="20">
        <f t="shared" si="4"/>
        <v>1547284</v>
      </c>
      <c r="N21" s="20">
        <f t="shared" si="5"/>
        <v>0</v>
      </c>
      <c r="O21" s="19"/>
      <c r="Q21" s="49" t="s">
        <v>421</v>
      </c>
      <c r="R21" s="2"/>
      <c r="S21" s="46">
        <v>1600000</v>
      </c>
      <c r="T21" s="46">
        <v>0</v>
      </c>
      <c r="Z21" t="s">
        <v>399</v>
      </c>
    </row>
    <row r="22" spans="1:28" x14ac:dyDescent="0.25">
      <c r="A22" s="2" t="s">
        <v>73</v>
      </c>
      <c r="B22" s="1" t="s">
        <v>19</v>
      </c>
      <c r="C22" s="12" t="s">
        <v>75</v>
      </c>
      <c r="D22" s="12" t="s">
        <v>74</v>
      </c>
      <c r="E22" s="12" t="s">
        <v>76</v>
      </c>
      <c r="F22" s="12" t="s">
        <v>339</v>
      </c>
      <c r="G22" s="13">
        <v>598682</v>
      </c>
      <c r="H22" s="13">
        <v>0</v>
      </c>
      <c r="I22" s="13">
        <f t="shared" si="0"/>
        <v>643767</v>
      </c>
      <c r="J22" s="13">
        <f t="shared" si="1"/>
        <v>0</v>
      </c>
      <c r="K22" s="20">
        <f t="shared" si="2"/>
        <v>675847</v>
      </c>
      <c r="L22" s="20">
        <f t="shared" si="3"/>
        <v>0</v>
      </c>
      <c r="M22" s="20">
        <f t="shared" si="4"/>
        <v>713129</v>
      </c>
      <c r="N22" s="20">
        <f t="shared" si="5"/>
        <v>0</v>
      </c>
      <c r="O22" s="19"/>
      <c r="P22" t="s">
        <v>404</v>
      </c>
      <c r="Q22" s="2"/>
      <c r="R22" s="2"/>
      <c r="S22" s="47">
        <v>100000</v>
      </c>
      <c r="T22" s="46"/>
      <c r="AB22" t="s">
        <v>399</v>
      </c>
    </row>
    <row r="23" spans="1:28" x14ac:dyDescent="0.25">
      <c r="A23" s="2" t="s">
        <v>77</v>
      </c>
      <c r="B23" s="1" t="s">
        <v>8</v>
      </c>
      <c r="C23" s="12" t="s">
        <v>79</v>
      </c>
      <c r="D23" s="12" t="s">
        <v>78</v>
      </c>
      <c r="E23" s="12" t="s">
        <v>76</v>
      </c>
      <c r="F23" s="12" t="s">
        <v>339</v>
      </c>
      <c r="G23" s="13">
        <v>7038795</v>
      </c>
      <c r="H23" s="13">
        <v>1837856</v>
      </c>
      <c r="I23" s="13">
        <f t="shared" si="0"/>
        <v>7568871</v>
      </c>
      <c r="J23" s="13">
        <f t="shared" si="1"/>
        <v>1866907</v>
      </c>
      <c r="K23" s="20">
        <f t="shared" si="2"/>
        <v>7946040</v>
      </c>
      <c r="L23" s="20">
        <f t="shared" si="3"/>
        <v>1902074</v>
      </c>
      <c r="M23" s="20">
        <f t="shared" si="4"/>
        <v>8384372</v>
      </c>
      <c r="N23" s="20">
        <f t="shared" si="5"/>
        <v>2006046</v>
      </c>
      <c r="O23" s="19"/>
      <c r="Q23" s="49" t="s">
        <v>422</v>
      </c>
      <c r="R23" s="49" t="s">
        <v>494</v>
      </c>
      <c r="S23" s="46">
        <v>7665000</v>
      </c>
      <c r="T23" s="46">
        <f>1789000+185000</f>
        <v>1974000</v>
      </c>
      <c r="W23" t="s">
        <v>399</v>
      </c>
      <c r="Y23" t="s">
        <v>399</v>
      </c>
    </row>
    <row r="24" spans="1:28" x14ac:dyDescent="0.25">
      <c r="A24" s="2" t="s">
        <v>80</v>
      </c>
      <c r="B24" s="1" t="s">
        <v>8</v>
      </c>
      <c r="C24" s="12" t="s">
        <v>82</v>
      </c>
      <c r="D24" s="12" t="s">
        <v>81</v>
      </c>
      <c r="E24" s="12" t="s">
        <v>83</v>
      </c>
      <c r="F24" s="12" t="s">
        <v>342</v>
      </c>
      <c r="G24" s="13">
        <v>3403054</v>
      </c>
      <c r="H24" s="13">
        <v>675994</v>
      </c>
      <c r="I24" s="13">
        <f t="shared" si="0"/>
        <v>3659330</v>
      </c>
      <c r="J24" s="13">
        <f t="shared" si="1"/>
        <v>686679</v>
      </c>
      <c r="K24" s="20">
        <f t="shared" si="2"/>
        <v>3841680</v>
      </c>
      <c r="L24" s="20">
        <f t="shared" si="3"/>
        <v>699614</v>
      </c>
      <c r="M24" s="20">
        <f t="shared" si="4"/>
        <v>4053601</v>
      </c>
      <c r="N24" s="20">
        <f t="shared" si="5"/>
        <v>737857</v>
      </c>
      <c r="O24" s="19"/>
      <c r="Q24" s="49" t="s">
        <v>423</v>
      </c>
      <c r="R24" s="49" t="s">
        <v>495</v>
      </c>
      <c r="S24" s="46">
        <v>3895000</v>
      </c>
      <c r="T24" s="46">
        <f>708000+50000</f>
        <v>758000</v>
      </c>
      <c r="V24" t="s">
        <v>399</v>
      </c>
      <c r="W24" t="s">
        <v>399</v>
      </c>
      <c r="X24" t="s">
        <v>399</v>
      </c>
      <c r="Y24" t="s">
        <v>399</v>
      </c>
    </row>
    <row r="25" spans="1:28" x14ac:dyDescent="0.25">
      <c r="A25" s="2" t="s">
        <v>84</v>
      </c>
      <c r="B25" s="1" t="s">
        <v>8</v>
      </c>
      <c r="C25" s="12" t="s">
        <v>86</v>
      </c>
      <c r="D25" s="12" t="s">
        <v>85</v>
      </c>
      <c r="E25" s="12" t="s">
        <v>87</v>
      </c>
      <c r="F25" s="12" t="s">
        <v>339</v>
      </c>
      <c r="G25" s="13">
        <v>2704992</v>
      </c>
      <c r="H25" s="13">
        <v>621068</v>
      </c>
      <c r="I25" s="13">
        <f t="shared" si="0"/>
        <v>2908699</v>
      </c>
      <c r="J25" s="13">
        <f t="shared" si="1"/>
        <v>630885</v>
      </c>
      <c r="K25" s="20">
        <f t="shared" si="2"/>
        <v>3053644</v>
      </c>
      <c r="L25" s="20">
        <f t="shared" si="3"/>
        <v>642769</v>
      </c>
      <c r="M25" s="20">
        <f t="shared" si="4"/>
        <v>3222094</v>
      </c>
      <c r="N25" s="20">
        <f t="shared" si="5"/>
        <v>677904</v>
      </c>
      <c r="O25" s="19"/>
      <c r="Q25" s="49" t="s">
        <v>424</v>
      </c>
      <c r="R25" s="49" t="s">
        <v>496</v>
      </c>
      <c r="S25" s="46">
        <v>3275000</v>
      </c>
      <c r="T25" s="46">
        <f>618000+75000</f>
        <v>693000</v>
      </c>
      <c r="V25" t="s">
        <v>399</v>
      </c>
      <c r="W25" t="s">
        <v>399</v>
      </c>
      <c r="Y25" t="s">
        <v>399</v>
      </c>
    </row>
    <row r="26" spans="1:28" x14ac:dyDescent="0.25">
      <c r="A26" s="2" t="s">
        <v>88</v>
      </c>
      <c r="B26" s="1" t="s">
        <v>8</v>
      </c>
      <c r="C26" s="12" t="s">
        <v>90</v>
      </c>
      <c r="D26" s="12" t="s">
        <v>89</v>
      </c>
      <c r="E26" s="12" t="s">
        <v>91</v>
      </c>
      <c r="F26" s="12" t="s">
        <v>344</v>
      </c>
      <c r="G26" s="13">
        <v>2757347</v>
      </c>
      <c r="H26" s="13">
        <v>656982</v>
      </c>
      <c r="I26" s="13">
        <f t="shared" si="0"/>
        <v>2964997</v>
      </c>
      <c r="J26" s="13">
        <f t="shared" si="1"/>
        <v>667367</v>
      </c>
      <c r="K26" s="20">
        <f t="shared" si="2"/>
        <v>3112748</v>
      </c>
      <c r="L26" s="20">
        <f t="shared" si="3"/>
        <v>679938</v>
      </c>
      <c r="M26" s="20">
        <f t="shared" si="4"/>
        <v>3284458</v>
      </c>
      <c r="N26" s="20">
        <f t="shared" si="5"/>
        <v>717105</v>
      </c>
      <c r="O26" s="19"/>
      <c r="Q26" s="49" t="s">
        <v>425</v>
      </c>
      <c r="R26" s="49" t="s">
        <v>497</v>
      </c>
      <c r="S26" s="46">
        <v>3080000</v>
      </c>
      <c r="T26" s="46">
        <f>630000+60000</f>
        <v>690000</v>
      </c>
      <c r="V26" t="s">
        <v>399</v>
      </c>
      <c r="W26" t="s">
        <v>399</v>
      </c>
      <c r="X26" t="s">
        <v>399</v>
      </c>
      <c r="Y26" t="s">
        <v>399</v>
      </c>
    </row>
    <row r="27" spans="1:28" x14ac:dyDescent="0.25">
      <c r="A27" s="2" t="s">
        <v>92</v>
      </c>
      <c r="B27" s="1" t="s">
        <v>14</v>
      </c>
      <c r="C27" s="12" t="s">
        <v>93</v>
      </c>
      <c r="D27" s="12" t="s">
        <v>359</v>
      </c>
      <c r="E27" s="12" t="s">
        <v>234</v>
      </c>
      <c r="F27" s="12" t="s">
        <v>339</v>
      </c>
      <c r="G27" s="13">
        <v>622439</v>
      </c>
      <c r="H27" s="13">
        <v>0</v>
      </c>
      <c r="I27" s="13">
        <f t="shared" si="0"/>
        <v>669313</v>
      </c>
      <c r="J27" s="13">
        <f t="shared" si="1"/>
        <v>0</v>
      </c>
      <c r="K27" s="20">
        <f t="shared" si="2"/>
        <v>702666</v>
      </c>
      <c r="L27" s="20">
        <f t="shared" si="3"/>
        <v>0</v>
      </c>
      <c r="M27" s="20">
        <f t="shared" si="4"/>
        <v>741428</v>
      </c>
      <c r="N27" s="20">
        <f t="shared" si="5"/>
        <v>0</v>
      </c>
      <c r="O27" s="19"/>
      <c r="Q27" s="49" t="s">
        <v>426</v>
      </c>
      <c r="R27" s="2"/>
      <c r="S27" s="46">
        <v>690000</v>
      </c>
      <c r="T27" s="46">
        <v>0</v>
      </c>
    </row>
    <row r="28" spans="1:28" x14ac:dyDescent="0.25">
      <c r="A28" s="2" t="s">
        <v>95</v>
      </c>
      <c r="B28" s="1" t="s">
        <v>8</v>
      </c>
      <c r="C28" s="12" t="s">
        <v>97</v>
      </c>
      <c r="D28" s="12" t="s">
        <v>96</v>
      </c>
      <c r="E28" s="12" t="s">
        <v>98</v>
      </c>
      <c r="F28" s="12" t="s">
        <v>339</v>
      </c>
      <c r="G28" s="13">
        <v>2286154</v>
      </c>
      <c r="H28" s="13">
        <v>783728</v>
      </c>
      <c r="I28" s="13">
        <f t="shared" si="0"/>
        <v>2458319</v>
      </c>
      <c r="J28" s="13">
        <f t="shared" si="1"/>
        <v>796116</v>
      </c>
      <c r="K28" s="20">
        <f t="shared" si="2"/>
        <v>2580821</v>
      </c>
      <c r="L28" s="20">
        <f t="shared" si="3"/>
        <v>811112</v>
      </c>
      <c r="M28" s="20">
        <f t="shared" si="4"/>
        <v>2723188</v>
      </c>
      <c r="N28" s="20">
        <f t="shared" si="5"/>
        <v>855449</v>
      </c>
      <c r="O28" s="19"/>
      <c r="Q28" s="49" t="s">
        <v>427</v>
      </c>
      <c r="R28" s="49" t="s">
        <v>498</v>
      </c>
      <c r="S28" s="46">
        <v>2475000</v>
      </c>
      <c r="T28" s="46">
        <f>793000+60000</f>
        <v>853000</v>
      </c>
      <c r="V28" t="s">
        <v>399</v>
      </c>
      <c r="W28" t="s">
        <v>399</v>
      </c>
      <c r="Y28" t="s">
        <v>399</v>
      </c>
    </row>
    <row r="29" spans="1:28" x14ac:dyDescent="0.25">
      <c r="A29" s="2" t="s">
        <v>99</v>
      </c>
      <c r="B29" s="1" t="s">
        <v>8</v>
      </c>
      <c r="C29" s="12" t="s">
        <v>100</v>
      </c>
      <c r="D29" s="12" t="s">
        <v>96</v>
      </c>
      <c r="E29" s="12" t="s">
        <v>98</v>
      </c>
      <c r="F29" s="12" t="s">
        <v>339</v>
      </c>
      <c r="G29" s="13">
        <v>191966</v>
      </c>
      <c r="H29" s="13">
        <v>0</v>
      </c>
      <c r="I29" s="13">
        <f t="shared" si="0"/>
        <v>206423</v>
      </c>
      <c r="J29" s="13">
        <f t="shared" si="1"/>
        <v>0</v>
      </c>
      <c r="K29" s="20">
        <f t="shared" si="2"/>
        <v>216709</v>
      </c>
      <c r="L29" s="20">
        <f t="shared" si="3"/>
        <v>0</v>
      </c>
      <c r="M29" s="20">
        <f t="shared" si="4"/>
        <v>228663</v>
      </c>
      <c r="N29" s="20">
        <f t="shared" si="5"/>
        <v>0</v>
      </c>
      <c r="O29" s="19"/>
      <c r="Q29" s="49" t="s">
        <v>428</v>
      </c>
      <c r="R29" s="2"/>
      <c r="S29" s="46">
        <v>215000</v>
      </c>
      <c r="T29" s="46"/>
    </row>
    <row r="30" spans="1:28" x14ac:dyDescent="0.25">
      <c r="A30" s="2" t="s">
        <v>101</v>
      </c>
      <c r="B30" s="1" t="s">
        <v>8</v>
      </c>
      <c r="C30" s="12" t="s">
        <v>103</v>
      </c>
      <c r="D30" s="12" t="s">
        <v>102</v>
      </c>
      <c r="E30" s="12" t="s">
        <v>98</v>
      </c>
      <c r="F30" s="12" t="s">
        <v>339</v>
      </c>
      <c r="G30" s="13">
        <v>205101</v>
      </c>
      <c r="H30" s="13">
        <v>0</v>
      </c>
      <c r="I30" s="13">
        <f t="shared" si="0"/>
        <v>220547</v>
      </c>
      <c r="J30" s="13">
        <f t="shared" si="1"/>
        <v>0</v>
      </c>
      <c r="K30" s="20">
        <f t="shared" si="2"/>
        <v>231537</v>
      </c>
      <c r="L30" s="20">
        <f t="shared" si="3"/>
        <v>0</v>
      </c>
      <c r="M30" s="20">
        <f t="shared" si="4"/>
        <v>244309</v>
      </c>
      <c r="N30" s="20">
        <f t="shared" si="5"/>
        <v>0</v>
      </c>
      <c r="O30" s="19"/>
      <c r="P30" t="s">
        <v>405</v>
      </c>
      <c r="R30" s="2"/>
      <c r="S30" s="47">
        <v>0</v>
      </c>
      <c r="T30" s="47">
        <v>0</v>
      </c>
    </row>
    <row r="31" spans="1:28" x14ac:dyDescent="0.25">
      <c r="A31" s="2" t="s">
        <v>104</v>
      </c>
      <c r="B31" s="1" t="s">
        <v>8</v>
      </c>
      <c r="C31" s="12" t="s">
        <v>106</v>
      </c>
      <c r="D31" s="12" t="s">
        <v>105</v>
      </c>
      <c r="E31" s="12" t="s">
        <v>98</v>
      </c>
      <c r="F31" s="12" t="s">
        <v>339</v>
      </c>
      <c r="G31" s="13">
        <v>9749604</v>
      </c>
      <c r="H31" s="13">
        <v>3510939</v>
      </c>
      <c r="I31" s="13">
        <f t="shared" si="0"/>
        <v>10483825</v>
      </c>
      <c r="J31" s="13">
        <f t="shared" si="1"/>
        <v>3566436</v>
      </c>
      <c r="K31" s="20">
        <f t="shared" si="2"/>
        <v>11006251</v>
      </c>
      <c r="L31" s="20">
        <f t="shared" si="3"/>
        <v>3633617</v>
      </c>
      <c r="M31" s="20">
        <f t="shared" si="4"/>
        <v>11613395</v>
      </c>
      <c r="N31" s="20">
        <f t="shared" si="5"/>
        <v>3832239</v>
      </c>
      <c r="O31" s="19"/>
      <c r="Q31" s="49" t="s">
        <v>429</v>
      </c>
      <c r="R31" s="49" t="s">
        <v>499</v>
      </c>
      <c r="S31" s="46">
        <v>12600000</v>
      </c>
      <c r="T31" s="46">
        <f>3405000+250000</f>
        <v>3655000</v>
      </c>
      <c r="W31" t="s">
        <v>399</v>
      </c>
      <c r="Y31" t="s">
        <v>399</v>
      </c>
      <c r="Z31" t="s">
        <v>399</v>
      </c>
    </row>
    <row r="32" spans="1:28" x14ac:dyDescent="0.25">
      <c r="A32" s="2" t="s">
        <v>107</v>
      </c>
      <c r="B32" s="1" t="s">
        <v>19</v>
      </c>
      <c r="C32" s="12" t="s">
        <v>108</v>
      </c>
      <c r="D32" s="12" t="s">
        <v>105</v>
      </c>
      <c r="E32" s="12" t="s">
        <v>98</v>
      </c>
      <c r="F32" s="12" t="s">
        <v>339</v>
      </c>
      <c r="G32" s="13">
        <v>1483382</v>
      </c>
      <c r="H32" s="13">
        <v>0</v>
      </c>
      <c r="I32" s="13">
        <f t="shared" si="0"/>
        <v>1595092</v>
      </c>
      <c r="J32" s="13">
        <f t="shared" si="1"/>
        <v>0</v>
      </c>
      <c r="K32" s="20">
        <f t="shared" si="2"/>
        <v>1674578</v>
      </c>
      <c r="L32" s="20">
        <f t="shared" si="3"/>
        <v>0</v>
      </c>
      <c r="M32" s="20">
        <f t="shared" si="4"/>
        <v>1766954</v>
      </c>
      <c r="N32" s="20">
        <f t="shared" si="5"/>
        <v>0</v>
      </c>
      <c r="O32" s="19"/>
      <c r="Q32" s="49" t="s">
        <v>430</v>
      </c>
      <c r="R32" s="2"/>
      <c r="S32" s="46">
        <v>1650000</v>
      </c>
      <c r="T32" s="46">
        <v>0</v>
      </c>
    </row>
    <row r="33" spans="1:30" x14ac:dyDescent="0.25">
      <c r="A33" s="2" t="s">
        <v>109</v>
      </c>
      <c r="B33" s="1" t="s">
        <v>8</v>
      </c>
      <c r="C33" s="12" t="s">
        <v>111</v>
      </c>
      <c r="D33" s="12" t="s">
        <v>110</v>
      </c>
      <c r="E33" s="12" t="s">
        <v>112</v>
      </c>
      <c r="F33" s="12" t="s">
        <v>339</v>
      </c>
      <c r="G33" s="13">
        <v>3292528</v>
      </c>
      <c r="H33" s="13">
        <v>521782</v>
      </c>
      <c r="I33" s="13">
        <f t="shared" si="0"/>
        <v>3540481</v>
      </c>
      <c r="J33" s="13">
        <f t="shared" si="1"/>
        <v>530030</v>
      </c>
      <c r="K33" s="20">
        <f t="shared" si="2"/>
        <v>3716909</v>
      </c>
      <c r="L33" s="20">
        <f t="shared" si="3"/>
        <v>540014</v>
      </c>
      <c r="M33" s="20">
        <f t="shared" si="4"/>
        <v>3921947</v>
      </c>
      <c r="N33" s="20">
        <f t="shared" si="5"/>
        <v>569532</v>
      </c>
      <c r="O33" s="19"/>
      <c r="Q33" s="49" t="s">
        <v>431</v>
      </c>
      <c r="R33" s="49" t="s">
        <v>500</v>
      </c>
      <c r="S33" s="46">
        <v>3600000</v>
      </c>
      <c r="T33" s="46">
        <f>534000+40000</f>
        <v>574000</v>
      </c>
      <c r="W33" t="s">
        <v>399</v>
      </c>
      <c r="Y33" t="s">
        <v>399</v>
      </c>
    </row>
    <row r="34" spans="1:30" x14ac:dyDescent="0.25">
      <c r="A34" s="2" t="s">
        <v>113</v>
      </c>
      <c r="B34" s="1" t="s">
        <v>8</v>
      </c>
      <c r="C34" s="12" t="s">
        <v>115</v>
      </c>
      <c r="D34" s="12" t="s">
        <v>114</v>
      </c>
      <c r="E34" s="12" t="s">
        <v>116</v>
      </c>
      <c r="F34" s="12" t="s">
        <v>339</v>
      </c>
      <c r="G34" s="13">
        <v>3344882</v>
      </c>
      <c r="H34" s="13">
        <v>1060463</v>
      </c>
      <c r="I34" s="13">
        <f t="shared" si="0"/>
        <v>3596778</v>
      </c>
      <c r="J34" s="13">
        <f t="shared" si="1"/>
        <v>1077226</v>
      </c>
      <c r="K34" s="20">
        <f t="shared" si="2"/>
        <v>3776011</v>
      </c>
      <c r="L34" s="20">
        <f t="shared" si="3"/>
        <v>1097518</v>
      </c>
      <c r="M34" s="20">
        <f t="shared" si="4"/>
        <v>3984309</v>
      </c>
      <c r="N34" s="20">
        <f t="shared" si="5"/>
        <v>1157511</v>
      </c>
      <c r="O34" s="19"/>
      <c r="Q34" s="49" t="s">
        <v>432</v>
      </c>
      <c r="R34" s="49" t="s">
        <v>501</v>
      </c>
      <c r="S34" s="46">
        <v>3745000</v>
      </c>
      <c r="T34" s="46">
        <f>1065000+90000</f>
        <v>1155000</v>
      </c>
      <c r="V34" t="s">
        <v>401</v>
      </c>
      <c r="W34" t="s">
        <v>399</v>
      </c>
      <c r="X34" t="s">
        <v>399</v>
      </c>
      <c r="Y34" t="s">
        <v>399</v>
      </c>
    </row>
    <row r="35" spans="1:30" x14ac:dyDescent="0.25">
      <c r="A35" s="2" t="s">
        <v>117</v>
      </c>
      <c r="B35" s="1" t="s">
        <v>14</v>
      </c>
      <c r="C35" s="12" t="s">
        <v>22</v>
      </c>
      <c r="D35" s="12" t="s">
        <v>118</v>
      </c>
      <c r="E35" s="12" t="s">
        <v>119</v>
      </c>
      <c r="F35" s="12" t="s">
        <v>342</v>
      </c>
      <c r="G35" s="13">
        <v>459557</v>
      </c>
      <c r="H35" s="13">
        <v>0</v>
      </c>
      <c r="I35" s="13">
        <f t="shared" si="0"/>
        <v>494165</v>
      </c>
      <c r="J35" s="13">
        <f t="shared" si="1"/>
        <v>0</v>
      </c>
      <c r="K35" s="20">
        <f t="shared" si="2"/>
        <v>518790</v>
      </c>
      <c r="L35" s="20">
        <f t="shared" si="3"/>
        <v>0</v>
      </c>
      <c r="M35" s="20">
        <f t="shared" si="4"/>
        <v>547408</v>
      </c>
      <c r="N35" s="20">
        <f t="shared" si="5"/>
        <v>0</v>
      </c>
      <c r="O35" s="19"/>
      <c r="Q35" s="49" t="s">
        <v>433</v>
      </c>
      <c r="R35" s="2"/>
      <c r="S35" s="46">
        <v>515000</v>
      </c>
      <c r="T35" s="46">
        <v>0</v>
      </c>
      <c r="Z35" t="s">
        <v>399</v>
      </c>
    </row>
    <row r="36" spans="1:30" x14ac:dyDescent="0.25">
      <c r="A36" s="2" t="s">
        <v>120</v>
      </c>
      <c r="B36" s="1" t="s">
        <v>14</v>
      </c>
      <c r="C36" s="12" t="s">
        <v>122</v>
      </c>
      <c r="D36" s="12" t="s">
        <v>121</v>
      </c>
      <c r="E36" s="12" t="s">
        <v>123</v>
      </c>
      <c r="F36" s="12" t="s">
        <v>339</v>
      </c>
      <c r="G36" s="13">
        <v>1162234</v>
      </c>
      <c r="H36" s="13">
        <v>0</v>
      </c>
      <c r="I36" s="13">
        <f t="shared" si="0"/>
        <v>1249759</v>
      </c>
      <c r="J36" s="13">
        <f t="shared" si="1"/>
        <v>0</v>
      </c>
      <c r="K36" s="20">
        <f t="shared" si="2"/>
        <v>1312037</v>
      </c>
      <c r="L36" s="20">
        <f t="shared" si="3"/>
        <v>0</v>
      </c>
      <c r="M36" s="20">
        <f t="shared" si="4"/>
        <v>1384414</v>
      </c>
      <c r="N36" s="20">
        <f t="shared" si="5"/>
        <v>0</v>
      </c>
      <c r="O36" s="19"/>
      <c r="Q36" s="49" t="s">
        <v>434</v>
      </c>
      <c r="R36" s="2"/>
      <c r="S36" s="46">
        <v>1425000</v>
      </c>
      <c r="T36" s="46">
        <v>0</v>
      </c>
      <c r="Z36" t="s">
        <v>399</v>
      </c>
    </row>
    <row r="37" spans="1:30" x14ac:dyDescent="0.25">
      <c r="A37" s="2" t="s">
        <v>124</v>
      </c>
      <c r="B37" s="1" t="s">
        <v>14</v>
      </c>
      <c r="C37" s="12" t="s">
        <v>348</v>
      </c>
      <c r="D37" s="12" t="s">
        <v>125</v>
      </c>
      <c r="E37" s="12" t="s">
        <v>126</v>
      </c>
      <c r="F37" s="12" t="s">
        <v>342</v>
      </c>
      <c r="G37" s="13">
        <v>389753</v>
      </c>
      <c r="H37" s="13">
        <v>0</v>
      </c>
      <c r="I37" s="13">
        <f t="shared" si="0"/>
        <v>419104</v>
      </c>
      <c r="J37" s="13">
        <f t="shared" si="1"/>
        <v>0</v>
      </c>
      <c r="K37" s="20">
        <f t="shared" si="2"/>
        <v>439989</v>
      </c>
      <c r="L37" s="20">
        <f t="shared" si="3"/>
        <v>0</v>
      </c>
      <c r="M37" s="20">
        <f t="shared" si="4"/>
        <v>464260</v>
      </c>
      <c r="N37" s="20">
        <f t="shared" si="5"/>
        <v>0</v>
      </c>
      <c r="O37" s="19"/>
      <c r="Q37" s="49" t="s">
        <v>435</v>
      </c>
      <c r="R37" s="2"/>
      <c r="S37" s="46">
        <v>430000</v>
      </c>
      <c r="T37" s="46"/>
      <c r="W37" t="s">
        <v>399</v>
      </c>
    </row>
    <row r="38" spans="1:30" x14ac:dyDescent="0.25">
      <c r="A38" s="2" t="s">
        <v>127</v>
      </c>
      <c r="B38" s="1" t="s">
        <v>8</v>
      </c>
      <c r="C38" s="12" t="s">
        <v>129</v>
      </c>
      <c r="D38" s="12" t="s">
        <v>128</v>
      </c>
      <c r="E38" s="12" t="s">
        <v>130</v>
      </c>
      <c r="F38" s="12" t="s">
        <v>339</v>
      </c>
      <c r="G38" s="13">
        <v>0</v>
      </c>
      <c r="H38" s="13">
        <v>1218899</v>
      </c>
      <c r="I38" s="13">
        <f t="shared" si="0"/>
        <v>0</v>
      </c>
      <c r="J38" s="13">
        <f t="shared" si="1"/>
        <v>1238166</v>
      </c>
      <c r="K38" s="20">
        <f t="shared" si="2"/>
        <v>0</v>
      </c>
      <c r="L38" s="20">
        <f t="shared" si="3"/>
        <v>1261489</v>
      </c>
      <c r="M38" s="20">
        <f t="shared" si="4"/>
        <v>0</v>
      </c>
      <c r="N38" s="20">
        <f t="shared" si="5"/>
        <v>1330445</v>
      </c>
      <c r="O38" s="19"/>
      <c r="R38" s="49" t="s">
        <v>502</v>
      </c>
      <c r="S38" s="46">
        <v>0</v>
      </c>
      <c r="T38" s="46">
        <f>1257000+80000</f>
        <v>1337000</v>
      </c>
    </row>
    <row r="39" spans="1:30" x14ac:dyDescent="0.25">
      <c r="A39" s="2" t="s">
        <v>131</v>
      </c>
      <c r="B39" s="1" t="s">
        <v>14</v>
      </c>
      <c r="C39" s="12" t="s">
        <v>133</v>
      </c>
      <c r="D39" s="12" t="s">
        <v>132</v>
      </c>
      <c r="E39" s="12" t="s">
        <v>134</v>
      </c>
      <c r="F39" s="12" t="s">
        <v>339</v>
      </c>
      <c r="G39" s="13">
        <v>273465</v>
      </c>
      <c r="H39" s="13">
        <v>0</v>
      </c>
      <c r="I39" s="13">
        <f t="shared" si="0"/>
        <v>294059</v>
      </c>
      <c r="J39" s="13">
        <f t="shared" si="1"/>
        <v>0</v>
      </c>
      <c r="K39" s="20">
        <f t="shared" si="2"/>
        <v>308712</v>
      </c>
      <c r="L39" s="20">
        <f t="shared" si="3"/>
        <v>0</v>
      </c>
      <c r="M39" s="20">
        <f t="shared" si="4"/>
        <v>325742</v>
      </c>
      <c r="N39" s="20">
        <f t="shared" si="5"/>
        <v>0</v>
      </c>
      <c r="O39" s="19"/>
      <c r="Q39" s="2"/>
      <c r="R39" s="2"/>
      <c r="S39" s="47">
        <v>308712</v>
      </c>
      <c r="T39" s="46"/>
    </row>
    <row r="40" spans="1:30" x14ac:dyDescent="0.25">
      <c r="A40" s="2" t="s">
        <v>135</v>
      </c>
      <c r="B40" s="1" t="s">
        <v>14</v>
      </c>
      <c r="C40" s="12" t="s">
        <v>137</v>
      </c>
      <c r="D40" s="12" t="s">
        <v>136</v>
      </c>
      <c r="E40" s="12" t="s">
        <v>138</v>
      </c>
      <c r="F40" s="12" t="s">
        <v>339</v>
      </c>
      <c r="G40" s="13">
        <v>779503</v>
      </c>
      <c r="H40" s="13">
        <v>0</v>
      </c>
      <c r="I40" s="13">
        <f t="shared" si="0"/>
        <v>838206</v>
      </c>
      <c r="J40" s="13">
        <f t="shared" si="1"/>
        <v>0</v>
      </c>
      <c r="K40" s="20">
        <f t="shared" si="2"/>
        <v>879975</v>
      </c>
      <c r="L40" s="20">
        <f t="shared" si="3"/>
        <v>0</v>
      </c>
      <c r="M40" s="20">
        <f t="shared" si="4"/>
        <v>928518</v>
      </c>
      <c r="N40" s="20">
        <f t="shared" si="5"/>
        <v>0</v>
      </c>
      <c r="O40" s="19"/>
      <c r="Q40" s="49" t="s">
        <v>436</v>
      </c>
      <c r="R40" s="2"/>
      <c r="S40" s="46">
        <v>850000</v>
      </c>
      <c r="T40" s="46"/>
    </row>
    <row r="41" spans="1:30" x14ac:dyDescent="0.25">
      <c r="A41" s="2" t="s">
        <v>139</v>
      </c>
      <c r="B41" s="1" t="s">
        <v>14</v>
      </c>
      <c r="C41" s="12" t="s">
        <v>141</v>
      </c>
      <c r="D41" s="12" t="s">
        <v>140</v>
      </c>
      <c r="E41" s="12" t="s">
        <v>142</v>
      </c>
      <c r="F41" s="12" t="s">
        <v>341</v>
      </c>
      <c r="G41" s="13">
        <v>40720</v>
      </c>
      <c r="H41" s="13">
        <v>426720</v>
      </c>
      <c r="I41" s="13">
        <f t="shared" si="0"/>
        <v>43787</v>
      </c>
      <c r="J41" s="13">
        <f t="shared" si="1"/>
        <v>433465</v>
      </c>
      <c r="K41" s="20">
        <f t="shared" si="2"/>
        <v>45969</v>
      </c>
      <c r="L41" s="20">
        <f t="shared" si="3"/>
        <v>441630</v>
      </c>
      <c r="M41" s="20">
        <f t="shared" si="4"/>
        <v>48505</v>
      </c>
      <c r="N41" s="20">
        <f t="shared" si="5"/>
        <v>465771</v>
      </c>
      <c r="O41" s="19"/>
      <c r="Q41" s="49" t="s">
        <v>437</v>
      </c>
      <c r="R41" s="49" t="s">
        <v>503</v>
      </c>
      <c r="S41" s="46">
        <v>65000</v>
      </c>
      <c r="T41" s="46">
        <f>128000+55000</f>
        <v>183000</v>
      </c>
    </row>
    <row r="42" spans="1:30" x14ac:dyDescent="0.25">
      <c r="A42" s="2" t="s">
        <v>145</v>
      </c>
      <c r="B42" s="1" t="s">
        <v>27</v>
      </c>
      <c r="C42" s="12" t="s">
        <v>147</v>
      </c>
      <c r="D42" s="12" t="s">
        <v>146</v>
      </c>
      <c r="E42" s="12" t="s">
        <v>148</v>
      </c>
      <c r="F42" s="12" t="s">
        <v>339</v>
      </c>
      <c r="G42" s="13">
        <v>9466</v>
      </c>
      <c r="H42" s="13">
        <v>8291</v>
      </c>
      <c r="I42" s="13">
        <f t="shared" si="0"/>
        <v>10179</v>
      </c>
      <c r="J42" s="13">
        <f t="shared" si="1"/>
        <v>8422</v>
      </c>
      <c r="K42" s="20">
        <f t="shared" si="2"/>
        <v>10686</v>
      </c>
      <c r="L42" s="20">
        <f t="shared" si="3"/>
        <v>8581</v>
      </c>
      <c r="M42" s="20">
        <f t="shared" si="4"/>
        <v>11275</v>
      </c>
      <c r="N42" s="20">
        <f t="shared" si="5"/>
        <v>9050</v>
      </c>
      <c r="O42" s="19"/>
      <c r="Q42" s="2"/>
      <c r="S42" s="46">
        <v>0</v>
      </c>
      <c r="T42" s="46">
        <v>0</v>
      </c>
    </row>
    <row r="43" spans="1:30" x14ac:dyDescent="0.25">
      <c r="A43" s="2" t="s">
        <v>149</v>
      </c>
      <c r="B43" s="1" t="s">
        <v>144</v>
      </c>
      <c r="C43" s="12" t="s">
        <v>151</v>
      </c>
      <c r="D43" s="12" t="s">
        <v>150</v>
      </c>
      <c r="E43" s="12" t="s">
        <v>152</v>
      </c>
      <c r="F43" s="12" t="s">
        <v>344</v>
      </c>
      <c r="G43" s="13">
        <v>220878</v>
      </c>
      <c r="H43" s="13">
        <v>0</v>
      </c>
      <c r="I43" s="13">
        <f t="shared" si="0"/>
        <v>237512</v>
      </c>
      <c r="J43" s="13">
        <f t="shared" si="1"/>
        <v>0</v>
      </c>
      <c r="K43" s="20">
        <f t="shared" si="2"/>
        <v>249348</v>
      </c>
      <c r="L43" s="20">
        <f t="shared" si="3"/>
        <v>0</v>
      </c>
      <c r="M43" s="20">
        <f t="shared" si="4"/>
        <v>263103</v>
      </c>
      <c r="N43" s="20">
        <f t="shared" si="5"/>
        <v>0</v>
      </c>
      <c r="O43" s="19"/>
      <c r="Q43" s="49" t="s">
        <v>438</v>
      </c>
      <c r="R43" s="2"/>
      <c r="S43" s="46">
        <v>350000</v>
      </c>
      <c r="T43" s="46"/>
    </row>
    <row r="44" spans="1:30" x14ac:dyDescent="0.25">
      <c r="A44" s="2" t="s">
        <v>153</v>
      </c>
      <c r="B44" s="1" t="s">
        <v>14</v>
      </c>
      <c r="C44" s="12" t="s">
        <v>155</v>
      </c>
      <c r="D44" s="12" t="s">
        <v>154</v>
      </c>
      <c r="E44" s="12" t="s">
        <v>347</v>
      </c>
      <c r="F44" s="12" t="s">
        <v>343</v>
      </c>
      <c r="G44" s="13">
        <v>89402</v>
      </c>
      <c r="H44" s="13">
        <v>0</v>
      </c>
      <c r="I44" s="13">
        <f t="shared" si="0"/>
        <v>96135</v>
      </c>
      <c r="J44" s="13">
        <f t="shared" si="1"/>
        <v>0</v>
      </c>
      <c r="K44" s="20">
        <f t="shared" si="2"/>
        <v>100926</v>
      </c>
      <c r="L44" s="20">
        <f t="shared" si="3"/>
        <v>0</v>
      </c>
      <c r="M44" s="20">
        <f t="shared" si="4"/>
        <v>106493</v>
      </c>
      <c r="N44" s="20">
        <f t="shared" si="5"/>
        <v>0</v>
      </c>
      <c r="O44" s="19"/>
      <c r="Q44" s="2"/>
      <c r="R44" s="2"/>
      <c r="S44" s="47">
        <v>100926</v>
      </c>
      <c r="T44" s="46"/>
    </row>
    <row r="45" spans="1:30" x14ac:dyDescent="0.25">
      <c r="A45" s="2" t="s">
        <v>156</v>
      </c>
      <c r="B45" s="1" t="s">
        <v>14</v>
      </c>
      <c r="C45" s="12" t="s">
        <v>158</v>
      </c>
      <c r="D45" s="12" t="s">
        <v>157</v>
      </c>
      <c r="E45" s="12" t="s">
        <v>159</v>
      </c>
      <c r="F45" s="12" t="s">
        <v>341</v>
      </c>
      <c r="G45" s="13">
        <v>1803328</v>
      </c>
      <c r="H45" s="13">
        <v>0</v>
      </c>
      <c r="I45" s="13">
        <f t="shared" si="0"/>
        <v>1939133</v>
      </c>
      <c r="J45" s="13">
        <f t="shared" si="1"/>
        <v>0</v>
      </c>
      <c r="K45" s="20">
        <f t="shared" si="2"/>
        <v>2035763</v>
      </c>
      <c r="L45" s="20">
        <f t="shared" si="3"/>
        <v>0</v>
      </c>
      <c r="M45" s="20">
        <f t="shared" si="4"/>
        <v>2148063</v>
      </c>
      <c r="N45" s="20">
        <f t="shared" si="5"/>
        <v>0</v>
      </c>
      <c r="O45" s="19"/>
      <c r="Q45" s="49" t="s">
        <v>439</v>
      </c>
      <c r="R45" s="2"/>
      <c r="S45" s="46">
        <v>1985000</v>
      </c>
      <c r="T45" s="46"/>
      <c r="W45" t="s">
        <v>399</v>
      </c>
    </row>
    <row r="46" spans="1:30" x14ac:dyDescent="0.25">
      <c r="A46" s="2" t="s">
        <v>160</v>
      </c>
      <c r="B46" s="1" t="s">
        <v>14</v>
      </c>
      <c r="C46" s="12" t="s">
        <v>162</v>
      </c>
      <c r="D46" s="12" t="s">
        <v>161</v>
      </c>
      <c r="E46" s="12" t="s">
        <v>46</v>
      </c>
      <c r="F46" s="12" t="s">
        <v>345</v>
      </c>
      <c r="G46" s="13">
        <v>1937123</v>
      </c>
      <c r="H46" s="13">
        <v>0</v>
      </c>
      <c r="I46" s="13">
        <f t="shared" si="0"/>
        <v>2083003</v>
      </c>
      <c r="J46" s="13">
        <f t="shared" si="1"/>
        <v>0</v>
      </c>
      <c r="K46" s="20">
        <f t="shared" si="2"/>
        <v>2186802</v>
      </c>
      <c r="L46" s="20">
        <f t="shared" si="3"/>
        <v>0</v>
      </c>
      <c r="M46" s="20">
        <f t="shared" si="4"/>
        <v>2307434</v>
      </c>
      <c r="N46" s="20">
        <f t="shared" si="5"/>
        <v>0</v>
      </c>
      <c r="O46" s="19"/>
      <c r="Q46" s="49" t="s">
        <v>440</v>
      </c>
      <c r="R46" s="2"/>
      <c r="S46" s="46">
        <v>2125000</v>
      </c>
      <c r="T46" s="46"/>
      <c r="W46" t="s">
        <v>399</v>
      </c>
      <c r="X46" t="s">
        <v>399</v>
      </c>
    </row>
    <row r="47" spans="1:30" x14ac:dyDescent="0.25">
      <c r="A47" s="2" t="s">
        <v>163</v>
      </c>
      <c r="B47" s="1" t="s">
        <v>14</v>
      </c>
      <c r="C47" s="34" t="s">
        <v>379</v>
      </c>
      <c r="D47" s="12" t="s">
        <v>164</v>
      </c>
      <c r="E47" s="12" t="s">
        <v>165</v>
      </c>
      <c r="F47" s="12" t="s">
        <v>339</v>
      </c>
      <c r="G47" s="13">
        <v>9384445</v>
      </c>
      <c r="H47" s="13">
        <v>313498</v>
      </c>
      <c r="I47" s="33">
        <f>ROUND(G47/138.1*148.5,0)+65000</f>
        <v>10156166</v>
      </c>
      <c r="J47" s="13">
        <f t="shared" si="1"/>
        <v>318453</v>
      </c>
      <c r="K47" s="20">
        <f t="shared" si="2"/>
        <v>10662265</v>
      </c>
      <c r="L47" s="20">
        <f t="shared" si="3"/>
        <v>324452</v>
      </c>
      <c r="M47" s="20">
        <f t="shared" si="4"/>
        <v>11250434</v>
      </c>
      <c r="N47" s="20">
        <f t="shared" si="5"/>
        <v>342187</v>
      </c>
      <c r="O47" s="19"/>
      <c r="Q47" s="49" t="s">
        <v>441</v>
      </c>
      <c r="R47" s="2"/>
      <c r="S47" s="46">
        <v>10325000</v>
      </c>
      <c r="T47" s="46">
        <v>0</v>
      </c>
      <c r="V47" t="s">
        <v>402</v>
      </c>
      <c r="W47" t="s">
        <v>399</v>
      </c>
      <c r="Y47" t="s">
        <v>399</v>
      </c>
      <c r="Z47" t="s">
        <v>399</v>
      </c>
      <c r="AC47" t="s">
        <v>403</v>
      </c>
    </row>
    <row r="48" spans="1:30" x14ac:dyDescent="0.25">
      <c r="A48" s="2" t="s">
        <v>166</v>
      </c>
      <c r="B48" s="1" t="s">
        <v>144</v>
      </c>
      <c r="C48" s="12" t="s">
        <v>143</v>
      </c>
      <c r="D48" s="12" t="s">
        <v>167</v>
      </c>
      <c r="E48" s="12" t="s">
        <v>168</v>
      </c>
      <c r="F48" s="12" t="s">
        <v>339</v>
      </c>
      <c r="G48" s="13">
        <v>407204</v>
      </c>
      <c r="H48" s="13">
        <v>0</v>
      </c>
      <c r="I48" s="13">
        <f t="shared" si="0"/>
        <v>437870</v>
      </c>
      <c r="J48" s="13">
        <f t="shared" si="1"/>
        <v>0</v>
      </c>
      <c r="K48" s="20">
        <f t="shared" si="2"/>
        <v>459690</v>
      </c>
      <c r="L48" s="20">
        <f t="shared" si="3"/>
        <v>0</v>
      </c>
      <c r="M48" s="20">
        <f t="shared" si="4"/>
        <v>485048</v>
      </c>
      <c r="N48" s="20">
        <f t="shared" si="5"/>
        <v>0</v>
      </c>
      <c r="O48" s="19"/>
      <c r="Q48" s="49" t="s">
        <v>442</v>
      </c>
      <c r="R48" s="2"/>
      <c r="S48" s="46">
        <v>475000</v>
      </c>
      <c r="T48" s="46"/>
      <c r="AD48" t="s">
        <v>399</v>
      </c>
    </row>
    <row r="49" spans="1:30" x14ac:dyDescent="0.25">
      <c r="A49" s="2" t="s">
        <v>169</v>
      </c>
      <c r="B49" s="1" t="s">
        <v>144</v>
      </c>
      <c r="C49" s="12" t="s">
        <v>171</v>
      </c>
      <c r="D49" s="12" t="s">
        <v>170</v>
      </c>
      <c r="E49" s="12" t="s">
        <v>168</v>
      </c>
      <c r="F49" s="12" t="s">
        <v>339</v>
      </c>
      <c r="G49" s="13">
        <v>407204</v>
      </c>
      <c r="H49" s="13">
        <v>0</v>
      </c>
      <c r="I49" s="13">
        <f t="shared" si="0"/>
        <v>437870</v>
      </c>
      <c r="J49" s="13">
        <f t="shared" si="1"/>
        <v>0</v>
      </c>
      <c r="K49" s="20">
        <f t="shared" si="2"/>
        <v>459690</v>
      </c>
      <c r="L49" s="20">
        <f t="shared" si="3"/>
        <v>0</v>
      </c>
      <c r="M49" s="20">
        <f t="shared" si="4"/>
        <v>485048</v>
      </c>
      <c r="N49" s="20">
        <f t="shared" si="5"/>
        <v>0</v>
      </c>
      <c r="O49" s="19"/>
      <c r="Q49" s="49" t="s">
        <v>443</v>
      </c>
      <c r="R49" s="2"/>
      <c r="S49" s="46">
        <v>475000</v>
      </c>
      <c r="T49" s="46"/>
    </row>
    <row r="50" spans="1:30" x14ac:dyDescent="0.25">
      <c r="A50" s="2" t="s">
        <v>172</v>
      </c>
      <c r="B50" s="1" t="s">
        <v>175</v>
      </c>
      <c r="C50" s="12" t="s">
        <v>174</v>
      </c>
      <c r="D50" s="12" t="s">
        <v>173</v>
      </c>
      <c r="E50" s="12" t="s">
        <v>168</v>
      </c>
      <c r="F50" s="12" t="s">
        <v>339</v>
      </c>
      <c r="G50" s="13">
        <v>535181</v>
      </c>
      <c r="H50" s="13">
        <v>0</v>
      </c>
      <c r="I50" s="13">
        <f t="shared" si="0"/>
        <v>575484</v>
      </c>
      <c r="J50" s="13">
        <f t="shared" si="1"/>
        <v>0</v>
      </c>
      <c r="K50" s="20">
        <f t="shared" si="2"/>
        <v>604161</v>
      </c>
      <c r="L50" s="20">
        <f t="shared" si="3"/>
        <v>0</v>
      </c>
      <c r="M50" s="20">
        <f t="shared" si="4"/>
        <v>637489</v>
      </c>
      <c r="N50" s="20">
        <f t="shared" si="5"/>
        <v>0</v>
      </c>
      <c r="O50" s="19"/>
      <c r="Q50" s="49" t="s">
        <v>444</v>
      </c>
      <c r="R50" s="2"/>
      <c r="S50" s="46">
        <v>615000</v>
      </c>
      <c r="T50" s="46"/>
      <c r="AD50" t="s">
        <v>399</v>
      </c>
    </row>
    <row r="51" spans="1:30" x14ac:dyDescent="0.25">
      <c r="A51" s="2" t="s">
        <v>176</v>
      </c>
      <c r="B51" s="1" t="s">
        <v>14</v>
      </c>
      <c r="C51" s="12" t="s">
        <v>178</v>
      </c>
      <c r="D51" s="12" t="s">
        <v>177</v>
      </c>
      <c r="E51" s="12" t="s">
        <v>53</v>
      </c>
      <c r="F51" s="12" t="s">
        <v>343</v>
      </c>
      <c r="G51" s="13">
        <v>285042</v>
      </c>
      <c r="H51" s="13">
        <v>0</v>
      </c>
      <c r="I51" s="13">
        <f t="shared" si="0"/>
        <v>306508</v>
      </c>
      <c r="J51" s="13">
        <f t="shared" si="1"/>
        <v>0</v>
      </c>
      <c r="K51" s="20">
        <f t="shared" si="2"/>
        <v>321782</v>
      </c>
      <c r="L51" s="20">
        <f t="shared" si="3"/>
        <v>0</v>
      </c>
      <c r="M51" s="20">
        <f t="shared" si="4"/>
        <v>339533</v>
      </c>
      <c r="N51" s="20">
        <f t="shared" si="5"/>
        <v>0</v>
      </c>
      <c r="O51" s="19"/>
      <c r="Q51" s="49" t="s">
        <v>445</v>
      </c>
      <c r="R51" s="2"/>
      <c r="S51" s="46">
        <v>325000</v>
      </c>
      <c r="T51" s="46"/>
    </row>
    <row r="52" spans="1:30" x14ac:dyDescent="0.25">
      <c r="A52" s="2" t="s">
        <v>179</v>
      </c>
      <c r="B52" s="1" t="s">
        <v>144</v>
      </c>
      <c r="C52" s="12" t="s">
        <v>181</v>
      </c>
      <c r="D52" s="12" t="s">
        <v>180</v>
      </c>
      <c r="E52" s="12" t="s">
        <v>182</v>
      </c>
      <c r="F52" s="12" t="s">
        <v>339</v>
      </c>
      <c r="G52" s="13">
        <v>372300</v>
      </c>
      <c r="H52" s="13">
        <v>0</v>
      </c>
      <c r="I52" s="13">
        <f t="shared" si="0"/>
        <v>400337</v>
      </c>
      <c r="J52" s="13">
        <f t="shared" si="1"/>
        <v>0</v>
      </c>
      <c r="K52" s="20">
        <f t="shared" si="2"/>
        <v>420286</v>
      </c>
      <c r="L52" s="20">
        <f t="shared" si="3"/>
        <v>0</v>
      </c>
      <c r="M52" s="20">
        <f t="shared" si="4"/>
        <v>443470</v>
      </c>
      <c r="N52" s="20">
        <f t="shared" si="5"/>
        <v>0</v>
      </c>
      <c r="O52" s="19"/>
      <c r="Q52" s="49" t="s">
        <v>446</v>
      </c>
      <c r="R52" s="2"/>
      <c r="S52" s="46">
        <v>450000</v>
      </c>
      <c r="T52" s="46"/>
    </row>
    <row r="53" spans="1:30" x14ac:dyDescent="0.25">
      <c r="A53" s="2" t="s">
        <v>183</v>
      </c>
      <c r="B53" s="1" t="s">
        <v>27</v>
      </c>
      <c r="C53" s="12" t="s">
        <v>185</v>
      </c>
      <c r="D53" s="12" t="s">
        <v>184</v>
      </c>
      <c r="E53" s="12" t="s">
        <v>182</v>
      </c>
      <c r="F53" s="12" t="s">
        <v>339</v>
      </c>
      <c r="G53" s="13">
        <v>581719</v>
      </c>
      <c r="H53" s="13">
        <v>0</v>
      </c>
      <c r="I53" s="13">
        <f t="shared" si="0"/>
        <v>625527</v>
      </c>
      <c r="J53" s="13">
        <f t="shared" si="1"/>
        <v>0</v>
      </c>
      <c r="K53" s="20">
        <f t="shared" si="2"/>
        <v>656698</v>
      </c>
      <c r="L53" s="20">
        <f t="shared" si="3"/>
        <v>0</v>
      </c>
      <c r="M53" s="20">
        <f t="shared" si="4"/>
        <v>692924</v>
      </c>
      <c r="N53" s="20">
        <f t="shared" si="5"/>
        <v>0</v>
      </c>
      <c r="O53" s="19"/>
      <c r="Q53" s="49" t="s">
        <v>447</v>
      </c>
      <c r="R53" s="2"/>
      <c r="S53" s="46">
        <v>650000</v>
      </c>
      <c r="T53" s="46"/>
    </row>
    <row r="54" spans="1:30" x14ac:dyDescent="0.25">
      <c r="A54" s="2" t="s">
        <v>186</v>
      </c>
      <c r="B54" s="1" t="s">
        <v>27</v>
      </c>
      <c r="C54" s="12" t="s">
        <v>188</v>
      </c>
      <c r="D54" s="12" t="s">
        <v>187</v>
      </c>
      <c r="E54" s="12" t="s">
        <v>182</v>
      </c>
      <c r="F54" s="12" t="s">
        <v>339</v>
      </c>
      <c r="G54" s="13">
        <v>0</v>
      </c>
      <c r="H54" s="13">
        <v>1146018</v>
      </c>
      <c r="I54" s="13">
        <f t="shared" si="0"/>
        <v>0</v>
      </c>
      <c r="J54" s="13">
        <f t="shared" si="1"/>
        <v>1164133</v>
      </c>
      <c r="K54" s="20">
        <f t="shared" si="2"/>
        <v>0</v>
      </c>
      <c r="L54" s="20">
        <f t="shared" si="3"/>
        <v>1186062</v>
      </c>
      <c r="M54" s="20">
        <f t="shared" si="4"/>
        <v>0</v>
      </c>
      <c r="N54" s="20">
        <f t="shared" si="5"/>
        <v>1250895</v>
      </c>
      <c r="O54" s="19"/>
      <c r="R54" s="49" t="s">
        <v>504</v>
      </c>
      <c r="S54" s="46">
        <v>0</v>
      </c>
      <c r="T54" s="46">
        <f>784000+70000</f>
        <v>854000</v>
      </c>
    </row>
    <row r="55" spans="1:30" x14ac:dyDescent="0.25">
      <c r="A55" s="2" t="s">
        <v>189</v>
      </c>
      <c r="B55" s="1" t="s">
        <v>27</v>
      </c>
      <c r="C55" s="12" t="s">
        <v>190</v>
      </c>
      <c r="D55" s="12" t="s">
        <v>187</v>
      </c>
      <c r="E55" s="12" t="s">
        <v>182</v>
      </c>
      <c r="F55" s="12" t="s">
        <v>339</v>
      </c>
      <c r="G55" s="13">
        <v>837675</v>
      </c>
      <c r="H55" s="13">
        <v>0</v>
      </c>
      <c r="I55" s="13">
        <f t="shared" si="0"/>
        <v>900758</v>
      </c>
      <c r="J55" s="13">
        <f t="shared" si="1"/>
        <v>0</v>
      </c>
      <c r="K55" s="20">
        <f t="shared" si="2"/>
        <v>945644</v>
      </c>
      <c r="L55" s="20">
        <f t="shared" si="3"/>
        <v>0</v>
      </c>
      <c r="M55" s="20">
        <f t="shared" si="4"/>
        <v>997809</v>
      </c>
      <c r="N55" s="20">
        <f t="shared" si="5"/>
        <v>0</v>
      </c>
      <c r="O55" s="19"/>
      <c r="Q55" s="49" t="s">
        <v>448</v>
      </c>
      <c r="R55" s="2"/>
      <c r="S55" s="46">
        <v>1010000</v>
      </c>
      <c r="T55" s="46"/>
    </row>
    <row r="56" spans="1:30" x14ac:dyDescent="0.25">
      <c r="A56" s="2" t="s">
        <v>191</v>
      </c>
      <c r="B56" s="1" t="s">
        <v>27</v>
      </c>
      <c r="C56" s="12" t="s">
        <v>192</v>
      </c>
      <c r="D56" s="12" t="s">
        <v>187</v>
      </c>
      <c r="E56" s="12" t="s">
        <v>182</v>
      </c>
      <c r="F56" s="12" t="s">
        <v>339</v>
      </c>
      <c r="G56" s="13">
        <v>81441</v>
      </c>
      <c r="H56" s="13">
        <v>0</v>
      </c>
      <c r="I56" s="13">
        <f t="shared" si="0"/>
        <v>87574</v>
      </c>
      <c r="J56" s="13">
        <f t="shared" si="1"/>
        <v>0</v>
      </c>
      <c r="K56" s="20">
        <f t="shared" si="2"/>
        <v>91938</v>
      </c>
      <c r="L56" s="20">
        <f t="shared" si="3"/>
        <v>0</v>
      </c>
      <c r="M56" s="20">
        <f t="shared" si="4"/>
        <v>97010</v>
      </c>
      <c r="N56" s="20">
        <f t="shared" si="5"/>
        <v>0</v>
      </c>
      <c r="O56" s="19"/>
      <c r="Q56" s="49" t="s">
        <v>449</v>
      </c>
      <c r="R56" s="2"/>
      <c r="S56" s="46">
        <v>110000</v>
      </c>
      <c r="T56" s="46"/>
    </row>
    <row r="57" spans="1:30" x14ac:dyDescent="0.25">
      <c r="A57" s="2" t="s">
        <v>193</v>
      </c>
      <c r="B57" s="1" t="s">
        <v>27</v>
      </c>
      <c r="C57" s="12" t="s">
        <v>194</v>
      </c>
      <c r="D57" s="12" t="s">
        <v>187</v>
      </c>
      <c r="E57" s="12" t="s">
        <v>182</v>
      </c>
      <c r="F57" s="12" t="s">
        <v>339</v>
      </c>
      <c r="G57" s="13">
        <v>157064</v>
      </c>
      <c r="H57" s="13">
        <v>0</v>
      </c>
      <c r="I57" s="13">
        <f t="shared" si="0"/>
        <v>168892</v>
      </c>
      <c r="J57" s="13">
        <f t="shared" si="1"/>
        <v>0</v>
      </c>
      <c r="K57" s="20">
        <f t="shared" si="2"/>
        <v>177308</v>
      </c>
      <c r="L57" s="20">
        <f t="shared" si="3"/>
        <v>0</v>
      </c>
      <c r="M57" s="20">
        <f t="shared" si="4"/>
        <v>187089</v>
      </c>
      <c r="N57" s="20">
        <f t="shared" si="5"/>
        <v>0</v>
      </c>
      <c r="O57" s="19"/>
      <c r="Q57" s="49" t="s">
        <v>450</v>
      </c>
      <c r="R57" s="2"/>
      <c r="S57" s="46">
        <v>175000</v>
      </c>
      <c r="T57" s="46"/>
    </row>
    <row r="58" spans="1:30" x14ac:dyDescent="0.25">
      <c r="A58" s="2" t="s">
        <v>195</v>
      </c>
      <c r="B58" s="1" t="s">
        <v>27</v>
      </c>
      <c r="C58" s="12" t="s">
        <v>196</v>
      </c>
      <c r="D58" s="12" t="s">
        <v>187</v>
      </c>
      <c r="E58" s="12" t="s">
        <v>182</v>
      </c>
      <c r="F58" s="12" t="s">
        <v>339</v>
      </c>
      <c r="G58" s="13">
        <v>116343</v>
      </c>
      <c r="H58" s="13">
        <v>0</v>
      </c>
      <c r="I58" s="13">
        <f t="shared" si="0"/>
        <v>125105</v>
      </c>
      <c r="J58" s="13">
        <f t="shared" si="1"/>
        <v>0</v>
      </c>
      <c r="K58" s="20">
        <f t="shared" si="2"/>
        <v>131339</v>
      </c>
      <c r="L58" s="20">
        <f t="shared" si="3"/>
        <v>0</v>
      </c>
      <c r="M58" s="20">
        <f t="shared" si="4"/>
        <v>138584</v>
      </c>
      <c r="N58" s="20">
        <f t="shared" si="5"/>
        <v>0</v>
      </c>
      <c r="O58" s="19"/>
      <c r="Q58" s="49" t="s">
        <v>451</v>
      </c>
      <c r="R58" s="2"/>
      <c r="S58" s="46">
        <v>125000</v>
      </c>
      <c r="T58" s="46"/>
    </row>
    <row r="59" spans="1:30" x14ac:dyDescent="0.25">
      <c r="A59" s="2" t="s">
        <v>197</v>
      </c>
      <c r="B59" s="1" t="s">
        <v>27</v>
      </c>
      <c r="C59" s="12" t="s">
        <v>198</v>
      </c>
      <c r="D59" s="12" t="s">
        <v>187</v>
      </c>
      <c r="E59" s="12" t="s">
        <v>182</v>
      </c>
      <c r="F59" s="12" t="s">
        <v>339</v>
      </c>
      <c r="G59" s="13">
        <v>29086</v>
      </c>
      <c r="H59" s="13">
        <v>0</v>
      </c>
      <c r="I59" s="13">
        <f t="shared" si="0"/>
        <v>31276</v>
      </c>
      <c r="J59" s="13">
        <f t="shared" si="1"/>
        <v>0</v>
      </c>
      <c r="K59" s="20">
        <f t="shared" si="2"/>
        <v>32835</v>
      </c>
      <c r="L59" s="20">
        <f t="shared" si="3"/>
        <v>0</v>
      </c>
      <c r="M59" s="20">
        <f t="shared" si="4"/>
        <v>34646</v>
      </c>
      <c r="N59" s="20">
        <f t="shared" si="5"/>
        <v>0</v>
      </c>
      <c r="O59" s="19"/>
      <c r="Q59" s="49" t="s">
        <v>452</v>
      </c>
      <c r="R59" s="2"/>
      <c r="S59" s="46">
        <v>32000</v>
      </c>
      <c r="T59" s="46"/>
    </row>
    <row r="60" spans="1:30" x14ac:dyDescent="0.25">
      <c r="A60" s="2" t="s">
        <v>199</v>
      </c>
      <c r="B60" s="1" t="s">
        <v>14</v>
      </c>
      <c r="C60" s="12" t="s">
        <v>201</v>
      </c>
      <c r="D60" s="12" t="s">
        <v>200</v>
      </c>
      <c r="E60" s="12" t="s">
        <v>182</v>
      </c>
      <c r="F60" s="12" t="s">
        <v>339</v>
      </c>
      <c r="G60" s="13">
        <v>191966</v>
      </c>
      <c r="H60" s="13">
        <v>172167</v>
      </c>
      <c r="I60" s="13">
        <f t="shared" si="0"/>
        <v>206423</v>
      </c>
      <c r="J60" s="13">
        <f t="shared" si="1"/>
        <v>174888</v>
      </c>
      <c r="K60" s="20">
        <f t="shared" si="2"/>
        <v>216709</v>
      </c>
      <c r="L60" s="20">
        <f t="shared" si="3"/>
        <v>178182</v>
      </c>
      <c r="M60" s="20">
        <f t="shared" si="4"/>
        <v>228663</v>
      </c>
      <c r="N60" s="20">
        <f t="shared" si="5"/>
        <v>187922</v>
      </c>
      <c r="O60" s="19"/>
      <c r="Q60" s="49" t="s">
        <v>453</v>
      </c>
      <c r="R60" s="49" t="s">
        <v>505</v>
      </c>
      <c r="S60" s="46">
        <v>225000</v>
      </c>
      <c r="T60" s="46">
        <f>271000+20000</f>
        <v>291000</v>
      </c>
    </row>
    <row r="61" spans="1:30" x14ac:dyDescent="0.25">
      <c r="A61" s="2" t="s">
        <v>202</v>
      </c>
      <c r="B61" s="1" t="s">
        <v>14</v>
      </c>
      <c r="C61" s="12" t="s">
        <v>204</v>
      </c>
      <c r="D61" s="12" t="s">
        <v>203</v>
      </c>
      <c r="E61" s="12" t="s">
        <v>205</v>
      </c>
      <c r="F61" s="12" t="s">
        <v>345</v>
      </c>
      <c r="G61" s="13">
        <v>57848</v>
      </c>
      <c r="H61" s="13">
        <v>0</v>
      </c>
      <c r="I61" s="13">
        <f t="shared" si="0"/>
        <v>62204</v>
      </c>
      <c r="J61" s="13">
        <f t="shared" si="1"/>
        <v>0</v>
      </c>
      <c r="K61" s="20">
        <f t="shared" si="2"/>
        <v>65304</v>
      </c>
      <c r="L61" s="20">
        <f t="shared" si="3"/>
        <v>0</v>
      </c>
      <c r="M61" s="20">
        <f t="shared" si="4"/>
        <v>68906</v>
      </c>
      <c r="N61" s="20">
        <f t="shared" si="5"/>
        <v>0</v>
      </c>
      <c r="O61" s="19"/>
      <c r="Q61" s="2" t="s">
        <v>454</v>
      </c>
      <c r="R61" s="2"/>
      <c r="S61" s="46">
        <v>70000</v>
      </c>
      <c r="T61" s="46"/>
    </row>
    <row r="62" spans="1:30" x14ac:dyDescent="0.25">
      <c r="A62" s="2" t="s">
        <v>206</v>
      </c>
      <c r="B62" s="1" t="s">
        <v>14</v>
      </c>
      <c r="C62" s="12" t="s">
        <v>208</v>
      </c>
      <c r="D62" s="12" t="s">
        <v>207</v>
      </c>
      <c r="E62" s="12" t="s">
        <v>209</v>
      </c>
      <c r="F62" s="12" t="s">
        <v>339</v>
      </c>
      <c r="G62" s="13">
        <v>698062</v>
      </c>
      <c r="H62" s="13">
        <v>0</v>
      </c>
      <c r="I62" s="13">
        <f t="shared" si="0"/>
        <v>750631</v>
      </c>
      <c r="J62" s="13">
        <f t="shared" si="1"/>
        <v>0</v>
      </c>
      <c r="K62" s="20">
        <f t="shared" si="2"/>
        <v>788036</v>
      </c>
      <c r="L62" s="20">
        <f t="shared" si="3"/>
        <v>0</v>
      </c>
      <c r="M62" s="20">
        <f t="shared" si="4"/>
        <v>831507</v>
      </c>
      <c r="N62" s="20">
        <f t="shared" si="5"/>
        <v>0</v>
      </c>
      <c r="O62" s="19"/>
      <c r="Q62" s="2"/>
      <c r="R62" s="2"/>
      <c r="S62" s="46"/>
      <c r="T62" s="46"/>
    </row>
    <row r="63" spans="1:30" x14ac:dyDescent="0.25">
      <c r="A63" s="2" t="s">
        <v>210</v>
      </c>
      <c r="B63" s="1" t="s">
        <v>144</v>
      </c>
      <c r="C63" s="12" t="s">
        <v>212</v>
      </c>
      <c r="D63" s="12" t="s">
        <v>211</v>
      </c>
      <c r="E63" s="12" t="s">
        <v>213</v>
      </c>
      <c r="F63" s="12" t="s">
        <v>339</v>
      </c>
      <c r="G63" s="13">
        <v>709697</v>
      </c>
      <c r="H63" s="13">
        <v>0</v>
      </c>
      <c r="I63" s="13">
        <f t="shared" si="0"/>
        <v>763143</v>
      </c>
      <c r="J63" s="13">
        <f t="shared" si="1"/>
        <v>0</v>
      </c>
      <c r="K63" s="20">
        <f t="shared" si="2"/>
        <v>801172</v>
      </c>
      <c r="L63" s="20">
        <f t="shared" si="3"/>
        <v>0</v>
      </c>
      <c r="M63" s="20">
        <f t="shared" si="4"/>
        <v>845368</v>
      </c>
      <c r="N63" s="20">
        <f t="shared" si="5"/>
        <v>0</v>
      </c>
      <c r="O63" s="19"/>
      <c r="Q63" s="49" t="s">
        <v>455</v>
      </c>
      <c r="R63" s="2"/>
      <c r="S63" s="46">
        <v>750000</v>
      </c>
      <c r="T63" s="46"/>
    </row>
    <row r="64" spans="1:30" x14ac:dyDescent="0.25">
      <c r="A64" s="2" t="s">
        <v>214</v>
      </c>
      <c r="B64" s="1" t="s">
        <v>14</v>
      </c>
      <c r="C64" s="12" t="s">
        <v>216</v>
      </c>
      <c r="D64" s="12" t="s">
        <v>215</v>
      </c>
      <c r="E64" s="12" t="s">
        <v>69</v>
      </c>
      <c r="F64" s="12" t="s">
        <v>341</v>
      </c>
      <c r="G64" s="13">
        <v>325762</v>
      </c>
      <c r="H64" s="13">
        <v>94007</v>
      </c>
      <c r="I64" s="13">
        <f t="shared" si="0"/>
        <v>350294</v>
      </c>
      <c r="J64" s="13">
        <f t="shared" si="1"/>
        <v>95493</v>
      </c>
      <c r="K64" s="20">
        <f t="shared" si="2"/>
        <v>367750</v>
      </c>
      <c r="L64" s="20">
        <f t="shared" si="3"/>
        <v>97292</v>
      </c>
      <c r="M64" s="20">
        <f t="shared" si="4"/>
        <v>388036</v>
      </c>
      <c r="N64" s="20">
        <f t="shared" si="5"/>
        <v>102610</v>
      </c>
      <c r="O64" s="19"/>
      <c r="Q64" s="49" t="s">
        <v>456</v>
      </c>
      <c r="R64" s="49" t="s">
        <v>506</v>
      </c>
      <c r="S64" s="46">
        <v>320000</v>
      </c>
      <c r="T64" s="46">
        <f>85000+10000</f>
        <v>95000</v>
      </c>
    </row>
    <row r="65" spans="1:25" x14ac:dyDescent="0.25">
      <c r="A65" s="2" t="s">
        <v>217</v>
      </c>
      <c r="B65" s="1" t="s">
        <v>14</v>
      </c>
      <c r="C65" s="12" t="s">
        <v>218</v>
      </c>
      <c r="D65" s="12" t="s">
        <v>215</v>
      </c>
      <c r="E65" s="12" t="s">
        <v>69</v>
      </c>
      <c r="F65" s="12" t="s">
        <v>341</v>
      </c>
      <c r="G65" s="13">
        <v>36812</v>
      </c>
      <c r="H65" s="13">
        <v>0</v>
      </c>
      <c r="I65" s="13">
        <f t="shared" si="0"/>
        <v>39584</v>
      </c>
      <c r="J65" s="13">
        <f t="shared" si="1"/>
        <v>0</v>
      </c>
      <c r="K65" s="20">
        <f t="shared" si="2"/>
        <v>41557</v>
      </c>
      <c r="L65" s="20">
        <f t="shared" si="3"/>
        <v>0</v>
      </c>
      <c r="M65" s="20">
        <f t="shared" si="4"/>
        <v>43849</v>
      </c>
      <c r="N65" s="20">
        <f t="shared" si="5"/>
        <v>0</v>
      </c>
      <c r="O65" s="19"/>
      <c r="Q65" s="49" t="s">
        <v>456</v>
      </c>
      <c r="R65" s="2"/>
      <c r="S65" s="46">
        <v>50000</v>
      </c>
      <c r="T65" s="46"/>
    </row>
    <row r="66" spans="1:25" x14ac:dyDescent="0.25">
      <c r="C66" s="25" t="s">
        <v>380</v>
      </c>
      <c r="D66" s="12" t="s">
        <v>381</v>
      </c>
      <c r="E66" s="12" t="s">
        <v>219</v>
      </c>
      <c r="F66" s="12" t="s">
        <v>339</v>
      </c>
      <c r="K66" s="13">
        <v>18150000</v>
      </c>
      <c r="L66" s="13">
        <v>1815000</v>
      </c>
      <c r="M66" s="20">
        <f t="shared" si="4"/>
        <v>19151219</v>
      </c>
      <c r="N66" s="20">
        <f t="shared" si="5"/>
        <v>1914212</v>
      </c>
      <c r="O66" s="19"/>
      <c r="P66" t="s">
        <v>406</v>
      </c>
    </row>
    <row r="67" spans="1:25" x14ac:dyDescent="0.25">
      <c r="A67" s="2" t="s">
        <v>220</v>
      </c>
      <c r="B67" s="1" t="s">
        <v>14</v>
      </c>
      <c r="C67" s="12" t="s">
        <v>362</v>
      </c>
      <c r="D67" s="12" t="s">
        <v>221</v>
      </c>
      <c r="E67" s="12" t="s">
        <v>219</v>
      </c>
      <c r="F67" s="12" t="s">
        <v>339</v>
      </c>
      <c r="G67" s="13">
        <v>872577</v>
      </c>
      <c r="H67" s="13">
        <v>23875</v>
      </c>
      <c r="I67" s="13">
        <f t="shared" si="0"/>
        <v>938289</v>
      </c>
      <c r="J67" s="13">
        <f t="shared" si="1"/>
        <v>24252</v>
      </c>
      <c r="K67" s="20">
        <f t="shared" si="2"/>
        <v>985045</v>
      </c>
      <c r="L67" s="20">
        <f t="shared" si="3"/>
        <v>24709</v>
      </c>
      <c r="M67" s="20">
        <f t="shared" si="4"/>
        <v>1039384</v>
      </c>
      <c r="N67" s="20">
        <f t="shared" si="5"/>
        <v>26060</v>
      </c>
      <c r="O67" s="19"/>
      <c r="Q67" s="49" t="s">
        <v>457</v>
      </c>
      <c r="R67" s="2"/>
      <c r="S67" s="46">
        <v>1025000</v>
      </c>
      <c r="T67" s="46">
        <v>0</v>
      </c>
      <c r="Y67" t="s">
        <v>399</v>
      </c>
    </row>
    <row r="68" spans="1:25" x14ac:dyDescent="0.25">
      <c r="A68" s="2" t="s">
        <v>222</v>
      </c>
      <c r="B68" s="1" t="s">
        <v>14</v>
      </c>
      <c r="C68" s="12" t="s">
        <v>362</v>
      </c>
      <c r="D68" s="12" t="s">
        <v>360</v>
      </c>
      <c r="E68" s="12" t="s">
        <v>219</v>
      </c>
      <c r="F68" s="12" t="s">
        <v>339</v>
      </c>
      <c r="G68" s="13">
        <v>238505</v>
      </c>
      <c r="H68" s="13">
        <v>10232</v>
      </c>
      <c r="I68" s="13">
        <f t="shared" si="0"/>
        <v>256466</v>
      </c>
      <c r="J68" s="13">
        <f t="shared" si="1"/>
        <v>10394</v>
      </c>
      <c r="K68" s="20">
        <f t="shared" si="2"/>
        <v>269246</v>
      </c>
      <c r="L68" s="20">
        <f t="shared" si="3"/>
        <v>10590</v>
      </c>
      <c r="M68" s="20">
        <f t="shared" si="4"/>
        <v>284099</v>
      </c>
      <c r="N68" s="20">
        <f t="shared" si="5"/>
        <v>11169</v>
      </c>
      <c r="O68" s="19"/>
      <c r="Q68" s="49" t="s">
        <v>458</v>
      </c>
      <c r="R68" s="2"/>
      <c r="S68" s="46">
        <v>300000</v>
      </c>
      <c r="T68" s="46">
        <v>0</v>
      </c>
    </row>
    <row r="69" spans="1:25" x14ac:dyDescent="0.25">
      <c r="A69" s="2" t="s">
        <v>224</v>
      </c>
      <c r="B69" s="1" t="s">
        <v>14</v>
      </c>
      <c r="C69" s="12" t="s">
        <v>361</v>
      </c>
      <c r="D69" s="12" t="s">
        <v>349</v>
      </c>
      <c r="E69" s="12" t="s">
        <v>223</v>
      </c>
      <c r="F69" s="12" t="s">
        <v>339</v>
      </c>
      <c r="G69" s="13">
        <v>349031</v>
      </c>
      <c r="H69" s="13">
        <v>0</v>
      </c>
      <c r="I69" s="13">
        <f t="shared" si="0"/>
        <v>375316</v>
      </c>
      <c r="J69" s="13">
        <f t="shared" si="1"/>
        <v>0</v>
      </c>
      <c r="K69" s="20">
        <f t="shared" si="2"/>
        <v>394019</v>
      </c>
      <c r="L69" s="20">
        <f t="shared" si="3"/>
        <v>0</v>
      </c>
      <c r="M69" s="20">
        <f t="shared" si="4"/>
        <v>415754</v>
      </c>
      <c r="N69" s="20">
        <f t="shared" si="5"/>
        <v>0</v>
      </c>
      <c r="O69" s="19"/>
      <c r="Q69" s="49" t="s">
        <v>459</v>
      </c>
      <c r="R69" s="2"/>
      <c r="S69" s="46">
        <v>400000</v>
      </c>
      <c r="T69" s="46"/>
    </row>
    <row r="70" spans="1:25" x14ac:dyDescent="0.25">
      <c r="A70" s="2" t="s">
        <v>225</v>
      </c>
      <c r="B70" s="1" t="s">
        <v>27</v>
      </c>
      <c r="C70" s="12" t="s">
        <v>227</v>
      </c>
      <c r="D70" s="12" t="s">
        <v>226</v>
      </c>
      <c r="E70" s="12" t="s">
        <v>228</v>
      </c>
      <c r="F70" s="12" t="s">
        <v>341</v>
      </c>
      <c r="G70" s="13">
        <v>1058729</v>
      </c>
      <c r="H70" s="13">
        <v>755210</v>
      </c>
      <c r="I70" s="13">
        <f t="shared" si="0"/>
        <v>1138459</v>
      </c>
      <c r="J70" s="13">
        <f t="shared" si="1"/>
        <v>767148</v>
      </c>
      <c r="K70" s="20">
        <f t="shared" si="2"/>
        <v>1195190</v>
      </c>
      <c r="L70" s="20">
        <f t="shared" si="3"/>
        <v>781599</v>
      </c>
      <c r="M70" s="20">
        <f t="shared" ref="M70:M108" si="6">ROUND(K70/155.9*164.5,0)</f>
        <v>1261121</v>
      </c>
      <c r="N70" s="20">
        <f t="shared" ref="N70:N108" si="7">ROUND(L70/124.4*131.2,0)</f>
        <v>824323</v>
      </c>
      <c r="O70" s="19"/>
      <c r="Q70" s="49" t="s">
        <v>460</v>
      </c>
      <c r="R70" s="49" t="s">
        <v>507</v>
      </c>
      <c r="S70" s="46">
        <v>1270000</v>
      </c>
      <c r="T70" s="46">
        <f>467000+40000</f>
        <v>507000</v>
      </c>
      <c r="V70" t="s">
        <v>399</v>
      </c>
      <c r="W70" t="s">
        <v>399</v>
      </c>
    </row>
    <row r="71" spans="1:25" x14ac:dyDescent="0.25">
      <c r="A71" s="2" t="s">
        <v>229</v>
      </c>
      <c r="B71" s="1" t="s">
        <v>27</v>
      </c>
      <c r="C71" s="12" t="s">
        <v>230</v>
      </c>
      <c r="D71" s="12" t="s">
        <v>226</v>
      </c>
      <c r="E71" s="12" t="s">
        <v>228</v>
      </c>
      <c r="F71" s="12" t="s">
        <v>341</v>
      </c>
      <c r="G71" s="13">
        <v>285042</v>
      </c>
      <c r="H71" s="13">
        <v>0</v>
      </c>
      <c r="I71" s="13">
        <f t="shared" ref="I71:I108" si="8">ROUND(G71/138.1*148.5,0)</f>
        <v>306508</v>
      </c>
      <c r="J71" s="13">
        <f t="shared" ref="J71:J108" si="9">ROUND(H71/120.2*122.1,0)</f>
        <v>0</v>
      </c>
      <c r="K71" s="20">
        <f t="shared" ref="K71:K108" si="10">ROUND(I71/148.5*155.9,0)</f>
        <v>321782</v>
      </c>
      <c r="L71" s="20">
        <f t="shared" ref="L71:L108" si="11">ROUND(J71/122.1*124.4,0)</f>
        <v>0</v>
      </c>
      <c r="M71" s="20">
        <f t="shared" si="6"/>
        <v>339533</v>
      </c>
      <c r="N71" s="20">
        <f t="shared" si="7"/>
        <v>0</v>
      </c>
      <c r="O71" s="19"/>
      <c r="Q71" s="49" t="s">
        <v>460</v>
      </c>
      <c r="R71" s="2"/>
      <c r="S71" s="46">
        <v>320000</v>
      </c>
      <c r="T71" s="46"/>
    </row>
    <row r="72" spans="1:25" x14ac:dyDescent="0.25">
      <c r="A72" s="2" t="s">
        <v>231</v>
      </c>
      <c r="B72" s="1" t="s">
        <v>14</v>
      </c>
      <c r="C72" s="12" t="s">
        <v>233</v>
      </c>
      <c r="D72" s="12" t="s">
        <v>232</v>
      </c>
      <c r="E72" s="12" t="s">
        <v>234</v>
      </c>
      <c r="F72" s="12" t="s">
        <v>339</v>
      </c>
      <c r="G72" s="13">
        <v>959837</v>
      </c>
      <c r="H72" s="13">
        <v>68656</v>
      </c>
      <c r="I72" s="13">
        <f t="shared" si="8"/>
        <v>1032120</v>
      </c>
      <c r="J72" s="13">
        <f t="shared" si="9"/>
        <v>69741</v>
      </c>
      <c r="K72" s="20">
        <f t="shared" si="10"/>
        <v>1083552</v>
      </c>
      <c r="L72" s="20">
        <f t="shared" si="11"/>
        <v>71055</v>
      </c>
      <c r="M72" s="20">
        <f t="shared" si="6"/>
        <v>1143325</v>
      </c>
      <c r="N72" s="20">
        <f t="shared" si="7"/>
        <v>74939</v>
      </c>
      <c r="O72" s="19"/>
      <c r="Q72" s="49" t="s">
        <v>461</v>
      </c>
      <c r="R72" s="49" t="s">
        <v>508</v>
      </c>
      <c r="S72" s="46">
        <v>1075000</v>
      </c>
      <c r="T72" s="46">
        <f>73000+15000</f>
        <v>88000</v>
      </c>
      <c r="W72" t="s">
        <v>399</v>
      </c>
      <c r="Y72" t="s">
        <v>399</v>
      </c>
    </row>
    <row r="73" spans="1:25" x14ac:dyDescent="0.25">
      <c r="A73" s="2" t="s">
        <v>235</v>
      </c>
      <c r="B73" s="1" t="s">
        <v>14</v>
      </c>
      <c r="C73" s="12" t="s">
        <v>237</v>
      </c>
      <c r="D73" s="12" t="s">
        <v>236</v>
      </c>
      <c r="E73" s="12" t="s">
        <v>10</v>
      </c>
      <c r="F73" s="12"/>
      <c r="G73" s="13">
        <v>273408</v>
      </c>
      <c r="H73" s="13">
        <v>0</v>
      </c>
      <c r="I73" s="13">
        <f t="shared" si="8"/>
        <v>293998</v>
      </c>
      <c r="J73" s="13">
        <f t="shared" si="9"/>
        <v>0</v>
      </c>
      <c r="K73" s="20">
        <f t="shared" si="10"/>
        <v>308648</v>
      </c>
      <c r="L73" s="20">
        <f t="shared" si="11"/>
        <v>0</v>
      </c>
      <c r="M73" s="20">
        <f t="shared" si="6"/>
        <v>325674</v>
      </c>
      <c r="N73" s="20">
        <f t="shared" si="7"/>
        <v>0</v>
      </c>
      <c r="O73" s="19"/>
      <c r="Q73" s="49" t="s">
        <v>462</v>
      </c>
      <c r="R73" s="2"/>
      <c r="S73" s="46">
        <v>310000</v>
      </c>
      <c r="T73" s="46"/>
    </row>
    <row r="74" spans="1:25" x14ac:dyDescent="0.25">
      <c r="A74" s="2" t="s">
        <v>238</v>
      </c>
      <c r="B74" s="1" t="s">
        <v>14</v>
      </c>
      <c r="C74" s="12" t="s">
        <v>363</v>
      </c>
      <c r="D74" s="12" t="s">
        <v>236</v>
      </c>
      <c r="E74" s="12" t="s">
        <v>10</v>
      </c>
      <c r="F74" s="12"/>
      <c r="G74" s="13">
        <v>58172</v>
      </c>
      <c r="H74" s="13">
        <v>0</v>
      </c>
      <c r="I74" s="13">
        <f t="shared" si="8"/>
        <v>62553</v>
      </c>
      <c r="J74" s="13">
        <f t="shared" si="9"/>
        <v>0</v>
      </c>
      <c r="K74" s="20">
        <f t="shared" si="10"/>
        <v>65670</v>
      </c>
      <c r="L74" s="20">
        <f t="shared" si="11"/>
        <v>0</v>
      </c>
      <c r="M74" s="20">
        <f t="shared" si="6"/>
        <v>69293</v>
      </c>
      <c r="N74" s="20">
        <f t="shared" si="7"/>
        <v>0</v>
      </c>
      <c r="O74" s="19"/>
      <c r="Q74" s="49" t="s">
        <v>462</v>
      </c>
      <c r="R74" s="2"/>
      <c r="S74" s="46">
        <v>115000</v>
      </c>
      <c r="T74" s="46"/>
    </row>
    <row r="75" spans="1:25" x14ac:dyDescent="0.25">
      <c r="A75" s="2" t="s">
        <v>239</v>
      </c>
      <c r="B75" s="1" t="s">
        <v>14</v>
      </c>
      <c r="C75" s="12" t="s">
        <v>240</v>
      </c>
      <c r="D75" s="12" t="s">
        <v>236</v>
      </c>
      <c r="E75" s="12" t="s">
        <v>10</v>
      </c>
      <c r="F75" s="12"/>
      <c r="G75" s="13">
        <v>133404</v>
      </c>
      <c r="H75" s="13">
        <v>0</v>
      </c>
      <c r="I75" s="13">
        <f t="shared" si="8"/>
        <v>143450</v>
      </c>
      <c r="J75" s="13">
        <f t="shared" si="9"/>
        <v>0</v>
      </c>
      <c r="K75" s="20">
        <f t="shared" si="10"/>
        <v>150598</v>
      </c>
      <c r="L75" s="20">
        <f t="shared" si="11"/>
        <v>0</v>
      </c>
      <c r="M75" s="20">
        <f t="shared" si="6"/>
        <v>158906</v>
      </c>
      <c r="N75" s="20">
        <f t="shared" si="7"/>
        <v>0</v>
      </c>
      <c r="O75" s="19"/>
      <c r="Q75" s="49" t="s">
        <v>462</v>
      </c>
      <c r="R75" s="2"/>
      <c r="S75" s="46">
        <v>30000</v>
      </c>
      <c r="T75" s="46"/>
    </row>
    <row r="76" spans="1:25" x14ac:dyDescent="0.25">
      <c r="A76" s="2" t="s">
        <v>241</v>
      </c>
      <c r="B76" s="1" t="s">
        <v>27</v>
      </c>
      <c r="C76" s="12" t="s">
        <v>243</v>
      </c>
      <c r="D76" s="12" t="s">
        <v>242</v>
      </c>
      <c r="E76" s="12" t="s">
        <v>244</v>
      </c>
      <c r="F76" s="12" t="s">
        <v>342</v>
      </c>
      <c r="G76" s="13">
        <v>1093631</v>
      </c>
      <c r="H76" s="13">
        <v>1680475</v>
      </c>
      <c r="I76" s="13">
        <f t="shared" si="8"/>
        <v>1175990</v>
      </c>
      <c r="J76" s="13">
        <f t="shared" si="9"/>
        <v>1707038</v>
      </c>
      <c r="K76" s="20">
        <f t="shared" si="10"/>
        <v>1234592</v>
      </c>
      <c r="L76" s="20">
        <f t="shared" si="11"/>
        <v>1739194</v>
      </c>
      <c r="M76" s="20">
        <f t="shared" si="6"/>
        <v>1302696</v>
      </c>
      <c r="N76" s="20">
        <f t="shared" si="7"/>
        <v>1834262</v>
      </c>
      <c r="O76" s="19"/>
      <c r="Q76" s="49" t="s">
        <v>463</v>
      </c>
      <c r="R76" s="49" t="s">
        <v>509</v>
      </c>
      <c r="S76" s="46">
        <v>1320000</v>
      </c>
      <c r="T76" s="46">
        <f>1465000+80000</f>
        <v>1545000</v>
      </c>
      <c r="W76" t="s">
        <v>399</v>
      </c>
      <c r="Y76" t="s">
        <v>399</v>
      </c>
    </row>
    <row r="77" spans="1:25" x14ac:dyDescent="0.25">
      <c r="A77" s="2" t="s">
        <v>245</v>
      </c>
      <c r="B77" s="1" t="s">
        <v>14</v>
      </c>
      <c r="C77" s="12" t="s">
        <v>247</v>
      </c>
      <c r="D77" s="12" t="s">
        <v>246</v>
      </c>
      <c r="E77" s="12" t="s">
        <v>248</v>
      </c>
      <c r="F77" s="12" t="s">
        <v>339</v>
      </c>
      <c r="G77" s="39">
        <v>1120000</v>
      </c>
      <c r="H77" s="13">
        <v>0</v>
      </c>
      <c r="I77" s="43">
        <f t="shared" si="8"/>
        <v>1204345</v>
      </c>
      <c r="J77" s="13">
        <f t="shared" si="9"/>
        <v>0</v>
      </c>
      <c r="K77" s="20">
        <f t="shared" si="10"/>
        <v>1264359</v>
      </c>
      <c r="L77" s="20">
        <f t="shared" si="11"/>
        <v>0</v>
      </c>
      <c r="M77" s="20">
        <f t="shared" si="6"/>
        <v>1334106</v>
      </c>
      <c r="N77" s="20">
        <f t="shared" si="7"/>
        <v>0</v>
      </c>
      <c r="O77" s="42" t="s">
        <v>369</v>
      </c>
      <c r="Q77" s="2" t="s">
        <v>521</v>
      </c>
      <c r="R77" s="2"/>
      <c r="S77" s="47">
        <v>1264359</v>
      </c>
      <c r="T77" s="46"/>
    </row>
    <row r="78" spans="1:25" x14ac:dyDescent="0.25">
      <c r="A78" s="2" t="s">
        <v>249</v>
      </c>
      <c r="B78" s="1" t="s">
        <v>14</v>
      </c>
      <c r="C78" s="12" t="s">
        <v>251</v>
      </c>
      <c r="D78" s="12" t="s">
        <v>250</v>
      </c>
      <c r="E78" s="12" t="s">
        <v>248</v>
      </c>
      <c r="F78" s="12" t="s">
        <v>339</v>
      </c>
      <c r="G78" s="40"/>
      <c r="H78" s="13">
        <v>0</v>
      </c>
      <c r="I78" s="44"/>
      <c r="J78" s="13">
        <f t="shared" si="9"/>
        <v>0</v>
      </c>
      <c r="K78" s="20">
        <f t="shared" si="10"/>
        <v>0</v>
      </c>
      <c r="L78" s="20">
        <f t="shared" si="11"/>
        <v>0</v>
      </c>
      <c r="M78" s="20">
        <f t="shared" si="6"/>
        <v>0</v>
      </c>
      <c r="N78" s="20">
        <f t="shared" si="7"/>
        <v>0</v>
      </c>
      <c r="O78" s="42"/>
      <c r="Q78" s="2"/>
      <c r="R78" s="2"/>
      <c r="S78" s="46"/>
      <c r="T78" s="46"/>
    </row>
    <row r="79" spans="1:25" x14ac:dyDescent="0.25">
      <c r="A79" s="2" t="s">
        <v>252</v>
      </c>
      <c r="B79" s="1" t="s">
        <v>175</v>
      </c>
      <c r="C79" s="12" t="s">
        <v>254</v>
      </c>
      <c r="D79" s="12" t="s">
        <v>253</v>
      </c>
      <c r="E79" s="12" t="s">
        <v>248</v>
      </c>
      <c r="F79" s="12" t="s">
        <v>339</v>
      </c>
      <c r="G79" s="40"/>
      <c r="H79" s="13">
        <v>0</v>
      </c>
      <c r="I79" s="44"/>
      <c r="J79" s="13">
        <f t="shared" si="9"/>
        <v>0</v>
      </c>
      <c r="K79" s="20">
        <f t="shared" si="10"/>
        <v>0</v>
      </c>
      <c r="L79" s="20">
        <f t="shared" si="11"/>
        <v>0</v>
      </c>
      <c r="M79" s="20">
        <f t="shared" si="6"/>
        <v>0</v>
      </c>
      <c r="N79" s="20">
        <f t="shared" si="7"/>
        <v>0</v>
      </c>
      <c r="O79" s="42"/>
      <c r="Q79" s="2"/>
      <c r="R79" s="2"/>
      <c r="S79" s="46"/>
      <c r="T79" s="46"/>
    </row>
    <row r="80" spans="1:25" x14ac:dyDescent="0.25">
      <c r="A80" s="2" t="s">
        <v>255</v>
      </c>
      <c r="B80" s="1" t="s">
        <v>14</v>
      </c>
      <c r="C80" s="12" t="s">
        <v>251</v>
      </c>
      <c r="D80" s="12" t="s">
        <v>256</v>
      </c>
      <c r="E80" s="12" t="s">
        <v>248</v>
      </c>
      <c r="F80" s="12" t="s">
        <v>339</v>
      </c>
      <c r="G80" s="40"/>
      <c r="H80" s="13">
        <v>0</v>
      </c>
      <c r="I80" s="44"/>
      <c r="J80" s="13">
        <f t="shared" si="9"/>
        <v>0</v>
      </c>
      <c r="K80" s="20">
        <f t="shared" si="10"/>
        <v>0</v>
      </c>
      <c r="L80" s="20">
        <f t="shared" si="11"/>
        <v>0</v>
      </c>
      <c r="M80" s="20">
        <f t="shared" si="6"/>
        <v>0</v>
      </c>
      <c r="N80" s="20">
        <f t="shared" si="7"/>
        <v>0</v>
      </c>
      <c r="O80" s="42"/>
      <c r="Q80" s="2"/>
      <c r="R80" s="2"/>
      <c r="S80" s="46"/>
      <c r="T80" s="46"/>
    </row>
    <row r="81" spans="1:30" x14ac:dyDescent="0.25">
      <c r="A81" s="2" t="s">
        <v>257</v>
      </c>
      <c r="B81" s="1" t="s">
        <v>175</v>
      </c>
      <c r="C81" s="12" t="s">
        <v>259</v>
      </c>
      <c r="D81" s="12" t="s">
        <v>258</v>
      </c>
      <c r="E81" s="12" t="s">
        <v>248</v>
      </c>
      <c r="F81" s="12" t="s">
        <v>339</v>
      </c>
      <c r="G81" s="40"/>
      <c r="H81" s="13">
        <v>0</v>
      </c>
      <c r="I81" s="44"/>
      <c r="J81" s="13">
        <f t="shared" si="9"/>
        <v>0</v>
      </c>
      <c r="K81" s="20">
        <f t="shared" si="10"/>
        <v>0</v>
      </c>
      <c r="L81" s="20">
        <f t="shared" si="11"/>
        <v>0</v>
      </c>
      <c r="M81" s="20">
        <f t="shared" si="6"/>
        <v>0</v>
      </c>
      <c r="N81" s="20">
        <f t="shared" si="7"/>
        <v>0</v>
      </c>
      <c r="O81" s="42"/>
      <c r="Q81" s="2"/>
      <c r="R81" s="2"/>
      <c r="S81" s="46"/>
      <c r="T81" s="46"/>
    </row>
    <row r="82" spans="1:30" x14ac:dyDescent="0.25">
      <c r="A82" s="2" t="s">
        <v>260</v>
      </c>
      <c r="B82" s="1" t="s">
        <v>14</v>
      </c>
      <c r="C82" s="12" t="s">
        <v>251</v>
      </c>
      <c r="D82" s="12" t="s">
        <v>261</v>
      </c>
      <c r="E82" s="12" t="s">
        <v>248</v>
      </c>
      <c r="F82" s="12" t="s">
        <v>339</v>
      </c>
      <c r="G82" s="40"/>
      <c r="H82" s="13">
        <v>0</v>
      </c>
      <c r="I82" s="44"/>
      <c r="J82" s="13">
        <f t="shared" si="9"/>
        <v>0</v>
      </c>
      <c r="K82" s="20">
        <f t="shared" si="10"/>
        <v>0</v>
      </c>
      <c r="L82" s="20">
        <f t="shared" si="11"/>
        <v>0</v>
      </c>
      <c r="M82" s="20">
        <f t="shared" si="6"/>
        <v>0</v>
      </c>
      <c r="N82" s="20">
        <f t="shared" si="7"/>
        <v>0</v>
      </c>
      <c r="O82" s="42"/>
      <c r="Q82" s="15"/>
      <c r="R82" s="15"/>
      <c r="S82" s="48"/>
      <c r="T82" s="48"/>
      <c r="V82" s="18"/>
      <c r="W82" s="18"/>
      <c r="X82" s="18"/>
      <c r="Y82" s="18"/>
      <c r="Z82" s="18"/>
      <c r="AA82" s="18"/>
      <c r="AB82" s="18"/>
      <c r="AC82" s="18"/>
      <c r="AD82" s="18"/>
    </row>
    <row r="83" spans="1:30" s="18" customFormat="1" x14ac:dyDescent="0.25">
      <c r="A83" s="15"/>
      <c r="B83" s="16" t="s">
        <v>331</v>
      </c>
      <c r="C83" s="17" t="s">
        <v>251</v>
      </c>
      <c r="D83" s="17" t="s">
        <v>330</v>
      </c>
      <c r="E83" s="12" t="s">
        <v>248</v>
      </c>
      <c r="F83" s="17" t="s">
        <v>339</v>
      </c>
      <c r="G83" s="40"/>
      <c r="H83" s="13">
        <v>0</v>
      </c>
      <c r="I83" s="44"/>
      <c r="J83" s="13">
        <f t="shared" si="9"/>
        <v>0</v>
      </c>
      <c r="K83" s="20">
        <f t="shared" si="10"/>
        <v>0</v>
      </c>
      <c r="L83" s="20">
        <f t="shared" si="11"/>
        <v>0</v>
      </c>
      <c r="M83" s="20">
        <f t="shared" si="6"/>
        <v>0</v>
      </c>
      <c r="N83" s="20">
        <f t="shared" si="7"/>
        <v>0</v>
      </c>
      <c r="O83" s="42"/>
      <c r="Q83" s="15"/>
      <c r="R83" s="15"/>
      <c r="S83" s="48"/>
      <c r="T83" s="48"/>
    </row>
    <row r="84" spans="1:30" s="18" customFormat="1" x14ac:dyDescent="0.25">
      <c r="A84" s="15"/>
      <c r="B84" s="16" t="s">
        <v>331</v>
      </c>
      <c r="C84" s="17" t="s">
        <v>251</v>
      </c>
      <c r="D84" s="17" t="s">
        <v>332</v>
      </c>
      <c r="E84" s="12" t="s">
        <v>248</v>
      </c>
      <c r="F84" s="17" t="s">
        <v>339</v>
      </c>
      <c r="G84" s="41"/>
      <c r="H84" s="13">
        <v>0</v>
      </c>
      <c r="I84" s="45"/>
      <c r="J84" s="13">
        <f t="shared" si="9"/>
        <v>0</v>
      </c>
      <c r="K84" s="20">
        <f t="shared" si="10"/>
        <v>0</v>
      </c>
      <c r="L84" s="20">
        <f t="shared" si="11"/>
        <v>0</v>
      </c>
      <c r="M84" s="20">
        <f t="shared" si="6"/>
        <v>0</v>
      </c>
      <c r="N84" s="20">
        <f t="shared" si="7"/>
        <v>0</v>
      </c>
      <c r="O84" s="42"/>
      <c r="R84" s="15"/>
    </row>
    <row r="85" spans="1:30" s="18" customFormat="1" x14ac:dyDescent="0.25">
      <c r="A85" s="15" t="s">
        <v>262</v>
      </c>
      <c r="B85" s="16" t="s">
        <v>27</v>
      </c>
      <c r="C85" s="17" t="s">
        <v>264</v>
      </c>
      <c r="D85" s="17" t="s">
        <v>263</v>
      </c>
      <c r="E85" s="17" t="s">
        <v>94</v>
      </c>
      <c r="F85" s="17" t="s">
        <v>339</v>
      </c>
      <c r="G85" s="13">
        <v>2850421</v>
      </c>
      <c r="H85" s="13">
        <v>0</v>
      </c>
      <c r="I85" s="13">
        <f t="shared" si="8"/>
        <v>3065080</v>
      </c>
      <c r="J85" s="13">
        <f t="shared" si="9"/>
        <v>0</v>
      </c>
      <c r="K85" s="20">
        <f t="shared" si="10"/>
        <v>3217818</v>
      </c>
      <c r="L85" s="20">
        <f t="shared" si="11"/>
        <v>0</v>
      </c>
      <c r="M85" s="20">
        <f t="shared" si="6"/>
        <v>3395324</v>
      </c>
      <c r="N85" s="20">
        <f t="shared" si="7"/>
        <v>0</v>
      </c>
      <c r="O85" s="27"/>
      <c r="Q85" s="49" t="s">
        <v>464</v>
      </c>
      <c r="R85" s="15"/>
      <c r="S85" s="48">
        <v>3425000</v>
      </c>
      <c r="T85" s="48"/>
      <c r="Y85" s="18" t="s">
        <v>399</v>
      </c>
    </row>
    <row r="86" spans="1:30" s="18" customFormat="1" x14ac:dyDescent="0.25">
      <c r="A86" s="15" t="s">
        <v>265</v>
      </c>
      <c r="B86" s="16" t="s">
        <v>14</v>
      </c>
      <c r="C86" s="17" t="s">
        <v>267</v>
      </c>
      <c r="D86" s="17" t="s">
        <v>266</v>
      </c>
      <c r="E86" s="17" t="s">
        <v>268</v>
      </c>
      <c r="F86" s="17" t="s">
        <v>344</v>
      </c>
      <c r="G86" s="13">
        <v>418838</v>
      </c>
      <c r="H86" s="13">
        <v>0</v>
      </c>
      <c r="I86" s="13">
        <f t="shared" si="8"/>
        <v>450380</v>
      </c>
      <c r="J86" s="13">
        <f t="shared" si="9"/>
        <v>0</v>
      </c>
      <c r="K86" s="20">
        <f t="shared" si="10"/>
        <v>472823</v>
      </c>
      <c r="L86" s="20">
        <f t="shared" si="11"/>
        <v>0</v>
      </c>
      <c r="M86" s="20">
        <f t="shared" si="6"/>
        <v>498906</v>
      </c>
      <c r="N86" s="20">
        <f t="shared" si="7"/>
        <v>0</v>
      </c>
      <c r="O86" s="27"/>
      <c r="Q86" s="49" t="s">
        <v>465</v>
      </c>
      <c r="R86" s="15"/>
      <c r="S86" s="48">
        <v>540000</v>
      </c>
      <c r="T86" s="48"/>
    </row>
    <row r="87" spans="1:30" s="18" customFormat="1" x14ac:dyDescent="0.25">
      <c r="A87" s="15" t="s">
        <v>269</v>
      </c>
      <c r="B87" s="16" t="s">
        <v>144</v>
      </c>
      <c r="C87" s="17" t="s">
        <v>271</v>
      </c>
      <c r="D87" s="17" t="s">
        <v>270</v>
      </c>
      <c r="E87" s="17" t="s">
        <v>272</v>
      </c>
      <c r="F87" s="17" t="s">
        <v>344</v>
      </c>
      <c r="G87" s="13">
        <v>959837</v>
      </c>
      <c r="H87" s="13">
        <v>0</v>
      </c>
      <c r="I87" s="13">
        <f t="shared" si="8"/>
        <v>1032120</v>
      </c>
      <c r="J87" s="13">
        <f t="shared" si="9"/>
        <v>0</v>
      </c>
      <c r="K87" s="20">
        <f t="shared" si="10"/>
        <v>1083552</v>
      </c>
      <c r="L87" s="20">
        <f t="shared" si="11"/>
        <v>0</v>
      </c>
      <c r="M87" s="20">
        <f t="shared" si="6"/>
        <v>1143325</v>
      </c>
      <c r="N87" s="20">
        <f t="shared" si="7"/>
        <v>0</v>
      </c>
      <c r="O87" s="27"/>
      <c r="Q87" s="3"/>
      <c r="R87" s="3"/>
      <c r="S87" s="47">
        <v>1083552</v>
      </c>
      <c r="T87" s="48"/>
      <c r="AA87"/>
      <c r="AB87"/>
      <c r="AC87"/>
      <c r="AD87"/>
    </row>
    <row r="88" spans="1:30" x14ac:dyDescent="0.25">
      <c r="C88" s="21"/>
      <c r="D88" s="23" t="s">
        <v>378</v>
      </c>
      <c r="E88" s="17" t="s">
        <v>272</v>
      </c>
      <c r="F88" s="17" t="s">
        <v>344</v>
      </c>
      <c r="G88" s="13">
        <v>700000</v>
      </c>
      <c r="H88" s="13">
        <v>0</v>
      </c>
      <c r="I88" s="33">
        <v>446500</v>
      </c>
      <c r="J88" s="13">
        <f t="shared" si="9"/>
        <v>0</v>
      </c>
      <c r="K88" s="20">
        <f t="shared" si="10"/>
        <v>468750</v>
      </c>
      <c r="L88" s="20">
        <f t="shared" si="11"/>
        <v>0</v>
      </c>
      <c r="M88" s="20">
        <f t="shared" si="6"/>
        <v>494608</v>
      </c>
      <c r="N88" s="20">
        <f t="shared" si="7"/>
        <v>0</v>
      </c>
      <c r="O88" s="19"/>
      <c r="S88" s="47">
        <v>468750</v>
      </c>
      <c r="T88" s="46"/>
      <c r="U88" s="18"/>
      <c r="AA88" s="18"/>
      <c r="AB88" s="18"/>
      <c r="AC88" s="18"/>
      <c r="AD88" s="18"/>
    </row>
    <row r="89" spans="1:30" s="18" customFormat="1" x14ac:dyDescent="0.25">
      <c r="A89" s="15" t="s">
        <v>273</v>
      </c>
      <c r="B89" s="16" t="s">
        <v>14</v>
      </c>
      <c r="C89" s="17" t="s">
        <v>275</v>
      </c>
      <c r="D89" s="17" t="s">
        <v>274</v>
      </c>
      <c r="E89" s="17" t="s">
        <v>272</v>
      </c>
      <c r="F89" s="17" t="s">
        <v>344</v>
      </c>
      <c r="G89" s="13">
        <v>1314685</v>
      </c>
      <c r="H89" s="13">
        <v>0</v>
      </c>
      <c r="I89" s="13">
        <f t="shared" si="8"/>
        <v>1413691</v>
      </c>
      <c r="J89" s="13">
        <f t="shared" si="9"/>
        <v>0</v>
      </c>
      <c r="K89" s="20">
        <f t="shared" si="10"/>
        <v>1484138</v>
      </c>
      <c r="L89" s="20">
        <f t="shared" si="11"/>
        <v>0</v>
      </c>
      <c r="M89" s="20">
        <f t="shared" si="6"/>
        <v>1566008</v>
      </c>
      <c r="N89" s="20">
        <f t="shared" si="7"/>
        <v>0</v>
      </c>
      <c r="O89" s="27"/>
      <c r="Q89" s="49" t="s">
        <v>466</v>
      </c>
      <c r="R89" s="15"/>
      <c r="S89" s="48">
        <v>1925000</v>
      </c>
      <c r="T89" s="48"/>
      <c r="U89"/>
      <c r="W89" s="18" t="s">
        <v>399</v>
      </c>
      <c r="Y89" s="18" t="s">
        <v>399</v>
      </c>
    </row>
    <row r="90" spans="1:30" s="18" customFormat="1" x14ac:dyDescent="0.25">
      <c r="A90" s="15" t="s">
        <v>276</v>
      </c>
      <c r="B90" s="16" t="s">
        <v>175</v>
      </c>
      <c r="C90" s="17" t="s">
        <v>278</v>
      </c>
      <c r="D90" s="17" t="s">
        <v>277</v>
      </c>
      <c r="E90" s="17" t="s">
        <v>279</v>
      </c>
      <c r="F90" s="17" t="s">
        <v>341</v>
      </c>
      <c r="G90" s="13">
        <v>401385</v>
      </c>
      <c r="H90" s="13">
        <v>0</v>
      </c>
      <c r="I90" s="13">
        <f t="shared" si="8"/>
        <v>431612</v>
      </c>
      <c r="J90" s="13">
        <f t="shared" si="9"/>
        <v>0</v>
      </c>
      <c r="K90" s="20">
        <f t="shared" si="10"/>
        <v>453120</v>
      </c>
      <c r="L90" s="20">
        <f t="shared" si="11"/>
        <v>0</v>
      </c>
      <c r="M90" s="20">
        <f t="shared" si="6"/>
        <v>478116</v>
      </c>
      <c r="N90" s="20">
        <f t="shared" si="7"/>
        <v>0</v>
      </c>
      <c r="O90" s="27"/>
      <c r="Q90" s="49" t="s">
        <v>467</v>
      </c>
      <c r="R90" s="15"/>
      <c r="S90" s="48">
        <v>440000</v>
      </c>
      <c r="T90" s="48"/>
    </row>
    <row r="91" spans="1:30" s="18" customFormat="1" x14ac:dyDescent="0.25">
      <c r="A91" s="15" t="s">
        <v>280</v>
      </c>
      <c r="B91" s="16" t="s">
        <v>14</v>
      </c>
      <c r="C91" s="17" t="s">
        <v>282</v>
      </c>
      <c r="D91" s="17" t="s">
        <v>281</v>
      </c>
      <c r="E91" s="17" t="s">
        <v>283</v>
      </c>
      <c r="F91" s="17" t="s">
        <v>342</v>
      </c>
      <c r="G91" s="13">
        <v>727148</v>
      </c>
      <c r="H91" s="13">
        <v>0</v>
      </c>
      <c r="I91" s="13">
        <f t="shared" si="8"/>
        <v>781908</v>
      </c>
      <c r="J91" s="13">
        <f t="shared" si="9"/>
        <v>0</v>
      </c>
      <c r="K91" s="20">
        <f t="shared" si="10"/>
        <v>820872</v>
      </c>
      <c r="L91" s="20">
        <f t="shared" si="11"/>
        <v>0</v>
      </c>
      <c r="M91" s="20">
        <f t="shared" si="6"/>
        <v>866154</v>
      </c>
      <c r="N91" s="20">
        <f t="shared" si="7"/>
        <v>0</v>
      </c>
      <c r="O91" s="27"/>
      <c r="Q91" s="49" t="s">
        <v>468</v>
      </c>
      <c r="R91" s="15"/>
      <c r="S91" s="48">
        <v>815000</v>
      </c>
      <c r="T91" s="48"/>
      <c r="W91" s="18" t="s">
        <v>399</v>
      </c>
    </row>
    <row r="92" spans="1:30" s="18" customFormat="1" x14ac:dyDescent="0.25">
      <c r="A92" s="15" t="s">
        <v>284</v>
      </c>
      <c r="B92" s="16" t="s">
        <v>14</v>
      </c>
      <c r="C92" s="17" t="s">
        <v>286</v>
      </c>
      <c r="D92" s="17" t="s">
        <v>285</v>
      </c>
      <c r="E92" s="17" t="s">
        <v>10</v>
      </c>
      <c r="F92" s="17"/>
      <c r="G92" s="13">
        <v>331581</v>
      </c>
      <c r="H92" s="13">
        <v>0</v>
      </c>
      <c r="I92" s="13">
        <f t="shared" si="8"/>
        <v>356552</v>
      </c>
      <c r="J92" s="13">
        <f t="shared" si="9"/>
        <v>0</v>
      </c>
      <c r="K92" s="20">
        <f t="shared" si="10"/>
        <v>374320</v>
      </c>
      <c r="L92" s="20">
        <f t="shared" si="11"/>
        <v>0</v>
      </c>
      <c r="M92" s="20">
        <f t="shared" si="6"/>
        <v>394969</v>
      </c>
      <c r="N92" s="20">
        <f t="shared" si="7"/>
        <v>0</v>
      </c>
      <c r="O92" s="27"/>
      <c r="Q92" s="49" t="s">
        <v>469</v>
      </c>
      <c r="R92" s="49" t="s">
        <v>510</v>
      </c>
      <c r="S92" s="48">
        <v>235000</v>
      </c>
      <c r="T92" s="48">
        <f>31000+4000</f>
        <v>35000</v>
      </c>
    </row>
    <row r="93" spans="1:30" s="18" customFormat="1" x14ac:dyDescent="0.25">
      <c r="A93" s="15" t="s">
        <v>287</v>
      </c>
      <c r="B93" s="16" t="s">
        <v>14</v>
      </c>
      <c r="C93" s="17" t="s">
        <v>289</v>
      </c>
      <c r="D93" s="17" t="s">
        <v>288</v>
      </c>
      <c r="E93" s="17" t="s">
        <v>10</v>
      </c>
      <c r="F93" s="17"/>
      <c r="G93" s="13">
        <v>63989</v>
      </c>
      <c r="H93" s="13">
        <v>0</v>
      </c>
      <c r="I93" s="13">
        <f t="shared" si="8"/>
        <v>68808</v>
      </c>
      <c r="J93" s="13">
        <f t="shared" si="9"/>
        <v>0</v>
      </c>
      <c r="K93" s="20">
        <f t="shared" si="10"/>
        <v>72237</v>
      </c>
      <c r="L93" s="20">
        <f t="shared" si="11"/>
        <v>0</v>
      </c>
      <c r="M93" s="20">
        <f t="shared" si="6"/>
        <v>76222</v>
      </c>
      <c r="N93" s="20">
        <f t="shared" si="7"/>
        <v>0</v>
      </c>
      <c r="O93" s="27"/>
      <c r="Q93" s="49" t="s">
        <v>470</v>
      </c>
      <c r="R93" s="49" t="s">
        <v>511</v>
      </c>
      <c r="S93" s="48">
        <v>75000</v>
      </c>
      <c r="T93" s="48">
        <f>13000+2000</f>
        <v>15000</v>
      </c>
    </row>
    <row r="94" spans="1:30" s="18" customFormat="1" x14ac:dyDescent="0.25">
      <c r="A94" s="15" t="s">
        <v>290</v>
      </c>
      <c r="B94" s="16" t="s">
        <v>14</v>
      </c>
      <c r="C94" s="23" t="s">
        <v>292</v>
      </c>
      <c r="D94" s="23" t="s">
        <v>291</v>
      </c>
      <c r="E94" s="23" t="s">
        <v>10</v>
      </c>
      <c r="F94" s="23"/>
      <c r="G94" s="22">
        <v>191966</v>
      </c>
      <c r="H94" s="22">
        <v>0</v>
      </c>
      <c r="I94" s="13">
        <f t="shared" si="8"/>
        <v>206423</v>
      </c>
      <c r="J94" s="13">
        <f t="shared" si="9"/>
        <v>0</v>
      </c>
      <c r="K94" s="20">
        <f t="shared" si="10"/>
        <v>216709</v>
      </c>
      <c r="L94" s="20">
        <f t="shared" si="11"/>
        <v>0</v>
      </c>
      <c r="M94" s="20">
        <f t="shared" si="6"/>
        <v>228663</v>
      </c>
      <c r="N94" s="20">
        <f t="shared" si="7"/>
        <v>0</v>
      </c>
      <c r="O94" s="27"/>
      <c r="Q94" s="49" t="s">
        <v>471</v>
      </c>
      <c r="R94" s="49" t="s">
        <v>512</v>
      </c>
      <c r="S94" s="48">
        <v>205000</v>
      </c>
      <c r="T94" s="48">
        <f>28000+3000</f>
        <v>31000</v>
      </c>
    </row>
    <row r="95" spans="1:30" s="18" customFormat="1" x14ac:dyDescent="0.25">
      <c r="A95" s="15" t="s">
        <v>293</v>
      </c>
      <c r="B95" s="16" t="s">
        <v>14</v>
      </c>
      <c r="C95" s="25" t="s">
        <v>358</v>
      </c>
      <c r="D95" s="25" t="s">
        <v>288</v>
      </c>
      <c r="E95" s="23" t="s">
        <v>10</v>
      </c>
      <c r="F95" s="23"/>
      <c r="G95" s="22">
        <v>302494</v>
      </c>
      <c r="H95" s="22">
        <v>83937</v>
      </c>
      <c r="I95" s="13">
        <f t="shared" si="8"/>
        <v>325274</v>
      </c>
      <c r="J95" s="13">
        <f t="shared" si="9"/>
        <v>85264</v>
      </c>
      <c r="K95" s="20">
        <f t="shared" si="10"/>
        <v>341483</v>
      </c>
      <c r="L95" s="20">
        <f t="shared" si="11"/>
        <v>86870</v>
      </c>
      <c r="M95" s="20">
        <f t="shared" si="6"/>
        <v>360320</v>
      </c>
      <c r="N95" s="20">
        <f t="shared" si="7"/>
        <v>91619</v>
      </c>
      <c r="O95" s="27"/>
      <c r="Q95" s="49" t="s">
        <v>472</v>
      </c>
      <c r="R95" s="49" t="s">
        <v>513</v>
      </c>
      <c r="S95" s="48">
        <v>325000</v>
      </c>
      <c r="T95" s="48">
        <f>44000+5000</f>
        <v>49000</v>
      </c>
    </row>
    <row r="96" spans="1:30" s="18" customFormat="1" x14ac:dyDescent="0.25">
      <c r="A96" s="15" t="s">
        <v>294</v>
      </c>
      <c r="B96" s="16" t="s">
        <v>144</v>
      </c>
      <c r="C96" s="17" t="s">
        <v>143</v>
      </c>
      <c r="D96" s="17" t="s">
        <v>295</v>
      </c>
      <c r="E96" s="17" t="s">
        <v>296</v>
      </c>
      <c r="F96" s="17" t="s">
        <v>342</v>
      </c>
      <c r="G96" s="13">
        <v>189323</v>
      </c>
      <c r="H96" s="13">
        <v>0</v>
      </c>
      <c r="I96" s="13">
        <f t="shared" si="8"/>
        <v>203580</v>
      </c>
      <c r="J96" s="13">
        <f t="shared" si="9"/>
        <v>0</v>
      </c>
      <c r="K96" s="20">
        <f t="shared" si="10"/>
        <v>213725</v>
      </c>
      <c r="L96" s="20">
        <f t="shared" si="11"/>
        <v>0</v>
      </c>
      <c r="M96" s="20">
        <f t="shared" si="6"/>
        <v>225515</v>
      </c>
      <c r="N96" s="20">
        <f t="shared" si="7"/>
        <v>0</v>
      </c>
      <c r="O96" s="27"/>
      <c r="Q96" s="49" t="s">
        <v>473</v>
      </c>
      <c r="R96" s="15"/>
      <c r="S96" s="48">
        <v>250000</v>
      </c>
      <c r="T96" s="48"/>
    </row>
    <row r="97" spans="1:30" s="18" customFormat="1" x14ac:dyDescent="0.25">
      <c r="A97" s="15" t="s">
        <v>297</v>
      </c>
      <c r="B97" s="16" t="s">
        <v>14</v>
      </c>
      <c r="C97" s="17" t="s">
        <v>299</v>
      </c>
      <c r="D97" s="17" t="s">
        <v>298</v>
      </c>
      <c r="E97" s="17" t="s">
        <v>346</v>
      </c>
      <c r="F97" s="17" t="s">
        <v>339</v>
      </c>
      <c r="G97" s="13">
        <v>186150</v>
      </c>
      <c r="H97" s="13">
        <v>28518</v>
      </c>
      <c r="I97" s="13">
        <f t="shared" si="8"/>
        <v>200169</v>
      </c>
      <c r="J97" s="13">
        <f t="shared" si="9"/>
        <v>28969</v>
      </c>
      <c r="K97" s="20">
        <f t="shared" si="10"/>
        <v>210144</v>
      </c>
      <c r="L97" s="20">
        <f t="shared" si="11"/>
        <v>29515</v>
      </c>
      <c r="M97" s="20">
        <f t="shared" si="6"/>
        <v>221736</v>
      </c>
      <c r="N97" s="20">
        <f t="shared" si="7"/>
        <v>31128</v>
      </c>
      <c r="O97" s="27"/>
      <c r="Q97" s="49" t="s">
        <v>474</v>
      </c>
      <c r="R97" s="49" t="s">
        <v>514</v>
      </c>
      <c r="S97" s="48">
        <v>200000</v>
      </c>
      <c r="T97" s="48">
        <f>30000+3000</f>
        <v>33000</v>
      </c>
    </row>
    <row r="98" spans="1:30" s="18" customFormat="1" x14ac:dyDescent="0.25">
      <c r="A98" s="15"/>
      <c r="B98" s="16"/>
      <c r="C98" s="17" t="s">
        <v>350</v>
      </c>
      <c r="D98" s="17" t="s">
        <v>377</v>
      </c>
      <c r="E98" s="17" t="s">
        <v>333</v>
      </c>
      <c r="F98" s="17" t="s">
        <v>344</v>
      </c>
      <c r="G98" s="13">
        <v>100000</v>
      </c>
      <c r="H98" s="13">
        <v>0</v>
      </c>
      <c r="I98" s="13">
        <f>G98</f>
        <v>100000</v>
      </c>
      <c r="J98" s="13">
        <f t="shared" si="9"/>
        <v>0</v>
      </c>
      <c r="K98" s="20">
        <f>I98</f>
        <v>100000</v>
      </c>
      <c r="L98" s="20">
        <f t="shared" si="11"/>
        <v>0</v>
      </c>
      <c r="M98" s="20">
        <f t="shared" si="6"/>
        <v>105516</v>
      </c>
      <c r="N98" s="20">
        <f t="shared" si="7"/>
        <v>0</v>
      </c>
      <c r="O98" s="27"/>
      <c r="S98" s="48"/>
      <c r="T98" s="48"/>
      <c r="AA98"/>
      <c r="AB98"/>
      <c r="AC98"/>
      <c r="AD98"/>
    </row>
    <row r="99" spans="1:30" x14ac:dyDescent="0.25">
      <c r="A99" s="2" t="s">
        <v>300</v>
      </c>
      <c r="B99" s="1" t="s">
        <v>14</v>
      </c>
      <c r="C99" s="12" t="s">
        <v>364</v>
      </c>
      <c r="D99" s="12" t="s">
        <v>301</v>
      </c>
      <c r="E99" s="12" t="s">
        <v>10</v>
      </c>
      <c r="F99" s="12"/>
      <c r="G99" s="13">
        <v>105180</v>
      </c>
      <c r="H99" s="13">
        <v>0</v>
      </c>
      <c r="I99" s="13">
        <f t="shared" si="8"/>
        <v>113101</v>
      </c>
      <c r="J99" s="13">
        <f t="shared" si="9"/>
        <v>0</v>
      </c>
      <c r="K99" s="20">
        <f t="shared" si="10"/>
        <v>118737</v>
      </c>
      <c r="L99" s="20">
        <f t="shared" si="11"/>
        <v>0</v>
      </c>
      <c r="M99" s="20">
        <f t="shared" si="6"/>
        <v>125287</v>
      </c>
      <c r="N99" s="20">
        <f t="shared" si="7"/>
        <v>0</v>
      </c>
      <c r="O99" s="19"/>
      <c r="Q99" s="49" t="s">
        <v>475</v>
      </c>
      <c r="R99" s="49" t="s">
        <v>515</v>
      </c>
      <c r="S99" s="46">
        <v>140000</v>
      </c>
      <c r="T99" s="46">
        <f>25000+2000</f>
        <v>27000</v>
      </c>
      <c r="U99" s="18"/>
    </row>
    <row r="100" spans="1:30" x14ac:dyDescent="0.25">
      <c r="A100" s="2" t="s">
        <v>302</v>
      </c>
      <c r="B100" s="1" t="s">
        <v>19</v>
      </c>
      <c r="C100" s="12" t="s">
        <v>304</v>
      </c>
      <c r="D100" s="12" t="s">
        <v>303</v>
      </c>
      <c r="E100" s="12" t="s">
        <v>305</v>
      </c>
      <c r="F100" s="12" t="s">
        <v>342</v>
      </c>
      <c r="G100" s="13">
        <v>4822481</v>
      </c>
      <c r="H100" s="13">
        <v>342000</v>
      </c>
      <c r="I100" s="13">
        <f t="shared" si="8"/>
        <v>5185651</v>
      </c>
      <c r="J100" s="13">
        <f t="shared" si="9"/>
        <v>347406</v>
      </c>
      <c r="K100" s="20">
        <f t="shared" si="10"/>
        <v>5444061</v>
      </c>
      <c r="L100" s="20">
        <f t="shared" si="11"/>
        <v>353950</v>
      </c>
      <c r="M100" s="20">
        <f t="shared" si="6"/>
        <v>5744375</v>
      </c>
      <c r="N100" s="20">
        <f t="shared" si="7"/>
        <v>373298</v>
      </c>
      <c r="O100" s="19"/>
      <c r="Q100" s="49" t="s">
        <v>476</v>
      </c>
      <c r="R100" s="49" t="s">
        <v>516</v>
      </c>
      <c r="S100" s="46">
        <v>6125000</v>
      </c>
      <c r="T100" s="46">
        <f>188000+35000</f>
        <v>223000</v>
      </c>
      <c r="W100" t="s">
        <v>399</v>
      </c>
    </row>
    <row r="101" spans="1:30" x14ac:dyDescent="0.25">
      <c r="A101" s="2" t="s">
        <v>306</v>
      </c>
      <c r="B101" s="1" t="s">
        <v>144</v>
      </c>
      <c r="C101" s="12" t="s">
        <v>308</v>
      </c>
      <c r="D101" s="12" t="s">
        <v>307</v>
      </c>
      <c r="E101" s="12" t="s">
        <v>309</v>
      </c>
      <c r="F101" s="12" t="s">
        <v>344</v>
      </c>
      <c r="G101" s="13">
        <v>546815</v>
      </c>
      <c r="H101" s="13">
        <v>0</v>
      </c>
      <c r="I101" s="13">
        <f t="shared" si="8"/>
        <v>587994</v>
      </c>
      <c r="J101" s="13">
        <f t="shared" si="9"/>
        <v>0</v>
      </c>
      <c r="K101" s="20">
        <f t="shared" si="10"/>
        <v>617295</v>
      </c>
      <c r="L101" s="20">
        <f t="shared" si="11"/>
        <v>0</v>
      </c>
      <c r="M101" s="20">
        <f t="shared" si="6"/>
        <v>651347</v>
      </c>
      <c r="N101" s="20">
        <f t="shared" si="7"/>
        <v>0</v>
      </c>
      <c r="O101" s="19"/>
      <c r="Q101" s="49" t="s">
        <v>477</v>
      </c>
      <c r="R101" s="2"/>
      <c r="S101" s="46">
        <v>610000</v>
      </c>
      <c r="T101" s="46"/>
    </row>
    <row r="102" spans="1:30" x14ac:dyDescent="0.25">
      <c r="A102" s="2" t="s">
        <v>310</v>
      </c>
      <c r="B102" s="1" t="s">
        <v>27</v>
      </c>
      <c r="C102" s="12" t="s">
        <v>312</v>
      </c>
      <c r="D102" s="12" t="s">
        <v>311</v>
      </c>
      <c r="E102" s="12" t="s">
        <v>313</v>
      </c>
      <c r="F102" s="12" t="s">
        <v>338</v>
      </c>
      <c r="G102" s="13">
        <v>11250438</v>
      </c>
      <c r="H102" s="13">
        <v>2329006</v>
      </c>
      <c r="I102" s="13">
        <f t="shared" si="8"/>
        <v>12097683</v>
      </c>
      <c r="J102" s="13">
        <f t="shared" si="9"/>
        <v>2365821</v>
      </c>
      <c r="K102" s="20">
        <f t="shared" si="10"/>
        <v>12700531</v>
      </c>
      <c r="L102" s="20">
        <f t="shared" si="11"/>
        <v>2410386</v>
      </c>
      <c r="M102" s="20">
        <f t="shared" si="6"/>
        <v>13401138</v>
      </c>
      <c r="N102" s="20">
        <f t="shared" si="7"/>
        <v>2542143</v>
      </c>
      <c r="O102" s="19"/>
      <c r="Q102" s="49" t="s">
        <v>478</v>
      </c>
      <c r="R102" s="49" t="s">
        <v>517</v>
      </c>
      <c r="S102" s="46">
        <v>12220000</v>
      </c>
      <c r="T102" s="46">
        <f>1995000+250000</f>
        <v>2245000</v>
      </c>
      <c r="W102" t="s">
        <v>399</v>
      </c>
      <c r="Y102" t="s">
        <v>399</v>
      </c>
      <c r="Z102" t="s">
        <v>399</v>
      </c>
    </row>
    <row r="103" spans="1:30" x14ac:dyDescent="0.25">
      <c r="A103" s="2" t="s">
        <v>314</v>
      </c>
      <c r="B103" s="1" t="s">
        <v>27</v>
      </c>
      <c r="C103" s="12" t="s">
        <v>316</v>
      </c>
      <c r="D103" s="12" t="s">
        <v>315</v>
      </c>
      <c r="E103" s="12" t="s">
        <v>38</v>
      </c>
      <c r="F103" s="12" t="s">
        <v>343</v>
      </c>
      <c r="G103" s="13">
        <v>226870</v>
      </c>
      <c r="H103" s="13">
        <v>85556</v>
      </c>
      <c r="I103" s="13">
        <f t="shared" si="8"/>
        <v>243955</v>
      </c>
      <c r="J103" s="13">
        <f t="shared" si="9"/>
        <v>86908</v>
      </c>
      <c r="K103" s="20">
        <f t="shared" si="10"/>
        <v>256112</v>
      </c>
      <c r="L103" s="20">
        <f t="shared" si="11"/>
        <v>88545</v>
      </c>
      <c r="M103" s="20">
        <f t="shared" si="6"/>
        <v>270240</v>
      </c>
      <c r="N103" s="20">
        <f t="shared" si="7"/>
        <v>93385</v>
      </c>
      <c r="O103" s="19"/>
      <c r="Q103" s="49" t="s">
        <v>479</v>
      </c>
      <c r="S103" s="46">
        <v>245000</v>
      </c>
      <c r="T103">
        <v>0</v>
      </c>
      <c r="V103" t="s">
        <v>400</v>
      </c>
      <c r="W103" t="s">
        <v>399</v>
      </c>
      <c r="Y103" t="s">
        <v>399</v>
      </c>
    </row>
    <row r="104" spans="1:30" x14ac:dyDescent="0.25">
      <c r="A104" s="2" t="s">
        <v>317</v>
      </c>
      <c r="B104" s="1" t="s">
        <v>27</v>
      </c>
      <c r="C104" s="12" t="s">
        <v>319</v>
      </c>
      <c r="D104" s="12" t="s">
        <v>318</v>
      </c>
      <c r="E104" s="12" t="s">
        <v>168</v>
      </c>
      <c r="F104" s="12" t="s">
        <v>339</v>
      </c>
      <c r="G104" s="13">
        <v>756234</v>
      </c>
      <c r="H104" s="13">
        <v>0</v>
      </c>
      <c r="I104" s="13">
        <f t="shared" si="8"/>
        <v>813184</v>
      </c>
      <c r="J104" s="13">
        <f t="shared" si="9"/>
        <v>0</v>
      </c>
      <c r="K104" s="20">
        <f t="shared" si="10"/>
        <v>853706</v>
      </c>
      <c r="L104" s="20">
        <f t="shared" si="11"/>
        <v>0</v>
      </c>
      <c r="M104" s="20">
        <f t="shared" si="6"/>
        <v>900799</v>
      </c>
      <c r="N104" s="20">
        <f t="shared" si="7"/>
        <v>0</v>
      </c>
      <c r="O104" s="19"/>
      <c r="S104" s="47">
        <v>100000</v>
      </c>
      <c r="T104" s="46"/>
    </row>
    <row r="105" spans="1:30" x14ac:dyDescent="0.25">
      <c r="A105" s="2" t="s">
        <v>320</v>
      </c>
      <c r="B105" s="1" t="s">
        <v>27</v>
      </c>
      <c r="C105" s="12" t="s">
        <v>322</v>
      </c>
      <c r="D105" s="12" t="s">
        <v>321</v>
      </c>
      <c r="E105" s="12" t="s">
        <v>323</v>
      </c>
      <c r="F105" s="12" t="s">
        <v>342</v>
      </c>
      <c r="G105" s="13">
        <v>610804</v>
      </c>
      <c r="H105" s="13">
        <v>0</v>
      </c>
      <c r="I105" s="13">
        <f t="shared" si="8"/>
        <v>656802</v>
      </c>
      <c r="J105" s="13">
        <f t="shared" si="9"/>
        <v>0</v>
      </c>
      <c r="K105" s="20">
        <f t="shared" si="10"/>
        <v>689532</v>
      </c>
      <c r="L105" s="20">
        <f t="shared" si="11"/>
        <v>0</v>
      </c>
      <c r="M105" s="20">
        <f t="shared" si="6"/>
        <v>727569</v>
      </c>
      <c r="N105" s="20">
        <f t="shared" si="7"/>
        <v>0</v>
      </c>
      <c r="O105" s="19"/>
      <c r="Q105" s="49" t="s">
        <v>480</v>
      </c>
      <c r="R105" s="2"/>
      <c r="S105" s="46">
        <v>655000</v>
      </c>
      <c r="T105" s="46"/>
    </row>
    <row r="106" spans="1:30" x14ac:dyDescent="0.25">
      <c r="A106" s="2" t="s">
        <v>324</v>
      </c>
      <c r="B106" s="1" t="s">
        <v>14</v>
      </c>
      <c r="C106" s="12" t="s">
        <v>326</v>
      </c>
      <c r="D106" s="12" t="s">
        <v>325</v>
      </c>
      <c r="E106" s="12" t="s">
        <v>327</v>
      </c>
      <c r="F106" s="12" t="s">
        <v>340</v>
      </c>
      <c r="G106" s="13">
        <v>535181</v>
      </c>
      <c r="H106" s="13">
        <v>340109</v>
      </c>
      <c r="I106" s="13">
        <f t="shared" si="8"/>
        <v>575484</v>
      </c>
      <c r="J106" s="13">
        <f t="shared" si="9"/>
        <v>345485</v>
      </c>
      <c r="K106" s="20">
        <f t="shared" si="10"/>
        <v>604161</v>
      </c>
      <c r="L106" s="20">
        <f t="shared" si="11"/>
        <v>351993</v>
      </c>
      <c r="M106" s="20">
        <f t="shared" si="6"/>
        <v>637489</v>
      </c>
      <c r="N106" s="20">
        <f t="shared" si="7"/>
        <v>371234</v>
      </c>
      <c r="O106" s="19"/>
      <c r="Q106" s="49" t="s">
        <v>481</v>
      </c>
      <c r="R106" s="49" t="s">
        <v>518</v>
      </c>
      <c r="S106" s="46">
        <v>575000</v>
      </c>
      <c r="T106" s="46">
        <f>217000+40000</f>
        <v>257000</v>
      </c>
      <c r="W106" t="s">
        <v>399</v>
      </c>
    </row>
    <row r="107" spans="1:30" x14ac:dyDescent="0.25">
      <c r="A107" s="2"/>
      <c r="B107" s="1"/>
      <c r="C107" s="17" t="s">
        <v>354</v>
      </c>
      <c r="D107" s="12"/>
      <c r="E107" s="12"/>
      <c r="F107" s="12"/>
      <c r="G107" s="13">
        <v>184631</v>
      </c>
      <c r="H107" s="13">
        <v>0</v>
      </c>
      <c r="I107" s="13">
        <f t="shared" si="8"/>
        <v>198535</v>
      </c>
      <c r="J107" s="13">
        <f t="shared" si="9"/>
        <v>0</v>
      </c>
      <c r="K107" s="20">
        <f t="shared" si="10"/>
        <v>208428</v>
      </c>
      <c r="L107" s="20">
        <f t="shared" si="11"/>
        <v>0</v>
      </c>
      <c r="M107" s="20">
        <f t="shared" si="6"/>
        <v>219926</v>
      </c>
      <c r="N107" s="20">
        <f t="shared" si="7"/>
        <v>0</v>
      </c>
      <c r="O107" s="19"/>
      <c r="Q107" s="49" t="s">
        <v>482</v>
      </c>
      <c r="R107" s="49" t="s">
        <v>519</v>
      </c>
      <c r="S107" s="46">
        <v>95000</v>
      </c>
      <c r="T107" s="46">
        <f>16000+2000</f>
        <v>18000</v>
      </c>
    </row>
    <row r="108" spans="1:30" x14ac:dyDescent="0.25">
      <c r="A108" s="2"/>
      <c r="B108" s="1"/>
      <c r="C108" s="17" t="s">
        <v>351</v>
      </c>
      <c r="D108" s="17" t="s">
        <v>352</v>
      </c>
      <c r="E108" s="17" t="s">
        <v>353</v>
      </c>
      <c r="F108" s="17" t="s">
        <v>342</v>
      </c>
      <c r="G108" s="13">
        <v>0</v>
      </c>
      <c r="H108" s="13">
        <v>487982</v>
      </c>
      <c r="I108" s="13">
        <f t="shared" si="8"/>
        <v>0</v>
      </c>
      <c r="J108" s="13">
        <f t="shared" si="9"/>
        <v>495696</v>
      </c>
      <c r="K108" s="20">
        <f t="shared" si="10"/>
        <v>0</v>
      </c>
      <c r="L108" s="20">
        <f t="shared" si="11"/>
        <v>505033</v>
      </c>
      <c r="M108" s="20">
        <f t="shared" si="6"/>
        <v>0</v>
      </c>
      <c r="N108" s="20">
        <f t="shared" si="7"/>
        <v>532639</v>
      </c>
      <c r="O108" s="19"/>
      <c r="Q108" s="2"/>
      <c r="R108" s="49" t="s">
        <v>520</v>
      </c>
      <c r="S108" s="46">
        <v>0</v>
      </c>
      <c r="T108" s="46">
        <f>179000+40000</f>
        <v>219000</v>
      </c>
    </row>
    <row r="110" spans="1:30" x14ac:dyDescent="0.25">
      <c r="E110" s="3" t="s">
        <v>328</v>
      </c>
      <c r="G110" s="5">
        <v>133706140</v>
      </c>
      <c r="H110" s="5">
        <v>26199339</v>
      </c>
      <c r="I110" s="5">
        <f t="shared" ref="I110:J110" si="12">SUM(I5:I109)</f>
        <v>143526503</v>
      </c>
      <c r="J110" s="5">
        <f t="shared" si="12"/>
        <v>26613472</v>
      </c>
      <c r="K110" s="5">
        <f>SUM(K5:K109)</f>
        <v>168823681</v>
      </c>
      <c r="L110" s="5">
        <f>SUM(L5:L109)</f>
        <v>28929789</v>
      </c>
      <c r="M110" s="5">
        <f>SUM(M5:M109)</f>
        <v>178136597</v>
      </c>
      <c r="N110" s="5">
        <f>SUM(N5:N109)</f>
        <v>30511159</v>
      </c>
    </row>
    <row r="111" spans="1:30" x14ac:dyDescent="0.25">
      <c r="G111" s="4"/>
      <c r="H111" s="4"/>
      <c r="I111" s="4"/>
      <c r="J111" s="4"/>
      <c r="K111" s="4"/>
      <c r="L111" s="4"/>
      <c r="M111" s="4"/>
      <c r="N111" s="4"/>
    </row>
    <row r="112" spans="1:30" ht="15.75" thickBot="1" x14ac:dyDescent="0.3">
      <c r="D112" t="s">
        <v>329</v>
      </c>
      <c r="G112" s="14">
        <v>159905479</v>
      </c>
      <c r="H112" s="4"/>
      <c r="I112" s="14">
        <f>I110+J110</f>
        <v>170139975</v>
      </c>
      <c r="J112" s="4"/>
      <c r="K112" s="4"/>
      <c r="L112" s="35">
        <f>K110+L110</f>
        <v>197753470</v>
      </c>
      <c r="M112" s="4"/>
      <c r="N112" s="35">
        <f>M110+N110</f>
        <v>208647756</v>
      </c>
      <c r="Q112" s="2"/>
    </row>
    <row r="113" spans="3:3" ht="15.75" thickTop="1" x14ac:dyDescent="0.25"/>
    <row r="115" spans="3:3" x14ac:dyDescent="0.25">
      <c r="C115" s="26" t="s">
        <v>365</v>
      </c>
    </row>
    <row r="116" spans="3:3" x14ac:dyDescent="0.25">
      <c r="C116" s="26" t="s">
        <v>366</v>
      </c>
    </row>
    <row r="117" spans="3:3" x14ac:dyDescent="0.25">
      <c r="C117" s="26" t="s">
        <v>368</v>
      </c>
    </row>
  </sheetData>
  <autoFilter ref="A1:O108"/>
  <mergeCells count="4">
    <mergeCell ref="O1:O4"/>
    <mergeCell ref="G77:G84"/>
    <mergeCell ref="O77:O84"/>
    <mergeCell ref="I77:I84"/>
  </mergeCells>
  <pageMargins left="0.51181102362204722" right="0.51181102362204722" top="1.7322834645669292" bottom="0.98425196850393704" header="0.31496062992125984" footer="0.70866141732283472"/>
  <pageSetup paperSize="9" scale="75" fitToHeight="4" orientation="landscape" r:id="rId1"/>
  <headerFooter>
    <oddFooter>&amp;L&amp;F &amp;A&amp;C&amp;P&amp;R&amp;D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Gemeente Bergen-NH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thmol</dc:creator>
  <cp:lastModifiedBy>BeNoo51</cp:lastModifiedBy>
  <cp:lastPrinted>2021-12-23T08:34:34Z</cp:lastPrinted>
  <dcterms:created xsi:type="dcterms:W3CDTF">2016-12-16T09:32:09Z</dcterms:created>
  <dcterms:modified xsi:type="dcterms:W3CDTF">2022-10-21T09:33:15Z</dcterms:modified>
</cp:coreProperties>
</file>