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\\VDHAABFPS01\CompendaArchief$\CRMAlphaAdviesBureauDB\Archief\00029500\"/>
    </mc:Choice>
  </mc:AlternateContent>
  <xr:revisionPtr revIDLastSave="0" documentId="13_ncr:1_{7D81E41A-0278-42BD-8BF5-6376E89FC6AE}" xr6:coauthVersionLast="47" xr6:coauthVersionMax="47" xr10:uidLastSave="{00000000-0000-0000-0000-000000000000}"/>
  <bookViews>
    <workbookView xWindow="28680" yWindow="-120" windowWidth="29040" windowHeight="15840" tabRatio="955" xr2:uid="{00000000-000D-0000-FFFF-FFFF00000000}"/>
  </bookViews>
  <sheets>
    <sheet name="Algemene gegevens" sheetId="77" r:id="rId1"/>
    <sheet name="Uurtariefopbouw" sheetId="12" r:id="rId2"/>
    <sheet name="Verzamelblad" sheetId="1" r:id="rId3"/>
    <sheet name="1" sheetId="4" r:id="rId4"/>
    <sheet name="1a" sheetId="5" r:id="rId5"/>
    <sheet name="2" sheetId="14" r:id="rId6"/>
    <sheet name="2a" sheetId="20" r:id="rId7"/>
    <sheet name="3" sheetId="15" r:id="rId8"/>
    <sheet name="3a" sheetId="21" r:id="rId9"/>
    <sheet name="4" sheetId="16" r:id="rId10"/>
    <sheet name="4a" sheetId="22" r:id="rId11"/>
    <sheet name="Totaalblad" sheetId="13" r:id="rId12"/>
    <sheet name="5" sheetId="17" state="hidden" r:id="rId13"/>
    <sheet name="5a" sheetId="23" state="hidden" r:id="rId14"/>
    <sheet name="Wijzigingenblad" sheetId="76" state="hidden" r:id="rId15"/>
  </sheets>
  <externalReferences>
    <externalReference r:id="rId16"/>
  </externalReferences>
  <definedNames>
    <definedName name="_xlnm.Print_Area" localSheetId="3">'1'!$A$1:$M$81</definedName>
    <definedName name="_xlnm.Print_Area" localSheetId="4">'1a'!$A$1:$L$518</definedName>
    <definedName name="_xlnm.Print_Area" localSheetId="5">'2'!$A$1:$M$81</definedName>
    <definedName name="_xlnm.Print_Area" localSheetId="6">'2a'!$A$1:$L$518</definedName>
    <definedName name="_xlnm.Print_Area" localSheetId="7">'3'!$A$1:$M$81</definedName>
    <definedName name="_xlnm.Print_Area" localSheetId="8">'3a'!$A$1:$L$518</definedName>
    <definedName name="_xlnm.Print_Area" localSheetId="9">'4'!$A$1:$M$81</definedName>
    <definedName name="_xlnm.Print_Area" localSheetId="10">'4a'!$A$1:$L$518</definedName>
    <definedName name="_xlnm.Print_Area" localSheetId="12">'5'!$A$1:$M$81</definedName>
    <definedName name="_xlnm.Print_Area" localSheetId="13">'5a'!$A$1:$L$518</definedName>
    <definedName name="_xlnm.Print_Area" localSheetId="0">'Algemene gegevens'!$A$1:$J$35</definedName>
    <definedName name="_xlnm.Print_Area" localSheetId="1">Uurtariefopbouw!$A$1:$K$28</definedName>
    <definedName name="_xlnm.Print_Area" localSheetId="2">Verzamelblad!$A$1:$CS$9</definedName>
    <definedName name="_xlnm.Print_Area" localSheetId="14">Wijzigingenblad!$A$1:$J$18</definedName>
    <definedName name="bestekcontract" localSheetId="0">[1]verzamelblad!$A$2</definedName>
    <definedName name="bestekcontract">Verzamelblad!$A$2</definedName>
    <definedName name="besteknr" localSheetId="0">[1]verzamelblad!$A$3</definedName>
    <definedName name="besteknr">Verzamelblad!$A$3</definedName>
    <definedName name="directtoezicht" localSheetId="0">[1]uurtariefopbouw!$E$24</definedName>
    <definedName name="directtoezicht">Uurtariefopbouw!$E$7</definedName>
    <definedName name="offertetarief" localSheetId="0">[1]uurtariefopbouw!$F$35</definedName>
    <definedName name="offertetarief">Uurtariefopbouw!$F$15</definedName>
    <definedName name="opdrachtgever" localSheetId="0">'Algemene gegevens'!$H$5</definedName>
    <definedName name="opdrachtgever">#REF!</definedName>
    <definedName name="opdrachtnemer" localSheetId="0">'Algemene gegevens'!$H$15</definedName>
    <definedName name="opdrachtnemer">#REF!</definedName>
    <definedName name="opdrachtnemerplaats" localSheetId="0">'Algemene gegevens'!$B$13</definedName>
    <definedName name="opdrachtnemerplaats">#REF!</definedName>
    <definedName name="plaatsopdrnmr" localSheetId="0">'Algemene gegevens'!$B$13</definedName>
    <definedName name="plaatsopdrnmr">#REF!</definedName>
    <definedName name="regietarief" localSheetId="0">[1]uurtariefopbouw!$H$35</definedName>
    <definedName name="regietarief">Uurtariefopbouw!$H$15</definedName>
    <definedName name="spectarief" localSheetId="0">[1]uurtariefopbouw!$J$35</definedName>
    <definedName name="spectarief">Uurtariefopbouw!$J$15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3" i="12" l="1"/>
  <c r="H13" i="12"/>
  <c r="F13" i="12"/>
  <c r="K171" i="5"/>
  <c r="M171" i="5" s="1"/>
  <c r="K152" i="5"/>
  <c r="K170" i="5"/>
  <c r="M170" i="5" s="1"/>
  <c r="L152" i="5"/>
  <c r="M152" i="5" l="1"/>
  <c r="E36" i="16"/>
  <c r="E36" i="15"/>
  <c r="L8" i="5" l="1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L41" i="5"/>
  <c r="L42" i="5"/>
  <c r="L43" i="5"/>
  <c r="L44" i="5"/>
  <c r="L45" i="5"/>
  <c r="L46" i="5"/>
  <c r="L47" i="5"/>
  <c r="L48" i="5"/>
  <c r="L49" i="5"/>
  <c r="L50" i="5"/>
  <c r="L51" i="5"/>
  <c r="L52" i="5"/>
  <c r="L53" i="5"/>
  <c r="L54" i="5"/>
  <c r="L55" i="5"/>
  <c r="L56" i="5"/>
  <c r="L57" i="5"/>
  <c r="L58" i="5"/>
  <c r="L59" i="5"/>
  <c r="L60" i="5"/>
  <c r="L61" i="5"/>
  <c r="L62" i="5"/>
  <c r="L63" i="5"/>
  <c r="L64" i="5"/>
  <c r="L65" i="5"/>
  <c r="L66" i="5"/>
  <c r="L67" i="5"/>
  <c r="L68" i="5"/>
  <c r="L69" i="5"/>
  <c r="L70" i="5"/>
  <c r="L71" i="5"/>
  <c r="L72" i="5"/>
  <c r="L73" i="5"/>
  <c r="L74" i="5"/>
  <c r="L75" i="5"/>
  <c r="L76" i="5"/>
  <c r="L77" i="5"/>
  <c r="L78" i="5"/>
  <c r="L79" i="5"/>
  <c r="L80" i="5"/>
  <c r="L81" i="5"/>
  <c r="L82" i="5"/>
  <c r="L83" i="5"/>
  <c r="L84" i="5"/>
  <c r="L85" i="5"/>
  <c r="L86" i="5"/>
  <c r="L87" i="5"/>
  <c r="L88" i="5"/>
  <c r="L89" i="5"/>
  <c r="L90" i="5"/>
  <c r="L91" i="5"/>
  <c r="L92" i="5"/>
  <c r="L93" i="5"/>
  <c r="L94" i="5"/>
  <c r="L7" i="5"/>
  <c r="L6" i="5"/>
  <c r="L5" i="5"/>
  <c r="J207" i="5"/>
  <c r="I207" i="5"/>
  <c r="H207" i="5"/>
  <c r="G207" i="5"/>
  <c r="F207" i="5"/>
  <c r="K206" i="5"/>
  <c r="K205" i="5"/>
  <c r="K204" i="5"/>
  <c r="K203" i="5"/>
  <c r="K202" i="5"/>
  <c r="K201" i="5"/>
  <c r="K200" i="5"/>
  <c r="K199" i="5"/>
  <c r="K198" i="5"/>
  <c r="K197" i="5"/>
  <c r="K196" i="5"/>
  <c r="K195" i="5"/>
  <c r="K194" i="5"/>
  <c r="K193" i="5"/>
  <c r="K192" i="5"/>
  <c r="K191" i="5"/>
  <c r="K190" i="5"/>
  <c r="K189" i="5"/>
  <c r="K188" i="5"/>
  <c r="K187" i="5"/>
  <c r="K186" i="5"/>
  <c r="K185" i="5"/>
  <c r="K184" i="5"/>
  <c r="K183" i="5"/>
  <c r="K182" i="5"/>
  <c r="K181" i="5"/>
  <c r="K180" i="5"/>
  <c r="K179" i="5"/>
  <c r="K178" i="5"/>
  <c r="K177" i="5"/>
  <c r="K176" i="5"/>
  <c r="K175" i="5"/>
  <c r="K174" i="5"/>
  <c r="K173" i="5"/>
  <c r="K172" i="5"/>
  <c r="K169" i="5"/>
  <c r="K168" i="5"/>
  <c r="J165" i="5"/>
  <c r="I165" i="5"/>
  <c r="H165" i="5"/>
  <c r="G165" i="5"/>
  <c r="F165" i="5"/>
  <c r="K164" i="5"/>
  <c r="K163" i="5"/>
  <c r="K162" i="5"/>
  <c r="K161" i="5"/>
  <c r="K160" i="5"/>
  <c r="K159" i="5"/>
  <c r="K158" i="5"/>
  <c r="K157" i="5"/>
  <c r="K156" i="5"/>
  <c r="K155" i="5"/>
  <c r="K154" i="5"/>
  <c r="K153" i="5"/>
  <c r="K151" i="5"/>
  <c r="K150" i="5"/>
  <c r="K149" i="5"/>
  <c r="K148" i="5"/>
  <c r="K147" i="5"/>
  <c r="K146" i="5"/>
  <c r="K145" i="5"/>
  <c r="K144" i="5"/>
  <c r="K143" i="5"/>
  <c r="K142" i="5"/>
  <c r="K141" i="5"/>
  <c r="K140" i="5"/>
  <c r="K139" i="5"/>
  <c r="K138" i="5"/>
  <c r="K137" i="5"/>
  <c r="K136" i="5"/>
  <c r="K135" i="5"/>
  <c r="K134" i="5"/>
  <c r="K133" i="5"/>
  <c r="K132" i="5"/>
  <c r="K131" i="5"/>
  <c r="K130" i="5"/>
  <c r="K129" i="5"/>
  <c r="K128" i="5"/>
  <c r="K127" i="5"/>
  <c r="K126" i="5"/>
  <c r="K125" i="5"/>
  <c r="K124" i="5"/>
  <c r="K123" i="5"/>
  <c r="K122" i="5"/>
  <c r="K121" i="5"/>
  <c r="K120" i="5"/>
  <c r="K119" i="5"/>
  <c r="K118" i="5"/>
  <c r="K117" i="5"/>
  <c r="K116" i="5"/>
  <c r="K115" i="5"/>
  <c r="K114" i="5"/>
  <c r="K113" i="5"/>
  <c r="K112" i="5"/>
  <c r="K111" i="5"/>
  <c r="K110" i="5"/>
  <c r="K109" i="5"/>
  <c r="K108" i="5"/>
  <c r="K107" i="5"/>
  <c r="K106" i="5"/>
  <c r="K105" i="5"/>
  <c r="K104" i="5"/>
  <c r="K103" i="5"/>
  <c r="K102" i="5"/>
  <c r="K101" i="5"/>
  <c r="K100" i="5"/>
  <c r="K99" i="5"/>
  <c r="K98" i="5"/>
  <c r="J95" i="5"/>
  <c r="I95" i="5"/>
  <c r="H95" i="5"/>
  <c r="G95" i="5"/>
  <c r="F95" i="5"/>
  <c r="K94" i="5"/>
  <c r="K93" i="5"/>
  <c r="K92" i="5"/>
  <c r="K91" i="5"/>
  <c r="K90" i="5"/>
  <c r="K89" i="5"/>
  <c r="K88" i="5"/>
  <c r="K87" i="5"/>
  <c r="K86" i="5"/>
  <c r="K85" i="5"/>
  <c r="K84" i="5"/>
  <c r="K83" i="5"/>
  <c r="K82" i="5"/>
  <c r="K81" i="5"/>
  <c r="K80" i="5"/>
  <c r="K79" i="5"/>
  <c r="K78" i="5"/>
  <c r="K77" i="5"/>
  <c r="K76" i="5"/>
  <c r="K75" i="5"/>
  <c r="K74" i="5"/>
  <c r="K73" i="5"/>
  <c r="K72" i="5"/>
  <c r="K71" i="5"/>
  <c r="K70" i="5"/>
  <c r="K69" i="5"/>
  <c r="K68" i="5"/>
  <c r="K67" i="5"/>
  <c r="K66" i="5"/>
  <c r="K65" i="5"/>
  <c r="K64" i="5"/>
  <c r="K63" i="5"/>
  <c r="K62" i="5"/>
  <c r="K61" i="5"/>
  <c r="K60" i="5"/>
  <c r="K59" i="5"/>
  <c r="K58" i="5"/>
  <c r="K57" i="5"/>
  <c r="K56" i="5"/>
  <c r="K55" i="5"/>
  <c r="K54" i="5"/>
  <c r="K53" i="5"/>
  <c r="K52" i="5"/>
  <c r="K51" i="5"/>
  <c r="K50" i="5"/>
  <c r="K49" i="5"/>
  <c r="K48" i="5"/>
  <c r="K47" i="5"/>
  <c r="K46" i="5"/>
  <c r="K45" i="5"/>
  <c r="K44" i="5"/>
  <c r="K43" i="5"/>
  <c r="K42" i="5"/>
  <c r="K41" i="5"/>
  <c r="K40" i="5"/>
  <c r="K39" i="5"/>
  <c r="K38" i="5"/>
  <c r="K37" i="5"/>
  <c r="K36" i="5"/>
  <c r="K35" i="5"/>
  <c r="K34" i="5"/>
  <c r="K33" i="5"/>
  <c r="K32" i="5"/>
  <c r="K31" i="5"/>
  <c r="K30" i="5"/>
  <c r="K29" i="5"/>
  <c r="K28" i="5"/>
  <c r="K27" i="5"/>
  <c r="K26" i="5"/>
  <c r="K25" i="5"/>
  <c r="K24" i="5"/>
  <c r="K23" i="5"/>
  <c r="K22" i="5"/>
  <c r="K21" i="5"/>
  <c r="K20" i="5"/>
  <c r="K19" i="5"/>
  <c r="K18" i="5"/>
  <c r="K17" i="5"/>
  <c r="K16" i="5"/>
  <c r="K15" i="5"/>
  <c r="K14" i="5"/>
  <c r="K13" i="5"/>
  <c r="K12" i="5"/>
  <c r="K11" i="5"/>
  <c r="K10" i="5"/>
  <c r="K9" i="5"/>
  <c r="K8" i="5"/>
  <c r="K7" i="5"/>
  <c r="K6" i="5"/>
  <c r="K5" i="5"/>
  <c r="K165" i="5" l="1"/>
  <c r="K95" i="5"/>
  <c r="K207" i="5"/>
  <c r="I60" i="16" l="1"/>
  <c r="I61" i="16"/>
  <c r="I11" i="22"/>
  <c r="H11" i="22"/>
  <c r="G11" i="22"/>
  <c r="F11" i="22"/>
  <c r="J11" i="22"/>
  <c r="I517" i="22" a="1"/>
  <c r="I517" i="22" s="1"/>
  <c r="K11" i="22"/>
  <c r="G550" i="22"/>
  <c r="H517" i="22" a="1"/>
  <c r="H517" i="22" s="1"/>
  <c r="J517" i="22" a="1"/>
  <c r="J517" i="22" s="1"/>
  <c r="G517" i="22" a="1"/>
  <c r="G517" i="22" s="1"/>
  <c r="F517" i="22" a="1"/>
  <c r="F517" i="22" s="1"/>
  <c r="L13" i="22"/>
  <c r="L14" i="22"/>
  <c r="L15" i="22"/>
  <c r="L16" i="22"/>
  <c r="L17" i="22"/>
  <c r="L18" i="22"/>
  <c r="L19" i="22"/>
  <c r="L20" i="22"/>
  <c r="L21" i="22"/>
  <c r="L22" i="22"/>
  <c r="L23" i="22"/>
  <c r="L24" i="22"/>
  <c r="L25" i="22"/>
  <c r="L26" i="22"/>
  <c r="L27" i="22"/>
  <c r="L28" i="22"/>
  <c r="L29" i="22"/>
  <c r="L30" i="22"/>
  <c r="L31" i="22"/>
  <c r="L32" i="22"/>
  <c r="L33" i="22"/>
  <c r="L34" i="22"/>
  <c r="L35" i="22"/>
  <c r="L36" i="22"/>
  <c r="L37" i="22"/>
  <c r="L38" i="22"/>
  <c r="L39" i="22"/>
  <c r="L40" i="22"/>
  <c r="L41" i="22"/>
  <c r="L42" i="22"/>
  <c r="L43" i="22"/>
  <c r="L44" i="22"/>
  <c r="L45" i="22"/>
  <c r="L46" i="22"/>
  <c r="L47" i="22"/>
  <c r="L48" i="22"/>
  <c r="L49" i="22"/>
  <c r="L50" i="22"/>
  <c r="L51" i="22"/>
  <c r="L52" i="22"/>
  <c r="L53" i="22"/>
  <c r="L54" i="22"/>
  <c r="L55" i="22"/>
  <c r="L56" i="22"/>
  <c r="L57" i="22"/>
  <c r="L58" i="22"/>
  <c r="L59" i="22"/>
  <c r="L60" i="22"/>
  <c r="L61" i="22"/>
  <c r="L62" i="22"/>
  <c r="L63" i="22"/>
  <c r="L64" i="22"/>
  <c r="L65" i="22"/>
  <c r="L66" i="22"/>
  <c r="L67" i="22"/>
  <c r="L68" i="22"/>
  <c r="L69" i="22"/>
  <c r="L70" i="22"/>
  <c r="L71" i="22"/>
  <c r="L72" i="22"/>
  <c r="L73" i="22"/>
  <c r="L74" i="22"/>
  <c r="L75" i="22"/>
  <c r="L76" i="22"/>
  <c r="L77" i="22"/>
  <c r="L78" i="22"/>
  <c r="L79" i="22"/>
  <c r="L80" i="22"/>
  <c r="L81" i="22"/>
  <c r="L82" i="22"/>
  <c r="L83" i="22"/>
  <c r="L84" i="22"/>
  <c r="L85" i="22"/>
  <c r="L86" i="22"/>
  <c r="L87" i="22"/>
  <c r="L88" i="22"/>
  <c r="L89" i="22"/>
  <c r="L90" i="22"/>
  <c r="L91" i="22"/>
  <c r="L92" i="22"/>
  <c r="L93" i="22"/>
  <c r="L94" i="22"/>
  <c r="L95" i="22"/>
  <c r="L96" i="22"/>
  <c r="L97" i="22"/>
  <c r="L98" i="22"/>
  <c r="L99" i="22"/>
  <c r="L100" i="22"/>
  <c r="L101" i="22"/>
  <c r="L102" i="22"/>
  <c r="L103" i="22"/>
  <c r="L104" i="22"/>
  <c r="L105" i="22"/>
  <c r="L106" i="22"/>
  <c r="L107" i="22"/>
  <c r="L108" i="22"/>
  <c r="L109" i="22"/>
  <c r="L110" i="22"/>
  <c r="L111" i="22"/>
  <c r="L112" i="22"/>
  <c r="L113" i="22"/>
  <c r="L114" i="22"/>
  <c r="L115" i="22"/>
  <c r="L116" i="22"/>
  <c r="L117" i="22"/>
  <c r="L118" i="22"/>
  <c r="L119" i="22"/>
  <c r="L120" i="22"/>
  <c r="L121" i="22"/>
  <c r="L122" i="22"/>
  <c r="L123" i="22"/>
  <c r="L124" i="22"/>
  <c r="L125" i="22"/>
  <c r="L126" i="22"/>
  <c r="L127" i="22"/>
  <c r="L128" i="22"/>
  <c r="L129" i="22"/>
  <c r="L130" i="22"/>
  <c r="L131" i="22"/>
  <c r="L132" i="22"/>
  <c r="L133" i="22"/>
  <c r="L134" i="22"/>
  <c r="L135" i="22"/>
  <c r="L136" i="22"/>
  <c r="L137" i="22"/>
  <c r="L138" i="22"/>
  <c r="L139" i="22"/>
  <c r="L140" i="22"/>
  <c r="L141" i="22"/>
  <c r="L142" i="22"/>
  <c r="L143" i="22"/>
  <c r="L144" i="22"/>
  <c r="L145" i="22"/>
  <c r="L146" i="22"/>
  <c r="L147" i="22"/>
  <c r="L148" i="22"/>
  <c r="L149" i="22"/>
  <c r="L150" i="22"/>
  <c r="L151" i="22"/>
  <c r="L152" i="22"/>
  <c r="L153" i="22"/>
  <c r="L154" i="22"/>
  <c r="L155" i="22"/>
  <c r="L156" i="22"/>
  <c r="L157" i="22"/>
  <c r="L158" i="22"/>
  <c r="L159" i="22"/>
  <c r="L160" i="22"/>
  <c r="L161" i="22"/>
  <c r="L162" i="22"/>
  <c r="L163" i="22"/>
  <c r="L164" i="22"/>
  <c r="L165" i="22"/>
  <c r="L166" i="22"/>
  <c r="L167" i="22"/>
  <c r="L168" i="22"/>
  <c r="L169" i="22"/>
  <c r="L170" i="22"/>
  <c r="L171" i="22"/>
  <c r="L172" i="22"/>
  <c r="L173" i="22"/>
  <c r="L174" i="22"/>
  <c r="L175" i="22"/>
  <c r="L176" i="22"/>
  <c r="L177" i="22"/>
  <c r="L178" i="22"/>
  <c r="L179" i="22"/>
  <c r="L180" i="22"/>
  <c r="L181" i="22"/>
  <c r="L182" i="22"/>
  <c r="L183" i="22"/>
  <c r="L184" i="22"/>
  <c r="L185" i="22"/>
  <c r="L186" i="22"/>
  <c r="L187" i="22"/>
  <c r="L188" i="22"/>
  <c r="L189" i="22"/>
  <c r="L190" i="22"/>
  <c r="L191" i="22"/>
  <c r="L192" i="22"/>
  <c r="L193" i="22"/>
  <c r="L194" i="22"/>
  <c r="L195" i="22"/>
  <c r="L196" i="22"/>
  <c r="L197" i="22"/>
  <c r="L198" i="22"/>
  <c r="L199" i="22"/>
  <c r="L200" i="22"/>
  <c r="L201" i="22"/>
  <c r="L202" i="22"/>
  <c r="L203" i="22"/>
  <c r="L204" i="22"/>
  <c r="L205" i="22"/>
  <c r="L206" i="22"/>
  <c r="L207" i="22"/>
  <c r="L208" i="22"/>
  <c r="L209" i="22"/>
  <c r="L210" i="22"/>
  <c r="L211" i="22"/>
  <c r="L212" i="22"/>
  <c r="L213" i="22"/>
  <c r="L214" i="22"/>
  <c r="L215" i="22"/>
  <c r="L216" i="22"/>
  <c r="L217" i="22"/>
  <c r="L218" i="22"/>
  <c r="L219" i="22"/>
  <c r="L220" i="22"/>
  <c r="L221" i="22"/>
  <c r="L222" i="22"/>
  <c r="L223" i="22"/>
  <c r="L224" i="22"/>
  <c r="L225" i="22"/>
  <c r="L226" i="22"/>
  <c r="L227" i="22"/>
  <c r="L228" i="22"/>
  <c r="L229" i="22"/>
  <c r="L230" i="22"/>
  <c r="L231" i="22"/>
  <c r="L232" i="22"/>
  <c r="L233" i="22"/>
  <c r="L234" i="22"/>
  <c r="L235" i="22"/>
  <c r="L236" i="22"/>
  <c r="L237" i="22"/>
  <c r="L238" i="22"/>
  <c r="L239" i="22"/>
  <c r="L240" i="22"/>
  <c r="L241" i="22"/>
  <c r="L242" i="22"/>
  <c r="L243" i="22"/>
  <c r="L244" i="22"/>
  <c r="L245" i="22"/>
  <c r="L246" i="22"/>
  <c r="L247" i="22"/>
  <c r="L248" i="22"/>
  <c r="L249" i="22"/>
  <c r="L250" i="22"/>
  <c r="L251" i="22"/>
  <c r="L252" i="22"/>
  <c r="L253" i="22"/>
  <c r="L254" i="22"/>
  <c r="L255" i="22"/>
  <c r="L256" i="22"/>
  <c r="L257" i="22"/>
  <c r="L258" i="22"/>
  <c r="L259" i="22"/>
  <c r="L260" i="22"/>
  <c r="L261" i="22"/>
  <c r="L262" i="22"/>
  <c r="L263" i="22"/>
  <c r="L264" i="22"/>
  <c r="L265" i="22"/>
  <c r="L266" i="22"/>
  <c r="L267" i="22"/>
  <c r="L268" i="22"/>
  <c r="L269" i="22"/>
  <c r="L270" i="22"/>
  <c r="L271" i="22"/>
  <c r="L272" i="22"/>
  <c r="L273" i="22"/>
  <c r="L274" i="22"/>
  <c r="L275" i="22"/>
  <c r="L276" i="22"/>
  <c r="L277" i="22"/>
  <c r="L278" i="22"/>
  <c r="L279" i="22"/>
  <c r="L280" i="22"/>
  <c r="L281" i="22"/>
  <c r="L282" i="22"/>
  <c r="L283" i="22"/>
  <c r="L284" i="22"/>
  <c r="L285" i="22"/>
  <c r="L286" i="22"/>
  <c r="L287" i="22"/>
  <c r="L288" i="22"/>
  <c r="L289" i="22"/>
  <c r="L290" i="22"/>
  <c r="L291" i="22"/>
  <c r="L292" i="22"/>
  <c r="L293" i="22"/>
  <c r="L294" i="22"/>
  <c r="L295" i="22"/>
  <c r="L296" i="22"/>
  <c r="L297" i="22"/>
  <c r="L298" i="22"/>
  <c r="L299" i="22"/>
  <c r="L300" i="22"/>
  <c r="L301" i="22"/>
  <c r="L302" i="22"/>
  <c r="L303" i="22"/>
  <c r="L304" i="22"/>
  <c r="L305" i="22"/>
  <c r="L306" i="22"/>
  <c r="L307" i="22"/>
  <c r="L308" i="22"/>
  <c r="L309" i="22"/>
  <c r="L310" i="22"/>
  <c r="L311" i="22"/>
  <c r="L312" i="22"/>
  <c r="L313" i="22"/>
  <c r="L314" i="22"/>
  <c r="L315" i="22"/>
  <c r="L316" i="22"/>
  <c r="L317" i="22"/>
  <c r="L318" i="22"/>
  <c r="L319" i="22"/>
  <c r="L320" i="22"/>
  <c r="L321" i="22"/>
  <c r="L322" i="22"/>
  <c r="L323" i="22"/>
  <c r="L324" i="22"/>
  <c r="L325" i="22"/>
  <c r="L326" i="22"/>
  <c r="L327" i="22"/>
  <c r="L328" i="22"/>
  <c r="L329" i="22"/>
  <c r="L330" i="22"/>
  <c r="L331" i="22"/>
  <c r="L332" i="22"/>
  <c r="L333" i="22"/>
  <c r="L334" i="22"/>
  <c r="L335" i="22"/>
  <c r="L336" i="22"/>
  <c r="L337" i="22"/>
  <c r="L338" i="22"/>
  <c r="L339" i="22"/>
  <c r="L340" i="22"/>
  <c r="L341" i="22"/>
  <c r="L342" i="22"/>
  <c r="L343" i="22"/>
  <c r="L344" i="22"/>
  <c r="L345" i="22"/>
  <c r="L346" i="22"/>
  <c r="L347" i="22"/>
  <c r="L348" i="22"/>
  <c r="L349" i="22"/>
  <c r="L350" i="22"/>
  <c r="L351" i="22"/>
  <c r="L352" i="22"/>
  <c r="L353" i="22"/>
  <c r="L354" i="22"/>
  <c r="L355" i="22"/>
  <c r="L356" i="22"/>
  <c r="L357" i="22"/>
  <c r="L358" i="22"/>
  <c r="L359" i="22"/>
  <c r="L360" i="22"/>
  <c r="L361" i="22"/>
  <c r="L362" i="22"/>
  <c r="L363" i="22"/>
  <c r="L364" i="22"/>
  <c r="L365" i="22"/>
  <c r="L366" i="22"/>
  <c r="L367" i="22"/>
  <c r="L368" i="22"/>
  <c r="L369" i="22"/>
  <c r="L370" i="22"/>
  <c r="L371" i="22"/>
  <c r="L372" i="22"/>
  <c r="L373" i="22"/>
  <c r="L374" i="22"/>
  <c r="L375" i="22"/>
  <c r="L376" i="22"/>
  <c r="L377" i="22"/>
  <c r="L378" i="22"/>
  <c r="L379" i="22"/>
  <c r="L380" i="22"/>
  <c r="L381" i="22"/>
  <c r="L382" i="22"/>
  <c r="L383" i="22"/>
  <c r="L384" i="22"/>
  <c r="L385" i="22"/>
  <c r="L386" i="22"/>
  <c r="L387" i="22"/>
  <c r="L388" i="22"/>
  <c r="L389" i="22"/>
  <c r="L390" i="22"/>
  <c r="L391" i="22"/>
  <c r="L392" i="22"/>
  <c r="L393" i="22"/>
  <c r="L394" i="22"/>
  <c r="L395" i="22"/>
  <c r="L396" i="22"/>
  <c r="L397" i="22"/>
  <c r="L398" i="22"/>
  <c r="L399" i="22"/>
  <c r="L400" i="22"/>
  <c r="L401" i="22"/>
  <c r="L402" i="22"/>
  <c r="L403" i="22"/>
  <c r="L404" i="22"/>
  <c r="L405" i="22"/>
  <c r="L406" i="22"/>
  <c r="L407" i="22"/>
  <c r="L408" i="22"/>
  <c r="L409" i="22"/>
  <c r="L410" i="22"/>
  <c r="L411" i="22"/>
  <c r="L412" i="22"/>
  <c r="L413" i="22"/>
  <c r="L414" i="22"/>
  <c r="L415" i="22"/>
  <c r="L416" i="22"/>
  <c r="L417" i="22"/>
  <c r="L418" i="22"/>
  <c r="L419" i="22"/>
  <c r="L420" i="22"/>
  <c r="L421" i="22"/>
  <c r="L422" i="22"/>
  <c r="L423" i="22"/>
  <c r="L424" i="22"/>
  <c r="L425" i="22"/>
  <c r="L426" i="22"/>
  <c r="L427" i="22"/>
  <c r="L428" i="22"/>
  <c r="L429" i="22"/>
  <c r="L430" i="22"/>
  <c r="L431" i="22"/>
  <c r="L432" i="22"/>
  <c r="L433" i="22"/>
  <c r="L434" i="22"/>
  <c r="L435" i="22"/>
  <c r="L436" i="22"/>
  <c r="L437" i="22"/>
  <c r="L438" i="22"/>
  <c r="L439" i="22"/>
  <c r="L440" i="22"/>
  <c r="L441" i="22"/>
  <c r="L442" i="22"/>
  <c r="L443" i="22"/>
  <c r="L444" i="22"/>
  <c r="L445" i="22"/>
  <c r="L446" i="22"/>
  <c r="L447" i="22"/>
  <c r="L448" i="22"/>
  <c r="L449" i="22"/>
  <c r="L450" i="22"/>
  <c r="L451" i="22"/>
  <c r="L452" i="22"/>
  <c r="L453" i="22"/>
  <c r="L454" i="22"/>
  <c r="L455" i="22"/>
  <c r="L456" i="22"/>
  <c r="L457" i="22"/>
  <c r="L458" i="22"/>
  <c r="L459" i="22"/>
  <c r="L460" i="22"/>
  <c r="L461" i="22"/>
  <c r="L462" i="22"/>
  <c r="L463" i="22"/>
  <c r="L464" i="22"/>
  <c r="L465" i="22"/>
  <c r="L466" i="22"/>
  <c r="L467" i="22"/>
  <c r="L468" i="22"/>
  <c r="L469" i="22"/>
  <c r="L470" i="22"/>
  <c r="L471" i="22"/>
  <c r="L472" i="22"/>
  <c r="L473" i="22"/>
  <c r="L474" i="22"/>
  <c r="L475" i="22"/>
  <c r="L476" i="22"/>
  <c r="L477" i="22"/>
  <c r="L478" i="22"/>
  <c r="L479" i="22"/>
  <c r="L480" i="22"/>
  <c r="L481" i="22"/>
  <c r="L482" i="22"/>
  <c r="L483" i="22"/>
  <c r="L484" i="22"/>
  <c r="L485" i="22"/>
  <c r="L486" i="22"/>
  <c r="L487" i="22"/>
  <c r="L488" i="22"/>
  <c r="L489" i="22"/>
  <c r="L490" i="22"/>
  <c r="L491" i="22"/>
  <c r="L492" i="22"/>
  <c r="L493" i="22"/>
  <c r="L494" i="22"/>
  <c r="L495" i="22"/>
  <c r="L496" i="22"/>
  <c r="L497" i="22"/>
  <c r="L498" i="22"/>
  <c r="G550" i="21" l="1"/>
  <c r="J517" i="21" a="1"/>
  <c r="J517" i="21" s="1"/>
  <c r="I517" i="21" a="1"/>
  <c r="I517" i="21" s="1"/>
  <c r="H517" i="21" a="1"/>
  <c r="H517" i="21" s="1"/>
  <c r="G517" i="21" a="1"/>
  <c r="G517" i="21" s="1"/>
  <c r="F517" i="21" a="1"/>
  <c r="F517" i="21" s="1"/>
  <c r="K15" i="21"/>
  <c r="J15" i="21"/>
  <c r="I15" i="21"/>
  <c r="H15" i="21"/>
  <c r="G15" i="21"/>
  <c r="F15" i="21"/>
  <c r="L8" i="21"/>
  <c r="L9" i="21"/>
  <c r="L12" i="21"/>
  <c r="L14" i="21"/>
  <c r="L17" i="21"/>
  <c r="L18" i="21"/>
  <c r="L19" i="21"/>
  <c r="L20" i="21"/>
  <c r="L21" i="21"/>
  <c r="L22" i="21"/>
  <c r="L23" i="21"/>
  <c r="L24" i="21"/>
  <c r="L25" i="21"/>
  <c r="L26" i="21"/>
  <c r="L27" i="21"/>
  <c r="L28" i="21"/>
  <c r="L29" i="21"/>
  <c r="L30" i="21"/>
  <c r="L31" i="21"/>
  <c r="L32" i="21"/>
  <c r="L33" i="21"/>
  <c r="L34" i="21"/>
  <c r="L35" i="21"/>
  <c r="L36" i="21"/>
  <c r="L37" i="21"/>
  <c r="L38" i="21"/>
  <c r="L39" i="21"/>
  <c r="L40" i="21"/>
  <c r="L41" i="21"/>
  <c r="L42" i="21"/>
  <c r="L43" i="21"/>
  <c r="L44" i="21"/>
  <c r="L45" i="21"/>
  <c r="L46" i="21"/>
  <c r="L47" i="21"/>
  <c r="L48" i="21"/>
  <c r="L49" i="21"/>
  <c r="L50" i="21"/>
  <c r="L51" i="21"/>
  <c r="L52" i="21"/>
  <c r="L53" i="21"/>
  <c r="L54" i="21"/>
  <c r="L55" i="21"/>
  <c r="L56" i="21"/>
  <c r="L57" i="21"/>
  <c r="L58" i="21"/>
  <c r="L59" i="21"/>
  <c r="L60" i="21"/>
  <c r="L61" i="21"/>
  <c r="L62" i="21"/>
  <c r="L63" i="21"/>
  <c r="L64" i="21"/>
  <c r="L65" i="21"/>
  <c r="L66" i="21"/>
  <c r="L67" i="21"/>
  <c r="L68" i="21"/>
  <c r="L69" i="21"/>
  <c r="L70" i="21"/>
  <c r="L71" i="21"/>
  <c r="L72" i="21"/>
  <c r="L73" i="21"/>
  <c r="L74" i="21"/>
  <c r="L75" i="21"/>
  <c r="L76" i="21"/>
  <c r="L77" i="21"/>
  <c r="L78" i="21"/>
  <c r="L79" i="21"/>
  <c r="L80" i="21"/>
  <c r="L81" i="21"/>
  <c r="L82" i="21"/>
  <c r="L83" i="21"/>
  <c r="L84" i="21"/>
  <c r="L85" i="21"/>
  <c r="L86" i="21"/>
  <c r="L87" i="21"/>
  <c r="L88" i="21"/>
  <c r="L89" i="21"/>
  <c r="L90" i="21"/>
  <c r="L91" i="21"/>
  <c r="L92" i="21"/>
  <c r="L93" i="21"/>
  <c r="L94" i="21"/>
  <c r="L95" i="21"/>
  <c r="L96" i="21"/>
  <c r="L97" i="21"/>
  <c r="L98" i="21"/>
  <c r="L99" i="21"/>
  <c r="L100" i="21"/>
  <c r="L101" i="21"/>
  <c r="L102" i="21"/>
  <c r="L103" i="21"/>
  <c r="L104" i="21"/>
  <c r="L105" i="21"/>
  <c r="L106" i="21"/>
  <c r="L107" i="21"/>
  <c r="L108" i="21"/>
  <c r="L109" i="21"/>
  <c r="L110" i="21"/>
  <c r="L111" i="21"/>
  <c r="L112" i="21"/>
  <c r="L113" i="21"/>
  <c r="L114" i="21"/>
  <c r="L115" i="21"/>
  <c r="L116" i="21"/>
  <c r="L117" i="21"/>
  <c r="L118" i="21"/>
  <c r="L119" i="21"/>
  <c r="L120" i="21"/>
  <c r="L121" i="21"/>
  <c r="L122" i="21"/>
  <c r="L123" i="21"/>
  <c r="L124" i="21"/>
  <c r="L125" i="21"/>
  <c r="L126" i="21"/>
  <c r="L127" i="21"/>
  <c r="L128" i="21"/>
  <c r="L129" i="21"/>
  <c r="L130" i="21"/>
  <c r="L131" i="21"/>
  <c r="L132" i="21"/>
  <c r="L133" i="21"/>
  <c r="L134" i="21"/>
  <c r="L135" i="21"/>
  <c r="L136" i="21"/>
  <c r="L137" i="21"/>
  <c r="L138" i="21"/>
  <c r="L139" i="21"/>
  <c r="L140" i="21"/>
  <c r="L141" i="21"/>
  <c r="L142" i="21"/>
  <c r="L143" i="21"/>
  <c r="L144" i="21"/>
  <c r="L145" i="21"/>
  <c r="L146" i="21"/>
  <c r="L147" i="21"/>
  <c r="L148" i="21"/>
  <c r="L149" i="21"/>
  <c r="L150" i="21"/>
  <c r="L151" i="21"/>
  <c r="L152" i="21"/>
  <c r="L153" i="21"/>
  <c r="L154" i="21"/>
  <c r="L155" i="21"/>
  <c r="L156" i="21"/>
  <c r="L157" i="21"/>
  <c r="L158" i="21"/>
  <c r="L159" i="21"/>
  <c r="L160" i="21"/>
  <c r="L161" i="21"/>
  <c r="L162" i="21"/>
  <c r="L163" i="21"/>
  <c r="L164" i="21"/>
  <c r="L165" i="21"/>
  <c r="L166" i="21"/>
  <c r="L167" i="21"/>
  <c r="L168" i="21"/>
  <c r="L169" i="21"/>
  <c r="L170" i="21"/>
  <c r="L171" i="21"/>
  <c r="L172" i="21"/>
  <c r="L173" i="21"/>
  <c r="L174" i="21"/>
  <c r="L175" i="21"/>
  <c r="L176" i="21"/>
  <c r="L177" i="21"/>
  <c r="L178" i="21"/>
  <c r="L179" i="21"/>
  <c r="L180" i="21"/>
  <c r="L181" i="21"/>
  <c r="L182" i="21"/>
  <c r="L183" i="21"/>
  <c r="L184" i="21"/>
  <c r="L185" i="21"/>
  <c r="L186" i="21"/>
  <c r="L187" i="21"/>
  <c r="L188" i="21"/>
  <c r="L189" i="21"/>
  <c r="L190" i="21"/>
  <c r="L191" i="21"/>
  <c r="L192" i="21"/>
  <c r="L193" i="21"/>
  <c r="L194" i="21"/>
  <c r="L195" i="21"/>
  <c r="L196" i="21"/>
  <c r="L197" i="21"/>
  <c r="L198" i="21"/>
  <c r="L199" i="21"/>
  <c r="L200" i="21"/>
  <c r="L201" i="21"/>
  <c r="L202" i="21"/>
  <c r="L203" i="21"/>
  <c r="L204" i="21"/>
  <c r="L205" i="21"/>
  <c r="L206" i="21"/>
  <c r="L207" i="21"/>
  <c r="L208" i="21"/>
  <c r="L209" i="21"/>
  <c r="L210" i="21"/>
  <c r="L211" i="21"/>
  <c r="L212" i="21"/>
  <c r="L213" i="21"/>
  <c r="L214" i="21"/>
  <c r="L215" i="21"/>
  <c r="L216" i="21"/>
  <c r="L217" i="21"/>
  <c r="L218" i="21"/>
  <c r="L219" i="21"/>
  <c r="L220" i="21"/>
  <c r="L221" i="21"/>
  <c r="L222" i="21"/>
  <c r="L223" i="21"/>
  <c r="L224" i="21"/>
  <c r="L225" i="21"/>
  <c r="L226" i="21"/>
  <c r="L227" i="21"/>
  <c r="L228" i="21"/>
  <c r="L229" i="21"/>
  <c r="L230" i="21"/>
  <c r="L231" i="21"/>
  <c r="L232" i="21"/>
  <c r="L233" i="21"/>
  <c r="L234" i="21"/>
  <c r="L235" i="21"/>
  <c r="L236" i="21"/>
  <c r="L237" i="21"/>
  <c r="L238" i="21"/>
  <c r="L239" i="21"/>
  <c r="L240" i="21"/>
  <c r="L241" i="21"/>
  <c r="L242" i="21"/>
  <c r="L243" i="21"/>
  <c r="L244" i="21"/>
  <c r="L245" i="21"/>
  <c r="L246" i="21"/>
  <c r="L247" i="21"/>
  <c r="L248" i="21"/>
  <c r="L249" i="21"/>
  <c r="L250" i="21"/>
  <c r="L251" i="21"/>
  <c r="L252" i="21"/>
  <c r="L253" i="21"/>
  <c r="L254" i="21"/>
  <c r="L255" i="21"/>
  <c r="L256" i="21"/>
  <c r="L257" i="21"/>
  <c r="L258" i="21"/>
  <c r="L259" i="21"/>
  <c r="L260" i="21"/>
  <c r="L261" i="21"/>
  <c r="L262" i="21"/>
  <c r="L263" i="21"/>
  <c r="L264" i="21"/>
  <c r="L265" i="21"/>
  <c r="L266" i="21"/>
  <c r="L267" i="21"/>
  <c r="L268" i="21"/>
  <c r="L269" i="21"/>
  <c r="L270" i="21"/>
  <c r="L271" i="21"/>
  <c r="L272" i="21"/>
  <c r="L273" i="21"/>
  <c r="L274" i="21"/>
  <c r="L275" i="21"/>
  <c r="L276" i="21"/>
  <c r="L277" i="21"/>
  <c r="L278" i="21"/>
  <c r="L279" i="21"/>
  <c r="L280" i="21"/>
  <c r="L281" i="21"/>
  <c r="L282" i="21"/>
  <c r="L283" i="21"/>
  <c r="L284" i="21"/>
  <c r="L285" i="21"/>
  <c r="L286" i="21"/>
  <c r="L287" i="21"/>
  <c r="L288" i="21"/>
  <c r="L289" i="21"/>
  <c r="L290" i="21"/>
  <c r="L291" i="21"/>
  <c r="L292" i="21"/>
  <c r="L293" i="21"/>
  <c r="L294" i="21"/>
  <c r="L295" i="21"/>
  <c r="L296" i="21"/>
  <c r="L297" i="21"/>
  <c r="L298" i="21"/>
  <c r="L299" i="21"/>
  <c r="L300" i="21"/>
  <c r="L301" i="21"/>
  <c r="L302" i="21"/>
  <c r="L303" i="21"/>
  <c r="L304" i="21"/>
  <c r="L305" i="21"/>
  <c r="L306" i="21"/>
  <c r="L307" i="21"/>
  <c r="L308" i="21"/>
  <c r="L309" i="21"/>
  <c r="L310" i="21"/>
  <c r="L311" i="21"/>
  <c r="L312" i="21"/>
  <c r="L313" i="21"/>
  <c r="L314" i="21"/>
  <c r="L315" i="21"/>
  <c r="L316" i="21"/>
  <c r="L317" i="21"/>
  <c r="L318" i="21"/>
  <c r="L319" i="21"/>
  <c r="L320" i="21"/>
  <c r="L321" i="21"/>
  <c r="L322" i="21"/>
  <c r="L323" i="21"/>
  <c r="L324" i="21"/>
  <c r="L325" i="21"/>
  <c r="L326" i="21"/>
  <c r="L327" i="21"/>
  <c r="L328" i="21"/>
  <c r="L329" i="21"/>
  <c r="L330" i="21"/>
  <c r="L331" i="21"/>
  <c r="L332" i="21"/>
  <c r="L333" i="21"/>
  <c r="L334" i="21"/>
  <c r="L335" i="21"/>
  <c r="L336" i="21"/>
  <c r="L337" i="21"/>
  <c r="L338" i="21"/>
  <c r="L339" i="21"/>
  <c r="L340" i="21"/>
  <c r="L341" i="21"/>
  <c r="L342" i="21"/>
  <c r="L343" i="21"/>
  <c r="L344" i="21"/>
  <c r="L345" i="21"/>
  <c r="L346" i="21"/>
  <c r="L347" i="21"/>
  <c r="L348" i="21"/>
  <c r="L349" i="21"/>
  <c r="L350" i="21"/>
  <c r="L351" i="21"/>
  <c r="L352" i="21"/>
  <c r="L353" i="21"/>
  <c r="L354" i="21"/>
  <c r="L355" i="21"/>
  <c r="L356" i="21"/>
  <c r="L357" i="21"/>
  <c r="L358" i="21"/>
  <c r="L359" i="21"/>
  <c r="L360" i="21"/>
  <c r="L361" i="21"/>
  <c r="L362" i="21"/>
  <c r="L363" i="21"/>
  <c r="L364" i="21"/>
  <c r="L365" i="21"/>
  <c r="L366" i="21"/>
  <c r="L367" i="21"/>
  <c r="L368" i="21"/>
  <c r="L369" i="21"/>
  <c r="L370" i="21"/>
  <c r="L371" i="21"/>
  <c r="L372" i="21"/>
  <c r="L373" i="21"/>
  <c r="L374" i="21"/>
  <c r="L375" i="21"/>
  <c r="L376" i="21"/>
  <c r="L377" i="21"/>
  <c r="L378" i="21"/>
  <c r="L379" i="21"/>
  <c r="L380" i="21"/>
  <c r="L381" i="21"/>
  <c r="L382" i="21"/>
  <c r="L383" i="21"/>
  <c r="L384" i="21"/>
  <c r="L385" i="21"/>
  <c r="L386" i="21"/>
  <c r="L387" i="21"/>
  <c r="L388" i="21"/>
  <c r="L389" i="21"/>
  <c r="L390" i="21"/>
  <c r="L391" i="21"/>
  <c r="L392" i="21"/>
  <c r="L393" i="21"/>
  <c r="L394" i="21"/>
  <c r="L395" i="21"/>
  <c r="L396" i="21"/>
  <c r="L397" i="21"/>
  <c r="L398" i="21"/>
  <c r="L399" i="21"/>
  <c r="L400" i="21"/>
  <c r="L401" i="21"/>
  <c r="L402" i="21"/>
  <c r="L403" i="21"/>
  <c r="L404" i="21"/>
  <c r="L405" i="21"/>
  <c r="L406" i="21"/>
  <c r="L407" i="21"/>
  <c r="L408" i="21"/>
  <c r="L409" i="21"/>
  <c r="L410" i="21"/>
  <c r="L411" i="21"/>
  <c r="L412" i="21"/>
  <c r="L413" i="21"/>
  <c r="L414" i="21"/>
  <c r="L415" i="21"/>
  <c r="L416" i="21"/>
  <c r="L417" i="21"/>
  <c r="L418" i="21"/>
  <c r="L419" i="21"/>
  <c r="L420" i="21"/>
  <c r="L421" i="21"/>
  <c r="L422" i="21"/>
  <c r="L423" i="21"/>
  <c r="L424" i="21"/>
  <c r="L425" i="21"/>
  <c r="L426" i="21"/>
  <c r="L427" i="21"/>
  <c r="L428" i="21"/>
  <c r="L429" i="21"/>
  <c r="L430" i="21"/>
  <c r="L431" i="21"/>
  <c r="L432" i="21"/>
  <c r="L433" i="21"/>
  <c r="L434" i="21"/>
  <c r="L435" i="21"/>
  <c r="L436" i="21"/>
  <c r="L437" i="21"/>
  <c r="L438" i="21"/>
  <c r="L439" i="21"/>
  <c r="L440" i="21"/>
  <c r="L441" i="21"/>
  <c r="L442" i="21"/>
  <c r="L443" i="21"/>
  <c r="L444" i="21"/>
  <c r="L445" i="21"/>
  <c r="L446" i="21"/>
  <c r="L447" i="21"/>
  <c r="L448" i="21"/>
  <c r="L449" i="21"/>
  <c r="L450" i="21"/>
  <c r="L451" i="21"/>
  <c r="L452" i="21"/>
  <c r="L453" i="21"/>
  <c r="L454" i="21"/>
  <c r="L455" i="21"/>
  <c r="L456" i="21"/>
  <c r="L457" i="21"/>
  <c r="L458" i="21"/>
  <c r="L459" i="21"/>
  <c r="L460" i="21"/>
  <c r="L461" i="21"/>
  <c r="L462" i="21"/>
  <c r="L463" i="21"/>
  <c r="L464" i="21"/>
  <c r="L465" i="21"/>
  <c r="L466" i="21"/>
  <c r="L467" i="21"/>
  <c r="L468" i="21"/>
  <c r="L469" i="21"/>
  <c r="L470" i="21"/>
  <c r="L471" i="21"/>
  <c r="L472" i="21"/>
  <c r="L473" i="21"/>
  <c r="L474" i="21"/>
  <c r="L475" i="21"/>
  <c r="L476" i="21"/>
  <c r="L477" i="21"/>
  <c r="L478" i="21"/>
  <c r="L479" i="21"/>
  <c r="L480" i="21"/>
  <c r="L481" i="21"/>
  <c r="L482" i="21"/>
  <c r="L483" i="21"/>
  <c r="L484" i="21"/>
  <c r="L485" i="21"/>
  <c r="L486" i="21"/>
  <c r="L487" i="21"/>
  <c r="L488" i="21"/>
  <c r="L489" i="21"/>
  <c r="L490" i="21"/>
  <c r="L491" i="21"/>
  <c r="L492" i="21"/>
  <c r="L493" i="21"/>
  <c r="L494" i="21"/>
  <c r="L495" i="21"/>
  <c r="L496" i="21"/>
  <c r="L497" i="21"/>
  <c r="L498" i="21"/>
  <c r="E36" i="14"/>
  <c r="G550" i="20" l="1"/>
  <c r="J517" i="20" a="1"/>
  <c r="J517" i="20" s="1"/>
  <c r="I517" i="20" a="1"/>
  <c r="I517" i="20" s="1"/>
  <c r="H517" i="20" a="1"/>
  <c r="H517" i="20" s="1"/>
  <c r="G517" i="20" a="1"/>
  <c r="G517" i="20" s="1"/>
  <c r="F517" i="20" a="1"/>
  <c r="F517" i="20" s="1"/>
  <c r="L30" i="20"/>
  <c r="L31" i="20"/>
  <c r="L32" i="20"/>
  <c r="L33" i="20"/>
  <c r="L34" i="20"/>
  <c r="L35" i="20"/>
  <c r="L36" i="20"/>
  <c r="L37" i="20"/>
  <c r="L38" i="20"/>
  <c r="L39" i="20"/>
  <c r="L40" i="20"/>
  <c r="L41" i="20"/>
  <c r="L42" i="20"/>
  <c r="L43" i="20"/>
  <c r="L44" i="20"/>
  <c r="L45" i="20"/>
  <c r="L46" i="20"/>
  <c r="L47" i="20"/>
  <c r="L48" i="20"/>
  <c r="L49" i="20"/>
  <c r="L50" i="20"/>
  <c r="L51" i="20"/>
  <c r="L52" i="20"/>
  <c r="L53" i="20"/>
  <c r="L54" i="20"/>
  <c r="L55" i="20"/>
  <c r="L56" i="20"/>
  <c r="L57" i="20"/>
  <c r="L58" i="20"/>
  <c r="L59" i="20"/>
  <c r="L60" i="20"/>
  <c r="L61" i="20"/>
  <c r="L62" i="20"/>
  <c r="L63" i="20"/>
  <c r="L64" i="20"/>
  <c r="L65" i="20"/>
  <c r="L66" i="20"/>
  <c r="L67" i="20"/>
  <c r="L68" i="20"/>
  <c r="L69" i="20"/>
  <c r="L70" i="20"/>
  <c r="L71" i="20"/>
  <c r="L72" i="20"/>
  <c r="L73" i="20"/>
  <c r="L74" i="20"/>
  <c r="L75" i="20"/>
  <c r="L76" i="20"/>
  <c r="L77" i="20"/>
  <c r="L78" i="20"/>
  <c r="L79" i="20"/>
  <c r="L80" i="20"/>
  <c r="L81" i="20"/>
  <c r="L82" i="20"/>
  <c r="L83" i="20"/>
  <c r="L84" i="20"/>
  <c r="L85" i="20"/>
  <c r="L86" i="20"/>
  <c r="L87" i="20"/>
  <c r="L88" i="20"/>
  <c r="L89" i="20"/>
  <c r="L90" i="20"/>
  <c r="L91" i="20"/>
  <c r="L92" i="20"/>
  <c r="L93" i="20"/>
  <c r="L94" i="20"/>
  <c r="L95" i="20"/>
  <c r="L96" i="20"/>
  <c r="L97" i="20"/>
  <c r="L98" i="20"/>
  <c r="L99" i="20"/>
  <c r="L100" i="20"/>
  <c r="L101" i="20"/>
  <c r="L102" i="20"/>
  <c r="L103" i="20"/>
  <c r="L104" i="20"/>
  <c r="L105" i="20"/>
  <c r="L106" i="20"/>
  <c r="L107" i="20"/>
  <c r="L108" i="20"/>
  <c r="L109" i="20"/>
  <c r="L110" i="20"/>
  <c r="L111" i="20"/>
  <c r="L112" i="20"/>
  <c r="L113" i="20"/>
  <c r="L114" i="20"/>
  <c r="L115" i="20"/>
  <c r="L116" i="20"/>
  <c r="L117" i="20"/>
  <c r="L118" i="20"/>
  <c r="L119" i="20"/>
  <c r="L120" i="20"/>
  <c r="L121" i="20"/>
  <c r="L122" i="20"/>
  <c r="L123" i="20"/>
  <c r="L124" i="20"/>
  <c r="L125" i="20"/>
  <c r="L126" i="20"/>
  <c r="L127" i="20"/>
  <c r="L128" i="20"/>
  <c r="L129" i="20"/>
  <c r="L130" i="20"/>
  <c r="L131" i="20"/>
  <c r="L132" i="20"/>
  <c r="L133" i="20"/>
  <c r="L134" i="20"/>
  <c r="L135" i="20"/>
  <c r="L136" i="20"/>
  <c r="L137" i="20"/>
  <c r="L138" i="20"/>
  <c r="L139" i="20"/>
  <c r="L140" i="20"/>
  <c r="L141" i="20"/>
  <c r="L142" i="20"/>
  <c r="L143" i="20"/>
  <c r="L144" i="20"/>
  <c r="L145" i="20"/>
  <c r="L146" i="20"/>
  <c r="L147" i="20"/>
  <c r="L148" i="20"/>
  <c r="L149" i="20"/>
  <c r="L150" i="20"/>
  <c r="L151" i="20"/>
  <c r="L152" i="20"/>
  <c r="L153" i="20"/>
  <c r="L154" i="20"/>
  <c r="L155" i="20"/>
  <c r="L156" i="20"/>
  <c r="L157" i="20"/>
  <c r="L158" i="20"/>
  <c r="L159" i="20"/>
  <c r="L160" i="20"/>
  <c r="L161" i="20"/>
  <c r="L162" i="20"/>
  <c r="L163" i="20"/>
  <c r="L164" i="20"/>
  <c r="L165" i="20"/>
  <c r="L166" i="20"/>
  <c r="L167" i="20"/>
  <c r="L168" i="20"/>
  <c r="L169" i="20"/>
  <c r="L170" i="20"/>
  <c r="L171" i="20"/>
  <c r="L172" i="20"/>
  <c r="L173" i="20"/>
  <c r="L174" i="20"/>
  <c r="L175" i="20"/>
  <c r="L176" i="20"/>
  <c r="L177" i="20"/>
  <c r="L178" i="20"/>
  <c r="L179" i="20"/>
  <c r="L180" i="20"/>
  <c r="L181" i="20"/>
  <c r="L182" i="20"/>
  <c r="L183" i="20"/>
  <c r="L184" i="20"/>
  <c r="L185" i="20"/>
  <c r="L186" i="20"/>
  <c r="L187" i="20"/>
  <c r="L188" i="20"/>
  <c r="L189" i="20"/>
  <c r="L190" i="20"/>
  <c r="L191" i="20"/>
  <c r="L192" i="20"/>
  <c r="L193" i="20"/>
  <c r="L194" i="20"/>
  <c r="L195" i="20"/>
  <c r="L196" i="20"/>
  <c r="L197" i="20"/>
  <c r="L198" i="20"/>
  <c r="L199" i="20"/>
  <c r="L200" i="20"/>
  <c r="L201" i="20"/>
  <c r="L202" i="20"/>
  <c r="L203" i="20"/>
  <c r="L204" i="20"/>
  <c r="L205" i="20"/>
  <c r="L206" i="20"/>
  <c r="L207" i="20"/>
  <c r="L208" i="20"/>
  <c r="L209" i="20"/>
  <c r="L210" i="20"/>
  <c r="L211" i="20"/>
  <c r="L212" i="20"/>
  <c r="L213" i="20"/>
  <c r="L214" i="20"/>
  <c r="L215" i="20"/>
  <c r="L216" i="20"/>
  <c r="L217" i="20"/>
  <c r="L218" i="20"/>
  <c r="L219" i="20"/>
  <c r="L220" i="20"/>
  <c r="L221" i="20"/>
  <c r="L222" i="20"/>
  <c r="L223" i="20"/>
  <c r="L224" i="20"/>
  <c r="L225" i="20"/>
  <c r="L226" i="20"/>
  <c r="L227" i="20"/>
  <c r="L228" i="20"/>
  <c r="L229" i="20"/>
  <c r="L230" i="20"/>
  <c r="L231" i="20"/>
  <c r="L232" i="20"/>
  <c r="L233" i="20"/>
  <c r="L234" i="20"/>
  <c r="L235" i="20"/>
  <c r="L236" i="20"/>
  <c r="L237" i="20"/>
  <c r="L238" i="20"/>
  <c r="L239" i="20"/>
  <c r="L240" i="20"/>
  <c r="L241" i="20"/>
  <c r="L242" i="20"/>
  <c r="L243" i="20"/>
  <c r="L244" i="20"/>
  <c r="L245" i="20"/>
  <c r="L246" i="20"/>
  <c r="L247" i="20"/>
  <c r="L248" i="20"/>
  <c r="L249" i="20"/>
  <c r="L250" i="20"/>
  <c r="L251" i="20"/>
  <c r="L252" i="20"/>
  <c r="L253" i="20"/>
  <c r="L254" i="20"/>
  <c r="L255" i="20"/>
  <c r="L256" i="20"/>
  <c r="L257" i="20"/>
  <c r="L258" i="20"/>
  <c r="L259" i="20"/>
  <c r="L260" i="20"/>
  <c r="L261" i="20"/>
  <c r="L262" i="20"/>
  <c r="L263" i="20"/>
  <c r="L264" i="20"/>
  <c r="L265" i="20"/>
  <c r="L266" i="20"/>
  <c r="L267" i="20"/>
  <c r="L268" i="20"/>
  <c r="L269" i="20"/>
  <c r="L270" i="20"/>
  <c r="L271" i="20"/>
  <c r="L272" i="20"/>
  <c r="L273" i="20"/>
  <c r="L274" i="20"/>
  <c r="L275" i="20"/>
  <c r="L276" i="20"/>
  <c r="L277" i="20"/>
  <c r="L278" i="20"/>
  <c r="L279" i="20"/>
  <c r="L280" i="20"/>
  <c r="L281" i="20"/>
  <c r="L282" i="20"/>
  <c r="L283" i="20"/>
  <c r="L284" i="20"/>
  <c r="L285" i="20"/>
  <c r="L286" i="20"/>
  <c r="L287" i="20"/>
  <c r="L288" i="20"/>
  <c r="L289" i="20"/>
  <c r="L290" i="20"/>
  <c r="L291" i="20"/>
  <c r="L292" i="20"/>
  <c r="L293" i="20"/>
  <c r="L294" i="20"/>
  <c r="L295" i="20"/>
  <c r="L296" i="20"/>
  <c r="L297" i="20"/>
  <c r="L298" i="20"/>
  <c r="L299" i="20"/>
  <c r="L300" i="20"/>
  <c r="L301" i="20"/>
  <c r="L302" i="20"/>
  <c r="L303" i="20"/>
  <c r="L304" i="20"/>
  <c r="L305" i="20"/>
  <c r="L306" i="20"/>
  <c r="L307" i="20"/>
  <c r="L308" i="20"/>
  <c r="L309" i="20"/>
  <c r="L310" i="20"/>
  <c r="L311" i="20"/>
  <c r="L312" i="20"/>
  <c r="L313" i="20"/>
  <c r="L314" i="20"/>
  <c r="L315" i="20"/>
  <c r="L316" i="20"/>
  <c r="L317" i="20"/>
  <c r="L318" i="20"/>
  <c r="L319" i="20"/>
  <c r="L320" i="20"/>
  <c r="L321" i="20"/>
  <c r="L322" i="20"/>
  <c r="L323" i="20"/>
  <c r="L324" i="20"/>
  <c r="L325" i="20"/>
  <c r="L326" i="20"/>
  <c r="L327" i="20"/>
  <c r="L328" i="20"/>
  <c r="L329" i="20"/>
  <c r="L330" i="20"/>
  <c r="L331" i="20"/>
  <c r="L332" i="20"/>
  <c r="L333" i="20"/>
  <c r="L334" i="20"/>
  <c r="L335" i="20"/>
  <c r="L336" i="20"/>
  <c r="L337" i="20"/>
  <c r="L338" i="20"/>
  <c r="L339" i="20"/>
  <c r="L340" i="20"/>
  <c r="L341" i="20"/>
  <c r="L342" i="20"/>
  <c r="L343" i="20"/>
  <c r="L344" i="20"/>
  <c r="L345" i="20"/>
  <c r="L346" i="20"/>
  <c r="L347" i="20"/>
  <c r="L348" i="20"/>
  <c r="L349" i="20"/>
  <c r="L350" i="20"/>
  <c r="L351" i="20"/>
  <c r="L352" i="20"/>
  <c r="L353" i="20"/>
  <c r="L354" i="20"/>
  <c r="L355" i="20"/>
  <c r="L356" i="20"/>
  <c r="L357" i="20"/>
  <c r="L358" i="20"/>
  <c r="L359" i="20"/>
  <c r="L360" i="20"/>
  <c r="L361" i="20"/>
  <c r="L362" i="20"/>
  <c r="L363" i="20"/>
  <c r="L364" i="20"/>
  <c r="L365" i="20"/>
  <c r="L366" i="20"/>
  <c r="L367" i="20"/>
  <c r="L368" i="20"/>
  <c r="L369" i="20"/>
  <c r="L370" i="20"/>
  <c r="L371" i="20"/>
  <c r="L372" i="20"/>
  <c r="L373" i="20"/>
  <c r="L374" i="20"/>
  <c r="L375" i="20"/>
  <c r="L376" i="20"/>
  <c r="L377" i="20"/>
  <c r="L378" i="20"/>
  <c r="L379" i="20"/>
  <c r="L380" i="20"/>
  <c r="L381" i="20"/>
  <c r="L382" i="20"/>
  <c r="L383" i="20"/>
  <c r="L384" i="20"/>
  <c r="L385" i="20"/>
  <c r="L386" i="20"/>
  <c r="L387" i="20"/>
  <c r="L388" i="20"/>
  <c r="L389" i="20"/>
  <c r="L390" i="20"/>
  <c r="L391" i="20"/>
  <c r="L392" i="20"/>
  <c r="L393" i="20"/>
  <c r="L394" i="20"/>
  <c r="L395" i="20"/>
  <c r="L396" i="20"/>
  <c r="L397" i="20"/>
  <c r="L398" i="20"/>
  <c r="L399" i="20"/>
  <c r="L400" i="20"/>
  <c r="L401" i="20"/>
  <c r="L402" i="20"/>
  <c r="L403" i="20"/>
  <c r="L404" i="20"/>
  <c r="L405" i="20"/>
  <c r="L406" i="20"/>
  <c r="L407" i="20"/>
  <c r="L408" i="20"/>
  <c r="L409" i="20"/>
  <c r="L410" i="20"/>
  <c r="L411" i="20"/>
  <c r="L412" i="20"/>
  <c r="L413" i="20"/>
  <c r="L414" i="20"/>
  <c r="L415" i="20"/>
  <c r="L416" i="20"/>
  <c r="L417" i="20"/>
  <c r="L418" i="20"/>
  <c r="L419" i="20"/>
  <c r="L420" i="20"/>
  <c r="L421" i="20"/>
  <c r="L422" i="20"/>
  <c r="L423" i="20"/>
  <c r="L424" i="20"/>
  <c r="L425" i="20"/>
  <c r="L426" i="20"/>
  <c r="L427" i="20"/>
  <c r="L428" i="20"/>
  <c r="L429" i="20"/>
  <c r="L430" i="20"/>
  <c r="L431" i="20"/>
  <c r="L432" i="20"/>
  <c r="L433" i="20"/>
  <c r="L434" i="20"/>
  <c r="L435" i="20"/>
  <c r="L436" i="20"/>
  <c r="L437" i="20"/>
  <c r="L438" i="20"/>
  <c r="L439" i="20"/>
  <c r="L440" i="20"/>
  <c r="L441" i="20"/>
  <c r="L442" i="20"/>
  <c r="L443" i="20"/>
  <c r="L444" i="20"/>
  <c r="L445" i="20"/>
  <c r="L446" i="20"/>
  <c r="L447" i="20"/>
  <c r="L448" i="20"/>
  <c r="L449" i="20"/>
  <c r="L450" i="20"/>
  <c r="L451" i="20"/>
  <c r="L452" i="20"/>
  <c r="L453" i="20"/>
  <c r="L454" i="20"/>
  <c r="L455" i="20"/>
  <c r="L456" i="20"/>
  <c r="L457" i="20"/>
  <c r="L458" i="20"/>
  <c r="L459" i="20"/>
  <c r="L460" i="20"/>
  <c r="L461" i="20"/>
  <c r="L462" i="20"/>
  <c r="L463" i="20"/>
  <c r="L464" i="20"/>
  <c r="L465" i="20"/>
  <c r="L466" i="20"/>
  <c r="L467" i="20"/>
  <c r="L468" i="20"/>
  <c r="L469" i="20"/>
  <c r="L470" i="20"/>
  <c r="L471" i="20"/>
  <c r="L472" i="20"/>
  <c r="L473" i="20"/>
  <c r="L474" i="20"/>
  <c r="L475" i="20"/>
  <c r="L476" i="20"/>
  <c r="L477" i="20"/>
  <c r="L478" i="20"/>
  <c r="L479" i="20"/>
  <c r="L480" i="20"/>
  <c r="L481" i="20"/>
  <c r="L482" i="20"/>
  <c r="L483" i="20"/>
  <c r="L484" i="20"/>
  <c r="L485" i="20"/>
  <c r="L486" i="20"/>
  <c r="L487" i="20"/>
  <c r="L488" i="20"/>
  <c r="L489" i="20"/>
  <c r="L490" i="20"/>
  <c r="L491" i="20"/>
  <c r="L492" i="20"/>
  <c r="L493" i="20"/>
  <c r="L494" i="20"/>
  <c r="L495" i="20"/>
  <c r="L496" i="20"/>
  <c r="L497" i="20"/>
  <c r="L498" i="20"/>
  <c r="L29" i="20"/>
  <c r="L28" i="20"/>
  <c r="L6" i="20"/>
  <c r="L7" i="20"/>
  <c r="L8" i="20"/>
  <c r="L17" i="20"/>
  <c r="L18" i="20"/>
  <c r="L19" i="20"/>
  <c r="L20" i="20"/>
  <c r="L21" i="20"/>
  <c r="L22" i="20"/>
  <c r="L23" i="20"/>
  <c r="L24" i="20"/>
  <c r="L25" i="20"/>
  <c r="J517" i="5" a="1"/>
  <c r="J517" i="5" s="1"/>
  <c r="I517" i="5" a="1"/>
  <c r="I517" i="5" s="1"/>
  <c r="H517" i="5" a="1"/>
  <c r="H517" i="5" s="1"/>
  <c r="G517" i="5" a="1"/>
  <c r="G517" i="5" s="1"/>
  <c r="F517" i="5" a="1"/>
  <c r="F517" i="5" s="1"/>
  <c r="J26" i="20"/>
  <c r="I26" i="20"/>
  <c r="H26" i="20"/>
  <c r="G26" i="20"/>
  <c r="F26" i="20"/>
  <c r="K26" i="20" s="1"/>
  <c r="K25" i="20"/>
  <c r="K24" i="20"/>
  <c r="K23" i="20"/>
  <c r="K22" i="20"/>
  <c r="K21" i="20"/>
  <c r="K20" i="20"/>
  <c r="K19" i="20"/>
  <c r="K18" i="20"/>
  <c r="K17" i="20"/>
  <c r="K16" i="20"/>
  <c r="K15" i="20"/>
  <c r="K14" i="20"/>
  <c r="K13" i="20"/>
  <c r="K12" i="20"/>
  <c r="K11" i="20"/>
  <c r="K10" i="20"/>
  <c r="K9" i="20"/>
  <c r="K8" i="20"/>
  <c r="K7" i="20"/>
  <c r="K6" i="20"/>
  <c r="K5" i="20"/>
  <c r="K4" i="20"/>
  <c r="B7" i="1" l="1"/>
  <c r="F539" i="21"/>
  <c r="F540" i="21"/>
  <c r="C501" i="21" s="1"/>
  <c r="F541" i="21"/>
  <c r="F542" i="21"/>
  <c r="C503" i="21" s="1"/>
  <c r="F543" i="21"/>
  <c r="F544" i="21"/>
  <c r="F545" i="21"/>
  <c r="F546" i="21"/>
  <c r="C507" i="21" s="1"/>
  <c r="F547" i="21"/>
  <c r="F548" i="21"/>
  <c r="C509" i="21" s="1"/>
  <c r="F549" i="21"/>
  <c r="F550" i="21"/>
  <c r="C511" i="21" s="1"/>
  <c r="F551" i="21"/>
  <c r="F552" i="21"/>
  <c r="C513" i="21" s="1"/>
  <c r="F553" i="21"/>
  <c r="H36" i="15"/>
  <c r="H37" i="15"/>
  <c r="H38" i="15"/>
  <c r="H39" i="15"/>
  <c r="H40" i="15"/>
  <c r="E40" i="15"/>
  <c r="G40" i="15" s="1"/>
  <c r="H41" i="15"/>
  <c r="I41" i="15" s="1"/>
  <c r="G41" i="15"/>
  <c r="H42" i="15"/>
  <c r="I42" i="15" s="1"/>
  <c r="G42" i="15"/>
  <c r="H43" i="15"/>
  <c r="I43" i="15" s="1"/>
  <c r="G43" i="15"/>
  <c r="H47" i="15"/>
  <c r="H48" i="15"/>
  <c r="H49" i="15"/>
  <c r="H50" i="15"/>
  <c r="H51" i="15"/>
  <c r="H52" i="15"/>
  <c r="H53" i="15"/>
  <c r="I53" i="15" s="1"/>
  <c r="G53" i="15"/>
  <c r="H54" i="15"/>
  <c r="I54" i="15" s="1"/>
  <c r="G54" i="15"/>
  <c r="H55" i="15"/>
  <c r="I55" i="15" s="1"/>
  <c r="G55" i="15"/>
  <c r="H56" i="15"/>
  <c r="I56" i="15" s="1"/>
  <c r="G56" i="15"/>
  <c r="E85" i="15"/>
  <c r="E86" i="15"/>
  <c r="E87" i="15"/>
  <c r="E88" i="15"/>
  <c r="E89" i="15"/>
  <c r="E90" i="15"/>
  <c r="E91" i="15"/>
  <c r="E92" i="15"/>
  <c r="E93" i="15"/>
  <c r="E94" i="15"/>
  <c r="E95" i="15"/>
  <c r="E96" i="15"/>
  <c r="E97" i="15"/>
  <c r="E98" i="15"/>
  <c r="E99" i="15"/>
  <c r="H22" i="15"/>
  <c r="H23" i="15"/>
  <c r="E23" i="15"/>
  <c r="G23" i="15" s="1"/>
  <c r="H24" i="15"/>
  <c r="E24" i="15"/>
  <c r="G24" i="15" s="1"/>
  <c r="H25" i="15"/>
  <c r="E25" i="15"/>
  <c r="G25" i="15" s="1"/>
  <c r="H26" i="15"/>
  <c r="E26" i="15"/>
  <c r="G26" i="15" s="1"/>
  <c r="H27" i="15"/>
  <c r="E27" i="15"/>
  <c r="G27" i="15" s="1"/>
  <c r="H28" i="15"/>
  <c r="E28" i="15"/>
  <c r="G28" i="15" s="1"/>
  <c r="H29" i="15"/>
  <c r="E29" i="15"/>
  <c r="G29" i="15" s="1"/>
  <c r="H30" i="15"/>
  <c r="E30" i="15"/>
  <c r="G30" i="15" s="1"/>
  <c r="H31" i="15"/>
  <c r="E31" i="15"/>
  <c r="G31" i="15" s="1"/>
  <c r="H32" i="15"/>
  <c r="E32" i="15"/>
  <c r="G32" i="15" s="1"/>
  <c r="I60" i="15"/>
  <c r="I61" i="15"/>
  <c r="I62" i="15"/>
  <c r="I63" i="15"/>
  <c r="I64" i="15"/>
  <c r="I65" i="15"/>
  <c r="I66" i="15"/>
  <c r="B8" i="1"/>
  <c r="F539" i="22"/>
  <c r="C500" i="22" s="1"/>
  <c r="F540" i="22"/>
  <c r="F541" i="22"/>
  <c r="F542" i="22"/>
  <c r="C503" i="22" s="1"/>
  <c r="F543" i="22"/>
  <c r="F544" i="22"/>
  <c r="C505" i="22" s="1"/>
  <c r="F545" i="22"/>
  <c r="F546" i="22"/>
  <c r="C507" i="22" s="1"/>
  <c r="F547" i="22"/>
  <c r="F548" i="22"/>
  <c r="F549" i="22"/>
  <c r="C510" i="22" s="1"/>
  <c r="F550" i="22"/>
  <c r="F551" i="22"/>
  <c r="F552" i="22"/>
  <c r="F553" i="22"/>
  <c r="H36" i="16"/>
  <c r="H37" i="16"/>
  <c r="H38" i="16"/>
  <c r="H39" i="16"/>
  <c r="H40" i="16"/>
  <c r="E40" i="16"/>
  <c r="G40" i="16" s="1"/>
  <c r="H41" i="16"/>
  <c r="I41" i="16" s="1"/>
  <c r="G41" i="16"/>
  <c r="H42" i="16"/>
  <c r="I42" i="16" s="1"/>
  <c r="G42" i="16"/>
  <c r="H43" i="16"/>
  <c r="I43" i="16" s="1"/>
  <c r="G43" i="16"/>
  <c r="H47" i="16"/>
  <c r="H48" i="16"/>
  <c r="H49" i="16"/>
  <c r="H50" i="16"/>
  <c r="H51" i="16"/>
  <c r="H52" i="16"/>
  <c r="H53" i="16"/>
  <c r="I53" i="16" s="1"/>
  <c r="G53" i="16"/>
  <c r="H54" i="16"/>
  <c r="I54" i="16" s="1"/>
  <c r="G54" i="16"/>
  <c r="H55" i="16"/>
  <c r="I55" i="16" s="1"/>
  <c r="G55" i="16"/>
  <c r="E85" i="16"/>
  <c r="E86" i="16"/>
  <c r="E87" i="16"/>
  <c r="E88" i="16"/>
  <c r="E89" i="16"/>
  <c r="E90" i="16"/>
  <c r="E91" i="16"/>
  <c r="E92" i="16"/>
  <c r="E93" i="16"/>
  <c r="E94" i="16"/>
  <c r="E95" i="16"/>
  <c r="E96" i="16"/>
  <c r="E97" i="16"/>
  <c r="E98" i="16"/>
  <c r="E99" i="16"/>
  <c r="H22" i="16"/>
  <c r="H23" i="16"/>
  <c r="E23" i="16"/>
  <c r="G23" i="16" s="1"/>
  <c r="H24" i="16"/>
  <c r="E24" i="16"/>
  <c r="G24" i="16" s="1"/>
  <c r="H25" i="16"/>
  <c r="E25" i="16"/>
  <c r="G25" i="16" s="1"/>
  <c r="H26" i="16"/>
  <c r="E26" i="16"/>
  <c r="G26" i="16" s="1"/>
  <c r="H27" i="16"/>
  <c r="E27" i="16"/>
  <c r="G27" i="16" s="1"/>
  <c r="H28" i="16"/>
  <c r="E28" i="16"/>
  <c r="G28" i="16" s="1"/>
  <c r="H29" i="16"/>
  <c r="E29" i="16"/>
  <c r="G29" i="16" s="1"/>
  <c r="H30" i="16"/>
  <c r="E30" i="16"/>
  <c r="G30" i="16" s="1"/>
  <c r="H31" i="16"/>
  <c r="E31" i="16"/>
  <c r="G31" i="16" s="1"/>
  <c r="H32" i="16"/>
  <c r="E32" i="16"/>
  <c r="G32" i="16" s="1"/>
  <c r="I62" i="16"/>
  <c r="I63" i="16"/>
  <c r="I64" i="16"/>
  <c r="I65" i="16"/>
  <c r="I66" i="16"/>
  <c r="B9" i="1"/>
  <c r="F539" i="23"/>
  <c r="C500" i="23" s="1"/>
  <c r="F540" i="23"/>
  <c r="C501" i="23" s="1"/>
  <c r="F541" i="23"/>
  <c r="C502" i="23" s="1"/>
  <c r="F542" i="23"/>
  <c r="C503" i="23" s="1"/>
  <c r="F543" i="23"/>
  <c r="C504" i="23" s="1"/>
  <c r="F544" i="23"/>
  <c r="C505" i="23" s="1"/>
  <c r="F545" i="23"/>
  <c r="C506" i="23" s="1"/>
  <c r="C526" i="23" s="1"/>
  <c r="F546" i="23"/>
  <c r="C507" i="23" s="1"/>
  <c r="F547" i="23"/>
  <c r="C508" i="23" s="1"/>
  <c r="F548" i="23"/>
  <c r="C509" i="23" s="1"/>
  <c r="F549" i="23"/>
  <c r="C510" i="23" s="1"/>
  <c r="F550" i="23"/>
  <c r="C511" i="23" s="1"/>
  <c r="F551" i="23"/>
  <c r="C512" i="23" s="1"/>
  <c r="F552" i="23"/>
  <c r="C513" i="23" s="1"/>
  <c r="F553" i="23"/>
  <c r="C514" i="23" s="1"/>
  <c r="G514" i="23" s="1"/>
  <c r="H36" i="17"/>
  <c r="H37" i="17"/>
  <c r="H38" i="17"/>
  <c r="H39" i="17"/>
  <c r="H40" i="17"/>
  <c r="E40" i="17"/>
  <c r="G40" i="17" s="1"/>
  <c r="H41" i="17"/>
  <c r="I41" i="17" s="1"/>
  <c r="G41" i="17"/>
  <c r="H42" i="17"/>
  <c r="I42" i="17" s="1"/>
  <c r="G42" i="17"/>
  <c r="H43" i="17"/>
  <c r="I43" i="17" s="1"/>
  <c r="G43" i="17"/>
  <c r="H47" i="17"/>
  <c r="H48" i="17"/>
  <c r="H49" i="17"/>
  <c r="H50" i="17"/>
  <c r="H51" i="17"/>
  <c r="H52" i="17"/>
  <c r="H53" i="17"/>
  <c r="I53" i="17" s="1"/>
  <c r="G53" i="17"/>
  <c r="H54" i="17"/>
  <c r="I54" i="17" s="1"/>
  <c r="G54" i="17"/>
  <c r="H55" i="17"/>
  <c r="I55" i="17" s="1"/>
  <c r="G55" i="17"/>
  <c r="H56" i="17"/>
  <c r="I56" i="17" s="1"/>
  <c r="G56" i="17"/>
  <c r="E85" i="17"/>
  <c r="E86" i="17"/>
  <c r="E87" i="17"/>
  <c r="E88" i="17"/>
  <c r="E89" i="17"/>
  <c r="E90" i="17"/>
  <c r="E91" i="17"/>
  <c r="E92" i="17"/>
  <c r="E93" i="17"/>
  <c r="E94" i="17"/>
  <c r="E95" i="17"/>
  <c r="E96" i="17"/>
  <c r="E97" i="17"/>
  <c r="E98" i="17"/>
  <c r="E99" i="17"/>
  <c r="H22" i="17"/>
  <c r="H23" i="17"/>
  <c r="E23" i="17"/>
  <c r="G23" i="17" s="1"/>
  <c r="H24" i="17"/>
  <c r="E24" i="17"/>
  <c r="G24" i="17" s="1"/>
  <c r="H25" i="17"/>
  <c r="E25" i="17"/>
  <c r="G25" i="17" s="1"/>
  <c r="H26" i="17"/>
  <c r="E26" i="17"/>
  <c r="G26" i="17" s="1"/>
  <c r="H27" i="17"/>
  <c r="E27" i="17"/>
  <c r="G27" i="17" s="1"/>
  <c r="H28" i="17"/>
  <c r="E28" i="17"/>
  <c r="G28" i="17" s="1"/>
  <c r="H29" i="17"/>
  <c r="E29" i="17"/>
  <c r="G29" i="17" s="1"/>
  <c r="H30" i="17"/>
  <c r="E30" i="17"/>
  <c r="G30" i="17" s="1"/>
  <c r="H31" i="17"/>
  <c r="E31" i="17"/>
  <c r="G31" i="17" s="1"/>
  <c r="H32" i="17"/>
  <c r="E32" i="17"/>
  <c r="G32" i="17" s="1"/>
  <c r="I60" i="17"/>
  <c r="I61" i="17"/>
  <c r="I62" i="17"/>
  <c r="I63" i="17"/>
  <c r="I64" i="17"/>
  <c r="I65" i="17"/>
  <c r="I66" i="17"/>
  <c r="B6" i="1"/>
  <c r="F539" i="20"/>
  <c r="F540" i="20"/>
  <c r="F541" i="20"/>
  <c r="C502" i="20" s="1"/>
  <c r="F542" i="20"/>
  <c r="F543" i="20"/>
  <c r="F544" i="20"/>
  <c r="F545" i="20"/>
  <c r="C506" i="20" s="1"/>
  <c r="H506" i="20" s="1"/>
  <c r="F546" i="20"/>
  <c r="F547" i="20"/>
  <c r="F548" i="20"/>
  <c r="F549" i="20"/>
  <c r="F550" i="20"/>
  <c r="F551" i="20"/>
  <c r="F552" i="20"/>
  <c r="C513" i="20" s="1"/>
  <c r="F513" i="20" s="1"/>
  <c r="F553" i="20"/>
  <c r="C514" i="20" s="1"/>
  <c r="H36" i="14"/>
  <c r="H37" i="14"/>
  <c r="H38" i="14"/>
  <c r="H39" i="14"/>
  <c r="H40" i="14"/>
  <c r="E40" i="14"/>
  <c r="G40" i="14" s="1"/>
  <c r="H41" i="14"/>
  <c r="G41" i="14"/>
  <c r="H42" i="14"/>
  <c r="G42" i="14"/>
  <c r="H43" i="14"/>
  <c r="G43" i="14"/>
  <c r="H47" i="14"/>
  <c r="H48" i="14"/>
  <c r="H49" i="14"/>
  <c r="H50" i="14"/>
  <c r="H51" i="14"/>
  <c r="H52" i="14"/>
  <c r="H53" i="14"/>
  <c r="G53" i="14"/>
  <c r="H54" i="14"/>
  <c r="G54" i="14"/>
  <c r="H55" i="14"/>
  <c r="G55" i="14"/>
  <c r="H56" i="14"/>
  <c r="G56" i="14"/>
  <c r="E85" i="14"/>
  <c r="E86" i="14"/>
  <c r="E87" i="14"/>
  <c r="E88" i="14"/>
  <c r="E89" i="14"/>
  <c r="E90" i="14"/>
  <c r="E91" i="14"/>
  <c r="E92" i="14"/>
  <c r="E93" i="14"/>
  <c r="E94" i="14"/>
  <c r="E95" i="14"/>
  <c r="E96" i="14"/>
  <c r="E97" i="14"/>
  <c r="E98" i="14"/>
  <c r="E99" i="14"/>
  <c r="H22" i="14"/>
  <c r="H23" i="14"/>
  <c r="E23" i="14"/>
  <c r="G23" i="14" s="1"/>
  <c r="H24" i="14"/>
  <c r="E24" i="14"/>
  <c r="G24" i="14" s="1"/>
  <c r="H25" i="14"/>
  <c r="E25" i="14"/>
  <c r="G25" i="14" s="1"/>
  <c r="H26" i="14"/>
  <c r="E26" i="14"/>
  <c r="G26" i="14" s="1"/>
  <c r="H27" i="14"/>
  <c r="E27" i="14"/>
  <c r="G27" i="14" s="1"/>
  <c r="H28" i="14"/>
  <c r="E28" i="14"/>
  <c r="G28" i="14" s="1"/>
  <c r="H29" i="14"/>
  <c r="E29" i="14"/>
  <c r="G29" i="14" s="1"/>
  <c r="H30" i="14"/>
  <c r="E30" i="14"/>
  <c r="G30" i="14" s="1"/>
  <c r="H31" i="14"/>
  <c r="E31" i="14"/>
  <c r="G31" i="14" s="1"/>
  <c r="H32" i="14"/>
  <c r="E32" i="14"/>
  <c r="G32" i="14" s="1"/>
  <c r="I60" i="14"/>
  <c r="I61" i="14"/>
  <c r="I62" i="14"/>
  <c r="I63" i="14"/>
  <c r="I64" i="14"/>
  <c r="I65" i="14"/>
  <c r="I66" i="14"/>
  <c r="C500" i="5"/>
  <c r="G500" i="5" s="1"/>
  <c r="C501" i="5"/>
  <c r="F501" i="5" s="1"/>
  <c r="C502" i="5"/>
  <c r="G502" i="5" s="1"/>
  <c r="C503" i="5"/>
  <c r="F503" i="5" s="1"/>
  <c r="C504" i="5"/>
  <c r="G504" i="5" s="1"/>
  <c r="C505" i="5"/>
  <c r="F505" i="5" s="1"/>
  <c r="C506" i="5"/>
  <c r="G506" i="5" s="1"/>
  <c r="C507" i="5"/>
  <c r="F507" i="5" s="1"/>
  <c r="C508" i="5"/>
  <c r="G508" i="5" s="1"/>
  <c r="C509" i="5"/>
  <c r="F509" i="5" s="1"/>
  <c r="C510" i="5"/>
  <c r="F510" i="5" s="1"/>
  <c r="C511" i="5"/>
  <c r="G511" i="5" s="1"/>
  <c r="C512" i="5"/>
  <c r="F512" i="5" s="1"/>
  <c r="C513" i="5"/>
  <c r="G513" i="5" s="1"/>
  <c r="C514" i="5"/>
  <c r="F514" i="5" s="1"/>
  <c r="G501" i="5"/>
  <c r="G510" i="5"/>
  <c r="G514" i="5"/>
  <c r="B5" i="1"/>
  <c r="M494" i="21"/>
  <c r="M478" i="21"/>
  <c r="M466" i="21"/>
  <c r="M452" i="21"/>
  <c r="M436" i="21"/>
  <c r="M420" i="21"/>
  <c r="M481" i="22"/>
  <c r="M468" i="22"/>
  <c r="M460" i="22"/>
  <c r="M451" i="22"/>
  <c r="M431" i="22"/>
  <c r="M421" i="22"/>
  <c r="M393" i="22"/>
  <c r="M317" i="22"/>
  <c r="M305" i="22"/>
  <c r="M289" i="22"/>
  <c r="M276" i="22"/>
  <c r="M268" i="22"/>
  <c r="M259" i="22"/>
  <c r="M228" i="22"/>
  <c r="M197" i="22"/>
  <c r="M189" i="22"/>
  <c r="M177" i="22"/>
  <c r="M161" i="22"/>
  <c r="M111" i="22"/>
  <c r="M84" i="22"/>
  <c r="M76" i="22"/>
  <c r="M48" i="22"/>
  <c r="L498" i="23"/>
  <c r="M498" i="23" s="1"/>
  <c r="L497" i="23"/>
  <c r="L496" i="23"/>
  <c r="M496" i="23" s="1"/>
  <c r="L495" i="23"/>
  <c r="L494" i="23"/>
  <c r="L493" i="23"/>
  <c r="L492" i="23"/>
  <c r="M492" i="23" s="1"/>
  <c r="L491" i="23"/>
  <c r="L490" i="23"/>
  <c r="M490" i="23" s="1"/>
  <c r="L489" i="23"/>
  <c r="L488" i="23"/>
  <c r="M488" i="23" s="1"/>
  <c r="L487" i="23"/>
  <c r="L486" i="23"/>
  <c r="M486" i="23" s="1"/>
  <c r="L485" i="23"/>
  <c r="L484" i="23"/>
  <c r="M484" i="23" s="1"/>
  <c r="L483" i="23"/>
  <c r="M483" i="23" s="1"/>
  <c r="L482" i="23"/>
  <c r="M482" i="23" s="1"/>
  <c r="L481" i="23"/>
  <c r="L480" i="23"/>
  <c r="M480" i="23" s="1"/>
  <c r="L479" i="23"/>
  <c r="M479" i="23" s="1"/>
  <c r="L478" i="23"/>
  <c r="M478" i="23" s="1"/>
  <c r="L477" i="23"/>
  <c r="L476" i="23"/>
  <c r="M476" i="23" s="1"/>
  <c r="L475" i="23"/>
  <c r="L474" i="23"/>
  <c r="M474" i="23" s="1"/>
  <c r="L473" i="23"/>
  <c r="L472" i="23"/>
  <c r="M472" i="23" s="1"/>
  <c r="L471" i="23"/>
  <c r="L470" i="23"/>
  <c r="M470" i="23" s="1"/>
  <c r="L469" i="23"/>
  <c r="L468" i="23"/>
  <c r="M468" i="23" s="1"/>
  <c r="L467" i="23"/>
  <c r="M467" i="23" s="1"/>
  <c r="L466" i="23"/>
  <c r="M466" i="23" s="1"/>
  <c r="L465" i="23"/>
  <c r="L464" i="23"/>
  <c r="M464" i="23" s="1"/>
  <c r="L463" i="23"/>
  <c r="M463" i="23" s="1"/>
  <c r="L462" i="23"/>
  <c r="M462" i="23" s="1"/>
  <c r="L461" i="23"/>
  <c r="L460" i="23"/>
  <c r="M460" i="23" s="1"/>
  <c r="L459" i="23"/>
  <c r="L458" i="23"/>
  <c r="M458" i="23" s="1"/>
  <c r="L457" i="23"/>
  <c r="L456" i="23"/>
  <c r="M456" i="23" s="1"/>
  <c r="L455" i="23"/>
  <c r="L454" i="23"/>
  <c r="M454" i="23" s="1"/>
  <c r="L453" i="23"/>
  <c r="L452" i="23"/>
  <c r="M452" i="23" s="1"/>
  <c r="L451" i="23"/>
  <c r="M451" i="23" s="1"/>
  <c r="L450" i="23"/>
  <c r="M450" i="23" s="1"/>
  <c r="L449" i="23"/>
  <c r="L448" i="23"/>
  <c r="M448" i="23" s="1"/>
  <c r="L447" i="23"/>
  <c r="M447" i="23" s="1"/>
  <c r="L446" i="23"/>
  <c r="M446" i="23" s="1"/>
  <c r="L445" i="23"/>
  <c r="L444" i="23"/>
  <c r="M444" i="23" s="1"/>
  <c r="L443" i="23"/>
  <c r="L442" i="23"/>
  <c r="M442" i="23" s="1"/>
  <c r="L441" i="23"/>
  <c r="L440" i="23"/>
  <c r="M440" i="23" s="1"/>
  <c r="L439" i="23"/>
  <c r="L438" i="23"/>
  <c r="M438" i="23" s="1"/>
  <c r="L437" i="23"/>
  <c r="L436" i="23"/>
  <c r="M436" i="23" s="1"/>
  <c r="L435" i="23"/>
  <c r="M435" i="23" s="1"/>
  <c r="L434" i="23"/>
  <c r="M434" i="23" s="1"/>
  <c r="L433" i="23"/>
  <c r="L432" i="23"/>
  <c r="M432" i="23" s="1"/>
  <c r="L431" i="23"/>
  <c r="M431" i="23" s="1"/>
  <c r="L430" i="23"/>
  <c r="M430" i="23" s="1"/>
  <c r="L429" i="23"/>
  <c r="L428" i="23"/>
  <c r="M428" i="23" s="1"/>
  <c r="L427" i="23"/>
  <c r="L426" i="23"/>
  <c r="M426" i="23" s="1"/>
  <c r="L425" i="23"/>
  <c r="L424" i="23"/>
  <c r="M424" i="23" s="1"/>
  <c r="L423" i="23"/>
  <c r="L422" i="23"/>
  <c r="M422" i="23" s="1"/>
  <c r="L421" i="23"/>
  <c r="L420" i="23"/>
  <c r="M420" i="23" s="1"/>
  <c r="L419" i="23"/>
  <c r="M419" i="23" s="1"/>
  <c r="L418" i="23"/>
  <c r="M418" i="23" s="1"/>
  <c r="L417" i="23"/>
  <c r="L416" i="23"/>
  <c r="M416" i="23" s="1"/>
  <c r="L415" i="23"/>
  <c r="M415" i="23" s="1"/>
  <c r="L414" i="23"/>
  <c r="M414" i="23" s="1"/>
  <c r="L413" i="23"/>
  <c r="L412" i="23"/>
  <c r="M412" i="23" s="1"/>
  <c r="L411" i="23"/>
  <c r="L410" i="23"/>
  <c r="M410" i="23" s="1"/>
  <c r="L409" i="23"/>
  <c r="L408" i="23"/>
  <c r="M408" i="23" s="1"/>
  <c r="L407" i="23"/>
  <c r="L406" i="23"/>
  <c r="M406" i="23" s="1"/>
  <c r="L405" i="23"/>
  <c r="L404" i="23"/>
  <c r="M404" i="23" s="1"/>
  <c r="L403" i="23"/>
  <c r="M403" i="23" s="1"/>
  <c r="L402" i="23"/>
  <c r="M402" i="23" s="1"/>
  <c r="L401" i="23"/>
  <c r="L400" i="23"/>
  <c r="M400" i="23" s="1"/>
  <c r="L399" i="23"/>
  <c r="M399" i="23" s="1"/>
  <c r="L398" i="23"/>
  <c r="M398" i="23" s="1"/>
  <c r="L397" i="23"/>
  <c r="L396" i="23"/>
  <c r="M396" i="23" s="1"/>
  <c r="L395" i="23"/>
  <c r="L394" i="23"/>
  <c r="M394" i="23" s="1"/>
  <c r="L393" i="23"/>
  <c r="L392" i="23"/>
  <c r="M392" i="23" s="1"/>
  <c r="L391" i="23"/>
  <c r="L390" i="23"/>
  <c r="M390" i="23" s="1"/>
  <c r="L389" i="23"/>
  <c r="L388" i="23"/>
  <c r="M388" i="23" s="1"/>
  <c r="L387" i="23"/>
  <c r="M387" i="23" s="1"/>
  <c r="L386" i="23"/>
  <c r="M386" i="23" s="1"/>
  <c r="L385" i="23"/>
  <c r="L384" i="23"/>
  <c r="M384" i="23" s="1"/>
  <c r="L383" i="23"/>
  <c r="M383" i="23" s="1"/>
  <c r="L382" i="23"/>
  <c r="M382" i="23" s="1"/>
  <c r="L381" i="23"/>
  <c r="L380" i="23"/>
  <c r="M380" i="23" s="1"/>
  <c r="L379" i="23"/>
  <c r="L378" i="23"/>
  <c r="M378" i="23" s="1"/>
  <c r="L377" i="23"/>
  <c r="L376" i="23"/>
  <c r="M376" i="23" s="1"/>
  <c r="L375" i="23"/>
  <c r="L374" i="23"/>
  <c r="M374" i="23" s="1"/>
  <c r="L373" i="23"/>
  <c r="L372" i="23"/>
  <c r="M372" i="23" s="1"/>
  <c r="L371" i="23"/>
  <c r="M371" i="23" s="1"/>
  <c r="L370" i="23"/>
  <c r="M370" i="23" s="1"/>
  <c r="L369" i="23"/>
  <c r="L368" i="23"/>
  <c r="M368" i="23" s="1"/>
  <c r="L367" i="23"/>
  <c r="M367" i="23" s="1"/>
  <c r="L366" i="23"/>
  <c r="M366" i="23" s="1"/>
  <c r="L365" i="23"/>
  <c r="L364" i="23"/>
  <c r="M364" i="23" s="1"/>
  <c r="L363" i="23"/>
  <c r="L362" i="23"/>
  <c r="M362" i="23" s="1"/>
  <c r="L361" i="23"/>
  <c r="L360" i="23"/>
  <c r="M360" i="23" s="1"/>
  <c r="L359" i="23"/>
  <c r="L358" i="23"/>
  <c r="M358" i="23" s="1"/>
  <c r="L357" i="23"/>
  <c r="L356" i="23"/>
  <c r="M356" i="23" s="1"/>
  <c r="L355" i="23"/>
  <c r="M355" i="23" s="1"/>
  <c r="L354" i="23"/>
  <c r="M354" i="23" s="1"/>
  <c r="L353" i="23"/>
  <c r="L352" i="23"/>
  <c r="M352" i="23" s="1"/>
  <c r="L351" i="23"/>
  <c r="M351" i="23" s="1"/>
  <c r="L350" i="23"/>
  <c r="M350" i="23" s="1"/>
  <c r="L349" i="23"/>
  <c r="L348" i="23"/>
  <c r="M348" i="23" s="1"/>
  <c r="L347" i="23"/>
  <c r="L346" i="23"/>
  <c r="M346" i="23" s="1"/>
  <c r="L345" i="23"/>
  <c r="L344" i="23"/>
  <c r="M344" i="23" s="1"/>
  <c r="L343" i="23"/>
  <c r="L342" i="23"/>
  <c r="M342" i="23" s="1"/>
  <c r="L341" i="23"/>
  <c r="L340" i="23"/>
  <c r="M340" i="23" s="1"/>
  <c r="L339" i="23"/>
  <c r="M339" i="23" s="1"/>
  <c r="L338" i="23"/>
  <c r="M338" i="23" s="1"/>
  <c r="L337" i="23"/>
  <c r="L336" i="23"/>
  <c r="M336" i="23" s="1"/>
  <c r="L335" i="23"/>
  <c r="M335" i="23" s="1"/>
  <c r="L334" i="23"/>
  <c r="M334" i="23" s="1"/>
  <c r="L333" i="23"/>
  <c r="L332" i="23"/>
  <c r="M332" i="23" s="1"/>
  <c r="L331" i="23"/>
  <c r="L330" i="23"/>
  <c r="M330" i="23" s="1"/>
  <c r="L329" i="23"/>
  <c r="L328" i="23"/>
  <c r="M328" i="23" s="1"/>
  <c r="L327" i="23"/>
  <c r="L326" i="23"/>
  <c r="M326" i="23" s="1"/>
  <c r="L325" i="23"/>
  <c r="L324" i="23"/>
  <c r="M324" i="23" s="1"/>
  <c r="L323" i="23"/>
  <c r="M323" i="23" s="1"/>
  <c r="L322" i="23"/>
  <c r="M322" i="23" s="1"/>
  <c r="L321" i="23"/>
  <c r="L320" i="23"/>
  <c r="M320" i="23" s="1"/>
  <c r="L319" i="23"/>
  <c r="M319" i="23" s="1"/>
  <c r="L318" i="23"/>
  <c r="M318" i="23" s="1"/>
  <c r="L317" i="23"/>
  <c r="L316" i="23"/>
  <c r="M316" i="23" s="1"/>
  <c r="L315" i="23"/>
  <c r="L314" i="23"/>
  <c r="M314" i="23" s="1"/>
  <c r="L313" i="23"/>
  <c r="L312" i="23"/>
  <c r="M312" i="23" s="1"/>
  <c r="L311" i="23"/>
  <c r="L310" i="23"/>
  <c r="M310" i="23" s="1"/>
  <c r="L309" i="23"/>
  <c r="L308" i="23"/>
  <c r="M308" i="23" s="1"/>
  <c r="L307" i="23"/>
  <c r="M307" i="23" s="1"/>
  <c r="L306" i="23"/>
  <c r="M306" i="23" s="1"/>
  <c r="L305" i="23"/>
  <c r="L304" i="23"/>
  <c r="M304" i="23" s="1"/>
  <c r="L303" i="23"/>
  <c r="M303" i="23" s="1"/>
  <c r="L302" i="23"/>
  <c r="M302" i="23" s="1"/>
  <c r="L301" i="23"/>
  <c r="L300" i="23"/>
  <c r="M300" i="23" s="1"/>
  <c r="L299" i="23"/>
  <c r="L298" i="23"/>
  <c r="M298" i="23" s="1"/>
  <c r="L297" i="23"/>
  <c r="L296" i="23"/>
  <c r="M296" i="23" s="1"/>
  <c r="L295" i="23"/>
  <c r="L294" i="23"/>
  <c r="M294" i="23" s="1"/>
  <c r="L293" i="23"/>
  <c r="L292" i="23"/>
  <c r="M292" i="23" s="1"/>
  <c r="L291" i="23"/>
  <c r="M291" i="23" s="1"/>
  <c r="L290" i="23"/>
  <c r="M290" i="23" s="1"/>
  <c r="L289" i="23"/>
  <c r="L288" i="23"/>
  <c r="M288" i="23" s="1"/>
  <c r="L287" i="23"/>
  <c r="M287" i="23" s="1"/>
  <c r="L286" i="23"/>
  <c r="M286" i="23" s="1"/>
  <c r="L285" i="23"/>
  <c r="L284" i="23"/>
  <c r="M284" i="23" s="1"/>
  <c r="L283" i="23"/>
  <c r="L282" i="23"/>
  <c r="M282" i="23" s="1"/>
  <c r="L281" i="23"/>
  <c r="L280" i="23"/>
  <c r="M280" i="23" s="1"/>
  <c r="L279" i="23"/>
  <c r="L278" i="23"/>
  <c r="M278" i="23" s="1"/>
  <c r="L277" i="23"/>
  <c r="L276" i="23"/>
  <c r="M276" i="23" s="1"/>
  <c r="L275" i="23"/>
  <c r="M275" i="23" s="1"/>
  <c r="L274" i="23"/>
  <c r="M274" i="23" s="1"/>
  <c r="L273" i="23"/>
  <c r="L272" i="23"/>
  <c r="M272" i="23" s="1"/>
  <c r="L271" i="23"/>
  <c r="M271" i="23" s="1"/>
  <c r="L270" i="23"/>
  <c r="M270" i="23" s="1"/>
  <c r="L269" i="23"/>
  <c r="L268" i="23"/>
  <c r="M268" i="23" s="1"/>
  <c r="L267" i="23"/>
  <c r="L266" i="23"/>
  <c r="M266" i="23" s="1"/>
  <c r="L265" i="23"/>
  <c r="L264" i="23"/>
  <c r="M264" i="23" s="1"/>
  <c r="L263" i="23"/>
  <c r="L262" i="23"/>
  <c r="M262" i="23" s="1"/>
  <c r="L261" i="23"/>
  <c r="L260" i="23"/>
  <c r="M260" i="23" s="1"/>
  <c r="L259" i="23"/>
  <c r="M259" i="23" s="1"/>
  <c r="L258" i="23"/>
  <c r="M258" i="23" s="1"/>
  <c r="L257" i="23"/>
  <c r="L256" i="23"/>
  <c r="M256" i="23" s="1"/>
  <c r="L255" i="23"/>
  <c r="M255" i="23" s="1"/>
  <c r="L254" i="23"/>
  <c r="M254" i="23" s="1"/>
  <c r="L253" i="23"/>
  <c r="L252" i="23"/>
  <c r="M252" i="23" s="1"/>
  <c r="L251" i="23"/>
  <c r="L250" i="23"/>
  <c r="M250" i="23" s="1"/>
  <c r="L249" i="23"/>
  <c r="L248" i="23"/>
  <c r="M248" i="23" s="1"/>
  <c r="L247" i="23"/>
  <c r="L246" i="23"/>
  <c r="M246" i="23" s="1"/>
  <c r="L245" i="23"/>
  <c r="L244" i="23"/>
  <c r="M244" i="23" s="1"/>
  <c r="L243" i="23"/>
  <c r="M243" i="23" s="1"/>
  <c r="L242" i="23"/>
  <c r="L241" i="23"/>
  <c r="L240" i="23"/>
  <c r="M240" i="23" s="1"/>
  <c r="L239" i="23"/>
  <c r="M239" i="23" s="1"/>
  <c r="L238" i="23"/>
  <c r="M238" i="23" s="1"/>
  <c r="L237" i="23"/>
  <c r="L236" i="23"/>
  <c r="M236" i="23" s="1"/>
  <c r="L235" i="23"/>
  <c r="L234" i="23"/>
  <c r="M234" i="23" s="1"/>
  <c r="L233" i="23"/>
  <c r="L232" i="23"/>
  <c r="M232" i="23" s="1"/>
  <c r="L231" i="23"/>
  <c r="L230" i="23"/>
  <c r="M230" i="23" s="1"/>
  <c r="L229" i="23"/>
  <c r="L228" i="23"/>
  <c r="M228" i="23" s="1"/>
  <c r="L227" i="23"/>
  <c r="M227" i="23" s="1"/>
  <c r="L226" i="23"/>
  <c r="M226" i="23" s="1"/>
  <c r="L225" i="23"/>
  <c r="L224" i="23"/>
  <c r="M224" i="23" s="1"/>
  <c r="L223" i="23"/>
  <c r="M223" i="23" s="1"/>
  <c r="L222" i="23"/>
  <c r="M222" i="23" s="1"/>
  <c r="L221" i="23"/>
  <c r="L220" i="23"/>
  <c r="M220" i="23" s="1"/>
  <c r="L219" i="23"/>
  <c r="L218" i="23"/>
  <c r="M218" i="23" s="1"/>
  <c r="L217" i="23"/>
  <c r="L216" i="23"/>
  <c r="M216" i="23" s="1"/>
  <c r="L215" i="23"/>
  <c r="L214" i="23"/>
  <c r="M214" i="23" s="1"/>
  <c r="L213" i="23"/>
  <c r="L212" i="23"/>
  <c r="M212" i="23" s="1"/>
  <c r="L211" i="23"/>
  <c r="M211" i="23" s="1"/>
  <c r="L210" i="23"/>
  <c r="L209" i="23"/>
  <c r="L208" i="23"/>
  <c r="M208" i="23" s="1"/>
  <c r="L207" i="23"/>
  <c r="M207" i="23" s="1"/>
  <c r="L206" i="23"/>
  <c r="M206" i="23" s="1"/>
  <c r="L205" i="23"/>
  <c r="L204" i="23"/>
  <c r="M204" i="23" s="1"/>
  <c r="L203" i="23"/>
  <c r="L202" i="23"/>
  <c r="M202" i="23" s="1"/>
  <c r="L201" i="23"/>
  <c r="L200" i="23"/>
  <c r="M200" i="23" s="1"/>
  <c r="L199" i="23"/>
  <c r="L198" i="23"/>
  <c r="M198" i="23" s="1"/>
  <c r="L197" i="23"/>
  <c r="L196" i="23"/>
  <c r="M196" i="23" s="1"/>
  <c r="L195" i="23"/>
  <c r="M195" i="23" s="1"/>
  <c r="L194" i="23"/>
  <c r="M194" i="23" s="1"/>
  <c r="L193" i="23"/>
  <c r="L192" i="23"/>
  <c r="M192" i="23" s="1"/>
  <c r="L191" i="23"/>
  <c r="M191" i="23" s="1"/>
  <c r="L190" i="23"/>
  <c r="M190" i="23" s="1"/>
  <c r="L189" i="23"/>
  <c r="L188" i="23"/>
  <c r="M188" i="23" s="1"/>
  <c r="L187" i="23"/>
  <c r="L186" i="23"/>
  <c r="M186" i="23" s="1"/>
  <c r="L185" i="23"/>
  <c r="L184" i="23"/>
  <c r="M184" i="23" s="1"/>
  <c r="L183" i="23"/>
  <c r="L182" i="23"/>
  <c r="M182" i="23" s="1"/>
  <c r="L181" i="23"/>
  <c r="L180" i="23"/>
  <c r="M180" i="23" s="1"/>
  <c r="L179" i="23"/>
  <c r="M179" i="23" s="1"/>
  <c r="L178" i="23"/>
  <c r="L177" i="23"/>
  <c r="L176" i="23"/>
  <c r="M176" i="23" s="1"/>
  <c r="L175" i="23"/>
  <c r="M175" i="23" s="1"/>
  <c r="L174" i="23"/>
  <c r="M174" i="23" s="1"/>
  <c r="L173" i="23"/>
  <c r="L172" i="23"/>
  <c r="M172" i="23" s="1"/>
  <c r="L171" i="23"/>
  <c r="L170" i="23"/>
  <c r="M170" i="23" s="1"/>
  <c r="L169" i="23"/>
  <c r="L168" i="23"/>
  <c r="M168" i="23" s="1"/>
  <c r="L167" i="23"/>
  <c r="L166" i="23"/>
  <c r="M166" i="23" s="1"/>
  <c r="L165" i="23"/>
  <c r="L164" i="23"/>
  <c r="M164" i="23" s="1"/>
  <c r="L163" i="23"/>
  <c r="M163" i="23" s="1"/>
  <c r="L162" i="23"/>
  <c r="M162" i="23" s="1"/>
  <c r="L161" i="23"/>
  <c r="L160" i="23"/>
  <c r="M160" i="23" s="1"/>
  <c r="L159" i="23"/>
  <c r="M159" i="23" s="1"/>
  <c r="L158" i="23"/>
  <c r="M158" i="23" s="1"/>
  <c r="L157" i="23"/>
  <c r="L156" i="23"/>
  <c r="M156" i="23" s="1"/>
  <c r="L155" i="23"/>
  <c r="L154" i="23"/>
  <c r="M154" i="23" s="1"/>
  <c r="L153" i="23"/>
  <c r="L152" i="23"/>
  <c r="M152" i="23" s="1"/>
  <c r="L151" i="23"/>
  <c r="L150" i="23"/>
  <c r="M150" i="23" s="1"/>
  <c r="L149" i="23"/>
  <c r="L148" i="23"/>
  <c r="M148" i="23" s="1"/>
  <c r="L147" i="23"/>
  <c r="M147" i="23" s="1"/>
  <c r="L146" i="23"/>
  <c r="L145" i="23"/>
  <c r="L144" i="23"/>
  <c r="M144" i="23" s="1"/>
  <c r="L143" i="23"/>
  <c r="M143" i="23" s="1"/>
  <c r="L142" i="23"/>
  <c r="M142" i="23" s="1"/>
  <c r="L141" i="23"/>
  <c r="L140" i="23"/>
  <c r="M140" i="23" s="1"/>
  <c r="L139" i="23"/>
  <c r="L138" i="23"/>
  <c r="M138" i="23" s="1"/>
  <c r="L137" i="23"/>
  <c r="L136" i="23"/>
  <c r="M136" i="23" s="1"/>
  <c r="L135" i="23"/>
  <c r="L134" i="23"/>
  <c r="M134" i="23" s="1"/>
  <c r="L133" i="23"/>
  <c r="L132" i="23"/>
  <c r="M132" i="23" s="1"/>
  <c r="L131" i="23"/>
  <c r="M131" i="23" s="1"/>
  <c r="L130" i="23"/>
  <c r="M130" i="23" s="1"/>
  <c r="L129" i="23"/>
  <c r="L128" i="23"/>
  <c r="M128" i="23" s="1"/>
  <c r="L127" i="23"/>
  <c r="M127" i="23" s="1"/>
  <c r="L126" i="23"/>
  <c r="M126" i="23" s="1"/>
  <c r="L125" i="23"/>
  <c r="L124" i="23"/>
  <c r="M124" i="23" s="1"/>
  <c r="L123" i="23"/>
  <c r="L122" i="23"/>
  <c r="M122" i="23" s="1"/>
  <c r="L121" i="23"/>
  <c r="L120" i="23"/>
  <c r="M120" i="23" s="1"/>
  <c r="L119" i="23"/>
  <c r="L118" i="23"/>
  <c r="M118" i="23" s="1"/>
  <c r="L117" i="23"/>
  <c r="L116" i="23"/>
  <c r="M116" i="23" s="1"/>
  <c r="L115" i="23"/>
  <c r="M115" i="23" s="1"/>
  <c r="L114" i="23"/>
  <c r="L113" i="23"/>
  <c r="L112" i="23"/>
  <c r="M112" i="23" s="1"/>
  <c r="L111" i="23"/>
  <c r="M111" i="23" s="1"/>
  <c r="L110" i="23"/>
  <c r="M110" i="23" s="1"/>
  <c r="L109" i="23"/>
  <c r="L108" i="23"/>
  <c r="M108" i="23" s="1"/>
  <c r="L107" i="23"/>
  <c r="L106" i="23"/>
  <c r="M106" i="23" s="1"/>
  <c r="L105" i="23"/>
  <c r="L104" i="23"/>
  <c r="M104" i="23" s="1"/>
  <c r="L103" i="23"/>
  <c r="L102" i="23"/>
  <c r="M102" i="23" s="1"/>
  <c r="L101" i="23"/>
  <c r="L100" i="23"/>
  <c r="M100" i="23" s="1"/>
  <c r="L99" i="23"/>
  <c r="M99" i="23" s="1"/>
  <c r="L98" i="23"/>
  <c r="M98" i="23" s="1"/>
  <c r="L97" i="23"/>
  <c r="L96" i="23"/>
  <c r="M96" i="23" s="1"/>
  <c r="L95" i="23"/>
  <c r="M95" i="23" s="1"/>
  <c r="L94" i="23"/>
  <c r="M94" i="23" s="1"/>
  <c r="L93" i="23"/>
  <c r="L92" i="23"/>
  <c r="M92" i="23" s="1"/>
  <c r="L91" i="23"/>
  <c r="L90" i="23"/>
  <c r="M90" i="23" s="1"/>
  <c r="L89" i="23"/>
  <c r="L88" i="23"/>
  <c r="M88" i="23" s="1"/>
  <c r="L87" i="23"/>
  <c r="L86" i="23"/>
  <c r="M86" i="23" s="1"/>
  <c r="L85" i="23"/>
  <c r="L84" i="23"/>
  <c r="M84" i="23" s="1"/>
  <c r="L83" i="23"/>
  <c r="M83" i="23" s="1"/>
  <c r="L82" i="23"/>
  <c r="L81" i="23"/>
  <c r="L80" i="23"/>
  <c r="M80" i="23" s="1"/>
  <c r="L79" i="23"/>
  <c r="M79" i="23" s="1"/>
  <c r="L78" i="23"/>
  <c r="M78" i="23" s="1"/>
  <c r="L77" i="23"/>
  <c r="L76" i="23"/>
  <c r="M76" i="23" s="1"/>
  <c r="L75" i="23"/>
  <c r="L74" i="23"/>
  <c r="M74" i="23" s="1"/>
  <c r="L73" i="23"/>
  <c r="L72" i="23"/>
  <c r="M72" i="23" s="1"/>
  <c r="L71" i="23"/>
  <c r="L70" i="23"/>
  <c r="M70" i="23" s="1"/>
  <c r="L69" i="23"/>
  <c r="L68" i="23"/>
  <c r="M68" i="23" s="1"/>
  <c r="L67" i="23"/>
  <c r="M67" i="23" s="1"/>
  <c r="L66" i="23"/>
  <c r="M66" i="23" s="1"/>
  <c r="L65" i="23"/>
  <c r="L64" i="23"/>
  <c r="M64" i="23" s="1"/>
  <c r="L63" i="23"/>
  <c r="M63" i="23" s="1"/>
  <c r="L62" i="23"/>
  <c r="M62" i="23" s="1"/>
  <c r="L61" i="23"/>
  <c r="L60" i="23"/>
  <c r="M60" i="23" s="1"/>
  <c r="L59" i="23"/>
  <c r="L58" i="23"/>
  <c r="M58" i="23" s="1"/>
  <c r="L57" i="23"/>
  <c r="L56" i="23"/>
  <c r="M56" i="23" s="1"/>
  <c r="L55" i="23"/>
  <c r="L54" i="23"/>
  <c r="M54" i="23" s="1"/>
  <c r="L53" i="23"/>
  <c r="L52" i="23"/>
  <c r="M52" i="23" s="1"/>
  <c r="L51" i="23"/>
  <c r="M51" i="23" s="1"/>
  <c r="L50" i="23"/>
  <c r="L49" i="23"/>
  <c r="L48" i="23"/>
  <c r="M48" i="23" s="1"/>
  <c r="L47" i="23"/>
  <c r="M47" i="23" s="1"/>
  <c r="L46" i="23"/>
  <c r="M46" i="23" s="1"/>
  <c r="L45" i="23"/>
  <c r="L44" i="23"/>
  <c r="M44" i="23" s="1"/>
  <c r="L43" i="23"/>
  <c r="L42" i="23"/>
  <c r="M42" i="23" s="1"/>
  <c r="L41" i="23"/>
  <c r="L40" i="23"/>
  <c r="M40" i="23" s="1"/>
  <c r="L39" i="23"/>
  <c r="L38" i="23"/>
  <c r="M38" i="23" s="1"/>
  <c r="L37" i="23"/>
  <c r="L36" i="23"/>
  <c r="M36" i="23" s="1"/>
  <c r="L35" i="23"/>
  <c r="M35" i="23" s="1"/>
  <c r="L34" i="23"/>
  <c r="M34" i="23" s="1"/>
  <c r="L33" i="23"/>
  <c r="L32" i="23"/>
  <c r="M32" i="23" s="1"/>
  <c r="L31" i="23"/>
  <c r="M31" i="23" s="1"/>
  <c r="L30" i="23"/>
  <c r="M30" i="23" s="1"/>
  <c r="L29" i="23"/>
  <c r="L28" i="23"/>
  <c r="M28" i="23" s="1"/>
  <c r="L27" i="23"/>
  <c r="L26" i="23"/>
  <c r="M26" i="23" s="1"/>
  <c r="L25" i="23"/>
  <c r="L24" i="23"/>
  <c r="M24" i="23" s="1"/>
  <c r="L23" i="23"/>
  <c r="L22" i="23"/>
  <c r="M22" i="23" s="1"/>
  <c r="L21" i="23"/>
  <c r="L20" i="23"/>
  <c r="M20" i="23" s="1"/>
  <c r="L19" i="23"/>
  <c r="M19" i="23" s="1"/>
  <c r="L18" i="23"/>
  <c r="L17" i="23"/>
  <c r="L16" i="23"/>
  <c r="M16" i="23" s="1"/>
  <c r="L15" i="23"/>
  <c r="M15" i="23" s="1"/>
  <c r="L14" i="23"/>
  <c r="M14" i="23" s="1"/>
  <c r="L13" i="23"/>
  <c r="L12" i="23"/>
  <c r="M12" i="23" s="1"/>
  <c r="L11" i="23"/>
  <c r="L10" i="23"/>
  <c r="M10" i="23" s="1"/>
  <c r="L9" i="23"/>
  <c r="L8" i="23"/>
  <c r="M8" i="23" s="1"/>
  <c r="L7" i="23"/>
  <c r="M7" i="23" s="1"/>
  <c r="L6" i="23"/>
  <c r="M6" i="23" s="1"/>
  <c r="L5" i="23"/>
  <c r="L4" i="23"/>
  <c r="M4" i="23" s="1"/>
  <c r="H5" i="15"/>
  <c r="H5" i="16"/>
  <c r="H5" i="17"/>
  <c r="H5" i="14"/>
  <c r="H4" i="4"/>
  <c r="H5" i="4" s="1"/>
  <c r="M7" i="5"/>
  <c r="M8" i="5"/>
  <c r="M9" i="5"/>
  <c r="M10" i="5"/>
  <c r="M11" i="5"/>
  <c r="M12" i="5"/>
  <c r="M13" i="5"/>
  <c r="M14" i="5"/>
  <c r="M15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39" i="5"/>
  <c r="M40" i="5"/>
  <c r="M41" i="5"/>
  <c r="M42" i="5"/>
  <c r="M43" i="5"/>
  <c r="M44" i="5"/>
  <c r="M45" i="5"/>
  <c r="M46" i="5"/>
  <c r="M47" i="5"/>
  <c r="M48" i="5"/>
  <c r="M49" i="5"/>
  <c r="M50" i="5"/>
  <c r="M51" i="5"/>
  <c r="M52" i="5"/>
  <c r="M53" i="5"/>
  <c r="M54" i="5"/>
  <c r="M55" i="5"/>
  <c r="M57" i="5"/>
  <c r="M58" i="5"/>
  <c r="M59" i="5"/>
  <c r="M60" i="5"/>
  <c r="M61" i="5"/>
  <c r="M62" i="5"/>
  <c r="M63" i="5"/>
  <c r="M64" i="5"/>
  <c r="M65" i="5"/>
  <c r="M66" i="5"/>
  <c r="M67" i="5"/>
  <c r="M68" i="5"/>
  <c r="M69" i="5"/>
  <c r="M70" i="5"/>
  <c r="M71" i="5"/>
  <c r="M72" i="5"/>
  <c r="M73" i="5"/>
  <c r="M74" i="5"/>
  <c r="M75" i="5"/>
  <c r="M76" i="5"/>
  <c r="M77" i="5"/>
  <c r="M78" i="5"/>
  <c r="M79" i="5"/>
  <c r="M80" i="5"/>
  <c r="M81" i="5"/>
  <c r="M82" i="5"/>
  <c r="M83" i="5"/>
  <c r="M84" i="5"/>
  <c r="M85" i="5"/>
  <c r="M86" i="5"/>
  <c r="M87" i="5"/>
  <c r="M88" i="5"/>
  <c r="M89" i="5"/>
  <c r="M90" i="5"/>
  <c r="M91" i="5"/>
  <c r="M92" i="5"/>
  <c r="M93" i="5"/>
  <c r="M94" i="5"/>
  <c r="L98" i="5"/>
  <c r="M98" i="5" s="1"/>
  <c r="L99" i="5"/>
  <c r="M99" i="5" s="1"/>
  <c r="L100" i="5"/>
  <c r="M100" i="5" s="1"/>
  <c r="L101" i="5"/>
  <c r="M101" i="5" s="1"/>
  <c r="L102" i="5"/>
  <c r="M102" i="5" s="1"/>
  <c r="L103" i="5"/>
  <c r="M103" i="5" s="1"/>
  <c r="L104" i="5"/>
  <c r="M104" i="5" s="1"/>
  <c r="L105" i="5"/>
  <c r="M105" i="5" s="1"/>
  <c r="L106" i="5"/>
  <c r="M106" i="5" s="1"/>
  <c r="L107" i="5"/>
  <c r="M107" i="5" s="1"/>
  <c r="L108" i="5"/>
  <c r="M108" i="5" s="1"/>
  <c r="L109" i="5"/>
  <c r="M109" i="5" s="1"/>
  <c r="L110" i="5"/>
  <c r="M110" i="5" s="1"/>
  <c r="L111" i="5"/>
  <c r="M111" i="5" s="1"/>
  <c r="L112" i="5"/>
  <c r="M112" i="5" s="1"/>
  <c r="L113" i="5"/>
  <c r="M113" i="5" s="1"/>
  <c r="L114" i="5"/>
  <c r="M114" i="5" s="1"/>
  <c r="L115" i="5"/>
  <c r="M115" i="5" s="1"/>
  <c r="L116" i="5"/>
  <c r="M116" i="5" s="1"/>
  <c r="L117" i="5"/>
  <c r="M117" i="5" s="1"/>
  <c r="L118" i="5"/>
  <c r="M118" i="5" s="1"/>
  <c r="L119" i="5"/>
  <c r="M119" i="5" s="1"/>
  <c r="L120" i="5"/>
  <c r="M120" i="5" s="1"/>
  <c r="L121" i="5"/>
  <c r="M121" i="5" s="1"/>
  <c r="L122" i="5"/>
  <c r="M122" i="5" s="1"/>
  <c r="L123" i="5"/>
  <c r="M123" i="5" s="1"/>
  <c r="L124" i="5"/>
  <c r="M124" i="5" s="1"/>
  <c r="L125" i="5"/>
  <c r="M125" i="5" s="1"/>
  <c r="L126" i="5"/>
  <c r="M126" i="5" s="1"/>
  <c r="L127" i="5"/>
  <c r="M127" i="5" s="1"/>
  <c r="L128" i="5"/>
  <c r="M128" i="5" s="1"/>
  <c r="L129" i="5"/>
  <c r="M129" i="5" s="1"/>
  <c r="L130" i="5"/>
  <c r="M130" i="5" s="1"/>
  <c r="L131" i="5"/>
  <c r="M131" i="5" s="1"/>
  <c r="L132" i="5"/>
  <c r="M132" i="5" s="1"/>
  <c r="L133" i="5"/>
  <c r="M133" i="5" s="1"/>
  <c r="L134" i="5"/>
  <c r="M134" i="5" s="1"/>
  <c r="L135" i="5"/>
  <c r="M135" i="5" s="1"/>
  <c r="L136" i="5"/>
  <c r="M136" i="5" s="1"/>
  <c r="L137" i="5"/>
  <c r="M137" i="5" s="1"/>
  <c r="L138" i="5"/>
  <c r="M138" i="5" s="1"/>
  <c r="L139" i="5"/>
  <c r="M139" i="5" s="1"/>
  <c r="L140" i="5"/>
  <c r="M140" i="5" s="1"/>
  <c r="L141" i="5"/>
  <c r="M141" i="5" s="1"/>
  <c r="L142" i="5"/>
  <c r="M142" i="5" s="1"/>
  <c r="L143" i="5"/>
  <c r="M143" i="5" s="1"/>
  <c r="L144" i="5"/>
  <c r="M144" i="5" s="1"/>
  <c r="L145" i="5"/>
  <c r="M145" i="5" s="1"/>
  <c r="L146" i="5"/>
  <c r="M146" i="5" s="1"/>
  <c r="L147" i="5"/>
  <c r="M147" i="5" s="1"/>
  <c r="L148" i="5"/>
  <c r="M148" i="5" s="1"/>
  <c r="L149" i="5"/>
  <c r="M149" i="5" s="1"/>
  <c r="L150" i="5"/>
  <c r="M150" i="5" s="1"/>
  <c r="L151" i="5"/>
  <c r="M151" i="5" s="1"/>
  <c r="L153" i="5"/>
  <c r="M153" i="5" s="1"/>
  <c r="L154" i="5"/>
  <c r="M154" i="5" s="1"/>
  <c r="L155" i="5"/>
  <c r="M155" i="5" s="1"/>
  <c r="L156" i="5"/>
  <c r="M156" i="5" s="1"/>
  <c r="L157" i="5"/>
  <c r="M157" i="5" s="1"/>
  <c r="L158" i="5"/>
  <c r="M158" i="5" s="1"/>
  <c r="L159" i="5"/>
  <c r="M159" i="5" s="1"/>
  <c r="L160" i="5"/>
  <c r="M160" i="5" s="1"/>
  <c r="L161" i="5"/>
  <c r="M161" i="5" s="1"/>
  <c r="L162" i="5"/>
  <c r="M162" i="5" s="1"/>
  <c r="L163" i="5"/>
  <c r="M163" i="5" s="1"/>
  <c r="L164" i="5"/>
  <c r="M164" i="5" s="1"/>
  <c r="L168" i="5"/>
  <c r="M168" i="5" s="1"/>
  <c r="L169" i="5"/>
  <c r="M169" i="5" s="1"/>
  <c r="L172" i="5"/>
  <c r="M172" i="5" s="1"/>
  <c r="L173" i="5"/>
  <c r="M173" i="5" s="1"/>
  <c r="L174" i="5"/>
  <c r="M174" i="5" s="1"/>
  <c r="L175" i="5"/>
  <c r="M175" i="5" s="1"/>
  <c r="L176" i="5"/>
  <c r="M176" i="5" s="1"/>
  <c r="L177" i="5"/>
  <c r="M177" i="5" s="1"/>
  <c r="L178" i="5"/>
  <c r="M178" i="5" s="1"/>
  <c r="L179" i="5"/>
  <c r="M179" i="5" s="1"/>
  <c r="L180" i="5"/>
  <c r="M180" i="5" s="1"/>
  <c r="L181" i="5"/>
  <c r="M181" i="5" s="1"/>
  <c r="L182" i="5"/>
  <c r="M182" i="5" s="1"/>
  <c r="L183" i="5"/>
  <c r="M183" i="5" s="1"/>
  <c r="L184" i="5"/>
  <c r="M184" i="5" s="1"/>
  <c r="L185" i="5"/>
  <c r="M185" i="5" s="1"/>
  <c r="L186" i="5"/>
  <c r="M186" i="5" s="1"/>
  <c r="L187" i="5"/>
  <c r="M187" i="5" s="1"/>
  <c r="L188" i="5"/>
  <c r="M188" i="5" s="1"/>
  <c r="L189" i="5"/>
  <c r="M189" i="5" s="1"/>
  <c r="L190" i="5"/>
  <c r="M190" i="5" s="1"/>
  <c r="L191" i="5"/>
  <c r="M191" i="5" s="1"/>
  <c r="L192" i="5"/>
  <c r="M192" i="5" s="1"/>
  <c r="L193" i="5"/>
  <c r="M193" i="5" s="1"/>
  <c r="L194" i="5"/>
  <c r="M194" i="5" s="1"/>
  <c r="L195" i="5"/>
  <c r="M195" i="5" s="1"/>
  <c r="L196" i="5"/>
  <c r="M196" i="5" s="1"/>
  <c r="L197" i="5"/>
  <c r="M197" i="5" s="1"/>
  <c r="L198" i="5"/>
  <c r="M198" i="5" s="1"/>
  <c r="L199" i="5"/>
  <c r="M199" i="5" s="1"/>
  <c r="L200" i="5"/>
  <c r="M200" i="5" s="1"/>
  <c r="L201" i="5"/>
  <c r="M201" i="5" s="1"/>
  <c r="L202" i="5"/>
  <c r="M202" i="5" s="1"/>
  <c r="L203" i="5"/>
  <c r="M203" i="5" s="1"/>
  <c r="L204" i="5"/>
  <c r="M204" i="5" s="1"/>
  <c r="L205" i="5"/>
  <c r="M205" i="5" s="1"/>
  <c r="L206" i="5"/>
  <c r="M206" i="5" s="1"/>
  <c r="L209" i="5"/>
  <c r="L210" i="5"/>
  <c r="L211" i="5"/>
  <c r="L212" i="5"/>
  <c r="L213" i="5"/>
  <c r="L214" i="5"/>
  <c r="L215" i="5"/>
  <c r="L216" i="5"/>
  <c r="L217" i="5"/>
  <c r="L218" i="5"/>
  <c r="L219" i="5"/>
  <c r="L220" i="5"/>
  <c r="L221" i="5"/>
  <c r="L222" i="5"/>
  <c r="L223" i="5"/>
  <c r="L224" i="5"/>
  <c r="L225" i="5"/>
  <c r="L226" i="5"/>
  <c r="L227" i="5"/>
  <c r="L228" i="5"/>
  <c r="L229" i="5"/>
  <c r="L230" i="5"/>
  <c r="L231" i="5"/>
  <c r="L232" i="5"/>
  <c r="L233" i="5"/>
  <c r="L234" i="5"/>
  <c r="L235" i="5"/>
  <c r="L236" i="5"/>
  <c r="L237" i="5"/>
  <c r="L238" i="5"/>
  <c r="L239" i="5"/>
  <c r="L240" i="5"/>
  <c r="L241" i="5"/>
  <c r="L242" i="5"/>
  <c r="L243" i="5"/>
  <c r="L244" i="5"/>
  <c r="L245" i="5"/>
  <c r="L246" i="5"/>
  <c r="L247" i="5"/>
  <c r="L248" i="5"/>
  <c r="L249" i="5"/>
  <c r="L250" i="5"/>
  <c r="L251" i="5"/>
  <c r="L252" i="5"/>
  <c r="L253" i="5"/>
  <c r="L254" i="5"/>
  <c r="L255" i="5"/>
  <c r="L256" i="5"/>
  <c r="L257" i="5"/>
  <c r="L258" i="5"/>
  <c r="L259" i="5"/>
  <c r="L260" i="5"/>
  <c r="L261" i="5"/>
  <c r="L262" i="5"/>
  <c r="L263" i="5"/>
  <c r="L264" i="5"/>
  <c r="L265" i="5"/>
  <c r="L266" i="5"/>
  <c r="L267" i="5"/>
  <c r="L268" i="5"/>
  <c r="L269" i="5"/>
  <c r="L270" i="5"/>
  <c r="L271" i="5"/>
  <c r="L272" i="5"/>
  <c r="L273" i="5"/>
  <c r="L274" i="5"/>
  <c r="L275" i="5"/>
  <c r="L276" i="5"/>
  <c r="L277" i="5"/>
  <c r="L278" i="5"/>
  <c r="L279" i="5"/>
  <c r="L280" i="5"/>
  <c r="L281" i="5"/>
  <c r="L282" i="5"/>
  <c r="L283" i="5"/>
  <c r="L284" i="5"/>
  <c r="L285" i="5"/>
  <c r="L286" i="5"/>
  <c r="L287" i="5"/>
  <c r="L288" i="5"/>
  <c r="L289" i="5"/>
  <c r="L290" i="5"/>
  <c r="L291" i="5"/>
  <c r="L292" i="5"/>
  <c r="L293" i="5"/>
  <c r="L294" i="5"/>
  <c r="L295" i="5"/>
  <c r="L296" i="5"/>
  <c r="L297" i="5"/>
  <c r="L298" i="5"/>
  <c r="L299" i="5"/>
  <c r="L300" i="5"/>
  <c r="L301" i="5"/>
  <c r="L302" i="5"/>
  <c r="L303" i="5"/>
  <c r="L304" i="5"/>
  <c r="L305" i="5"/>
  <c r="L306" i="5"/>
  <c r="L307" i="5"/>
  <c r="L308" i="5"/>
  <c r="L309" i="5"/>
  <c r="L310" i="5"/>
  <c r="L311" i="5"/>
  <c r="L312" i="5"/>
  <c r="L313" i="5"/>
  <c r="L314" i="5"/>
  <c r="L315" i="5"/>
  <c r="L316" i="5"/>
  <c r="L317" i="5"/>
  <c r="L318" i="5"/>
  <c r="L319" i="5"/>
  <c r="L320" i="5"/>
  <c r="L321" i="5"/>
  <c r="L322" i="5"/>
  <c r="L323" i="5"/>
  <c r="L324" i="5"/>
  <c r="L325" i="5"/>
  <c r="L326" i="5"/>
  <c r="L327" i="5"/>
  <c r="L328" i="5"/>
  <c r="L329" i="5"/>
  <c r="L330" i="5"/>
  <c r="L331" i="5"/>
  <c r="L332" i="5"/>
  <c r="L333" i="5"/>
  <c r="L334" i="5"/>
  <c r="L335" i="5"/>
  <c r="L336" i="5"/>
  <c r="L337" i="5"/>
  <c r="L338" i="5"/>
  <c r="L339" i="5"/>
  <c r="L340" i="5"/>
  <c r="L341" i="5"/>
  <c r="L342" i="5"/>
  <c r="L343" i="5"/>
  <c r="L344" i="5"/>
  <c r="L345" i="5"/>
  <c r="L346" i="5"/>
  <c r="L347" i="5"/>
  <c r="L348" i="5"/>
  <c r="L349" i="5"/>
  <c r="L350" i="5"/>
  <c r="L351" i="5"/>
  <c r="L352" i="5"/>
  <c r="L353" i="5"/>
  <c r="L354" i="5"/>
  <c r="L355" i="5"/>
  <c r="L356" i="5"/>
  <c r="L357" i="5"/>
  <c r="L358" i="5"/>
  <c r="L359" i="5"/>
  <c r="L360" i="5"/>
  <c r="L361" i="5"/>
  <c r="L362" i="5"/>
  <c r="L363" i="5"/>
  <c r="L364" i="5"/>
  <c r="L365" i="5"/>
  <c r="L366" i="5"/>
  <c r="L367" i="5"/>
  <c r="L368" i="5"/>
  <c r="L369" i="5"/>
  <c r="L370" i="5"/>
  <c r="L371" i="5"/>
  <c r="L372" i="5"/>
  <c r="L373" i="5"/>
  <c r="L374" i="5"/>
  <c r="L375" i="5"/>
  <c r="L376" i="5"/>
  <c r="L377" i="5"/>
  <c r="L378" i="5"/>
  <c r="L379" i="5"/>
  <c r="L380" i="5"/>
  <c r="L381" i="5"/>
  <c r="L382" i="5"/>
  <c r="L383" i="5"/>
  <c r="L384" i="5"/>
  <c r="L385" i="5"/>
  <c r="L386" i="5"/>
  <c r="L387" i="5"/>
  <c r="L388" i="5"/>
  <c r="L389" i="5"/>
  <c r="L390" i="5"/>
  <c r="L391" i="5"/>
  <c r="L392" i="5"/>
  <c r="L393" i="5"/>
  <c r="L394" i="5"/>
  <c r="L395" i="5"/>
  <c r="L396" i="5"/>
  <c r="L397" i="5"/>
  <c r="L398" i="5"/>
  <c r="L399" i="5"/>
  <c r="L400" i="5"/>
  <c r="L401" i="5"/>
  <c r="L402" i="5"/>
  <c r="L403" i="5"/>
  <c r="L404" i="5"/>
  <c r="L405" i="5"/>
  <c r="L406" i="5"/>
  <c r="L407" i="5"/>
  <c r="L408" i="5"/>
  <c r="L409" i="5"/>
  <c r="L410" i="5"/>
  <c r="L411" i="5"/>
  <c r="L412" i="5"/>
  <c r="L413" i="5"/>
  <c r="L414" i="5"/>
  <c r="L415" i="5"/>
  <c r="L416" i="5"/>
  <c r="L417" i="5"/>
  <c r="L418" i="5"/>
  <c r="L419" i="5"/>
  <c r="L420" i="5"/>
  <c r="L421" i="5"/>
  <c r="L422" i="5"/>
  <c r="L423" i="5"/>
  <c r="L424" i="5"/>
  <c r="L425" i="5"/>
  <c r="L426" i="5"/>
  <c r="L427" i="5"/>
  <c r="L428" i="5"/>
  <c r="L429" i="5"/>
  <c r="L430" i="5"/>
  <c r="L431" i="5"/>
  <c r="L432" i="5"/>
  <c r="L433" i="5"/>
  <c r="L434" i="5"/>
  <c r="L435" i="5"/>
  <c r="L436" i="5"/>
  <c r="L437" i="5"/>
  <c r="L438" i="5"/>
  <c r="L439" i="5"/>
  <c r="L440" i="5"/>
  <c r="L441" i="5"/>
  <c r="L442" i="5"/>
  <c r="L443" i="5"/>
  <c r="L444" i="5"/>
  <c r="L445" i="5"/>
  <c r="L446" i="5"/>
  <c r="L447" i="5"/>
  <c r="L448" i="5"/>
  <c r="L449" i="5"/>
  <c r="L450" i="5"/>
  <c r="L451" i="5"/>
  <c r="L452" i="5"/>
  <c r="L453" i="5"/>
  <c r="L454" i="5"/>
  <c r="L455" i="5"/>
  <c r="L456" i="5"/>
  <c r="L457" i="5"/>
  <c r="L458" i="5"/>
  <c r="L459" i="5"/>
  <c r="L460" i="5"/>
  <c r="L461" i="5"/>
  <c r="L462" i="5"/>
  <c r="L463" i="5"/>
  <c r="L464" i="5"/>
  <c r="L465" i="5"/>
  <c r="L466" i="5"/>
  <c r="L467" i="5"/>
  <c r="L468" i="5"/>
  <c r="L469" i="5"/>
  <c r="L470" i="5"/>
  <c r="L471" i="5"/>
  <c r="L472" i="5"/>
  <c r="L473" i="5"/>
  <c r="L474" i="5"/>
  <c r="L475" i="5"/>
  <c r="L476" i="5"/>
  <c r="L477" i="5"/>
  <c r="L478" i="5"/>
  <c r="L479" i="5"/>
  <c r="L480" i="5"/>
  <c r="L481" i="5"/>
  <c r="L482" i="5"/>
  <c r="L483" i="5"/>
  <c r="L484" i="5"/>
  <c r="L485" i="5"/>
  <c r="L486" i="5"/>
  <c r="L487" i="5"/>
  <c r="L488" i="5"/>
  <c r="L489" i="5"/>
  <c r="L490" i="5"/>
  <c r="L491" i="5"/>
  <c r="L492" i="5"/>
  <c r="L493" i="5"/>
  <c r="L494" i="5"/>
  <c r="L495" i="5"/>
  <c r="L496" i="5"/>
  <c r="L497" i="5"/>
  <c r="L498" i="5"/>
  <c r="M5" i="5"/>
  <c r="E97" i="4"/>
  <c r="E98" i="4"/>
  <c r="E99" i="4"/>
  <c r="E27" i="4"/>
  <c r="G27" i="4" s="1"/>
  <c r="H502" i="5"/>
  <c r="J502" i="5"/>
  <c r="H503" i="5"/>
  <c r="I503" i="5"/>
  <c r="J503" i="5"/>
  <c r="H504" i="5"/>
  <c r="I504" i="5"/>
  <c r="J504" i="5"/>
  <c r="H505" i="5"/>
  <c r="I505" i="5"/>
  <c r="J505" i="5"/>
  <c r="H506" i="5"/>
  <c r="I506" i="5"/>
  <c r="J506" i="5"/>
  <c r="H507" i="5"/>
  <c r="I507" i="5"/>
  <c r="J507" i="5"/>
  <c r="H508" i="5"/>
  <c r="I508" i="5"/>
  <c r="J508" i="5"/>
  <c r="H509" i="5"/>
  <c r="I509" i="5"/>
  <c r="J509" i="5"/>
  <c r="H510" i="5"/>
  <c r="I510" i="5"/>
  <c r="J510" i="5"/>
  <c r="H511" i="5"/>
  <c r="I511" i="5"/>
  <c r="J511" i="5"/>
  <c r="J512" i="5"/>
  <c r="J513" i="5"/>
  <c r="A55" i="16"/>
  <c r="A54" i="16"/>
  <c r="A53" i="16"/>
  <c r="A52" i="16"/>
  <c r="A51" i="16"/>
  <c r="A50" i="16"/>
  <c r="A49" i="16"/>
  <c r="A48" i="16"/>
  <c r="A47" i="16"/>
  <c r="A43" i="16"/>
  <c r="A42" i="16"/>
  <c r="A41" i="16"/>
  <c r="A40" i="16"/>
  <c r="A39" i="16"/>
  <c r="A38" i="16"/>
  <c r="A37" i="16"/>
  <c r="A36" i="16"/>
  <c r="D32" i="16"/>
  <c r="A32" i="16"/>
  <c r="D31" i="16"/>
  <c r="A31" i="16"/>
  <c r="D30" i="16"/>
  <c r="A30" i="16"/>
  <c r="D29" i="16"/>
  <c r="A29" i="16"/>
  <c r="D28" i="16"/>
  <c r="A28" i="16"/>
  <c r="D27" i="16"/>
  <c r="A27" i="16"/>
  <c r="D26" i="16"/>
  <c r="A26" i="16"/>
  <c r="D25" i="16"/>
  <c r="A25" i="16"/>
  <c r="D24" i="16"/>
  <c r="A24" i="16"/>
  <c r="D23" i="16"/>
  <c r="A23" i="16"/>
  <c r="D22" i="16"/>
  <c r="A22" i="16"/>
  <c r="A56" i="17"/>
  <c r="A55" i="17"/>
  <c r="A54" i="17"/>
  <c r="A53" i="17"/>
  <c r="A52" i="17"/>
  <c r="A51" i="17"/>
  <c r="A50" i="17"/>
  <c r="A49" i="17"/>
  <c r="A48" i="17"/>
  <c r="A47" i="17"/>
  <c r="A43" i="17"/>
  <c r="A42" i="17"/>
  <c r="A41" i="17"/>
  <c r="A40" i="17"/>
  <c r="A39" i="17"/>
  <c r="A38" i="17"/>
  <c r="A37" i="17"/>
  <c r="A36" i="17"/>
  <c r="D32" i="17"/>
  <c r="A32" i="17"/>
  <c r="D31" i="17"/>
  <c r="A31" i="17"/>
  <c r="D30" i="17"/>
  <c r="A30" i="17"/>
  <c r="D29" i="17"/>
  <c r="A29" i="17"/>
  <c r="D28" i="17"/>
  <c r="A28" i="17"/>
  <c r="D27" i="17"/>
  <c r="A27" i="17"/>
  <c r="D26" i="17"/>
  <c r="A26" i="17"/>
  <c r="D25" i="17"/>
  <c r="A25" i="17"/>
  <c r="D24" i="17"/>
  <c r="A24" i="17"/>
  <c r="D23" i="17"/>
  <c r="A23" i="17"/>
  <c r="D22" i="17"/>
  <c r="A22" i="17"/>
  <c r="A56" i="15"/>
  <c r="A55" i="15"/>
  <c r="A54" i="15"/>
  <c r="A53" i="15"/>
  <c r="A52" i="15"/>
  <c r="A51" i="15"/>
  <c r="A50" i="15"/>
  <c r="A49" i="15"/>
  <c r="A48" i="15"/>
  <c r="A47" i="15"/>
  <c r="A43" i="15"/>
  <c r="A42" i="15"/>
  <c r="A41" i="15"/>
  <c r="A40" i="15"/>
  <c r="A39" i="15"/>
  <c r="A38" i="15"/>
  <c r="A37" i="15"/>
  <c r="A36" i="15"/>
  <c r="D32" i="15"/>
  <c r="A32" i="15"/>
  <c r="D31" i="15"/>
  <c r="A31" i="15"/>
  <c r="D30" i="15"/>
  <c r="A30" i="15"/>
  <c r="D29" i="15"/>
  <c r="A29" i="15"/>
  <c r="D28" i="15"/>
  <c r="A28" i="15"/>
  <c r="D27" i="15"/>
  <c r="A27" i="15"/>
  <c r="D26" i="15"/>
  <c r="A26" i="15"/>
  <c r="D25" i="15"/>
  <c r="A25" i="15"/>
  <c r="D24" i="15"/>
  <c r="A24" i="15"/>
  <c r="D23" i="15"/>
  <c r="A23" i="15"/>
  <c r="D22" i="15"/>
  <c r="A22" i="15"/>
  <c r="A56" i="14"/>
  <c r="A55" i="14"/>
  <c r="A54" i="14"/>
  <c r="A53" i="14"/>
  <c r="A52" i="14"/>
  <c r="A51" i="14"/>
  <c r="A50" i="14"/>
  <c r="A49" i="14"/>
  <c r="A48" i="14"/>
  <c r="A47" i="14"/>
  <c r="A43" i="14"/>
  <c r="A42" i="14"/>
  <c r="A41" i="14"/>
  <c r="A40" i="14"/>
  <c r="A39" i="14"/>
  <c r="A38" i="14"/>
  <c r="A37" i="14"/>
  <c r="A36" i="14"/>
  <c r="D32" i="14"/>
  <c r="A32" i="14"/>
  <c r="D31" i="14"/>
  <c r="A31" i="14"/>
  <c r="D30" i="14"/>
  <c r="A30" i="14"/>
  <c r="D29" i="14"/>
  <c r="A29" i="14"/>
  <c r="D28" i="14"/>
  <c r="A28" i="14"/>
  <c r="D27" i="14"/>
  <c r="A27" i="14"/>
  <c r="D26" i="14"/>
  <c r="A26" i="14"/>
  <c r="D25" i="14"/>
  <c r="A25" i="14"/>
  <c r="D24" i="14"/>
  <c r="A24" i="14"/>
  <c r="D23" i="14"/>
  <c r="A23" i="14"/>
  <c r="D22" i="14"/>
  <c r="A22" i="14"/>
  <c r="H41" i="4"/>
  <c r="H37" i="4"/>
  <c r="E31" i="4"/>
  <c r="G31" i="4" s="1"/>
  <c r="E26" i="4"/>
  <c r="G26" i="4" s="1"/>
  <c r="G553" i="23"/>
  <c r="G552" i="23"/>
  <c r="G551" i="23"/>
  <c r="G550" i="23"/>
  <c r="G549" i="23"/>
  <c r="G548" i="23"/>
  <c r="G547" i="23"/>
  <c r="G546" i="23"/>
  <c r="G545" i="23"/>
  <c r="G544" i="23"/>
  <c r="G543" i="23"/>
  <c r="G542" i="23"/>
  <c r="G541" i="23"/>
  <c r="G540" i="23"/>
  <c r="G539" i="23"/>
  <c r="G553" i="22"/>
  <c r="G552" i="22"/>
  <c r="G551" i="22"/>
  <c r="G553" i="21"/>
  <c r="G552" i="21"/>
  <c r="G551" i="21"/>
  <c r="G549" i="21"/>
  <c r="G548" i="21"/>
  <c r="G547" i="21"/>
  <c r="G546" i="21"/>
  <c r="G545" i="21"/>
  <c r="G544" i="21"/>
  <c r="G543" i="21"/>
  <c r="G542" i="21"/>
  <c r="G541" i="21"/>
  <c r="G540" i="21"/>
  <c r="G539" i="21"/>
  <c r="G553" i="20"/>
  <c r="G540" i="20"/>
  <c r="G541" i="20"/>
  <c r="G542" i="20"/>
  <c r="G543" i="20"/>
  <c r="G544" i="20"/>
  <c r="G545" i="20"/>
  <c r="G546" i="20"/>
  <c r="G547" i="20"/>
  <c r="G548" i="20"/>
  <c r="G549" i="20"/>
  <c r="G551" i="20"/>
  <c r="G552" i="20"/>
  <c r="G539" i="20"/>
  <c r="A1" i="76"/>
  <c r="I4" i="76"/>
  <c r="I5" i="76"/>
  <c r="I6" i="76"/>
  <c r="I7" i="76"/>
  <c r="I8" i="76"/>
  <c r="I9" i="76"/>
  <c r="I10" i="76"/>
  <c r="I11" i="76"/>
  <c r="I12" i="76"/>
  <c r="I13" i="76"/>
  <c r="I14" i="76"/>
  <c r="I15" i="76"/>
  <c r="I16" i="76"/>
  <c r="I17" i="76"/>
  <c r="I18" i="76"/>
  <c r="I19" i="76"/>
  <c r="I20" i="76"/>
  <c r="I21" i="76"/>
  <c r="I22" i="76"/>
  <c r="I23" i="76"/>
  <c r="I24" i="76"/>
  <c r="I25" i="76"/>
  <c r="I26" i="76"/>
  <c r="I27" i="76"/>
  <c r="I28" i="76"/>
  <c r="I29" i="76"/>
  <c r="I30" i="76"/>
  <c r="I31" i="76"/>
  <c r="I32" i="76"/>
  <c r="I33" i="76"/>
  <c r="I34" i="76"/>
  <c r="I35" i="76"/>
  <c r="I36" i="76"/>
  <c r="I37" i="76"/>
  <c r="I38" i="76"/>
  <c r="I39" i="76"/>
  <c r="I40" i="76"/>
  <c r="I41" i="76"/>
  <c r="I42" i="76"/>
  <c r="I43" i="76"/>
  <c r="I44" i="76"/>
  <c r="I45" i="76"/>
  <c r="I46" i="76"/>
  <c r="I47" i="76"/>
  <c r="I48" i="76"/>
  <c r="I49" i="76"/>
  <c r="I50" i="76"/>
  <c r="I51" i="76"/>
  <c r="I52" i="76"/>
  <c r="I53" i="76"/>
  <c r="I54" i="76"/>
  <c r="I55" i="76"/>
  <c r="I56" i="76"/>
  <c r="I57" i="76"/>
  <c r="I58" i="76"/>
  <c r="I59" i="76"/>
  <c r="I60" i="76"/>
  <c r="I61" i="76"/>
  <c r="I62" i="76"/>
  <c r="I63" i="76"/>
  <c r="I64" i="76"/>
  <c r="I65" i="76"/>
  <c r="I66" i="76"/>
  <c r="I67" i="76"/>
  <c r="I68" i="76"/>
  <c r="I69" i="76"/>
  <c r="I70" i="76"/>
  <c r="I71" i="76"/>
  <c r="I72" i="76"/>
  <c r="I73" i="76"/>
  <c r="I74" i="76"/>
  <c r="I75" i="76"/>
  <c r="I76" i="76"/>
  <c r="I77" i="76"/>
  <c r="I78" i="76"/>
  <c r="I79" i="76"/>
  <c r="I80" i="76"/>
  <c r="I81" i="76"/>
  <c r="I82" i="76"/>
  <c r="I83" i="76"/>
  <c r="I84" i="76"/>
  <c r="I85" i="76"/>
  <c r="I86" i="76"/>
  <c r="I87" i="76"/>
  <c r="I88" i="76"/>
  <c r="I89" i="76"/>
  <c r="I90" i="76"/>
  <c r="I91" i="76"/>
  <c r="I92" i="76"/>
  <c r="I93" i="76"/>
  <c r="I94" i="76"/>
  <c r="I95" i="76"/>
  <c r="I96" i="76"/>
  <c r="I97" i="76"/>
  <c r="I98" i="76"/>
  <c r="I99" i="76"/>
  <c r="I100" i="76"/>
  <c r="I101" i="76"/>
  <c r="I102" i="76"/>
  <c r="I3" i="76"/>
  <c r="K14" i="17"/>
  <c r="G7" i="1"/>
  <c r="G8" i="1"/>
  <c r="G9" i="1"/>
  <c r="G6" i="1"/>
  <c r="G5" i="1"/>
  <c r="J7" i="1"/>
  <c r="J8" i="1"/>
  <c r="F81" i="16" s="1"/>
  <c r="J9" i="1"/>
  <c r="J6" i="1"/>
  <c r="F81" i="14" s="1"/>
  <c r="J5" i="1"/>
  <c r="K14" i="16"/>
  <c r="E4" i="76"/>
  <c r="E5" i="76"/>
  <c r="E6" i="76"/>
  <c r="E7" i="76"/>
  <c r="E8" i="76"/>
  <c r="E9" i="76"/>
  <c r="E10" i="76"/>
  <c r="E11" i="76"/>
  <c r="E12" i="76"/>
  <c r="E13" i="76"/>
  <c r="E14" i="76"/>
  <c r="E15" i="76"/>
  <c r="E16" i="76"/>
  <c r="E17" i="76"/>
  <c r="E18" i="76"/>
  <c r="E19" i="76"/>
  <c r="E20" i="76"/>
  <c r="E21" i="76"/>
  <c r="E22" i="76"/>
  <c r="E23" i="76"/>
  <c r="E24" i="76"/>
  <c r="E25" i="76"/>
  <c r="E26" i="76"/>
  <c r="E27" i="76"/>
  <c r="E28" i="76"/>
  <c r="E29" i="76"/>
  <c r="E30" i="76"/>
  <c r="E31" i="76"/>
  <c r="E32" i="76"/>
  <c r="E33" i="76"/>
  <c r="E34" i="76"/>
  <c r="E35" i="76"/>
  <c r="E36" i="76"/>
  <c r="E37" i="76"/>
  <c r="E38" i="76"/>
  <c r="E39" i="76"/>
  <c r="E40" i="76"/>
  <c r="E41" i="76"/>
  <c r="E42" i="76"/>
  <c r="E43" i="76"/>
  <c r="E44" i="76"/>
  <c r="E45" i="76"/>
  <c r="E46" i="76"/>
  <c r="E47" i="76"/>
  <c r="E48" i="76"/>
  <c r="E49" i="76"/>
  <c r="E50" i="76"/>
  <c r="E51" i="76"/>
  <c r="E52" i="76"/>
  <c r="E53" i="76"/>
  <c r="E54" i="76"/>
  <c r="E55" i="76"/>
  <c r="E56" i="76"/>
  <c r="E57" i="76"/>
  <c r="E58" i="76"/>
  <c r="E59" i="76"/>
  <c r="E60" i="76"/>
  <c r="E61" i="76"/>
  <c r="E62" i="76"/>
  <c r="E63" i="76"/>
  <c r="E64" i="76"/>
  <c r="E65" i="76"/>
  <c r="E66" i="76"/>
  <c r="E67" i="76"/>
  <c r="E68" i="76"/>
  <c r="E69" i="76"/>
  <c r="E70" i="76"/>
  <c r="E71" i="76"/>
  <c r="E72" i="76"/>
  <c r="E73" i="76"/>
  <c r="E74" i="76"/>
  <c r="E75" i="76"/>
  <c r="E76" i="76"/>
  <c r="E77" i="76"/>
  <c r="E78" i="76"/>
  <c r="E79" i="76"/>
  <c r="E80" i="76"/>
  <c r="E81" i="76"/>
  <c r="E82" i="76"/>
  <c r="E83" i="76"/>
  <c r="E84" i="76"/>
  <c r="E85" i="76"/>
  <c r="E86" i="76"/>
  <c r="E87" i="76"/>
  <c r="E88" i="76"/>
  <c r="E89" i="76"/>
  <c r="E90" i="76"/>
  <c r="E91" i="76"/>
  <c r="E92" i="76"/>
  <c r="E93" i="76"/>
  <c r="E94" i="76"/>
  <c r="E95" i="76"/>
  <c r="E96" i="76"/>
  <c r="E97" i="76"/>
  <c r="E98" i="76"/>
  <c r="E99" i="76"/>
  <c r="E100" i="76"/>
  <c r="E101" i="76"/>
  <c r="E102" i="76"/>
  <c r="E3" i="76"/>
  <c r="C530" i="23"/>
  <c r="J530" i="23" s="1"/>
  <c r="C522" i="23"/>
  <c r="I62" i="4"/>
  <c r="I63" i="4"/>
  <c r="I64" i="4"/>
  <c r="I65" i="4"/>
  <c r="I61" i="4"/>
  <c r="I66" i="4" s="1"/>
  <c r="I60" i="4"/>
  <c r="G53" i="4"/>
  <c r="G54" i="4"/>
  <c r="G55" i="4"/>
  <c r="G56" i="4"/>
  <c r="G41" i="4"/>
  <c r="G42" i="4"/>
  <c r="G43" i="4"/>
  <c r="K479" i="5"/>
  <c r="K480" i="5"/>
  <c r="K481" i="5"/>
  <c r="K482" i="5"/>
  <c r="K483" i="5"/>
  <c r="K484" i="5"/>
  <c r="K485" i="5"/>
  <c r="K486" i="5"/>
  <c r="K487" i="5"/>
  <c r="C530" i="5"/>
  <c r="H530" i="5" s="1"/>
  <c r="C531" i="5"/>
  <c r="F531" i="5" s="1"/>
  <c r="C534" i="5"/>
  <c r="H534" i="5" s="1"/>
  <c r="C529" i="5"/>
  <c r="I529" i="5" s="1"/>
  <c r="C532" i="5"/>
  <c r="F532" i="5" s="1"/>
  <c r="A23" i="4"/>
  <c r="A1" i="23"/>
  <c r="A1" i="22"/>
  <c r="A1" i="21"/>
  <c r="A1" i="20"/>
  <c r="D2" i="23"/>
  <c r="D1" i="23"/>
  <c r="D1" i="21"/>
  <c r="D2" i="21"/>
  <c r="D2" i="22"/>
  <c r="D1" i="22"/>
  <c r="D2" i="20"/>
  <c r="D1" i="20"/>
  <c r="F81" i="17"/>
  <c r="F81" i="15"/>
  <c r="C527" i="5"/>
  <c r="G527" i="5" s="1"/>
  <c r="C528" i="5"/>
  <c r="G528" i="5" s="1"/>
  <c r="K488" i="5"/>
  <c r="K489" i="5"/>
  <c r="K490" i="5"/>
  <c r="K491" i="5"/>
  <c r="K492" i="5"/>
  <c r="B4" i="14"/>
  <c r="B4" i="15"/>
  <c r="B4" i="16"/>
  <c r="B4" i="17"/>
  <c r="E9" i="14"/>
  <c r="E9" i="15"/>
  <c r="E9" i="16"/>
  <c r="E9" i="17"/>
  <c r="H513" i="20"/>
  <c r="I506" i="23"/>
  <c r="H510" i="23"/>
  <c r="I510" i="23"/>
  <c r="J514" i="23"/>
  <c r="H514" i="5"/>
  <c r="I514" i="5"/>
  <c r="J514" i="5"/>
  <c r="M6" i="5"/>
  <c r="M56" i="5"/>
  <c r="K209" i="5"/>
  <c r="K210" i="5"/>
  <c r="K211" i="5"/>
  <c r="K212" i="5"/>
  <c r="K213" i="5"/>
  <c r="K214" i="5"/>
  <c r="K215" i="5"/>
  <c r="K216" i="5"/>
  <c r="K217" i="5"/>
  <c r="K218" i="5"/>
  <c r="K219" i="5"/>
  <c r="K220" i="5"/>
  <c r="K221" i="5"/>
  <c r="K222" i="5"/>
  <c r="K223" i="5"/>
  <c r="K224" i="5"/>
  <c r="K225" i="5"/>
  <c r="K226" i="5"/>
  <c r="K227" i="5"/>
  <c r="K228" i="5"/>
  <c r="K229" i="5"/>
  <c r="K230" i="5"/>
  <c r="K231" i="5"/>
  <c r="K232" i="5"/>
  <c r="K233" i="5"/>
  <c r="K234" i="5"/>
  <c r="K235" i="5"/>
  <c r="K236" i="5"/>
  <c r="K237" i="5"/>
  <c r="K238" i="5"/>
  <c r="K239" i="5"/>
  <c r="K240" i="5"/>
  <c r="K241" i="5"/>
  <c r="K242" i="5"/>
  <c r="K243" i="5"/>
  <c r="K244" i="5"/>
  <c r="K245" i="5"/>
  <c r="K246" i="5"/>
  <c r="K247" i="5"/>
  <c r="K248" i="5"/>
  <c r="K249" i="5"/>
  <c r="K250" i="5"/>
  <c r="K251" i="5"/>
  <c r="K252" i="5"/>
  <c r="K253" i="5"/>
  <c r="K254" i="5"/>
  <c r="K255" i="5"/>
  <c r="K256" i="5"/>
  <c r="K257" i="5"/>
  <c r="K258" i="5"/>
  <c r="K259" i="5"/>
  <c r="K260" i="5"/>
  <c r="K261" i="5"/>
  <c r="K262" i="5"/>
  <c r="K263" i="5"/>
  <c r="K264" i="5"/>
  <c r="K265" i="5"/>
  <c r="K266" i="5"/>
  <c r="K267" i="5"/>
  <c r="K268" i="5"/>
  <c r="K269" i="5"/>
  <c r="K270" i="5"/>
  <c r="K271" i="5"/>
  <c r="K272" i="5"/>
  <c r="K273" i="5"/>
  <c r="K274" i="5"/>
  <c r="K275" i="5"/>
  <c r="K276" i="5"/>
  <c r="K277" i="5"/>
  <c r="K278" i="5"/>
  <c r="K279" i="5"/>
  <c r="K280" i="5"/>
  <c r="K281" i="5"/>
  <c r="K282" i="5"/>
  <c r="K283" i="5"/>
  <c r="K284" i="5"/>
  <c r="K285" i="5"/>
  <c r="K286" i="5"/>
  <c r="K287" i="5"/>
  <c r="K288" i="5"/>
  <c r="K289" i="5"/>
  <c r="K290" i="5"/>
  <c r="K291" i="5"/>
  <c r="K292" i="5"/>
  <c r="K293" i="5"/>
  <c r="K294" i="5"/>
  <c r="K295" i="5"/>
  <c r="K296" i="5"/>
  <c r="K297" i="5"/>
  <c r="K298" i="5"/>
  <c r="K299" i="5"/>
  <c r="K300" i="5"/>
  <c r="K301" i="5"/>
  <c r="K302" i="5"/>
  <c r="K303" i="5"/>
  <c r="K304" i="5"/>
  <c r="K305" i="5"/>
  <c r="K306" i="5"/>
  <c r="K307" i="5"/>
  <c r="K308" i="5"/>
  <c r="K309" i="5"/>
  <c r="K310" i="5"/>
  <c r="K311" i="5"/>
  <c r="K312" i="5"/>
  <c r="K313" i="5"/>
  <c r="K314" i="5"/>
  <c r="K315" i="5"/>
  <c r="K316" i="5"/>
  <c r="K317" i="5"/>
  <c r="K318" i="5"/>
  <c r="K319" i="5"/>
  <c r="K320" i="5"/>
  <c r="K321" i="5"/>
  <c r="K322" i="5"/>
  <c r="K323" i="5"/>
  <c r="K324" i="5"/>
  <c r="K325" i="5"/>
  <c r="K326" i="5"/>
  <c r="K327" i="5"/>
  <c r="K328" i="5"/>
  <c r="K329" i="5"/>
  <c r="K330" i="5"/>
  <c r="K331" i="5"/>
  <c r="K332" i="5"/>
  <c r="K333" i="5"/>
  <c r="K334" i="5"/>
  <c r="K335" i="5"/>
  <c r="K336" i="5"/>
  <c r="K337" i="5"/>
  <c r="K338" i="5"/>
  <c r="K339" i="5"/>
  <c r="K340" i="5"/>
  <c r="K341" i="5"/>
  <c r="K342" i="5"/>
  <c r="K343" i="5"/>
  <c r="K344" i="5"/>
  <c r="K345" i="5"/>
  <c r="K346" i="5"/>
  <c r="K347" i="5"/>
  <c r="K348" i="5"/>
  <c r="K349" i="5"/>
  <c r="K350" i="5"/>
  <c r="K351" i="5"/>
  <c r="K352" i="5"/>
  <c r="K353" i="5"/>
  <c r="K354" i="5"/>
  <c r="K355" i="5"/>
  <c r="K356" i="5"/>
  <c r="K357" i="5"/>
  <c r="K358" i="5"/>
  <c r="K359" i="5"/>
  <c r="K360" i="5"/>
  <c r="K361" i="5"/>
  <c r="K362" i="5"/>
  <c r="K363" i="5"/>
  <c r="K364" i="5"/>
  <c r="K365" i="5"/>
  <c r="K366" i="5"/>
  <c r="K367" i="5"/>
  <c r="K368" i="5"/>
  <c r="K369" i="5"/>
  <c r="K370" i="5"/>
  <c r="K371" i="5"/>
  <c r="K372" i="5"/>
  <c r="K373" i="5"/>
  <c r="K374" i="5"/>
  <c r="K375" i="5"/>
  <c r="K376" i="5"/>
  <c r="K377" i="5"/>
  <c r="K378" i="5"/>
  <c r="K379" i="5"/>
  <c r="K380" i="5"/>
  <c r="K381" i="5"/>
  <c r="K382" i="5"/>
  <c r="K383" i="5"/>
  <c r="K384" i="5"/>
  <c r="K385" i="5"/>
  <c r="K386" i="5"/>
  <c r="K387" i="5"/>
  <c r="K388" i="5"/>
  <c r="K389" i="5"/>
  <c r="K390" i="5"/>
  <c r="K391" i="5"/>
  <c r="K392" i="5"/>
  <c r="K393" i="5"/>
  <c r="K394" i="5"/>
  <c r="K395" i="5"/>
  <c r="K396" i="5"/>
  <c r="K397" i="5"/>
  <c r="K398" i="5"/>
  <c r="K399" i="5"/>
  <c r="K400" i="5"/>
  <c r="K401" i="5"/>
  <c r="K402" i="5"/>
  <c r="K403" i="5"/>
  <c r="K404" i="5"/>
  <c r="K405" i="5"/>
  <c r="K406" i="5"/>
  <c r="K407" i="5"/>
  <c r="K408" i="5"/>
  <c r="K409" i="5"/>
  <c r="K410" i="5"/>
  <c r="K411" i="5"/>
  <c r="K412" i="5"/>
  <c r="K413" i="5"/>
  <c r="K414" i="5"/>
  <c r="K415" i="5"/>
  <c r="K416" i="5"/>
  <c r="K417" i="5"/>
  <c r="K418" i="5"/>
  <c r="K419" i="5"/>
  <c r="K420" i="5"/>
  <c r="K421" i="5"/>
  <c r="K422" i="5"/>
  <c r="K423" i="5"/>
  <c r="K424" i="5"/>
  <c r="K425" i="5"/>
  <c r="K426" i="5"/>
  <c r="K427" i="5"/>
  <c r="K428" i="5"/>
  <c r="K429" i="5"/>
  <c r="K430" i="5"/>
  <c r="K431" i="5"/>
  <c r="K432" i="5"/>
  <c r="K433" i="5"/>
  <c r="K434" i="5"/>
  <c r="K435" i="5"/>
  <c r="K436" i="5"/>
  <c r="K437" i="5"/>
  <c r="K438" i="5"/>
  <c r="K439" i="5"/>
  <c r="K440" i="5"/>
  <c r="K441" i="5"/>
  <c r="K442" i="5"/>
  <c r="K443" i="5"/>
  <c r="K444" i="5"/>
  <c r="K445" i="5"/>
  <c r="K446" i="5"/>
  <c r="K447" i="5"/>
  <c r="K448" i="5"/>
  <c r="K449" i="5"/>
  <c r="K450" i="5"/>
  <c r="K451" i="5"/>
  <c r="K452" i="5"/>
  <c r="M452" i="5" s="1"/>
  <c r="K453" i="5"/>
  <c r="K454" i="5"/>
  <c r="K455" i="5"/>
  <c r="K456" i="5"/>
  <c r="K457" i="5"/>
  <c r="K458" i="5"/>
  <c r="K459" i="5"/>
  <c r="K460" i="5"/>
  <c r="K461" i="5"/>
  <c r="K462" i="5"/>
  <c r="K463" i="5"/>
  <c r="K464" i="5"/>
  <c r="K465" i="5"/>
  <c r="K466" i="5"/>
  <c r="K467" i="5"/>
  <c r="K468" i="5"/>
  <c r="K469" i="5"/>
  <c r="K470" i="5"/>
  <c r="K471" i="5"/>
  <c r="K472" i="5"/>
  <c r="K473" i="5"/>
  <c r="K474" i="5"/>
  <c r="K475" i="5"/>
  <c r="K476" i="5"/>
  <c r="K477" i="5"/>
  <c r="K478" i="5"/>
  <c r="K493" i="5"/>
  <c r="K494" i="5"/>
  <c r="K495" i="5"/>
  <c r="K496" i="5"/>
  <c r="K497" i="5"/>
  <c r="K498" i="5"/>
  <c r="K14" i="14"/>
  <c r="K28" i="20"/>
  <c r="K29" i="20"/>
  <c r="K30" i="20"/>
  <c r="K31" i="20"/>
  <c r="K32" i="20"/>
  <c r="K33" i="20"/>
  <c r="K34" i="20"/>
  <c r="M34" i="20" s="1"/>
  <c r="K35" i="20"/>
  <c r="K36" i="20"/>
  <c r="M36" i="20"/>
  <c r="K37" i="20"/>
  <c r="K38" i="20"/>
  <c r="K39" i="20"/>
  <c r="K40" i="20"/>
  <c r="M40" i="20" s="1"/>
  <c r="K41" i="20"/>
  <c r="K42" i="20"/>
  <c r="M42" i="20" s="1"/>
  <c r="K43" i="20"/>
  <c r="K44" i="20"/>
  <c r="M44" i="20" s="1"/>
  <c r="K45" i="20"/>
  <c r="K46" i="20"/>
  <c r="M46" i="20" s="1"/>
  <c r="K47" i="20"/>
  <c r="K48" i="20"/>
  <c r="K49" i="20"/>
  <c r="K50" i="20"/>
  <c r="M50" i="20" s="1"/>
  <c r="K51" i="20"/>
  <c r="K52" i="20"/>
  <c r="M52" i="20" s="1"/>
  <c r="K53" i="20"/>
  <c r="K54" i="20"/>
  <c r="K55" i="20"/>
  <c r="K56" i="20"/>
  <c r="M56" i="20" s="1"/>
  <c r="K57" i="20"/>
  <c r="K58" i="20"/>
  <c r="K59" i="20"/>
  <c r="K60" i="20"/>
  <c r="M60" i="20" s="1"/>
  <c r="K61" i="20"/>
  <c r="K62" i="20"/>
  <c r="M62" i="20"/>
  <c r="K63" i="20"/>
  <c r="K64" i="20"/>
  <c r="M64" i="20" s="1"/>
  <c r="K65" i="20"/>
  <c r="K66" i="20"/>
  <c r="K67" i="20"/>
  <c r="K68" i="20"/>
  <c r="M68" i="20"/>
  <c r="K69" i="20"/>
  <c r="K70" i="20"/>
  <c r="K71" i="20"/>
  <c r="K72" i="20"/>
  <c r="M72" i="20" s="1"/>
  <c r="K73" i="20"/>
  <c r="K74" i="20"/>
  <c r="M74" i="20" s="1"/>
  <c r="K75" i="20"/>
  <c r="K76" i="20"/>
  <c r="M76" i="20" s="1"/>
  <c r="K77" i="20"/>
  <c r="M77" i="20" s="1"/>
  <c r="K78" i="20"/>
  <c r="M78" i="20" s="1"/>
  <c r="K79" i="20"/>
  <c r="K80" i="20"/>
  <c r="K81" i="20"/>
  <c r="K82" i="20"/>
  <c r="M82" i="20" s="1"/>
  <c r="K83" i="20"/>
  <c r="K84" i="20"/>
  <c r="M84" i="20"/>
  <c r="K85" i="20"/>
  <c r="K86" i="20"/>
  <c r="K87" i="20"/>
  <c r="K88" i="20"/>
  <c r="M88" i="20" s="1"/>
  <c r="K89" i="20"/>
  <c r="K90" i="20"/>
  <c r="M90" i="20" s="1"/>
  <c r="K91" i="20"/>
  <c r="K92" i="20"/>
  <c r="M92" i="20" s="1"/>
  <c r="K93" i="20"/>
  <c r="K94" i="20"/>
  <c r="M94" i="20" s="1"/>
  <c r="K95" i="20"/>
  <c r="K96" i="20"/>
  <c r="K97" i="20"/>
  <c r="K98" i="20"/>
  <c r="M98" i="20" s="1"/>
  <c r="K99" i="20"/>
  <c r="K100" i="20"/>
  <c r="M100" i="20" s="1"/>
  <c r="K101" i="20"/>
  <c r="K102" i="20"/>
  <c r="K103" i="20"/>
  <c r="K104" i="20"/>
  <c r="M104" i="20" s="1"/>
  <c r="K105" i="20"/>
  <c r="K106" i="20"/>
  <c r="M106" i="20"/>
  <c r="K107" i="20"/>
  <c r="K108" i="20"/>
  <c r="K109" i="20"/>
  <c r="K110" i="20"/>
  <c r="M110" i="20" s="1"/>
  <c r="K111" i="20"/>
  <c r="K112" i="20"/>
  <c r="M112" i="20" s="1"/>
  <c r="K113" i="20"/>
  <c r="K114" i="20"/>
  <c r="M114" i="20" s="1"/>
  <c r="K115" i="20"/>
  <c r="K116" i="20"/>
  <c r="M116" i="20" s="1"/>
  <c r="K117" i="20"/>
  <c r="K118" i="20"/>
  <c r="K119" i="20"/>
  <c r="K120" i="20"/>
  <c r="M120" i="20" s="1"/>
  <c r="K121" i="20"/>
  <c r="K122" i="20"/>
  <c r="M122" i="20" s="1"/>
  <c r="K123" i="20"/>
  <c r="K124" i="20"/>
  <c r="M124" i="20" s="1"/>
  <c r="K125" i="20"/>
  <c r="K126" i="20"/>
  <c r="M126" i="20" s="1"/>
  <c r="K127" i="20"/>
  <c r="K128" i="20"/>
  <c r="M128" i="20" s="1"/>
  <c r="K129" i="20"/>
  <c r="K130" i="20"/>
  <c r="M130" i="20" s="1"/>
  <c r="K131" i="20"/>
  <c r="K132" i="20"/>
  <c r="K133" i="20"/>
  <c r="K134" i="20"/>
  <c r="K135" i="20"/>
  <c r="K136" i="20"/>
  <c r="K137" i="20"/>
  <c r="K138" i="20"/>
  <c r="M138" i="20" s="1"/>
  <c r="K139" i="20"/>
  <c r="K140" i="20"/>
  <c r="M140" i="20"/>
  <c r="K141" i="20"/>
  <c r="M141" i="20" s="1"/>
  <c r="K142" i="20"/>
  <c r="M142" i="20" s="1"/>
  <c r="K143" i="20"/>
  <c r="K144" i="20"/>
  <c r="M144" i="20" s="1"/>
  <c r="K145" i="20"/>
  <c r="K146" i="20"/>
  <c r="M146" i="20" s="1"/>
  <c r="K147" i="20"/>
  <c r="K148" i="20"/>
  <c r="K149" i="20"/>
  <c r="K150" i="20"/>
  <c r="K151" i="20"/>
  <c r="K152" i="20"/>
  <c r="K153" i="20"/>
  <c r="K154" i="20"/>
  <c r="M154" i="20" s="1"/>
  <c r="K155" i="20"/>
  <c r="K156" i="20"/>
  <c r="M156" i="20" s="1"/>
  <c r="K157" i="20"/>
  <c r="K158" i="20"/>
  <c r="M158" i="20" s="1"/>
  <c r="K159" i="20"/>
  <c r="K160" i="20"/>
  <c r="M160" i="20" s="1"/>
  <c r="K161" i="20"/>
  <c r="K162" i="20"/>
  <c r="M162" i="20" s="1"/>
  <c r="K163" i="20"/>
  <c r="K164" i="20"/>
  <c r="M164" i="20" s="1"/>
  <c r="K165" i="20"/>
  <c r="K166" i="20"/>
  <c r="K167" i="20"/>
  <c r="K168" i="20"/>
  <c r="M168" i="20" s="1"/>
  <c r="K169" i="20"/>
  <c r="K170" i="20"/>
  <c r="M170" i="20"/>
  <c r="K171" i="20"/>
  <c r="K172" i="20"/>
  <c r="M172" i="20" s="1"/>
  <c r="K173" i="20"/>
  <c r="K174" i="20"/>
  <c r="M174" i="20" s="1"/>
  <c r="K175" i="20"/>
  <c r="K176" i="20"/>
  <c r="K177" i="20"/>
  <c r="K178" i="20"/>
  <c r="M178" i="20" s="1"/>
  <c r="K179" i="20"/>
  <c r="K180" i="20"/>
  <c r="M180" i="20" s="1"/>
  <c r="K181" i="20"/>
  <c r="K182" i="20"/>
  <c r="K183" i="20"/>
  <c r="K184" i="20"/>
  <c r="M184" i="20" s="1"/>
  <c r="K185" i="20"/>
  <c r="K186" i="20"/>
  <c r="M186" i="20" s="1"/>
  <c r="K187" i="20"/>
  <c r="K188" i="20"/>
  <c r="K189" i="20"/>
  <c r="K190" i="20"/>
  <c r="M190" i="20" s="1"/>
  <c r="K191" i="20"/>
  <c r="K192" i="20"/>
  <c r="M192" i="20" s="1"/>
  <c r="K193" i="20"/>
  <c r="K194" i="20"/>
  <c r="M194" i="20" s="1"/>
  <c r="K195" i="20"/>
  <c r="K196" i="20"/>
  <c r="M196" i="20" s="1"/>
  <c r="K197" i="20"/>
  <c r="K198" i="20"/>
  <c r="K199" i="20"/>
  <c r="K200" i="20"/>
  <c r="M200" i="20" s="1"/>
  <c r="K201" i="20"/>
  <c r="K202" i="20"/>
  <c r="M202" i="20" s="1"/>
  <c r="K203" i="20"/>
  <c r="K204" i="20"/>
  <c r="K205" i="20"/>
  <c r="M205" i="20"/>
  <c r="K206" i="20"/>
  <c r="M206" i="20" s="1"/>
  <c r="K207" i="20"/>
  <c r="K208" i="20"/>
  <c r="M208" i="20"/>
  <c r="K209" i="20"/>
  <c r="K210" i="20"/>
  <c r="M210" i="20" s="1"/>
  <c r="K211" i="20"/>
  <c r="K212" i="20"/>
  <c r="M212" i="20" s="1"/>
  <c r="K213" i="20"/>
  <c r="K214" i="20"/>
  <c r="K215" i="20"/>
  <c r="K216" i="20"/>
  <c r="M216" i="20" s="1"/>
  <c r="K217" i="20"/>
  <c r="K218" i="20"/>
  <c r="M218" i="20" s="1"/>
  <c r="K219" i="20"/>
  <c r="K220" i="20"/>
  <c r="K221" i="20"/>
  <c r="K222" i="20"/>
  <c r="M222" i="20" s="1"/>
  <c r="K223" i="20"/>
  <c r="K224" i="20"/>
  <c r="M224" i="20" s="1"/>
  <c r="K225" i="20"/>
  <c r="M225" i="20" s="1"/>
  <c r="K226" i="20"/>
  <c r="M226" i="20" s="1"/>
  <c r="K227" i="20"/>
  <c r="K228" i="20"/>
  <c r="M228" i="20" s="1"/>
  <c r="K229" i="20"/>
  <c r="K230" i="20"/>
  <c r="M230" i="20" s="1"/>
  <c r="K231" i="20"/>
  <c r="K232" i="20"/>
  <c r="M232" i="20" s="1"/>
  <c r="K233" i="20"/>
  <c r="M233" i="20" s="1"/>
  <c r="K234" i="20"/>
  <c r="M234" i="20" s="1"/>
  <c r="K235" i="20"/>
  <c r="K236" i="20"/>
  <c r="M236" i="20" s="1"/>
  <c r="K237" i="20"/>
  <c r="K238" i="20"/>
  <c r="M238" i="20" s="1"/>
  <c r="K239" i="20"/>
  <c r="K240" i="20"/>
  <c r="M240" i="20" s="1"/>
  <c r="K241" i="20"/>
  <c r="M241" i="20" s="1"/>
  <c r="K242" i="20"/>
  <c r="M242" i="20" s="1"/>
  <c r="K243" i="20"/>
  <c r="K244" i="20"/>
  <c r="M244" i="20" s="1"/>
  <c r="K245" i="20"/>
  <c r="K246" i="20"/>
  <c r="M246" i="20" s="1"/>
  <c r="K247" i="20"/>
  <c r="K248" i="20"/>
  <c r="K249" i="20"/>
  <c r="K250" i="20"/>
  <c r="M250" i="20" s="1"/>
  <c r="K251" i="20"/>
  <c r="K252" i="20"/>
  <c r="M252" i="20"/>
  <c r="K253" i="20"/>
  <c r="K254" i="20"/>
  <c r="M254" i="20" s="1"/>
  <c r="K255" i="20"/>
  <c r="K256" i="20"/>
  <c r="M256" i="20" s="1"/>
  <c r="K257" i="20"/>
  <c r="M257" i="20" s="1"/>
  <c r="K258" i="20"/>
  <c r="M258" i="20" s="1"/>
  <c r="K259" i="20"/>
  <c r="K260" i="20"/>
  <c r="K261" i="20"/>
  <c r="K262" i="20"/>
  <c r="M262" i="20" s="1"/>
  <c r="K263" i="20"/>
  <c r="K264" i="20"/>
  <c r="M264" i="20"/>
  <c r="K265" i="20"/>
  <c r="M265" i="20" s="1"/>
  <c r="K266" i="20"/>
  <c r="M266" i="20" s="1"/>
  <c r="K267" i="20"/>
  <c r="K268" i="20"/>
  <c r="M268" i="20" s="1"/>
  <c r="K269" i="20"/>
  <c r="K270" i="20"/>
  <c r="M270" i="20" s="1"/>
  <c r="K271" i="20"/>
  <c r="K272" i="20"/>
  <c r="M272" i="20" s="1"/>
  <c r="K273" i="20"/>
  <c r="M273" i="20" s="1"/>
  <c r="K274" i="20"/>
  <c r="M274" i="20" s="1"/>
  <c r="K275" i="20"/>
  <c r="K276" i="20"/>
  <c r="M276" i="20" s="1"/>
  <c r="K277" i="20"/>
  <c r="M277" i="20" s="1"/>
  <c r="K278" i="20"/>
  <c r="M278" i="20" s="1"/>
  <c r="K279" i="20"/>
  <c r="K280" i="20"/>
  <c r="M280" i="20" s="1"/>
  <c r="K281" i="20"/>
  <c r="M281" i="20" s="1"/>
  <c r="K282" i="20"/>
  <c r="M282" i="20" s="1"/>
  <c r="K283" i="20"/>
  <c r="K284" i="20"/>
  <c r="K285" i="20"/>
  <c r="K286" i="20"/>
  <c r="M286" i="20" s="1"/>
  <c r="K287" i="20"/>
  <c r="K288" i="20"/>
  <c r="M288" i="20" s="1"/>
  <c r="K289" i="20"/>
  <c r="M289" i="20" s="1"/>
  <c r="K290" i="20"/>
  <c r="M290" i="20" s="1"/>
  <c r="K291" i="20"/>
  <c r="K292" i="20"/>
  <c r="M292" i="20" s="1"/>
  <c r="K293" i="20"/>
  <c r="M293" i="20" s="1"/>
  <c r="K294" i="20"/>
  <c r="M294" i="20" s="1"/>
  <c r="K295" i="20"/>
  <c r="K296" i="20"/>
  <c r="K297" i="20"/>
  <c r="K298" i="20"/>
  <c r="M298" i="20" s="1"/>
  <c r="K299" i="20"/>
  <c r="K300" i="20"/>
  <c r="M300" i="20"/>
  <c r="K301" i="20"/>
  <c r="K302" i="20"/>
  <c r="M302" i="20" s="1"/>
  <c r="K303" i="20"/>
  <c r="K304" i="20"/>
  <c r="M304" i="20" s="1"/>
  <c r="K305" i="20"/>
  <c r="M305" i="20" s="1"/>
  <c r="K306" i="20"/>
  <c r="M306" i="20" s="1"/>
  <c r="K307" i="20"/>
  <c r="K308" i="20"/>
  <c r="M308" i="20" s="1"/>
  <c r="K309" i="20"/>
  <c r="K310" i="20"/>
  <c r="M310" i="20" s="1"/>
  <c r="K311" i="20"/>
  <c r="K312" i="20"/>
  <c r="K313" i="20"/>
  <c r="M313" i="20" s="1"/>
  <c r="K314" i="20"/>
  <c r="M314" i="20" s="1"/>
  <c r="K315" i="20"/>
  <c r="K316" i="20"/>
  <c r="M316" i="20" s="1"/>
  <c r="K317" i="20"/>
  <c r="K318" i="20"/>
  <c r="M318" i="20" s="1"/>
  <c r="K319" i="20"/>
  <c r="K320" i="20"/>
  <c r="M320" i="20" s="1"/>
  <c r="K321" i="20"/>
  <c r="K322" i="20"/>
  <c r="M322" i="20" s="1"/>
  <c r="K323" i="20"/>
  <c r="K324" i="20"/>
  <c r="K325" i="20"/>
  <c r="M325" i="20" s="1"/>
  <c r="K326" i="20"/>
  <c r="M326" i="20" s="1"/>
  <c r="K327" i="20"/>
  <c r="K328" i="20"/>
  <c r="M328" i="20" s="1"/>
  <c r="K329" i="20"/>
  <c r="M329" i="20" s="1"/>
  <c r="K330" i="20"/>
  <c r="M330" i="20" s="1"/>
  <c r="K331" i="20"/>
  <c r="K332" i="20"/>
  <c r="M332" i="20" s="1"/>
  <c r="K333" i="20"/>
  <c r="K334" i="20"/>
  <c r="M334" i="20" s="1"/>
  <c r="K335" i="20"/>
  <c r="K336" i="20"/>
  <c r="K337" i="20"/>
  <c r="M337" i="20"/>
  <c r="K338" i="20"/>
  <c r="M338" i="20" s="1"/>
  <c r="K339" i="20"/>
  <c r="K340" i="20"/>
  <c r="M340" i="20"/>
  <c r="K341" i="20"/>
  <c r="M341" i="20" s="1"/>
  <c r="K342" i="20"/>
  <c r="M342" i="20" s="1"/>
  <c r="K343" i="20"/>
  <c r="K344" i="20"/>
  <c r="M344" i="20" s="1"/>
  <c r="K345" i="20"/>
  <c r="M345" i="20" s="1"/>
  <c r="K346" i="20"/>
  <c r="M346" i="20" s="1"/>
  <c r="K347" i="20"/>
  <c r="K348" i="20"/>
  <c r="K349" i="20"/>
  <c r="K350" i="20"/>
  <c r="M350" i="20" s="1"/>
  <c r="K351" i="20"/>
  <c r="K352" i="20"/>
  <c r="M352" i="20"/>
  <c r="K353" i="20"/>
  <c r="M353" i="20" s="1"/>
  <c r="K354" i="20"/>
  <c r="M354" i="20" s="1"/>
  <c r="K355" i="20"/>
  <c r="K356" i="20"/>
  <c r="M356" i="20" s="1"/>
  <c r="K357" i="20"/>
  <c r="M357" i="20" s="1"/>
  <c r="K358" i="20"/>
  <c r="M358" i="20" s="1"/>
  <c r="K359" i="20"/>
  <c r="K360" i="20"/>
  <c r="K361" i="20"/>
  <c r="K362" i="20"/>
  <c r="M362" i="20" s="1"/>
  <c r="K363" i="20"/>
  <c r="K364" i="20"/>
  <c r="M364" i="20" s="1"/>
  <c r="K365" i="20"/>
  <c r="K366" i="20"/>
  <c r="M366" i="20" s="1"/>
  <c r="K367" i="20"/>
  <c r="K368" i="20"/>
  <c r="M368" i="20" s="1"/>
  <c r="K369" i="20"/>
  <c r="M369" i="20" s="1"/>
  <c r="K370" i="20"/>
  <c r="M370" i="20" s="1"/>
  <c r="K371" i="20"/>
  <c r="K372" i="20"/>
  <c r="K373" i="20"/>
  <c r="K374" i="20"/>
  <c r="M374" i="20" s="1"/>
  <c r="K375" i="20"/>
  <c r="K376" i="20"/>
  <c r="M376" i="20" s="1"/>
  <c r="K377" i="20"/>
  <c r="M377" i="20" s="1"/>
  <c r="K378" i="20"/>
  <c r="M378" i="20" s="1"/>
  <c r="K379" i="20"/>
  <c r="K380" i="20"/>
  <c r="M380" i="20" s="1"/>
  <c r="K381" i="20"/>
  <c r="K382" i="20"/>
  <c r="M382" i="20" s="1"/>
  <c r="K383" i="20"/>
  <c r="K384" i="20"/>
  <c r="M384" i="20" s="1"/>
  <c r="K385" i="20"/>
  <c r="K386" i="20"/>
  <c r="M386" i="20" s="1"/>
  <c r="K387" i="20"/>
  <c r="K388" i="20"/>
  <c r="K389" i="20"/>
  <c r="M389" i="20" s="1"/>
  <c r="K390" i="20"/>
  <c r="M390" i="20" s="1"/>
  <c r="K391" i="20"/>
  <c r="K392" i="20"/>
  <c r="M392" i="20" s="1"/>
  <c r="K393" i="20"/>
  <c r="M393" i="20" s="1"/>
  <c r="K394" i="20"/>
  <c r="M394" i="20" s="1"/>
  <c r="K395" i="20"/>
  <c r="K396" i="20"/>
  <c r="M396" i="20" s="1"/>
  <c r="K397" i="20"/>
  <c r="K398" i="20"/>
  <c r="M398" i="20" s="1"/>
  <c r="K399" i="20"/>
  <c r="K400" i="20"/>
  <c r="K401" i="20"/>
  <c r="M401" i="20" s="1"/>
  <c r="K402" i="20"/>
  <c r="M402" i="20" s="1"/>
  <c r="K403" i="20"/>
  <c r="K404" i="20"/>
  <c r="M404" i="20" s="1"/>
  <c r="K405" i="20"/>
  <c r="M405" i="20" s="1"/>
  <c r="K406" i="20"/>
  <c r="M406" i="20" s="1"/>
  <c r="K407" i="20"/>
  <c r="K408" i="20"/>
  <c r="M408" i="20" s="1"/>
  <c r="K409" i="20"/>
  <c r="M409" i="20" s="1"/>
  <c r="K410" i="20"/>
  <c r="M410" i="20" s="1"/>
  <c r="K411" i="20"/>
  <c r="K412" i="20"/>
  <c r="M412" i="20"/>
  <c r="K413" i="20"/>
  <c r="K414" i="20"/>
  <c r="M414" i="20" s="1"/>
  <c r="K415" i="20"/>
  <c r="K416" i="20"/>
  <c r="M416" i="20" s="1"/>
  <c r="K417" i="20"/>
  <c r="M417" i="20" s="1"/>
  <c r="K418" i="20"/>
  <c r="M418" i="20" s="1"/>
  <c r="K419" i="20"/>
  <c r="K420" i="20"/>
  <c r="M420" i="20" s="1"/>
  <c r="K421" i="20"/>
  <c r="M421" i="20" s="1"/>
  <c r="K422" i="20"/>
  <c r="M422" i="20" s="1"/>
  <c r="K423" i="20"/>
  <c r="K424" i="20"/>
  <c r="M424" i="20"/>
  <c r="K425" i="20"/>
  <c r="K426" i="20"/>
  <c r="M426" i="20" s="1"/>
  <c r="K427" i="20"/>
  <c r="K428" i="20"/>
  <c r="M428" i="20" s="1"/>
  <c r="K429" i="20"/>
  <c r="K430" i="20"/>
  <c r="M430" i="20" s="1"/>
  <c r="K431" i="20"/>
  <c r="K432" i="20"/>
  <c r="M432" i="20" s="1"/>
  <c r="K433" i="20"/>
  <c r="M433" i="20" s="1"/>
  <c r="K434" i="20"/>
  <c r="M434" i="20" s="1"/>
  <c r="K435" i="20"/>
  <c r="K436" i="20"/>
  <c r="K437" i="20"/>
  <c r="K438" i="20"/>
  <c r="M438" i="20" s="1"/>
  <c r="K439" i="20"/>
  <c r="K440" i="20"/>
  <c r="M440" i="20" s="1"/>
  <c r="K441" i="20"/>
  <c r="M441" i="20" s="1"/>
  <c r="K442" i="20"/>
  <c r="M442" i="20" s="1"/>
  <c r="K443" i="20"/>
  <c r="K444" i="20"/>
  <c r="M444" i="20" s="1"/>
  <c r="K445" i="20"/>
  <c r="K446" i="20"/>
  <c r="M446" i="20" s="1"/>
  <c r="K447" i="20"/>
  <c r="K448" i="20"/>
  <c r="M448" i="20" s="1"/>
  <c r="K449" i="20"/>
  <c r="K450" i="20"/>
  <c r="M450" i="20" s="1"/>
  <c r="K451" i="20"/>
  <c r="K452" i="20"/>
  <c r="M452" i="20" s="1"/>
  <c r="K453" i="20"/>
  <c r="M453" i="20" s="1"/>
  <c r="K454" i="20"/>
  <c r="M454" i="20" s="1"/>
  <c r="K455" i="20"/>
  <c r="K456" i="20"/>
  <c r="M456" i="20" s="1"/>
  <c r="K457" i="20"/>
  <c r="M457" i="20" s="1"/>
  <c r="K458" i="20"/>
  <c r="M458" i="20" s="1"/>
  <c r="K459" i="20"/>
  <c r="K460" i="20"/>
  <c r="M460" i="20" s="1"/>
  <c r="K461" i="20"/>
  <c r="K462" i="20"/>
  <c r="M462" i="20" s="1"/>
  <c r="K463" i="20"/>
  <c r="K464" i="20"/>
  <c r="M464" i="20"/>
  <c r="K465" i="20"/>
  <c r="M465" i="20" s="1"/>
  <c r="K466" i="20"/>
  <c r="M466" i="20" s="1"/>
  <c r="K467" i="20"/>
  <c r="K468" i="20"/>
  <c r="M468" i="20" s="1"/>
  <c r="K469" i="20"/>
  <c r="M469" i="20" s="1"/>
  <c r="K470" i="20"/>
  <c r="M470" i="20" s="1"/>
  <c r="K471" i="20"/>
  <c r="K472" i="20"/>
  <c r="M472" i="20" s="1"/>
  <c r="K473" i="20"/>
  <c r="M473" i="20" s="1"/>
  <c r="K474" i="20"/>
  <c r="M474" i="20" s="1"/>
  <c r="K475" i="20"/>
  <c r="K476" i="20"/>
  <c r="M476" i="20" s="1"/>
  <c r="K477" i="20"/>
  <c r="K478" i="20"/>
  <c r="M478" i="20" s="1"/>
  <c r="K479" i="20"/>
  <c r="K480" i="20"/>
  <c r="M480" i="20" s="1"/>
  <c r="K481" i="20"/>
  <c r="M481" i="20" s="1"/>
  <c r="K482" i="20"/>
  <c r="M482" i="20" s="1"/>
  <c r="K483" i="20"/>
  <c r="K484" i="20"/>
  <c r="M484" i="20" s="1"/>
  <c r="K485" i="20"/>
  <c r="M485" i="20"/>
  <c r="K486" i="20"/>
  <c r="M486" i="20" s="1"/>
  <c r="K487" i="20"/>
  <c r="K488" i="20"/>
  <c r="M488" i="20"/>
  <c r="K489" i="20"/>
  <c r="K490" i="20"/>
  <c r="M490" i="20" s="1"/>
  <c r="K491" i="20"/>
  <c r="K492" i="20"/>
  <c r="M492" i="20" s="1"/>
  <c r="K493" i="20"/>
  <c r="K494" i="20"/>
  <c r="M494" i="20" s="1"/>
  <c r="K495" i="20"/>
  <c r="K496" i="20"/>
  <c r="M496" i="20" s="1"/>
  <c r="K497" i="20"/>
  <c r="M497" i="20" s="1"/>
  <c r="K498" i="20"/>
  <c r="M498" i="20" s="1"/>
  <c r="A6" i="13"/>
  <c r="F11" i="12"/>
  <c r="K5" i="21"/>
  <c r="K6" i="21"/>
  <c r="K7" i="21"/>
  <c r="K8" i="21"/>
  <c r="M8" i="21" s="1"/>
  <c r="K5" i="22"/>
  <c r="K6" i="22"/>
  <c r="K7" i="22"/>
  <c r="K8" i="22"/>
  <c r="K4" i="23"/>
  <c r="K5" i="23"/>
  <c r="M5" i="23"/>
  <c r="K6" i="23"/>
  <c r="K7" i="23"/>
  <c r="K8" i="23"/>
  <c r="K491" i="21"/>
  <c r="K492" i="21"/>
  <c r="K493" i="21"/>
  <c r="K494" i="21"/>
  <c r="K491" i="22"/>
  <c r="K492" i="22"/>
  <c r="M492" i="22" s="1"/>
  <c r="K493" i="22"/>
  <c r="M493" i="22" s="1"/>
  <c r="K494" i="22"/>
  <c r="K491" i="23"/>
  <c r="K492" i="23"/>
  <c r="K493" i="23"/>
  <c r="K494" i="23"/>
  <c r="D2" i="14"/>
  <c r="D2" i="15"/>
  <c r="D2" i="16"/>
  <c r="D2" i="17"/>
  <c r="A37" i="4"/>
  <c r="F6" i="12"/>
  <c r="F9" i="12"/>
  <c r="C520" i="5"/>
  <c r="J520" i="5" s="1"/>
  <c r="C524" i="5"/>
  <c r="C525" i="5"/>
  <c r="J12" i="12"/>
  <c r="H12" i="12"/>
  <c r="J11" i="12"/>
  <c r="H11" i="12"/>
  <c r="J9" i="12"/>
  <c r="H9" i="12"/>
  <c r="J8" i="12"/>
  <c r="H8" i="12"/>
  <c r="J7" i="12"/>
  <c r="H7" i="12"/>
  <c r="J6" i="12"/>
  <c r="H6" i="12"/>
  <c r="A7" i="13"/>
  <c r="A8" i="13"/>
  <c r="A9" i="13"/>
  <c r="J517" i="23"/>
  <c r="I517" i="23"/>
  <c r="H517" i="23"/>
  <c r="G517" i="23"/>
  <c r="F517" i="23"/>
  <c r="K517" i="23"/>
  <c r="K498" i="23"/>
  <c r="K497" i="23"/>
  <c r="K496" i="23"/>
  <c r="K495" i="23"/>
  <c r="M495" i="23"/>
  <c r="K490" i="23"/>
  <c r="K489" i="23"/>
  <c r="K488" i="23"/>
  <c r="K487" i="23"/>
  <c r="M487" i="23"/>
  <c r="K486" i="23"/>
  <c r="K485" i="23"/>
  <c r="K484" i="23"/>
  <c r="K483" i="23"/>
  <c r="K482" i="23"/>
  <c r="K481" i="23"/>
  <c r="K480" i="23"/>
  <c r="K479" i="23"/>
  <c r="K478" i="23"/>
  <c r="K477" i="23"/>
  <c r="K476" i="23"/>
  <c r="K475" i="23"/>
  <c r="M475" i="23"/>
  <c r="K474" i="23"/>
  <c r="K473" i="23"/>
  <c r="K472" i="23"/>
  <c r="K471" i="23"/>
  <c r="M471" i="23"/>
  <c r="K470" i="23"/>
  <c r="K469" i="23"/>
  <c r="K468" i="23"/>
  <c r="K467" i="23"/>
  <c r="K466" i="23"/>
  <c r="K465" i="23"/>
  <c r="K464" i="23"/>
  <c r="K463" i="23"/>
  <c r="K462" i="23"/>
  <c r="K461" i="23"/>
  <c r="K460" i="23"/>
  <c r="K459" i="23"/>
  <c r="M459" i="23"/>
  <c r="K458" i="23"/>
  <c r="K457" i="23"/>
  <c r="K456" i="23"/>
  <c r="K455" i="23"/>
  <c r="M455" i="23"/>
  <c r="K454" i="23"/>
  <c r="K453" i="23"/>
  <c r="K452" i="23"/>
  <c r="K451" i="23"/>
  <c r="K450" i="23"/>
  <c r="K449" i="23"/>
  <c r="K448" i="23"/>
  <c r="K447" i="23"/>
  <c r="K446" i="23"/>
  <c r="K445" i="23"/>
  <c r="K444" i="23"/>
  <c r="K443" i="23"/>
  <c r="M443" i="23"/>
  <c r="K442" i="23"/>
  <c r="K441" i="23"/>
  <c r="K440" i="23"/>
  <c r="K439" i="23"/>
  <c r="M439" i="23"/>
  <c r="K438" i="23"/>
  <c r="K437" i="23"/>
  <c r="K436" i="23"/>
  <c r="K435" i="23"/>
  <c r="K434" i="23"/>
  <c r="K433" i="23"/>
  <c r="K432" i="23"/>
  <c r="K431" i="23"/>
  <c r="K430" i="23"/>
  <c r="K429" i="23"/>
  <c r="K428" i="23"/>
  <c r="K427" i="23"/>
  <c r="M427" i="23"/>
  <c r="K426" i="23"/>
  <c r="K425" i="23"/>
  <c r="K424" i="23"/>
  <c r="K423" i="23"/>
  <c r="M423" i="23"/>
  <c r="K422" i="23"/>
  <c r="K421" i="23"/>
  <c r="K420" i="23"/>
  <c r="K419" i="23"/>
  <c r="K418" i="23"/>
  <c r="K417" i="23"/>
  <c r="K416" i="23"/>
  <c r="K415" i="23"/>
  <c r="K414" i="23"/>
  <c r="K413" i="23"/>
  <c r="K412" i="23"/>
  <c r="K411" i="23"/>
  <c r="M411" i="23"/>
  <c r="K410" i="23"/>
  <c r="K409" i="23"/>
  <c r="K408" i="23"/>
  <c r="K407" i="23"/>
  <c r="M407" i="23"/>
  <c r="K406" i="23"/>
  <c r="K405" i="23"/>
  <c r="K404" i="23"/>
  <c r="K403" i="23"/>
  <c r="K402" i="23"/>
  <c r="K401" i="23"/>
  <c r="K400" i="23"/>
  <c r="K399" i="23"/>
  <c r="K398" i="23"/>
  <c r="K397" i="23"/>
  <c r="K396" i="23"/>
  <c r="K395" i="23"/>
  <c r="M395" i="23"/>
  <c r="K394" i="23"/>
  <c r="K393" i="23"/>
  <c r="K392" i="23"/>
  <c r="K391" i="23"/>
  <c r="M391" i="23"/>
  <c r="K390" i="23"/>
  <c r="K389" i="23"/>
  <c r="K388" i="23"/>
  <c r="K387" i="23"/>
  <c r="K386" i="23"/>
  <c r="K385" i="23"/>
  <c r="K384" i="23"/>
  <c r="K383" i="23"/>
  <c r="K382" i="23"/>
  <c r="K381" i="23"/>
  <c r="K380" i="23"/>
  <c r="K379" i="23"/>
  <c r="M379" i="23"/>
  <c r="K378" i="23"/>
  <c r="K377" i="23"/>
  <c r="K376" i="23"/>
  <c r="K375" i="23"/>
  <c r="M375" i="23"/>
  <c r="K374" i="23"/>
  <c r="K373" i="23"/>
  <c r="K372" i="23"/>
  <c r="K371" i="23"/>
  <c r="K370" i="23"/>
  <c r="K369" i="23"/>
  <c r="K368" i="23"/>
  <c r="K367" i="23"/>
  <c r="K366" i="23"/>
  <c r="K365" i="23"/>
  <c r="K364" i="23"/>
  <c r="K363" i="23"/>
  <c r="M363" i="23"/>
  <c r="K362" i="23"/>
  <c r="K361" i="23"/>
  <c r="K360" i="23"/>
  <c r="K359" i="23"/>
  <c r="M359" i="23"/>
  <c r="K358" i="23"/>
  <c r="K357" i="23"/>
  <c r="K356" i="23"/>
  <c r="K355" i="23"/>
  <c r="K354" i="23"/>
  <c r="K353" i="23"/>
  <c r="K352" i="23"/>
  <c r="K351" i="23"/>
  <c r="K350" i="23"/>
  <c r="K349" i="23"/>
  <c r="K348" i="23"/>
  <c r="K347" i="23"/>
  <c r="M347" i="23"/>
  <c r="K346" i="23"/>
  <c r="K345" i="23"/>
  <c r="K344" i="23"/>
  <c r="K343" i="23"/>
  <c r="M343" i="23"/>
  <c r="K342" i="23"/>
  <c r="K341" i="23"/>
  <c r="K340" i="23"/>
  <c r="K339" i="23"/>
  <c r="K338" i="23"/>
  <c r="K337" i="23"/>
  <c r="K336" i="23"/>
  <c r="K335" i="23"/>
  <c r="K334" i="23"/>
  <c r="K333" i="23"/>
  <c r="K332" i="23"/>
  <c r="K331" i="23"/>
  <c r="M331" i="23"/>
  <c r="K330" i="23"/>
  <c r="K329" i="23"/>
  <c r="K328" i="23"/>
  <c r="K327" i="23"/>
  <c r="M327" i="23"/>
  <c r="K326" i="23"/>
  <c r="K325" i="23"/>
  <c r="K324" i="23"/>
  <c r="K323" i="23"/>
  <c r="K322" i="23"/>
  <c r="K321" i="23"/>
  <c r="K320" i="23"/>
  <c r="K319" i="23"/>
  <c r="K318" i="23"/>
  <c r="K317" i="23"/>
  <c r="K316" i="23"/>
  <c r="K315" i="23"/>
  <c r="M315" i="23"/>
  <c r="K314" i="23"/>
  <c r="K313" i="23"/>
  <c r="K312" i="23"/>
  <c r="K311" i="23"/>
  <c r="M311" i="23"/>
  <c r="K310" i="23"/>
  <c r="K309" i="23"/>
  <c r="K308" i="23"/>
  <c r="K307" i="23"/>
  <c r="K306" i="23"/>
  <c r="K305" i="23"/>
  <c r="K304" i="23"/>
  <c r="K303" i="23"/>
  <c r="K302" i="23"/>
  <c r="K301" i="23"/>
  <c r="K300" i="23"/>
  <c r="K299" i="23"/>
  <c r="M299" i="23"/>
  <c r="K298" i="23"/>
  <c r="K297" i="23"/>
  <c r="K296" i="23"/>
  <c r="K295" i="23"/>
  <c r="M295" i="23"/>
  <c r="K294" i="23"/>
  <c r="K293" i="23"/>
  <c r="K292" i="23"/>
  <c r="K291" i="23"/>
  <c r="K290" i="23"/>
  <c r="K289" i="23"/>
  <c r="K288" i="23"/>
  <c r="K287" i="23"/>
  <c r="K286" i="23"/>
  <c r="K285" i="23"/>
  <c r="K284" i="23"/>
  <c r="K283" i="23"/>
  <c r="M283" i="23"/>
  <c r="K282" i="23"/>
  <c r="K281" i="23"/>
  <c r="K280" i="23"/>
  <c r="K279" i="23"/>
  <c r="M279" i="23"/>
  <c r="K278" i="23"/>
  <c r="K277" i="23"/>
  <c r="K276" i="23"/>
  <c r="K275" i="23"/>
  <c r="K274" i="23"/>
  <c r="K273" i="23"/>
  <c r="K272" i="23"/>
  <c r="K271" i="23"/>
  <c r="K270" i="23"/>
  <c r="K269" i="23"/>
  <c r="K268" i="23"/>
  <c r="K267" i="23"/>
  <c r="M267" i="23"/>
  <c r="K266" i="23"/>
  <c r="K265" i="23"/>
  <c r="K264" i="23"/>
  <c r="K263" i="23"/>
  <c r="M263" i="23"/>
  <c r="K262" i="23"/>
  <c r="K261" i="23"/>
  <c r="K260" i="23"/>
  <c r="K259" i="23"/>
  <c r="K258" i="23"/>
  <c r="K257" i="23"/>
  <c r="K256" i="23"/>
  <c r="K255" i="23"/>
  <c r="K254" i="23"/>
  <c r="K253" i="23"/>
  <c r="K252" i="23"/>
  <c r="K251" i="23"/>
  <c r="M251" i="23"/>
  <c r="K250" i="23"/>
  <c r="K249" i="23"/>
  <c r="K248" i="23"/>
  <c r="K247" i="23"/>
  <c r="M247" i="23"/>
  <c r="K246" i="23"/>
  <c r="K245" i="23"/>
  <c r="K244" i="23"/>
  <c r="K243" i="23"/>
  <c r="K242" i="23"/>
  <c r="K241" i="23"/>
  <c r="K240" i="23"/>
  <c r="K239" i="23"/>
  <c r="K238" i="23"/>
  <c r="K237" i="23"/>
  <c r="K236" i="23"/>
  <c r="K235" i="23"/>
  <c r="M235" i="23"/>
  <c r="K234" i="23"/>
  <c r="K233" i="23"/>
  <c r="K232" i="23"/>
  <c r="K231" i="23"/>
  <c r="M231" i="23"/>
  <c r="K230" i="23"/>
  <c r="K229" i="23"/>
  <c r="K228" i="23"/>
  <c r="K227" i="23"/>
  <c r="K226" i="23"/>
  <c r="K225" i="23"/>
  <c r="K224" i="23"/>
  <c r="K223" i="23"/>
  <c r="K222" i="23"/>
  <c r="K221" i="23"/>
  <c r="K220" i="23"/>
  <c r="K219" i="23"/>
  <c r="M219" i="23"/>
  <c r="K218" i="23"/>
  <c r="K217" i="23"/>
  <c r="K216" i="23"/>
  <c r="K215" i="23"/>
  <c r="M215" i="23"/>
  <c r="K214" i="23"/>
  <c r="K213" i="23"/>
  <c r="K212" i="23"/>
  <c r="K211" i="23"/>
  <c r="K210" i="23"/>
  <c r="K209" i="23"/>
  <c r="K208" i="23"/>
  <c r="K207" i="23"/>
  <c r="K206" i="23"/>
  <c r="K205" i="23"/>
  <c r="K204" i="23"/>
  <c r="K203" i="23"/>
  <c r="M203" i="23"/>
  <c r="K202" i="23"/>
  <c r="K201" i="23"/>
  <c r="K200" i="23"/>
  <c r="K199" i="23"/>
  <c r="M199" i="23"/>
  <c r="K198" i="23"/>
  <c r="K197" i="23"/>
  <c r="K196" i="23"/>
  <c r="K195" i="23"/>
  <c r="K194" i="23"/>
  <c r="K193" i="23"/>
  <c r="K192" i="23"/>
  <c r="K191" i="23"/>
  <c r="K190" i="23"/>
  <c r="K189" i="23"/>
  <c r="K188" i="23"/>
  <c r="K187" i="23"/>
  <c r="M187" i="23"/>
  <c r="K186" i="23"/>
  <c r="K185" i="23"/>
  <c r="K184" i="23"/>
  <c r="K183" i="23"/>
  <c r="M183" i="23"/>
  <c r="K182" i="23"/>
  <c r="K181" i="23"/>
  <c r="K180" i="23"/>
  <c r="K179" i="23"/>
  <c r="K178" i="23"/>
  <c r="K177" i="23"/>
  <c r="K176" i="23"/>
  <c r="K175" i="23"/>
  <c r="K174" i="23"/>
  <c r="K173" i="23"/>
  <c r="K172" i="23"/>
  <c r="K171" i="23"/>
  <c r="M171" i="23"/>
  <c r="K170" i="23"/>
  <c r="K169" i="23"/>
  <c r="K168" i="23"/>
  <c r="K167" i="23"/>
  <c r="M167" i="23"/>
  <c r="K166" i="23"/>
  <c r="K165" i="23"/>
  <c r="K164" i="23"/>
  <c r="K163" i="23"/>
  <c r="K162" i="23"/>
  <c r="K161" i="23"/>
  <c r="K160" i="23"/>
  <c r="K159" i="23"/>
  <c r="K158" i="23"/>
  <c r="K157" i="23"/>
  <c r="K156" i="23"/>
  <c r="K155" i="23"/>
  <c r="M155" i="23"/>
  <c r="K154" i="23"/>
  <c r="K153" i="23"/>
  <c r="K152" i="23"/>
  <c r="K151" i="23"/>
  <c r="M151" i="23"/>
  <c r="K150" i="23"/>
  <c r="K149" i="23"/>
  <c r="K148" i="23"/>
  <c r="K147" i="23"/>
  <c r="K146" i="23"/>
  <c r="K145" i="23"/>
  <c r="K144" i="23"/>
  <c r="K143" i="23"/>
  <c r="K142" i="23"/>
  <c r="K141" i="23"/>
  <c r="K140" i="23"/>
  <c r="K139" i="23"/>
  <c r="M139" i="23"/>
  <c r="K138" i="23"/>
  <c r="K137" i="23"/>
  <c r="K136" i="23"/>
  <c r="K135" i="23"/>
  <c r="M135" i="23"/>
  <c r="K134" i="23"/>
  <c r="K133" i="23"/>
  <c r="K132" i="23"/>
  <c r="K131" i="23"/>
  <c r="K130" i="23"/>
  <c r="K129" i="23"/>
  <c r="K128" i="23"/>
  <c r="K127" i="23"/>
  <c r="K126" i="23"/>
  <c r="K125" i="23"/>
  <c r="K124" i="23"/>
  <c r="K123" i="23"/>
  <c r="M123" i="23"/>
  <c r="K122" i="23"/>
  <c r="K121" i="23"/>
  <c r="K120" i="23"/>
  <c r="K119" i="23"/>
  <c r="M119" i="23"/>
  <c r="K118" i="23"/>
  <c r="K117" i="23"/>
  <c r="K116" i="23"/>
  <c r="K115" i="23"/>
  <c r="K114" i="23"/>
  <c r="K113" i="23"/>
  <c r="K112" i="23"/>
  <c r="K111" i="23"/>
  <c r="K110" i="23"/>
  <c r="K109" i="23"/>
  <c r="K108" i="23"/>
  <c r="K107" i="23"/>
  <c r="M107" i="23"/>
  <c r="K106" i="23"/>
  <c r="K105" i="23"/>
  <c r="K104" i="23"/>
  <c r="K103" i="23"/>
  <c r="M103" i="23"/>
  <c r="K102" i="23"/>
  <c r="K101" i="23"/>
  <c r="K100" i="23"/>
  <c r="K99" i="23"/>
  <c r="K98" i="23"/>
  <c r="K97" i="23"/>
  <c r="K96" i="23"/>
  <c r="K95" i="23"/>
  <c r="K94" i="23"/>
  <c r="K93" i="23"/>
  <c r="K92" i="23"/>
  <c r="K91" i="23"/>
  <c r="M91" i="23"/>
  <c r="K90" i="23"/>
  <c r="K89" i="23"/>
  <c r="K88" i="23"/>
  <c r="K87" i="23"/>
  <c r="M87" i="23"/>
  <c r="K86" i="23"/>
  <c r="K85" i="23"/>
  <c r="K84" i="23"/>
  <c r="K83" i="23"/>
  <c r="K82" i="23"/>
  <c r="K81" i="23"/>
  <c r="K80" i="23"/>
  <c r="K79" i="23"/>
  <c r="K78" i="23"/>
  <c r="K77" i="23"/>
  <c r="K76" i="23"/>
  <c r="K75" i="23"/>
  <c r="M75" i="23"/>
  <c r="K74" i="23"/>
  <c r="K73" i="23"/>
  <c r="K72" i="23"/>
  <c r="K71" i="23"/>
  <c r="M71" i="23"/>
  <c r="K70" i="23"/>
  <c r="K69" i="23"/>
  <c r="K68" i="23"/>
  <c r="K67" i="23"/>
  <c r="K66" i="23"/>
  <c r="K65" i="23"/>
  <c r="K64" i="23"/>
  <c r="K63" i="23"/>
  <c r="K62" i="23"/>
  <c r="K61" i="23"/>
  <c r="K60" i="23"/>
  <c r="K59" i="23"/>
  <c r="M59" i="23"/>
  <c r="K58" i="23"/>
  <c r="K57" i="23"/>
  <c r="K56" i="23"/>
  <c r="K55" i="23"/>
  <c r="M55" i="23"/>
  <c r="K54" i="23"/>
  <c r="K53" i="23"/>
  <c r="K52" i="23"/>
  <c r="K51" i="23"/>
  <c r="K50" i="23"/>
  <c r="K49" i="23"/>
  <c r="K48" i="23"/>
  <c r="K47" i="23"/>
  <c r="K46" i="23"/>
  <c r="K45" i="23"/>
  <c r="K44" i="23"/>
  <c r="K43" i="23"/>
  <c r="M43" i="23"/>
  <c r="K42" i="23"/>
  <c r="K41" i="23"/>
  <c r="K40" i="23"/>
  <c r="K39" i="23"/>
  <c r="M39" i="23"/>
  <c r="K38" i="23"/>
  <c r="K37" i="23"/>
  <c r="K36" i="23"/>
  <c r="K35" i="23"/>
  <c r="K34" i="23"/>
  <c r="K33" i="23"/>
  <c r="K32" i="23"/>
  <c r="K31" i="23"/>
  <c r="K30" i="23"/>
  <c r="K29" i="23"/>
  <c r="K28" i="23"/>
  <c r="K27" i="23"/>
  <c r="M27" i="23"/>
  <c r="K26" i="23"/>
  <c r="K25" i="23"/>
  <c r="K24" i="23"/>
  <c r="K23" i="23"/>
  <c r="M23" i="23"/>
  <c r="K22" i="23"/>
  <c r="K21" i="23"/>
  <c r="K20" i="23"/>
  <c r="K19" i="23"/>
  <c r="K18" i="23"/>
  <c r="K17" i="23"/>
  <c r="K16" i="23"/>
  <c r="K15" i="23"/>
  <c r="K14" i="23"/>
  <c r="K13" i="23"/>
  <c r="K12" i="23"/>
  <c r="K11" i="23"/>
  <c r="M11" i="23"/>
  <c r="K10" i="23"/>
  <c r="K9" i="23"/>
  <c r="K498" i="22"/>
  <c r="K497" i="22"/>
  <c r="M497" i="22" s="1"/>
  <c r="K496" i="22"/>
  <c r="M496" i="22" s="1"/>
  <c r="K495" i="22"/>
  <c r="M495" i="22" s="1"/>
  <c r="K490" i="22"/>
  <c r="K489" i="22"/>
  <c r="M489" i="22" s="1"/>
  <c r="K488" i="22"/>
  <c r="M488" i="22" s="1"/>
  <c r="K487" i="22"/>
  <c r="M487" i="22" s="1"/>
  <c r="K486" i="22"/>
  <c r="M486" i="22" s="1"/>
  <c r="K485" i="22"/>
  <c r="M485" i="22" s="1"/>
  <c r="K484" i="22"/>
  <c r="M484" i="22" s="1"/>
  <c r="K483" i="22"/>
  <c r="M483" i="22" s="1"/>
  <c r="K482" i="22"/>
  <c r="K481" i="22"/>
  <c r="K480" i="22"/>
  <c r="M480" i="22" s="1"/>
  <c r="K479" i="22"/>
  <c r="M479" i="22" s="1"/>
  <c r="K478" i="22"/>
  <c r="K477" i="22"/>
  <c r="M477" i="22" s="1"/>
  <c r="K476" i="22"/>
  <c r="M476" i="22" s="1"/>
  <c r="K475" i="22"/>
  <c r="M475" i="22"/>
  <c r="K474" i="22"/>
  <c r="K473" i="22"/>
  <c r="M473" i="22" s="1"/>
  <c r="K472" i="22"/>
  <c r="M472" i="22"/>
  <c r="K471" i="22"/>
  <c r="M471" i="22" s="1"/>
  <c r="K470" i="22"/>
  <c r="K469" i="22"/>
  <c r="K468" i="22"/>
  <c r="K467" i="22"/>
  <c r="M467" i="22" s="1"/>
  <c r="K466" i="22"/>
  <c r="K465" i="22"/>
  <c r="M465" i="22" s="1"/>
  <c r="K464" i="22"/>
  <c r="M464" i="22" s="1"/>
  <c r="K463" i="22"/>
  <c r="M463" i="22" s="1"/>
  <c r="K462" i="22"/>
  <c r="M462" i="22" s="1"/>
  <c r="K461" i="22"/>
  <c r="M461" i="22" s="1"/>
  <c r="K460" i="22"/>
  <c r="K459" i="22"/>
  <c r="M459" i="22"/>
  <c r="K458" i="22"/>
  <c r="K457" i="22"/>
  <c r="M457" i="22" s="1"/>
  <c r="K456" i="22"/>
  <c r="M456" i="22"/>
  <c r="K455" i="22"/>
  <c r="M455" i="22" s="1"/>
  <c r="K454" i="22"/>
  <c r="K453" i="22"/>
  <c r="M453" i="22" s="1"/>
  <c r="K452" i="22"/>
  <c r="M452" i="22" s="1"/>
  <c r="K451" i="22"/>
  <c r="K450" i="22"/>
  <c r="K449" i="22"/>
  <c r="M449" i="22" s="1"/>
  <c r="K448" i="22"/>
  <c r="M448" i="22" s="1"/>
  <c r="K447" i="22"/>
  <c r="M447" i="22" s="1"/>
  <c r="K446" i="22"/>
  <c r="K445" i="22"/>
  <c r="M445" i="22" s="1"/>
  <c r="K444" i="22"/>
  <c r="M444" i="22" s="1"/>
  <c r="K443" i="22"/>
  <c r="M443" i="22" s="1"/>
  <c r="K442" i="22"/>
  <c r="K441" i="22"/>
  <c r="M441" i="22" s="1"/>
  <c r="K440" i="22"/>
  <c r="M440" i="22" s="1"/>
  <c r="K439" i="22"/>
  <c r="M439" i="22"/>
  <c r="K438" i="22"/>
  <c r="K437" i="22"/>
  <c r="M437" i="22" s="1"/>
  <c r="K436" i="22"/>
  <c r="M436" i="22" s="1"/>
  <c r="K435" i="22"/>
  <c r="M435" i="22" s="1"/>
  <c r="K434" i="22"/>
  <c r="K433" i="22"/>
  <c r="M433" i="22" s="1"/>
  <c r="K432" i="22"/>
  <c r="M432" i="22" s="1"/>
  <c r="K431" i="22"/>
  <c r="K430" i="22"/>
  <c r="K429" i="22"/>
  <c r="M429" i="22" s="1"/>
  <c r="K428" i="22"/>
  <c r="M428" i="22" s="1"/>
  <c r="K427" i="22"/>
  <c r="M427" i="22" s="1"/>
  <c r="K426" i="22"/>
  <c r="M426" i="22" s="1"/>
  <c r="K425" i="22"/>
  <c r="M425" i="22" s="1"/>
  <c r="K424" i="22"/>
  <c r="M424" i="22" s="1"/>
  <c r="K423" i="22"/>
  <c r="M423" i="22"/>
  <c r="K422" i="22"/>
  <c r="K421" i="22"/>
  <c r="K420" i="22"/>
  <c r="M420" i="22" s="1"/>
  <c r="K419" i="22"/>
  <c r="M419" i="22" s="1"/>
  <c r="K418" i="22"/>
  <c r="K417" i="22"/>
  <c r="M417" i="22" s="1"/>
  <c r="K416" i="22"/>
  <c r="M416" i="22"/>
  <c r="K415" i="22"/>
  <c r="M415" i="22" s="1"/>
  <c r="K414" i="22"/>
  <c r="K413" i="22"/>
  <c r="M413" i="22" s="1"/>
  <c r="K412" i="22"/>
  <c r="M412" i="22" s="1"/>
  <c r="K411" i="22"/>
  <c r="M411" i="22"/>
  <c r="K410" i="22"/>
  <c r="K409" i="22"/>
  <c r="M409" i="22" s="1"/>
  <c r="K408" i="22"/>
  <c r="M408" i="22"/>
  <c r="K407" i="22"/>
  <c r="M407" i="22"/>
  <c r="K406" i="22"/>
  <c r="K405" i="22"/>
  <c r="K404" i="22"/>
  <c r="M404" i="22" s="1"/>
  <c r="K403" i="22"/>
  <c r="M403" i="22" s="1"/>
  <c r="K402" i="22"/>
  <c r="M402" i="22" s="1"/>
  <c r="K401" i="22"/>
  <c r="M401" i="22" s="1"/>
  <c r="K400" i="22"/>
  <c r="M400" i="22" s="1"/>
  <c r="K399" i="22"/>
  <c r="M399" i="22" s="1"/>
  <c r="K398" i="22"/>
  <c r="K397" i="22"/>
  <c r="M397" i="22" s="1"/>
  <c r="K396" i="22"/>
  <c r="M396" i="22" s="1"/>
  <c r="K395" i="22"/>
  <c r="M395" i="22" s="1"/>
  <c r="K394" i="22"/>
  <c r="K393" i="22"/>
  <c r="K392" i="22"/>
  <c r="M392" i="22" s="1"/>
  <c r="K391" i="22"/>
  <c r="M391" i="22" s="1"/>
  <c r="K390" i="22"/>
  <c r="K389" i="22"/>
  <c r="M389" i="22" s="1"/>
  <c r="K388" i="22"/>
  <c r="M388" i="22" s="1"/>
  <c r="K387" i="22"/>
  <c r="M387" i="22" s="1"/>
  <c r="K386" i="22"/>
  <c r="K385" i="22"/>
  <c r="M385" i="22" s="1"/>
  <c r="K384" i="22"/>
  <c r="M384" i="22" s="1"/>
  <c r="K383" i="22"/>
  <c r="M383" i="22" s="1"/>
  <c r="K382" i="22"/>
  <c r="M382" i="22" s="1"/>
  <c r="K381" i="22"/>
  <c r="M381" i="22" s="1"/>
  <c r="K380" i="22"/>
  <c r="M380" i="22" s="1"/>
  <c r="K379" i="22"/>
  <c r="M379" i="22"/>
  <c r="K378" i="22"/>
  <c r="K377" i="22"/>
  <c r="M377" i="22" s="1"/>
  <c r="K376" i="22"/>
  <c r="M376" i="22"/>
  <c r="K375" i="22"/>
  <c r="M375" i="22"/>
  <c r="K374" i="22"/>
  <c r="K373" i="22"/>
  <c r="M373" i="22" s="1"/>
  <c r="K372" i="22"/>
  <c r="M372" i="22" s="1"/>
  <c r="K371" i="22"/>
  <c r="M371" i="22" s="1"/>
  <c r="K370" i="22"/>
  <c r="M370" i="22" s="1"/>
  <c r="K369" i="22"/>
  <c r="M369" i="22" s="1"/>
  <c r="K368" i="22"/>
  <c r="M368" i="22" s="1"/>
  <c r="K367" i="22"/>
  <c r="M367" i="22" s="1"/>
  <c r="K366" i="22"/>
  <c r="K365" i="22"/>
  <c r="M365" i="22" s="1"/>
  <c r="K364" i="22"/>
  <c r="M364" i="22" s="1"/>
  <c r="K363" i="22"/>
  <c r="M363" i="22" s="1"/>
  <c r="K362" i="22"/>
  <c r="K361" i="22"/>
  <c r="M361" i="22" s="1"/>
  <c r="K360" i="22"/>
  <c r="M360" i="22" s="1"/>
  <c r="K359" i="22"/>
  <c r="M359" i="22" s="1"/>
  <c r="K358" i="22"/>
  <c r="K357" i="22"/>
  <c r="M357" i="22" s="1"/>
  <c r="K356" i="22"/>
  <c r="M356" i="22" s="1"/>
  <c r="K355" i="22"/>
  <c r="M355" i="22" s="1"/>
  <c r="K354" i="22"/>
  <c r="K353" i="22"/>
  <c r="M353" i="22" s="1"/>
  <c r="K352" i="22"/>
  <c r="M352" i="22" s="1"/>
  <c r="K351" i="22"/>
  <c r="M351" i="22" s="1"/>
  <c r="K350" i="22"/>
  <c r="K349" i="22"/>
  <c r="M349" i="22" s="1"/>
  <c r="K348" i="22"/>
  <c r="M348" i="22" s="1"/>
  <c r="K347" i="22"/>
  <c r="M347" i="22"/>
  <c r="K346" i="22"/>
  <c r="K345" i="22"/>
  <c r="M345" i="22" s="1"/>
  <c r="K344" i="22"/>
  <c r="M344" i="22"/>
  <c r="K343" i="22"/>
  <c r="M343" i="22" s="1"/>
  <c r="K342" i="22"/>
  <c r="K341" i="22"/>
  <c r="K340" i="22"/>
  <c r="M340" i="22" s="1"/>
  <c r="K339" i="22"/>
  <c r="M339" i="22" s="1"/>
  <c r="K338" i="22"/>
  <c r="K337" i="22"/>
  <c r="M337" i="22" s="1"/>
  <c r="K336" i="22"/>
  <c r="M336" i="22" s="1"/>
  <c r="K335" i="22"/>
  <c r="M335" i="22" s="1"/>
  <c r="K334" i="22"/>
  <c r="K333" i="22"/>
  <c r="M333" i="22" s="1"/>
  <c r="K332" i="22"/>
  <c r="M332" i="22" s="1"/>
  <c r="K331" i="22"/>
  <c r="M331" i="22" s="1"/>
  <c r="K330" i="22"/>
  <c r="K329" i="22"/>
  <c r="M329" i="22" s="1"/>
  <c r="K328" i="22"/>
  <c r="M328" i="22" s="1"/>
  <c r="K327" i="22"/>
  <c r="M327" i="22" s="1"/>
  <c r="K326" i="22"/>
  <c r="M326" i="22" s="1"/>
  <c r="K325" i="22"/>
  <c r="M325" i="22" s="1"/>
  <c r="K324" i="22"/>
  <c r="M324" i="22" s="1"/>
  <c r="K323" i="22"/>
  <c r="M323" i="22" s="1"/>
  <c r="K322" i="22"/>
  <c r="M322" i="22" s="1"/>
  <c r="K321" i="22"/>
  <c r="M321" i="22" s="1"/>
  <c r="K320" i="22"/>
  <c r="M320" i="22" s="1"/>
  <c r="K319" i="22"/>
  <c r="M319" i="22"/>
  <c r="K318" i="22"/>
  <c r="K317" i="22"/>
  <c r="K316" i="22"/>
  <c r="M316" i="22" s="1"/>
  <c r="K315" i="22"/>
  <c r="M315" i="22" s="1"/>
  <c r="K314" i="22"/>
  <c r="K313" i="22"/>
  <c r="M313" i="22" s="1"/>
  <c r="K312" i="22"/>
  <c r="M312" i="22" s="1"/>
  <c r="K311" i="22"/>
  <c r="M311" i="22"/>
  <c r="K310" i="22"/>
  <c r="M310" i="22" s="1"/>
  <c r="K309" i="22"/>
  <c r="K308" i="22"/>
  <c r="M308" i="22" s="1"/>
  <c r="K307" i="22"/>
  <c r="M307" i="22"/>
  <c r="K306" i="22"/>
  <c r="K305" i="22"/>
  <c r="K304" i="22"/>
  <c r="M304" i="22"/>
  <c r="K303" i="22"/>
  <c r="M303" i="22" s="1"/>
  <c r="K302" i="22"/>
  <c r="K301" i="22"/>
  <c r="M301" i="22" s="1"/>
  <c r="K300" i="22"/>
  <c r="M300" i="22" s="1"/>
  <c r="K299" i="22"/>
  <c r="M299" i="22" s="1"/>
  <c r="K298" i="22"/>
  <c r="K297" i="22"/>
  <c r="M297" i="22" s="1"/>
  <c r="K296" i="22"/>
  <c r="M296" i="22" s="1"/>
  <c r="K295" i="22"/>
  <c r="M295" i="22" s="1"/>
  <c r="K294" i="22"/>
  <c r="K293" i="22"/>
  <c r="M293" i="22" s="1"/>
  <c r="K292" i="22"/>
  <c r="M292" i="22" s="1"/>
  <c r="K291" i="22"/>
  <c r="M291" i="22" s="1"/>
  <c r="K290" i="22"/>
  <c r="K289" i="22"/>
  <c r="K288" i="22"/>
  <c r="M288" i="22" s="1"/>
  <c r="K287" i="22"/>
  <c r="M287" i="22" s="1"/>
  <c r="K286" i="22"/>
  <c r="K285" i="22"/>
  <c r="M285" i="22" s="1"/>
  <c r="K284" i="22"/>
  <c r="M284" i="22" s="1"/>
  <c r="K283" i="22"/>
  <c r="M283" i="22"/>
  <c r="K282" i="22"/>
  <c r="M282" i="22" s="1"/>
  <c r="K281" i="22"/>
  <c r="M281" i="22" s="1"/>
  <c r="K280" i="22"/>
  <c r="M280" i="22"/>
  <c r="K279" i="22"/>
  <c r="M279" i="22" s="1"/>
  <c r="K278" i="22"/>
  <c r="K277" i="22"/>
  <c r="K276" i="22"/>
  <c r="K275" i="22"/>
  <c r="M275" i="22" s="1"/>
  <c r="K274" i="22"/>
  <c r="K273" i="22"/>
  <c r="M273" i="22" s="1"/>
  <c r="K272" i="22"/>
  <c r="M272" i="22" s="1"/>
  <c r="K271" i="22"/>
  <c r="M271" i="22" s="1"/>
  <c r="K270" i="22"/>
  <c r="K269" i="22"/>
  <c r="M269" i="22" s="1"/>
  <c r="K268" i="22"/>
  <c r="K267" i="22"/>
  <c r="M267" i="22" s="1"/>
  <c r="K266" i="22"/>
  <c r="M266" i="22" s="1"/>
  <c r="K265" i="22"/>
  <c r="M265" i="22" s="1"/>
  <c r="K264" i="22"/>
  <c r="M264" i="22" s="1"/>
  <c r="K263" i="22"/>
  <c r="M263" i="22" s="1"/>
  <c r="K262" i="22"/>
  <c r="K261" i="22"/>
  <c r="M261" i="22" s="1"/>
  <c r="K260" i="22"/>
  <c r="M260" i="22" s="1"/>
  <c r="K259" i="22"/>
  <c r="K258" i="22"/>
  <c r="K257" i="22"/>
  <c r="M257" i="22" s="1"/>
  <c r="K256" i="22"/>
  <c r="M256" i="22" s="1"/>
  <c r="K255" i="22"/>
  <c r="M255" i="22" s="1"/>
  <c r="K254" i="22"/>
  <c r="K253" i="22"/>
  <c r="M253" i="22" s="1"/>
  <c r="K252" i="22"/>
  <c r="M252" i="22" s="1"/>
  <c r="K251" i="22"/>
  <c r="M251" i="22" s="1"/>
  <c r="K250" i="22"/>
  <c r="K249" i="22"/>
  <c r="M249" i="22" s="1"/>
  <c r="K248" i="22"/>
  <c r="M248" i="22" s="1"/>
  <c r="K247" i="22"/>
  <c r="M247" i="22"/>
  <c r="K246" i="22"/>
  <c r="K245" i="22"/>
  <c r="K244" i="22"/>
  <c r="M244" i="22" s="1"/>
  <c r="K243" i="22"/>
  <c r="M243" i="22" s="1"/>
  <c r="K242" i="22"/>
  <c r="K241" i="22"/>
  <c r="M241" i="22" s="1"/>
  <c r="K240" i="22"/>
  <c r="M240" i="22" s="1"/>
  <c r="K239" i="22"/>
  <c r="M239" i="22" s="1"/>
  <c r="K238" i="22"/>
  <c r="K237" i="22"/>
  <c r="M237" i="22" s="1"/>
  <c r="K236" i="22"/>
  <c r="M236" i="22" s="1"/>
  <c r="K235" i="22"/>
  <c r="M235" i="22" s="1"/>
  <c r="K234" i="22"/>
  <c r="K233" i="22"/>
  <c r="M233" i="22" s="1"/>
  <c r="K232" i="22"/>
  <c r="M232" i="22" s="1"/>
  <c r="K231" i="22"/>
  <c r="M231" i="22" s="1"/>
  <c r="K230" i="22"/>
  <c r="K229" i="22"/>
  <c r="M229" i="22" s="1"/>
  <c r="K228" i="22"/>
  <c r="K227" i="22"/>
  <c r="M227" i="22" s="1"/>
  <c r="K226" i="22"/>
  <c r="M226" i="22" s="1"/>
  <c r="K225" i="22"/>
  <c r="M225" i="22" s="1"/>
  <c r="K224" i="22"/>
  <c r="M224" i="22" s="1"/>
  <c r="K223" i="22"/>
  <c r="M223" i="22" s="1"/>
  <c r="K222" i="22"/>
  <c r="M222" i="22" s="1"/>
  <c r="K221" i="22"/>
  <c r="M221" i="22" s="1"/>
  <c r="K220" i="22"/>
  <c r="M220" i="22" s="1"/>
  <c r="K219" i="22"/>
  <c r="M219" i="22"/>
  <c r="K218" i="22"/>
  <c r="K217" i="22"/>
  <c r="M217" i="22" s="1"/>
  <c r="K216" i="22"/>
  <c r="M216" i="22"/>
  <c r="K215" i="22"/>
  <c r="M215" i="22" s="1"/>
  <c r="K214" i="22"/>
  <c r="K213" i="22"/>
  <c r="M213" i="22" s="1"/>
  <c r="K212" i="22"/>
  <c r="M212" i="22" s="1"/>
  <c r="K211" i="22"/>
  <c r="M211" i="22" s="1"/>
  <c r="K210" i="22"/>
  <c r="M210" i="22" s="1"/>
  <c r="K209" i="22"/>
  <c r="M209" i="22" s="1"/>
  <c r="K208" i="22"/>
  <c r="M208" i="22" s="1"/>
  <c r="K207" i="22"/>
  <c r="M207" i="22" s="1"/>
  <c r="K206" i="22"/>
  <c r="K205" i="22"/>
  <c r="M205" i="22" s="1"/>
  <c r="K204" i="22"/>
  <c r="M204" i="22" s="1"/>
  <c r="K203" i="22"/>
  <c r="M203" i="22"/>
  <c r="K202" i="22"/>
  <c r="K201" i="22"/>
  <c r="M201" i="22" s="1"/>
  <c r="K200" i="22"/>
  <c r="M200" i="22"/>
  <c r="K199" i="22"/>
  <c r="M199" i="22" s="1"/>
  <c r="K198" i="22"/>
  <c r="K197" i="22"/>
  <c r="K196" i="22"/>
  <c r="M196" i="22" s="1"/>
  <c r="K195" i="22"/>
  <c r="M195" i="22" s="1"/>
  <c r="K194" i="22"/>
  <c r="K193" i="22"/>
  <c r="M193" i="22" s="1"/>
  <c r="K192" i="22"/>
  <c r="M192" i="22" s="1"/>
  <c r="K191" i="22"/>
  <c r="M191" i="22" s="1"/>
  <c r="K190" i="22"/>
  <c r="K189" i="22"/>
  <c r="K188" i="22"/>
  <c r="M188" i="22" s="1"/>
  <c r="K187" i="22"/>
  <c r="M187" i="22" s="1"/>
  <c r="K186" i="22"/>
  <c r="K185" i="22"/>
  <c r="M185" i="22" s="1"/>
  <c r="K184" i="22"/>
  <c r="M184" i="22" s="1"/>
  <c r="K183" i="22"/>
  <c r="M183" i="22"/>
  <c r="K182" i="22"/>
  <c r="K181" i="22"/>
  <c r="K180" i="22"/>
  <c r="M180" i="22" s="1"/>
  <c r="K179" i="22"/>
  <c r="M179" i="22" s="1"/>
  <c r="K178" i="22"/>
  <c r="K177" i="22"/>
  <c r="K176" i="22"/>
  <c r="M176" i="22" s="1"/>
  <c r="K175" i="22"/>
  <c r="M175" i="22" s="1"/>
  <c r="K174" i="22"/>
  <c r="K173" i="22"/>
  <c r="M173" i="22" s="1"/>
  <c r="K172" i="22"/>
  <c r="M172" i="22" s="1"/>
  <c r="K171" i="22"/>
  <c r="M171" i="22" s="1"/>
  <c r="K170" i="22"/>
  <c r="M170" i="22" s="1"/>
  <c r="K169" i="22"/>
  <c r="M169" i="22" s="1"/>
  <c r="K168" i="22"/>
  <c r="M168" i="22" s="1"/>
  <c r="K167" i="22"/>
  <c r="M167" i="22" s="1"/>
  <c r="K166" i="22"/>
  <c r="K165" i="22"/>
  <c r="M165" i="22" s="1"/>
  <c r="K164" i="22"/>
  <c r="M164" i="22" s="1"/>
  <c r="K163" i="22"/>
  <c r="M163" i="22" s="1"/>
  <c r="K162" i="22"/>
  <c r="K161" i="22"/>
  <c r="K160" i="22"/>
  <c r="M160" i="22" s="1"/>
  <c r="K159" i="22"/>
  <c r="M159" i="22" s="1"/>
  <c r="K158" i="22"/>
  <c r="K157" i="22"/>
  <c r="M157" i="22" s="1"/>
  <c r="K156" i="22"/>
  <c r="M156" i="22" s="1"/>
  <c r="K155" i="22"/>
  <c r="M155" i="22"/>
  <c r="K154" i="22"/>
  <c r="M154" i="22" s="1"/>
  <c r="K153" i="22"/>
  <c r="M153" i="22" s="1"/>
  <c r="K152" i="22"/>
  <c r="M152" i="22"/>
  <c r="K151" i="22"/>
  <c r="M151" i="22" s="1"/>
  <c r="K150" i="22"/>
  <c r="K149" i="22"/>
  <c r="K148" i="22"/>
  <c r="M148" i="22" s="1"/>
  <c r="K147" i="22"/>
  <c r="M147" i="22" s="1"/>
  <c r="K146" i="22"/>
  <c r="K145" i="22"/>
  <c r="M145" i="22" s="1"/>
  <c r="K144" i="22"/>
  <c r="M144" i="22" s="1"/>
  <c r="K143" i="22"/>
  <c r="M143" i="22" s="1"/>
  <c r="K142" i="22"/>
  <c r="M142" i="22" s="1"/>
  <c r="K141" i="22"/>
  <c r="M141" i="22" s="1"/>
  <c r="K140" i="22"/>
  <c r="M140" i="22" s="1"/>
  <c r="K139" i="22"/>
  <c r="M139" i="22" s="1"/>
  <c r="K138" i="22"/>
  <c r="K137" i="22"/>
  <c r="M137" i="22" s="1"/>
  <c r="K136" i="22"/>
  <c r="M136" i="22" s="1"/>
  <c r="K135" i="22"/>
  <c r="M135" i="22" s="1"/>
  <c r="K134" i="22"/>
  <c r="K133" i="22"/>
  <c r="M133" i="22" s="1"/>
  <c r="K132" i="22"/>
  <c r="M132" i="22" s="1"/>
  <c r="K131" i="22"/>
  <c r="M131" i="22" s="1"/>
  <c r="K130" i="22"/>
  <c r="K129" i="22"/>
  <c r="M129" i="22" s="1"/>
  <c r="K128" i="22"/>
  <c r="M128" i="22" s="1"/>
  <c r="K127" i="22"/>
  <c r="M127" i="22" s="1"/>
  <c r="K126" i="22"/>
  <c r="K125" i="22"/>
  <c r="M125" i="22" s="1"/>
  <c r="K124" i="22"/>
  <c r="M124" i="22" s="1"/>
  <c r="K123" i="22"/>
  <c r="M123" i="22" s="1"/>
  <c r="K122" i="22"/>
  <c r="K121" i="22"/>
  <c r="M121" i="22" s="1"/>
  <c r="K120" i="22"/>
  <c r="M120" i="22" s="1"/>
  <c r="K119" i="22"/>
  <c r="M119" i="22"/>
  <c r="K118" i="22"/>
  <c r="K117" i="22"/>
  <c r="M117" i="22" s="1"/>
  <c r="K116" i="22"/>
  <c r="M116" i="22" s="1"/>
  <c r="K115" i="22"/>
  <c r="M115" i="22" s="1"/>
  <c r="K114" i="22"/>
  <c r="K113" i="22"/>
  <c r="M113" i="22" s="1"/>
  <c r="K112" i="22"/>
  <c r="M112" i="22" s="1"/>
  <c r="K111" i="22"/>
  <c r="K110" i="22"/>
  <c r="K109" i="22"/>
  <c r="M109" i="22" s="1"/>
  <c r="K108" i="22"/>
  <c r="M108" i="22" s="1"/>
  <c r="K107" i="22"/>
  <c r="M107" i="22" s="1"/>
  <c r="K106" i="22"/>
  <c r="M106" i="22" s="1"/>
  <c r="K105" i="22"/>
  <c r="M105" i="22" s="1"/>
  <c r="K104" i="22"/>
  <c r="M104" i="22" s="1"/>
  <c r="K103" i="22"/>
  <c r="M103" i="22" s="1"/>
  <c r="K102" i="22"/>
  <c r="K101" i="22"/>
  <c r="M101" i="22" s="1"/>
  <c r="K100" i="22"/>
  <c r="M100" i="22" s="1"/>
  <c r="K99" i="22"/>
  <c r="M99" i="22" s="1"/>
  <c r="K98" i="22"/>
  <c r="K97" i="22"/>
  <c r="M97" i="22" s="1"/>
  <c r="K96" i="22"/>
  <c r="M96" i="22" s="1"/>
  <c r="K95" i="22"/>
  <c r="M95" i="22" s="1"/>
  <c r="K94" i="22"/>
  <c r="M94" i="22" s="1"/>
  <c r="K93" i="22"/>
  <c r="M93" i="22" s="1"/>
  <c r="K92" i="22"/>
  <c r="M92" i="22" s="1"/>
  <c r="K91" i="22"/>
  <c r="M91" i="22"/>
  <c r="K90" i="22"/>
  <c r="M90" i="22" s="1"/>
  <c r="K89" i="22"/>
  <c r="M89" i="22" s="1"/>
  <c r="K88" i="22"/>
  <c r="M88" i="22"/>
  <c r="K87" i="22"/>
  <c r="M87" i="22" s="1"/>
  <c r="K86" i="22"/>
  <c r="K85" i="22"/>
  <c r="M85" i="22" s="1"/>
  <c r="K84" i="22"/>
  <c r="K83" i="22"/>
  <c r="M83" i="22" s="1"/>
  <c r="K82" i="22"/>
  <c r="K81" i="22"/>
  <c r="M81" i="22" s="1"/>
  <c r="K80" i="22"/>
  <c r="M80" i="22" s="1"/>
  <c r="K79" i="22"/>
  <c r="M79" i="22" s="1"/>
  <c r="K78" i="22"/>
  <c r="M78" i="22" s="1"/>
  <c r="K77" i="22"/>
  <c r="M77" i="22" s="1"/>
  <c r="K76" i="22"/>
  <c r="K75" i="22"/>
  <c r="M75" i="22" s="1"/>
  <c r="K74" i="22"/>
  <c r="K73" i="22"/>
  <c r="M73" i="22" s="1"/>
  <c r="K72" i="22"/>
  <c r="M72" i="22" s="1"/>
  <c r="K71" i="22"/>
  <c r="M71" i="22" s="1"/>
  <c r="K70" i="22"/>
  <c r="K69" i="22"/>
  <c r="M69" i="22" s="1"/>
  <c r="K68" i="22"/>
  <c r="M68" i="22" s="1"/>
  <c r="K67" i="22"/>
  <c r="M67" i="22" s="1"/>
  <c r="K66" i="22"/>
  <c r="K65" i="22"/>
  <c r="M65" i="22" s="1"/>
  <c r="K64" i="22"/>
  <c r="M64" i="22" s="1"/>
  <c r="K63" i="22"/>
  <c r="M63" i="22" s="1"/>
  <c r="K62" i="22"/>
  <c r="K61" i="22"/>
  <c r="M61" i="22" s="1"/>
  <c r="K60" i="22"/>
  <c r="M60" i="22" s="1"/>
  <c r="K59" i="22"/>
  <c r="M59" i="22" s="1"/>
  <c r="K58" i="22"/>
  <c r="K57" i="22"/>
  <c r="M57" i="22" s="1"/>
  <c r="K56" i="22"/>
  <c r="M56" i="22" s="1"/>
  <c r="K55" i="22"/>
  <c r="M55" i="22"/>
  <c r="K54" i="22"/>
  <c r="M54" i="22" s="1"/>
  <c r="K53" i="22"/>
  <c r="M53" i="22" s="1"/>
  <c r="K52" i="22"/>
  <c r="M52" i="22" s="1"/>
  <c r="K51" i="22"/>
  <c r="M51" i="22" s="1"/>
  <c r="K50" i="22"/>
  <c r="M50" i="22"/>
  <c r="K49" i="22"/>
  <c r="M49" i="22" s="1"/>
  <c r="K48" i="22"/>
  <c r="K47" i="22"/>
  <c r="M47" i="22"/>
  <c r="K46" i="22"/>
  <c r="M46" i="22" s="1"/>
  <c r="K45" i="22"/>
  <c r="M45" i="22" s="1"/>
  <c r="K44" i="22"/>
  <c r="M44" i="22" s="1"/>
  <c r="K43" i="22"/>
  <c r="M43" i="22" s="1"/>
  <c r="K42" i="22"/>
  <c r="M42" i="22" s="1"/>
  <c r="K41" i="22"/>
  <c r="M41" i="22" s="1"/>
  <c r="K40" i="22"/>
  <c r="M40" i="22"/>
  <c r="K39" i="22"/>
  <c r="M39" i="22" s="1"/>
  <c r="K38" i="22"/>
  <c r="M38" i="22" s="1"/>
  <c r="K37" i="22"/>
  <c r="M37" i="22" s="1"/>
  <c r="K36" i="22"/>
  <c r="M36" i="22" s="1"/>
  <c r="K35" i="22"/>
  <c r="M35" i="22"/>
  <c r="K34" i="22"/>
  <c r="M34" i="22" s="1"/>
  <c r="K33" i="22"/>
  <c r="M33" i="22" s="1"/>
  <c r="K32" i="22"/>
  <c r="M32" i="22" s="1"/>
  <c r="K31" i="22"/>
  <c r="M31" i="22" s="1"/>
  <c r="K30" i="22"/>
  <c r="M30" i="22" s="1"/>
  <c r="K29" i="22"/>
  <c r="M29" i="22" s="1"/>
  <c r="K28" i="22"/>
  <c r="M28" i="22"/>
  <c r="K27" i="22"/>
  <c r="M27" i="22" s="1"/>
  <c r="K26" i="22"/>
  <c r="M26" i="22"/>
  <c r="K25" i="22"/>
  <c r="M25" i="22" s="1"/>
  <c r="K24" i="22"/>
  <c r="M24" i="22" s="1"/>
  <c r="K23" i="22"/>
  <c r="M23" i="22" s="1"/>
  <c r="K22" i="22"/>
  <c r="M22" i="22" s="1"/>
  <c r="K21" i="22"/>
  <c r="M21" i="22" s="1"/>
  <c r="K20" i="22"/>
  <c r="M20" i="22" s="1"/>
  <c r="K19" i="22"/>
  <c r="M19" i="22" s="1"/>
  <c r="K18" i="22"/>
  <c r="M18" i="22" s="1"/>
  <c r="K17" i="22"/>
  <c r="K16" i="22"/>
  <c r="M16" i="22"/>
  <c r="K15" i="22"/>
  <c r="M15" i="22" s="1"/>
  <c r="K14" i="22"/>
  <c r="M14" i="22"/>
  <c r="K13" i="22"/>
  <c r="M13" i="22" s="1"/>
  <c r="K10" i="22"/>
  <c r="K9" i="22"/>
  <c r="K498" i="21"/>
  <c r="M498" i="21" s="1"/>
  <c r="K497" i="21"/>
  <c r="M497" i="21" s="1"/>
  <c r="K496" i="21"/>
  <c r="M496" i="21" s="1"/>
  <c r="K495" i="21"/>
  <c r="M495" i="21" s="1"/>
  <c r="K490" i="21"/>
  <c r="M490" i="21" s="1"/>
  <c r="K489" i="21"/>
  <c r="M489" i="21"/>
  <c r="K488" i="21"/>
  <c r="M488" i="21" s="1"/>
  <c r="K487" i="21"/>
  <c r="M487" i="21"/>
  <c r="K486" i="21"/>
  <c r="M486" i="21" s="1"/>
  <c r="K485" i="21"/>
  <c r="M485" i="21" s="1"/>
  <c r="K484" i="21"/>
  <c r="M484" i="21"/>
  <c r="K483" i="21"/>
  <c r="M483" i="21" s="1"/>
  <c r="K482" i="21"/>
  <c r="M482" i="21" s="1"/>
  <c r="K481" i="21"/>
  <c r="M481" i="21" s="1"/>
  <c r="K480" i="21"/>
  <c r="M480" i="21"/>
  <c r="K479" i="21"/>
  <c r="M479" i="21" s="1"/>
  <c r="K478" i="21"/>
  <c r="K477" i="21"/>
  <c r="M477" i="21" s="1"/>
  <c r="K476" i="21"/>
  <c r="M476" i="21" s="1"/>
  <c r="K475" i="21"/>
  <c r="M475" i="21"/>
  <c r="K474" i="21"/>
  <c r="M474" i="21" s="1"/>
  <c r="K473" i="21"/>
  <c r="M473" i="21" s="1"/>
  <c r="K472" i="21"/>
  <c r="M472" i="21"/>
  <c r="K471" i="21"/>
  <c r="M471" i="21" s="1"/>
  <c r="K470" i="21"/>
  <c r="M470" i="21" s="1"/>
  <c r="K469" i="21"/>
  <c r="M469" i="21" s="1"/>
  <c r="K468" i="21"/>
  <c r="M468" i="21"/>
  <c r="K467" i="21"/>
  <c r="M467" i="21" s="1"/>
  <c r="K466" i="21"/>
  <c r="K465" i="21"/>
  <c r="M465" i="21" s="1"/>
  <c r="K464" i="21"/>
  <c r="M464" i="21" s="1"/>
  <c r="K463" i="21"/>
  <c r="M463" i="21"/>
  <c r="K462" i="21"/>
  <c r="M462" i="21" s="1"/>
  <c r="K461" i="21"/>
  <c r="M461" i="21"/>
  <c r="K460" i="21"/>
  <c r="M460" i="21" s="1"/>
  <c r="K459" i="21"/>
  <c r="M459" i="21" s="1"/>
  <c r="K458" i="21"/>
  <c r="M458" i="21"/>
  <c r="K457" i="21"/>
  <c r="M457" i="21" s="1"/>
  <c r="K456" i="21"/>
  <c r="M456" i="21" s="1"/>
  <c r="K455" i="21"/>
  <c r="M455" i="21" s="1"/>
  <c r="K454" i="21"/>
  <c r="M454" i="21"/>
  <c r="K453" i="21"/>
  <c r="M453" i="21" s="1"/>
  <c r="K452" i="21"/>
  <c r="K451" i="21"/>
  <c r="M451" i="21"/>
  <c r="K450" i="21"/>
  <c r="M450" i="21" s="1"/>
  <c r="K449" i="21"/>
  <c r="M449" i="21"/>
  <c r="K448" i="21"/>
  <c r="M448" i="21" s="1"/>
  <c r="K447" i="21"/>
  <c r="M447" i="21"/>
  <c r="K446" i="21"/>
  <c r="M446" i="21" s="1"/>
  <c r="K445" i="21"/>
  <c r="M445" i="21"/>
  <c r="K444" i="21"/>
  <c r="M444" i="21" s="1"/>
  <c r="K443" i="21"/>
  <c r="M443" i="21" s="1"/>
  <c r="K442" i="21"/>
  <c r="M442" i="21" s="1"/>
  <c r="K441" i="21"/>
  <c r="M441" i="21" s="1"/>
  <c r="K440" i="21"/>
  <c r="M440" i="21" s="1"/>
  <c r="K439" i="21"/>
  <c r="M439" i="21" s="1"/>
  <c r="K438" i="21"/>
  <c r="M438" i="21"/>
  <c r="K437" i="21"/>
  <c r="M437" i="21" s="1"/>
  <c r="K436" i="21"/>
  <c r="K435" i="21"/>
  <c r="M435" i="21" s="1"/>
  <c r="K434" i="21"/>
  <c r="M434" i="21" s="1"/>
  <c r="K433" i="21"/>
  <c r="M433" i="21" s="1"/>
  <c r="K432" i="21"/>
  <c r="M432" i="21" s="1"/>
  <c r="K431" i="21"/>
  <c r="M431" i="21"/>
  <c r="K430" i="21"/>
  <c r="M430" i="21" s="1"/>
  <c r="K429" i="21"/>
  <c r="M429" i="21"/>
  <c r="K428" i="21"/>
  <c r="M428" i="21" s="1"/>
  <c r="K427" i="21"/>
  <c r="M427" i="21" s="1"/>
  <c r="K426" i="21"/>
  <c r="M426" i="21"/>
  <c r="K425" i="21"/>
  <c r="M425" i="21" s="1"/>
  <c r="K424" i="21"/>
  <c r="M424" i="21" s="1"/>
  <c r="K423" i="21"/>
  <c r="M423" i="21" s="1"/>
  <c r="K422" i="21"/>
  <c r="M422" i="21"/>
  <c r="K421" i="21"/>
  <c r="M421" i="21" s="1"/>
  <c r="K420" i="21"/>
  <c r="K419" i="21"/>
  <c r="M419" i="21"/>
  <c r="K418" i="21"/>
  <c r="M418" i="21" s="1"/>
  <c r="K417" i="21"/>
  <c r="M417" i="21"/>
  <c r="K416" i="21"/>
  <c r="M416" i="21" s="1"/>
  <c r="K415" i="21"/>
  <c r="M415" i="21"/>
  <c r="K414" i="21"/>
  <c r="M414" i="21" s="1"/>
  <c r="K413" i="21"/>
  <c r="M413" i="21"/>
  <c r="K412" i="21"/>
  <c r="M412" i="21" s="1"/>
  <c r="K411" i="21"/>
  <c r="M411" i="21"/>
  <c r="K410" i="21"/>
  <c r="M410" i="21" s="1"/>
  <c r="K409" i="21"/>
  <c r="M409" i="21"/>
  <c r="K408" i="21"/>
  <c r="M408" i="21" s="1"/>
  <c r="K407" i="21"/>
  <c r="M407" i="21"/>
  <c r="K406" i="21"/>
  <c r="M406" i="21" s="1"/>
  <c r="K405" i="21"/>
  <c r="M405" i="21"/>
  <c r="K404" i="21"/>
  <c r="M404" i="21" s="1"/>
  <c r="K403" i="21"/>
  <c r="M403" i="21"/>
  <c r="K402" i="21"/>
  <c r="M402" i="21" s="1"/>
  <c r="K401" i="21"/>
  <c r="M401" i="21"/>
  <c r="K400" i="21"/>
  <c r="M400" i="21" s="1"/>
  <c r="K399" i="21"/>
  <c r="M399" i="21"/>
  <c r="K398" i="21"/>
  <c r="M398" i="21" s="1"/>
  <c r="K397" i="21"/>
  <c r="M397" i="21"/>
  <c r="K396" i="21"/>
  <c r="M396" i="21" s="1"/>
  <c r="K395" i="21"/>
  <c r="M395" i="21"/>
  <c r="K394" i="21"/>
  <c r="M394" i="21" s="1"/>
  <c r="K393" i="21"/>
  <c r="M393" i="21"/>
  <c r="K392" i="21"/>
  <c r="M392" i="21" s="1"/>
  <c r="K391" i="21"/>
  <c r="M391" i="21"/>
  <c r="K390" i="21"/>
  <c r="M390" i="21" s="1"/>
  <c r="K389" i="21"/>
  <c r="M389" i="21"/>
  <c r="K388" i="21"/>
  <c r="M388" i="21" s="1"/>
  <c r="K387" i="21"/>
  <c r="M387" i="21"/>
  <c r="K386" i="21"/>
  <c r="M386" i="21" s="1"/>
  <c r="K385" i="21"/>
  <c r="M385" i="21"/>
  <c r="K384" i="21"/>
  <c r="M384" i="21" s="1"/>
  <c r="K383" i="21"/>
  <c r="M383" i="21"/>
  <c r="K382" i="21"/>
  <c r="M382" i="21" s="1"/>
  <c r="K381" i="21"/>
  <c r="M381" i="21"/>
  <c r="K380" i="21"/>
  <c r="M380" i="21" s="1"/>
  <c r="K379" i="21"/>
  <c r="M379" i="21"/>
  <c r="K378" i="21"/>
  <c r="M378" i="21" s="1"/>
  <c r="K377" i="21"/>
  <c r="M377" i="21"/>
  <c r="K376" i="21"/>
  <c r="M376" i="21" s="1"/>
  <c r="K375" i="21"/>
  <c r="M375" i="21"/>
  <c r="K374" i="21"/>
  <c r="M374" i="21" s="1"/>
  <c r="K373" i="21"/>
  <c r="M373" i="21"/>
  <c r="K372" i="21"/>
  <c r="M372" i="21" s="1"/>
  <c r="K371" i="21"/>
  <c r="M371" i="21"/>
  <c r="K370" i="21"/>
  <c r="M370" i="21" s="1"/>
  <c r="K369" i="21"/>
  <c r="M369" i="21"/>
  <c r="K368" i="21"/>
  <c r="M368" i="21" s="1"/>
  <c r="K367" i="21"/>
  <c r="M367" i="21"/>
  <c r="K366" i="21"/>
  <c r="M366" i="21" s="1"/>
  <c r="K365" i="21"/>
  <c r="M365" i="21"/>
  <c r="K364" i="21"/>
  <c r="M364" i="21" s="1"/>
  <c r="K363" i="21"/>
  <c r="M363" i="21"/>
  <c r="K362" i="21"/>
  <c r="M362" i="21" s="1"/>
  <c r="K361" i="21"/>
  <c r="M361" i="21"/>
  <c r="K360" i="21"/>
  <c r="M360" i="21" s="1"/>
  <c r="K359" i="21"/>
  <c r="M359" i="21"/>
  <c r="K358" i="21"/>
  <c r="M358" i="21" s="1"/>
  <c r="K357" i="21"/>
  <c r="M357" i="21"/>
  <c r="K356" i="21"/>
  <c r="M356" i="21" s="1"/>
  <c r="K355" i="21"/>
  <c r="M355" i="21"/>
  <c r="K354" i="21"/>
  <c r="M354" i="21" s="1"/>
  <c r="K353" i="21"/>
  <c r="M353" i="21"/>
  <c r="K352" i="21"/>
  <c r="M352" i="21" s="1"/>
  <c r="K351" i="21"/>
  <c r="M351" i="21"/>
  <c r="K350" i="21"/>
  <c r="M350" i="21" s="1"/>
  <c r="K349" i="21"/>
  <c r="M349" i="21"/>
  <c r="K348" i="21"/>
  <c r="M348" i="21" s="1"/>
  <c r="K347" i="21"/>
  <c r="M347" i="21"/>
  <c r="K346" i="21"/>
  <c r="M346" i="21" s="1"/>
  <c r="K345" i="21"/>
  <c r="M345" i="21"/>
  <c r="K344" i="21"/>
  <c r="M344" i="21" s="1"/>
  <c r="K343" i="21"/>
  <c r="M343" i="21"/>
  <c r="K342" i="21"/>
  <c r="M342" i="21" s="1"/>
  <c r="K341" i="21"/>
  <c r="M341" i="21"/>
  <c r="K340" i="21"/>
  <c r="M340" i="21" s="1"/>
  <c r="K339" i="21"/>
  <c r="M339" i="21"/>
  <c r="K338" i="21"/>
  <c r="M338" i="21" s="1"/>
  <c r="K337" i="21"/>
  <c r="M337" i="21"/>
  <c r="K336" i="21"/>
  <c r="M336" i="21" s="1"/>
  <c r="K335" i="21"/>
  <c r="M335" i="21"/>
  <c r="K334" i="21"/>
  <c r="M334" i="21" s="1"/>
  <c r="K333" i="21"/>
  <c r="M333" i="21"/>
  <c r="K332" i="21"/>
  <c r="M332" i="21" s="1"/>
  <c r="K331" i="21"/>
  <c r="M331" i="21"/>
  <c r="K330" i="21"/>
  <c r="M330" i="21" s="1"/>
  <c r="K329" i="21"/>
  <c r="M329" i="21"/>
  <c r="K328" i="21"/>
  <c r="M328" i="21" s="1"/>
  <c r="K327" i="21"/>
  <c r="M327" i="21"/>
  <c r="K326" i="21"/>
  <c r="M326" i="21" s="1"/>
  <c r="K325" i="21"/>
  <c r="M325" i="21"/>
  <c r="K324" i="21"/>
  <c r="M324" i="21" s="1"/>
  <c r="K323" i="21"/>
  <c r="M323" i="21"/>
  <c r="K322" i="21"/>
  <c r="M322" i="21" s="1"/>
  <c r="K321" i="21"/>
  <c r="M321" i="21"/>
  <c r="K320" i="21"/>
  <c r="M320" i="21" s="1"/>
  <c r="K319" i="21"/>
  <c r="M319" i="21"/>
  <c r="K318" i="21"/>
  <c r="M318" i="21" s="1"/>
  <c r="K317" i="21"/>
  <c r="M317" i="21"/>
  <c r="K316" i="21"/>
  <c r="M316" i="21" s="1"/>
  <c r="K315" i="21"/>
  <c r="M315" i="21"/>
  <c r="K314" i="21"/>
  <c r="M314" i="21" s="1"/>
  <c r="K313" i="21"/>
  <c r="M313" i="21"/>
  <c r="K312" i="21"/>
  <c r="M312" i="21" s="1"/>
  <c r="K311" i="21"/>
  <c r="M311" i="21"/>
  <c r="K310" i="21"/>
  <c r="M310" i="21" s="1"/>
  <c r="K309" i="21"/>
  <c r="M309" i="21"/>
  <c r="K308" i="21"/>
  <c r="M308" i="21" s="1"/>
  <c r="K307" i="21"/>
  <c r="M307" i="21"/>
  <c r="K306" i="21"/>
  <c r="M306" i="21" s="1"/>
  <c r="K305" i="21"/>
  <c r="M305" i="21"/>
  <c r="K304" i="21"/>
  <c r="M304" i="21" s="1"/>
  <c r="K303" i="21"/>
  <c r="M303" i="21"/>
  <c r="K302" i="21"/>
  <c r="M302" i="21" s="1"/>
  <c r="K301" i="21"/>
  <c r="M301" i="21"/>
  <c r="K300" i="21"/>
  <c r="M300" i="21" s="1"/>
  <c r="K299" i="21"/>
  <c r="M299" i="21"/>
  <c r="K298" i="21"/>
  <c r="M298" i="21" s="1"/>
  <c r="K297" i="21"/>
  <c r="M297" i="21"/>
  <c r="K296" i="21"/>
  <c r="M296" i="21" s="1"/>
  <c r="K295" i="21"/>
  <c r="M295" i="21"/>
  <c r="K294" i="21"/>
  <c r="M294" i="21" s="1"/>
  <c r="K293" i="21"/>
  <c r="M293" i="21"/>
  <c r="K292" i="21"/>
  <c r="M292" i="21" s="1"/>
  <c r="K291" i="21"/>
  <c r="M291" i="21"/>
  <c r="K290" i="21"/>
  <c r="M290" i="21" s="1"/>
  <c r="K289" i="21"/>
  <c r="M289" i="21"/>
  <c r="K288" i="21"/>
  <c r="M288" i="21" s="1"/>
  <c r="K287" i="21"/>
  <c r="M287" i="21"/>
  <c r="K286" i="21"/>
  <c r="M286" i="21" s="1"/>
  <c r="K285" i="21"/>
  <c r="M285" i="21"/>
  <c r="K284" i="21"/>
  <c r="M284" i="21"/>
  <c r="K283" i="21"/>
  <c r="M283" i="21"/>
  <c r="K282" i="21"/>
  <c r="M282" i="21"/>
  <c r="K281" i="21"/>
  <c r="M281" i="21"/>
  <c r="K280" i="21"/>
  <c r="M280" i="21"/>
  <c r="K279" i="21"/>
  <c r="M279" i="21"/>
  <c r="K278" i="21"/>
  <c r="M278" i="21"/>
  <c r="K277" i="21"/>
  <c r="M277" i="21"/>
  <c r="K276" i="21"/>
  <c r="M276" i="21"/>
  <c r="K275" i="21"/>
  <c r="M275" i="21"/>
  <c r="K274" i="21"/>
  <c r="M274" i="21"/>
  <c r="K273" i="21"/>
  <c r="M273" i="21"/>
  <c r="K272" i="21"/>
  <c r="M272" i="21"/>
  <c r="K271" i="21"/>
  <c r="M271" i="21"/>
  <c r="K270" i="21"/>
  <c r="M270" i="21"/>
  <c r="K269" i="21"/>
  <c r="M269" i="21" s="1"/>
  <c r="K268" i="21"/>
  <c r="M268" i="21"/>
  <c r="K267" i="21"/>
  <c r="M267" i="21" s="1"/>
  <c r="K266" i="21"/>
  <c r="M266" i="21"/>
  <c r="K265" i="21"/>
  <c r="M265" i="21" s="1"/>
  <c r="K264" i="21"/>
  <c r="M264" i="21"/>
  <c r="K263" i="21"/>
  <c r="M263" i="21" s="1"/>
  <c r="K262" i="21"/>
  <c r="M262" i="21"/>
  <c r="K261" i="21"/>
  <c r="M261" i="21" s="1"/>
  <c r="K260" i="21"/>
  <c r="M260" i="21"/>
  <c r="K259" i="21"/>
  <c r="M259" i="21" s="1"/>
  <c r="K258" i="21"/>
  <c r="M258" i="21"/>
  <c r="K257" i="21"/>
  <c r="M257" i="21" s="1"/>
  <c r="K256" i="21"/>
  <c r="M256" i="21"/>
  <c r="K255" i="21"/>
  <c r="M255" i="21" s="1"/>
  <c r="K254" i="21"/>
  <c r="M254" i="21"/>
  <c r="K253" i="21"/>
  <c r="M253" i="21" s="1"/>
  <c r="K252" i="21"/>
  <c r="M252" i="21"/>
  <c r="K251" i="21"/>
  <c r="M251" i="21" s="1"/>
  <c r="K250" i="21"/>
  <c r="M250" i="21"/>
  <c r="K249" i="21"/>
  <c r="M249" i="21" s="1"/>
  <c r="K248" i="21"/>
  <c r="M248" i="21"/>
  <c r="K247" i="21"/>
  <c r="M247" i="21" s="1"/>
  <c r="K246" i="21"/>
  <c r="M246" i="21"/>
  <c r="K245" i="21"/>
  <c r="M245" i="21" s="1"/>
  <c r="K244" i="21"/>
  <c r="M244" i="21"/>
  <c r="K243" i="21"/>
  <c r="M243" i="21" s="1"/>
  <c r="K242" i="21"/>
  <c r="M242" i="21"/>
  <c r="K241" i="21"/>
  <c r="M241" i="21" s="1"/>
  <c r="K240" i="21"/>
  <c r="M240" i="21"/>
  <c r="K239" i="21"/>
  <c r="M239" i="21" s="1"/>
  <c r="K238" i="21"/>
  <c r="M238" i="21"/>
  <c r="K237" i="21"/>
  <c r="M237" i="21" s="1"/>
  <c r="K236" i="21"/>
  <c r="M236" i="21"/>
  <c r="K235" i="21"/>
  <c r="M235" i="21" s="1"/>
  <c r="K234" i="21"/>
  <c r="M234" i="21"/>
  <c r="K233" i="21"/>
  <c r="M233" i="21" s="1"/>
  <c r="K232" i="21"/>
  <c r="M232" i="21"/>
  <c r="K231" i="21"/>
  <c r="M231" i="21" s="1"/>
  <c r="K230" i="21"/>
  <c r="M230" i="21"/>
  <c r="K229" i="21"/>
  <c r="M229" i="21" s="1"/>
  <c r="K228" i="21"/>
  <c r="M228" i="21"/>
  <c r="K227" i="21"/>
  <c r="M227" i="21" s="1"/>
  <c r="K226" i="21"/>
  <c r="M226" i="21"/>
  <c r="K225" i="21"/>
  <c r="M225" i="21" s="1"/>
  <c r="K224" i="21"/>
  <c r="M224" i="21"/>
  <c r="K223" i="21"/>
  <c r="M223" i="21" s="1"/>
  <c r="K222" i="21"/>
  <c r="M222" i="21"/>
  <c r="K221" i="21"/>
  <c r="M221" i="21" s="1"/>
  <c r="K220" i="21"/>
  <c r="M220" i="21"/>
  <c r="K219" i="21"/>
  <c r="M219" i="21" s="1"/>
  <c r="K218" i="21"/>
  <c r="M218" i="21"/>
  <c r="K217" i="21"/>
  <c r="M217" i="21" s="1"/>
  <c r="K216" i="21"/>
  <c r="M216" i="21"/>
  <c r="K215" i="21"/>
  <c r="M215" i="21" s="1"/>
  <c r="K214" i="21"/>
  <c r="M214" i="21"/>
  <c r="K213" i="21"/>
  <c r="M213" i="21" s="1"/>
  <c r="K212" i="21"/>
  <c r="M212" i="21"/>
  <c r="K211" i="21"/>
  <c r="M211" i="21" s="1"/>
  <c r="K210" i="21"/>
  <c r="M210" i="21"/>
  <c r="K209" i="21"/>
  <c r="M209" i="21" s="1"/>
  <c r="K208" i="21"/>
  <c r="M208" i="21"/>
  <c r="K207" i="21"/>
  <c r="M207" i="21" s="1"/>
  <c r="K206" i="21"/>
  <c r="M206" i="21"/>
  <c r="K205" i="21"/>
  <c r="M205" i="21" s="1"/>
  <c r="K204" i="21"/>
  <c r="M204" i="21"/>
  <c r="K203" i="21"/>
  <c r="M203" i="21" s="1"/>
  <c r="K202" i="21"/>
  <c r="M202" i="21"/>
  <c r="K201" i="21"/>
  <c r="M201" i="21" s="1"/>
  <c r="K200" i="21"/>
  <c r="M200" i="21"/>
  <c r="K199" i="21"/>
  <c r="M199" i="21" s="1"/>
  <c r="K198" i="21"/>
  <c r="M198" i="21"/>
  <c r="K197" i="21"/>
  <c r="M197" i="21" s="1"/>
  <c r="K196" i="21"/>
  <c r="M196" i="21"/>
  <c r="K195" i="21"/>
  <c r="M195" i="21" s="1"/>
  <c r="K194" i="21"/>
  <c r="M194" i="21"/>
  <c r="K193" i="21"/>
  <c r="M193" i="21" s="1"/>
  <c r="K192" i="21"/>
  <c r="M192" i="21"/>
  <c r="K191" i="21"/>
  <c r="M191" i="21" s="1"/>
  <c r="K190" i="21"/>
  <c r="M190" i="21"/>
  <c r="K189" i="21"/>
  <c r="M189" i="21" s="1"/>
  <c r="K188" i="21"/>
  <c r="M188" i="21"/>
  <c r="K187" i="21"/>
  <c r="M187" i="21" s="1"/>
  <c r="K186" i="21"/>
  <c r="M186" i="21"/>
  <c r="K185" i="21"/>
  <c r="M185" i="21" s="1"/>
  <c r="K184" i="21"/>
  <c r="M184" i="21"/>
  <c r="K183" i="21"/>
  <c r="M183" i="21" s="1"/>
  <c r="K182" i="21"/>
  <c r="M182" i="21"/>
  <c r="K181" i="21"/>
  <c r="M181" i="21" s="1"/>
  <c r="K180" i="21"/>
  <c r="M180" i="21"/>
  <c r="K179" i="21"/>
  <c r="M179" i="21" s="1"/>
  <c r="K178" i="21"/>
  <c r="M178" i="21"/>
  <c r="K177" i="21"/>
  <c r="M177" i="21" s="1"/>
  <c r="K176" i="21"/>
  <c r="M176" i="21"/>
  <c r="K175" i="21"/>
  <c r="M175" i="21" s="1"/>
  <c r="K174" i="21"/>
  <c r="M174" i="21"/>
  <c r="K173" i="21"/>
  <c r="M173" i="21" s="1"/>
  <c r="K172" i="21"/>
  <c r="M172" i="21"/>
  <c r="K171" i="21"/>
  <c r="M171" i="21" s="1"/>
  <c r="K170" i="21"/>
  <c r="M170" i="21"/>
  <c r="K169" i="21"/>
  <c r="M169" i="21" s="1"/>
  <c r="K168" i="21"/>
  <c r="M168" i="21"/>
  <c r="K167" i="21"/>
  <c r="M167" i="21" s="1"/>
  <c r="K166" i="21"/>
  <c r="M166" i="21"/>
  <c r="K165" i="21"/>
  <c r="M165" i="21" s="1"/>
  <c r="K164" i="21"/>
  <c r="M164" i="21"/>
  <c r="K163" i="21"/>
  <c r="M163" i="21" s="1"/>
  <c r="K162" i="21"/>
  <c r="M162" i="21"/>
  <c r="K161" i="21"/>
  <c r="M161" i="21" s="1"/>
  <c r="K160" i="21"/>
  <c r="M160" i="21"/>
  <c r="K159" i="21"/>
  <c r="M159" i="21" s="1"/>
  <c r="K158" i="21"/>
  <c r="M158" i="21"/>
  <c r="K157" i="21"/>
  <c r="M157" i="21" s="1"/>
  <c r="K156" i="21"/>
  <c r="M156" i="21"/>
  <c r="K155" i="21"/>
  <c r="M155" i="21" s="1"/>
  <c r="K154" i="21"/>
  <c r="M154" i="21"/>
  <c r="K153" i="21"/>
  <c r="M153" i="21" s="1"/>
  <c r="K152" i="21"/>
  <c r="M152" i="21"/>
  <c r="K151" i="21"/>
  <c r="M151" i="21" s="1"/>
  <c r="K150" i="21"/>
  <c r="M150" i="21"/>
  <c r="K149" i="21"/>
  <c r="M149" i="21" s="1"/>
  <c r="K148" i="21"/>
  <c r="M148" i="21"/>
  <c r="K147" i="21"/>
  <c r="M147" i="21" s="1"/>
  <c r="K146" i="21"/>
  <c r="M146" i="21"/>
  <c r="K145" i="21"/>
  <c r="M145" i="21" s="1"/>
  <c r="K144" i="21"/>
  <c r="M144" i="21"/>
  <c r="K143" i="21"/>
  <c r="M143" i="21" s="1"/>
  <c r="K142" i="21"/>
  <c r="M142" i="21"/>
  <c r="K141" i="21"/>
  <c r="M141" i="21" s="1"/>
  <c r="K140" i="21"/>
  <c r="M140" i="21"/>
  <c r="K139" i="21"/>
  <c r="M139" i="21" s="1"/>
  <c r="K138" i="21"/>
  <c r="M138" i="21"/>
  <c r="K137" i="21"/>
  <c r="M137" i="21" s="1"/>
  <c r="K136" i="21"/>
  <c r="M136" i="21"/>
  <c r="K135" i="21"/>
  <c r="M135" i="21" s="1"/>
  <c r="K134" i="21"/>
  <c r="M134" i="21"/>
  <c r="K133" i="21"/>
  <c r="M133" i="21" s="1"/>
  <c r="K132" i="21"/>
  <c r="M132" i="21"/>
  <c r="K131" i="21"/>
  <c r="M131" i="21" s="1"/>
  <c r="K130" i="21"/>
  <c r="M130" i="21"/>
  <c r="K129" i="21"/>
  <c r="M129" i="21" s="1"/>
  <c r="K128" i="21"/>
  <c r="M128" i="21"/>
  <c r="K127" i="21"/>
  <c r="M127" i="21" s="1"/>
  <c r="K126" i="21"/>
  <c r="M126" i="21"/>
  <c r="K125" i="21"/>
  <c r="M125" i="21" s="1"/>
  <c r="K124" i="21"/>
  <c r="M124" i="21"/>
  <c r="K123" i="21"/>
  <c r="M123" i="21" s="1"/>
  <c r="K122" i="21"/>
  <c r="M122" i="21"/>
  <c r="K121" i="21"/>
  <c r="M121" i="21" s="1"/>
  <c r="K120" i="21"/>
  <c r="M120" i="21"/>
  <c r="K119" i="21"/>
  <c r="M119" i="21" s="1"/>
  <c r="K118" i="21"/>
  <c r="M118" i="21"/>
  <c r="K117" i="21"/>
  <c r="M117" i="21" s="1"/>
  <c r="K116" i="21"/>
  <c r="M116" i="21"/>
  <c r="K115" i="21"/>
  <c r="M115" i="21" s="1"/>
  <c r="K114" i="21"/>
  <c r="M114" i="21"/>
  <c r="K113" i="21"/>
  <c r="M113" i="21" s="1"/>
  <c r="K112" i="21"/>
  <c r="M112" i="21"/>
  <c r="K111" i="21"/>
  <c r="M111" i="21" s="1"/>
  <c r="K110" i="21"/>
  <c r="M110" i="21"/>
  <c r="K109" i="21"/>
  <c r="M109" i="21" s="1"/>
  <c r="K108" i="21"/>
  <c r="M108" i="21"/>
  <c r="K107" i="21"/>
  <c r="M107" i="21" s="1"/>
  <c r="K106" i="21"/>
  <c r="M106" i="21"/>
  <c r="K105" i="21"/>
  <c r="M105" i="21" s="1"/>
  <c r="K104" i="21"/>
  <c r="M104" i="21"/>
  <c r="K103" i="21"/>
  <c r="M103" i="21" s="1"/>
  <c r="K102" i="21"/>
  <c r="M102" i="21"/>
  <c r="K101" i="21"/>
  <c r="M101" i="21" s="1"/>
  <c r="K100" i="21"/>
  <c r="M100" i="21"/>
  <c r="K99" i="21"/>
  <c r="M99" i="21" s="1"/>
  <c r="K98" i="21"/>
  <c r="M98" i="21"/>
  <c r="K97" i="21"/>
  <c r="M97" i="21" s="1"/>
  <c r="K96" i="21"/>
  <c r="M96" i="21"/>
  <c r="K95" i="21"/>
  <c r="M95" i="21" s="1"/>
  <c r="K94" i="21"/>
  <c r="M94" i="21"/>
  <c r="K93" i="21"/>
  <c r="M93" i="21" s="1"/>
  <c r="K92" i="21"/>
  <c r="M92" i="21"/>
  <c r="K91" i="21"/>
  <c r="M91" i="21" s="1"/>
  <c r="K90" i="21"/>
  <c r="M90" i="21"/>
  <c r="K89" i="21"/>
  <c r="M89" i="21" s="1"/>
  <c r="K88" i="21"/>
  <c r="M88" i="21"/>
  <c r="K87" i="21"/>
  <c r="M87" i="21" s="1"/>
  <c r="K86" i="21"/>
  <c r="M86" i="21"/>
  <c r="K85" i="21"/>
  <c r="M85" i="21" s="1"/>
  <c r="K84" i="21"/>
  <c r="M84" i="21"/>
  <c r="K83" i="21"/>
  <c r="M83" i="21" s="1"/>
  <c r="K82" i="21"/>
  <c r="M82" i="21"/>
  <c r="K81" i="21"/>
  <c r="M81" i="21" s="1"/>
  <c r="K80" i="21"/>
  <c r="M80" i="21"/>
  <c r="K79" i="21"/>
  <c r="M79" i="21" s="1"/>
  <c r="K78" i="21"/>
  <c r="M78" i="21"/>
  <c r="K77" i="21"/>
  <c r="M77" i="21" s="1"/>
  <c r="K76" i="21"/>
  <c r="M76" i="21"/>
  <c r="K75" i="21"/>
  <c r="M75" i="21" s="1"/>
  <c r="K74" i="21"/>
  <c r="M74" i="21"/>
  <c r="K73" i="21"/>
  <c r="M73" i="21" s="1"/>
  <c r="K72" i="21"/>
  <c r="M72" i="21"/>
  <c r="K71" i="21"/>
  <c r="M71" i="21" s="1"/>
  <c r="K70" i="21"/>
  <c r="M70" i="21"/>
  <c r="K69" i="21"/>
  <c r="M69" i="21" s="1"/>
  <c r="K68" i="21"/>
  <c r="M68" i="21"/>
  <c r="K67" i="21"/>
  <c r="M67" i="21" s="1"/>
  <c r="K66" i="21"/>
  <c r="M66" i="21"/>
  <c r="K65" i="21"/>
  <c r="M65" i="21" s="1"/>
  <c r="K64" i="21"/>
  <c r="M64" i="21"/>
  <c r="K63" i="21"/>
  <c r="M63" i="21" s="1"/>
  <c r="K62" i="21"/>
  <c r="M62" i="21"/>
  <c r="K61" i="21"/>
  <c r="M61" i="21" s="1"/>
  <c r="K60" i="21"/>
  <c r="M60" i="21"/>
  <c r="K59" i="21"/>
  <c r="M59" i="21" s="1"/>
  <c r="K58" i="21"/>
  <c r="M58" i="21"/>
  <c r="K57" i="21"/>
  <c r="M57" i="21" s="1"/>
  <c r="K56" i="21"/>
  <c r="M56" i="21"/>
  <c r="K55" i="21"/>
  <c r="M55" i="21" s="1"/>
  <c r="K54" i="21"/>
  <c r="M54" i="21"/>
  <c r="K53" i="21"/>
  <c r="M53" i="21" s="1"/>
  <c r="K52" i="21"/>
  <c r="M52" i="21"/>
  <c r="K51" i="21"/>
  <c r="M51" i="21" s="1"/>
  <c r="K50" i="21"/>
  <c r="M50" i="21"/>
  <c r="K49" i="21"/>
  <c r="M49" i="21" s="1"/>
  <c r="K48" i="21"/>
  <c r="M48" i="21"/>
  <c r="K47" i="21"/>
  <c r="M47" i="21" s="1"/>
  <c r="K46" i="21"/>
  <c r="M46" i="21"/>
  <c r="K45" i="21"/>
  <c r="M45" i="21" s="1"/>
  <c r="K44" i="21"/>
  <c r="M44" i="21"/>
  <c r="K43" i="21"/>
  <c r="M43" i="21" s="1"/>
  <c r="K42" i="21"/>
  <c r="M42" i="21"/>
  <c r="K41" i="21"/>
  <c r="M41" i="21" s="1"/>
  <c r="K40" i="21"/>
  <c r="M40" i="21"/>
  <c r="K39" i="21"/>
  <c r="M39" i="21" s="1"/>
  <c r="K38" i="21"/>
  <c r="M38" i="21"/>
  <c r="K37" i="21"/>
  <c r="M37" i="21" s="1"/>
  <c r="K36" i="21"/>
  <c r="M36" i="21"/>
  <c r="K35" i="21"/>
  <c r="M35" i="21" s="1"/>
  <c r="K34" i="21"/>
  <c r="M34" i="21"/>
  <c r="K33" i="21"/>
  <c r="M33" i="21" s="1"/>
  <c r="K32" i="21"/>
  <c r="M32" i="21"/>
  <c r="K31" i="21"/>
  <c r="M31" i="21" s="1"/>
  <c r="K30" i="21"/>
  <c r="M30" i="21"/>
  <c r="K29" i="21"/>
  <c r="M29" i="21" s="1"/>
  <c r="K28" i="21"/>
  <c r="M28" i="21"/>
  <c r="K27" i="21"/>
  <c r="M27" i="21" s="1"/>
  <c r="K26" i="21"/>
  <c r="M26" i="21"/>
  <c r="K25" i="21"/>
  <c r="M25" i="21" s="1"/>
  <c r="K24" i="21"/>
  <c r="M24" i="21"/>
  <c r="K23" i="21"/>
  <c r="M23" i="21" s="1"/>
  <c r="K22" i="21"/>
  <c r="M22" i="21"/>
  <c r="K21" i="21"/>
  <c r="M21" i="21" s="1"/>
  <c r="K20" i="21"/>
  <c r="M20" i="21"/>
  <c r="K19" i="21"/>
  <c r="M19" i="21" s="1"/>
  <c r="K18" i="21"/>
  <c r="M18" i="21"/>
  <c r="K17" i="21"/>
  <c r="M17" i="21" s="1"/>
  <c r="K14" i="21"/>
  <c r="M14" i="21"/>
  <c r="K13" i="21"/>
  <c r="K12" i="21"/>
  <c r="M12" i="21"/>
  <c r="K11" i="21"/>
  <c r="K10" i="21"/>
  <c r="K9" i="21"/>
  <c r="M9" i="21" s="1"/>
  <c r="A81" i="17"/>
  <c r="A81" i="16"/>
  <c r="A81" i="15"/>
  <c r="K14" i="15"/>
  <c r="A81" i="14"/>
  <c r="B5" i="17"/>
  <c r="B6" i="17"/>
  <c r="E8" i="17"/>
  <c r="B5" i="16"/>
  <c r="B6" i="16"/>
  <c r="E8" i="16"/>
  <c r="E8" i="15"/>
  <c r="B6" i="15"/>
  <c r="B5" i="15"/>
  <c r="E8" i="14"/>
  <c r="B6" i="14"/>
  <c r="B5" i="14"/>
  <c r="G530" i="23"/>
  <c r="M9" i="23"/>
  <c r="M13" i="23"/>
  <c r="M17" i="23"/>
  <c r="M18" i="23"/>
  <c r="M21" i="23"/>
  <c r="M25" i="23"/>
  <c r="M29" i="23"/>
  <c r="M33" i="23"/>
  <c r="M37" i="23"/>
  <c r="M41" i="23"/>
  <c r="M45" i="23"/>
  <c r="M49" i="23"/>
  <c r="M50" i="23"/>
  <c r="M53" i="23"/>
  <c r="M57" i="23"/>
  <c r="M61" i="23"/>
  <c r="M65" i="23"/>
  <c r="M69" i="23"/>
  <c r="M73" i="23"/>
  <c r="M77" i="23"/>
  <c r="M81" i="23"/>
  <c r="M82" i="23"/>
  <c r="M85" i="23"/>
  <c r="M89" i="23"/>
  <c r="M93" i="23"/>
  <c r="M97" i="23"/>
  <c r="M101" i="23"/>
  <c r="M105" i="23"/>
  <c r="M109" i="23"/>
  <c r="M113" i="23"/>
  <c r="M114" i="23"/>
  <c r="M117" i="23"/>
  <c r="M121" i="23"/>
  <c r="M125" i="23"/>
  <c r="M129" i="23"/>
  <c r="M133" i="23"/>
  <c r="M137" i="23"/>
  <c r="M141" i="23"/>
  <c r="M145" i="23"/>
  <c r="M146" i="23"/>
  <c r="M149" i="23"/>
  <c r="M153" i="23"/>
  <c r="M157" i="23"/>
  <c r="M161" i="23"/>
  <c r="M165" i="23"/>
  <c r="M169" i="23"/>
  <c r="M173" i="23"/>
  <c r="M177" i="23"/>
  <c r="M178" i="23"/>
  <c r="M181" i="23"/>
  <c r="M185" i="23"/>
  <c r="M189" i="23"/>
  <c r="M193" i="23"/>
  <c r="M197" i="23"/>
  <c r="M201" i="23"/>
  <c r="M205" i="23"/>
  <c r="M209" i="23"/>
  <c r="M210" i="23"/>
  <c r="M213" i="23"/>
  <c r="M217" i="23"/>
  <c r="M221" i="23"/>
  <c r="M225" i="23"/>
  <c r="M229" i="23"/>
  <c r="M233" i="23"/>
  <c r="M237" i="23"/>
  <c r="M241" i="23"/>
  <c r="M242" i="23"/>
  <c r="M245" i="23"/>
  <c r="M249" i="23"/>
  <c r="M253" i="23"/>
  <c r="M257" i="23"/>
  <c r="M261" i="23"/>
  <c r="M265" i="23"/>
  <c r="M269" i="23"/>
  <c r="M273" i="23"/>
  <c r="M277" i="23"/>
  <c r="M281" i="23"/>
  <c r="M285" i="23"/>
  <c r="M289" i="23"/>
  <c r="M293" i="23"/>
  <c r="M297" i="23"/>
  <c r="M301" i="23"/>
  <c r="M305" i="23"/>
  <c r="M309" i="23"/>
  <c r="M313" i="23"/>
  <c r="M317" i="23"/>
  <c r="M321" i="23"/>
  <c r="M325" i="23"/>
  <c r="M329" i="23"/>
  <c r="M333" i="23"/>
  <c r="M337" i="23"/>
  <c r="M341" i="23"/>
  <c r="M345" i="23"/>
  <c r="M349" i="23"/>
  <c r="M353" i="23"/>
  <c r="M357" i="23"/>
  <c r="M361" i="23"/>
  <c r="M365" i="23"/>
  <c r="M369" i="23"/>
  <c r="M373" i="23"/>
  <c r="M377" i="23"/>
  <c r="M381" i="23"/>
  <c r="M385" i="23"/>
  <c r="M389" i="23"/>
  <c r="M393" i="23"/>
  <c r="M397" i="23"/>
  <c r="M401" i="23"/>
  <c r="M405" i="23"/>
  <c r="M409" i="23"/>
  <c r="M413" i="23"/>
  <c r="M417" i="23"/>
  <c r="M421" i="23"/>
  <c r="M425" i="23"/>
  <c r="M429" i="23"/>
  <c r="M433" i="23"/>
  <c r="M437" i="23"/>
  <c r="M441" i="23"/>
  <c r="M445" i="23"/>
  <c r="M449" i="23"/>
  <c r="M453" i="23"/>
  <c r="M457" i="23"/>
  <c r="M461" i="23"/>
  <c r="M465" i="23"/>
  <c r="M469" i="23"/>
  <c r="M473" i="23"/>
  <c r="M477" i="23"/>
  <c r="M481" i="23"/>
  <c r="M485" i="23"/>
  <c r="M489" i="23"/>
  <c r="M491" i="23"/>
  <c r="M493" i="23"/>
  <c r="M494" i="23"/>
  <c r="M497" i="23"/>
  <c r="M17" i="22"/>
  <c r="M58" i="22"/>
  <c r="M62" i="22"/>
  <c r="M66" i="22"/>
  <c r="M70" i="22"/>
  <c r="M74" i="22"/>
  <c r="M82" i="22"/>
  <c r="M86" i="22"/>
  <c r="M98" i="22"/>
  <c r="M102" i="22"/>
  <c r="M110" i="22"/>
  <c r="M114" i="22"/>
  <c r="M118" i="22"/>
  <c r="M122" i="22"/>
  <c r="M126" i="22"/>
  <c r="M130" i="22"/>
  <c r="M134" i="22"/>
  <c r="M138" i="22"/>
  <c r="M146" i="22"/>
  <c r="M149" i="22"/>
  <c r="M150" i="22"/>
  <c r="M158" i="22"/>
  <c r="M162" i="22"/>
  <c r="M166" i="22"/>
  <c r="M174" i="22"/>
  <c r="M178" i="22"/>
  <c r="M181" i="22"/>
  <c r="M182" i="22"/>
  <c r="M186" i="22"/>
  <c r="M190" i="22"/>
  <c r="M194" i="22"/>
  <c r="M198" i="22"/>
  <c r="M202" i="22"/>
  <c r="M206" i="22"/>
  <c r="M214" i="22"/>
  <c r="M218" i="22"/>
  <c r="M230" i="22"/>
  <c r="M234" i="22"/>
  <c r="M238" i="22"/>
  <c r="M242" i="22"/>
  <c r="M245" i="22"/>
  <c r="M246" i="22"/>
  <c r="M250" i="22"/>
  <c r="M254" i="22"/>
  <c r="M258" i="22"/>
  <c r="M262" i="22"/>
  <c r="M270" i="22"/>
  <c r="M274" i="22"/>
  <c r="M277" i="22"/>
  <c r="M278" i="22"/>
  <c r="M286" i="22"/>
  <c r="M290" i="22"/>
  <c r="M294" i="22"/>
  <c r="M298" i="22"/>
  <c r="M302" i="22"/>
  <c r="M306" i="22"/>
  <c r="M309" i="22"/>
  <c r="M314" i="22"/>
  <c r="M318" i="22"/>
  <c r="M330" i="22"/>
  <c r="M334" i="22"/>
  <c r="M338" i="22"/>
  <c r="M341" i="22"/>
  <c r="M342" i="22"/>
  <c r="M346" i="22"/>
  <c r="M350" i="22"/>
  <c r="M354" i="22"/>
  <c r="M358" i="22"/>
  <c r="M362" i="22"/>
  <c r="M366" i="22"/>
  <c r="M374" i="22"/>
  <c r="M378" i="22"/>
  <c r="M386" i="22"/>
  <c r="M390" i="22"/>
  <c r="M394" i="22"/>
  <c r="M398" i="22"/>
  <c r="M405" i="22"/>
  <c r="M406" i="22"/>
  <c r="M410" i="22"/>
  <c r="M414" i="22"/>
  <c r="M418" i="22"/>
  <c r="M422" i="22"/>
  <c r="M430" i="22"/>
  <c r="M434" i="22"/>
  <c r="M438" i="22"/>
  <c r="M442" i="22"/>
  <c r="M446" i="22"/>
  <c r="M450" i="22"/>
  <c r="M454" i="22"/>
  <c r="M458" i="22"/>
  <c r="M466" i="22"/>
  <c r="M469" i="22"/>
  <c r="M470" i="22"/>
  <c r="M474" i="22"/>
  <c r="M478" i="22"/>
  <c r="M482" i="22"/>
  <c r="M490" i="22"/>
  <c r="M491" i="22"/>
  <c r="M494" i="22"/>
  <c r="M498" i="22"/>
  <c r="M491" i="21"/>
  <c r="M492" i="21"/>
  <c r="M493" i="21"/>
  <c r="A81" i="4"/>
  <c r="I532" i="5"/>
  <c r="F534" i="5"/>
  <c r="J534" i="5"/>
  <c r="G534" i="5"/>
  <c r="I534" i="5"/>
  <c r="F530" i="5"/>
  <c r="I530" i="5"/>
  <c r="F528" i="5"/>
  <c r="H528" i="5"/>
  <c r="J528" i="5"/>
  <c r="I528" i="5"/>
  <c r="G531" i="5"/>
  <c r="I531" i="5"/>
  <c r="H531" i="5"/>
  <c r="J531" i="5"/>
  <c r="G529" i="5"/>
  <c r="F529" i="5"/>
  <c r="H529" i="5"/>
  <c r="J529" i="5"/>
  <c r="I527" i="5"/>
  <c r="F527" i="5"/>
  <c r="H527" i="5"/>
  <c r="C526" i="5"/>
  <c r="F526" i="5" s="1"/>
  <c r="K14" i="4"/>
  <c r="H31" i="4"/>
  <c r="A48" i="4"/>
  <c r="C523" i="5"/>
  <c r="G523" i="5" s="1"/>
  <c r="C521" i="5"/>
  <c r="F521" i="5" s="1"/>
  <c r="C522" i="5"/>
  <c r="G522" i="5" s="1"/>
  <c r="K517" i="22"/>
  <c r="A43" i="4"/>
  <c r="D26" i="4"/>
  <c r="H50" i="4"/>
  <c r="A36" i="4"/>
  <c r="D25" i="4"/>
  <c r="A47" i="4"/>
  <c r="H26" i="4"/>
  <c r="H55" i="4"/>
  <c r="A42" i="4"/>
  <c r="D28" i="4"/>
  <c r="H53" i="4"/>
  <c r="H525" i="5"/>
  <c r="F525" i="5"/>
  <c r="G520" i="5"/>
  <c r="H524" i="5"/>
  <c r="I524" i="5"/>
  <c r="F524" i="5"/>
  <c r="J524" i="5"/>
  <c r="I525" i="5"/>
  <c r="J525" i="5"/>
  <c r="G525" i="5"/>
  <c r="K517" i="5"/>
  <c r="I520" i="5"/>
  <c r="G521" i="5"/>
  <c r="G526" i="5"/>
  <c r="F7" i="12"/>
  <c r="F8" i="12"/>
  <c r="H502" i="23"/>
  <c r="J502" i="23"/>
  <c r="I502" i="23"/>
  <c r="I501" i="5"/>
  <c r="J501" i="5"/>
  <c r="H501" i="5"/>
  <c r="J526" i="5"/>
  <c r="G524" i="5"/>
  <c r="I500" i="5"/>
  <c r="H500" i="5"/>
  <c r="J500" i="5"/>
  <c r="F12" i="12"/>
  <c r="I522" i="23"/>
  <c r="J522" i="23"/>
  <c r="F522" i="23"/>
  <c r="G522" i="23"/>
  <c r="H522" i="23"/>
  <c r="K20" i="14"/>
  <c r="K27" i="14"/>
  <c r="K22" i="14"/>
  <c r="K21" i="16"/>
  <c r="K30" i="15"/>
  <c r="K23" i="16"/>
  <c r="K20" i="4"/>
  <c r="K26" i="16"/>
  <c r="K31" i="14"/>
  <c r="K28" i="16"/>
  <c r="K27" i="16"/>
  <c r="K24" i="16"/>
  <c r="K33" i="15"/>
  <c r="K19" i="16"/>
  <c r="K25" i="16"/>
  <c r="K23" i="14"/>
  <c r="K33" i="4"/>
  <c r="K28" i="14"/>
  <c r="K31" i="16"/>
  <c r="K26" i="4"/>
  <c r="K32" i="4"/>
  <c r="K29" i="15"/>
  <c r="K21" i="15"/>
  <c r="K31" i="4"/>
  <c r="K28" i="4"/>
  <c r="K27" i="4"/>
  <c r="K28" i="15"/>
  <c r="K30" i="14"/>
  <c r="K19" i="14"/>
  <c r="K30" i="4"/>
  <c r="K23" i="4"/>
  <c r="K20" i="15"/>
  <c r="K22" i="15"/>
  <c r="K26" i="14"/>
  <c r="K24" i="15"/>
  <c r="K29" i="4"/>
  <c r="K25" i="15"/>
  <c r="K19" i="15"/>
  <c r="K22" i="4"/>
  <c r="K24" i="14"/>
  <c r="K27" i="15"/>
  <c r="K29" i="14"/>
  <c r="K29" i="16"/>
  <c r="K19" i="4"/>
  <c r="K32" i="15"/>
  <c r="K31" i="15"/>
  <c r="K23" i="15"/>
  <c r="K30" i="16"/>
  <c r="K21" i="4"/>
  <c r="K21" i="14"/>
  <c r="K24" i="4"/>
  <c r="K26" i="15"/>
  <c r="K25" i="4"/>
  <c r="K32" i="16"/>
  <c r="K22" i="16"/>
  <c r="K33" i="14"/>
  <c r="K20" i="16"/>
  <c r="K32" i="14"/>
  <c r="K25" i="14"/>
  <c r="K33" i="16"/>
  <c r="I53" i="4" l="1"/>
  <c r="I55" i="4"/>
  <c r="J10" i="12"/>
  <c r="J14" i="12"/>
  <c r="I526" i="5"/>
  <c r="G530" i="5"/>
  <c r="J532" i="5"/>
  <c r="G532" i="5"/>
  <c r="F530" i="23"/>
  <c r="I530" i="23"/>
  <c r="I512" i="5"/>
  <c r="J523" i="5"/>
  <c r="J530" i="5"/>
  <c r="H532" i="5"/>
  <c r="H530" i="23"/>
  <c r="H512" i="5"/>
  <c r="G512" i="5"/>
  <c r="M477" i="5"/>
  <c r="M473" i="5"/>
  <c r="M449" i="5"/>
  <c r="M433" i="5"/>
  <c r="M425" i="5"/>
  <c r="M413" i="5"/>
  <c r="M409" i="5"/>
  <c r="M385" i="5"/>
  <c r="M369" i="5"/>
  <c r="M361" i="5"/>
  <c r="M345" i="5"/>
  <c r="H522" i="5"/>
  <c r="G503" i="22"/>
  <c r="C523" i="22"/>
  <c r="I503" i="22"/>
  <c r="H503" i="22"/>
  <c r="J503" i="22"/>
  <c r="F508" i="5"/>
  <c r="H14" i="12"/>
  <c r="F14" i="12"/>
  <c r="F10" i="12"/>
  <c r="F15" i="12" s="1"/>
  <c r="E100" i="16"/>
  <c r="I14" i="16" s="1"/>
  <c r="I13" i="16" s="1"/>
  <c r="F13" i="16" s="1"/>
  <c r="E100" i="15"/>
  <c r="I14" i="15" s="1"/>
  <c r="I13" i="15" s="1"/>
  <c r="F13" i="15" s="1"/>
  <c r="E100" i="17"/>
  <c r="I14" i="17" s="1"/>
  <c r="I12" i="17" s="1"/>
  <c r="F12" i="17" s="1"/>
  <c r="H10" i="12"/>
  <c r="H520" i="5"/>
  <c r="F520" i="5"/>
  <c r="M493" i="5"/>
  <c r="H49" i="4"/>
  <c r="A31" i="4"/>
  <c r="A32" i="4"/>
  <c r="H32" i="4"/>
  <c r="A27" i="4"/>
  <c r="A52" i="4"/>
  <c r="D2" i="4"/>
  <c r="B4" i="4"/>
  <c r="D30" i="4"/>
  <c r="A49" i="4"/>
  <c r="A22" i="4"/>
  <c r="D29" i="4"/>
  <c r="A51" i="4"/>
  <c r="H27" i="4"/>
  <c r="I27" i="4" s="1"/>
  <c r="E9" i="4"/>
  <c r="H54" i="4"/>
  <c r="I54" i="4" s="1"/>
  <c r="H28" i="4"/>
  <c r="A50" i="4"/>
  <c r="B5" i="4"/>
  <c r="H25" i="4"/>
  <c r="H29" i="4"/>
  <c r="H56" i="4"/>
  <c r="I56" i="4" s="1"/>
  <c r="A39" i="4"/>
  <c r="D23" i="4"/>
  <c r="E25" i="4"/>
  <c r="G25" i="4" s="1"/>
  <c r="E30" i="4"/>
  <c r="G30" i="4" s="1"/>
  <c r="H36" i="4"/>
  <c r="H40" i="4"/>
  <c r="E40" i="4"/>
  <c r="G40" i="4" s="1"/>
  <c r="A28" i="4"/>
  <c r="H48" i="4"/>
  <c r="H23" i="4"/>
  <c r="A1" i="5"/>
  <c r="D2" i="5" s="1"/>
  <c r="H47" i="4"/>
  <c r="E28" i="4"/>
  <c r="G28" i="4" s="1"/>
  <c r="E32" i="4"/>
  <c r="G32" i="4" s="1"/>
  <c r="H38" i="4"/>
  <c r="H42" i="4"/>
  <c r="A25" i="4"/>
  <c r="H51" i="4"/>
  <c r="D22" i="4"/>
  <c r="A38" i="4"/>
  <c r="D27" i="4"/>
  <c r="F81" i="4"/>
  <c r="D32" i="4"/>
  <c r="A53" i="4"/>
  <c r="A29" i="4"/>
  <c r="D31" i="4"/>
  <c r="A55" i="4"/>
  <c r="A30" i="4"/>
  <c r="E8" i="4"/>
  <c r="A40" i="4"/>
  <c r="H30" i="4"/>
  <c r="A54" i="4"/>
  <c r="A26" i="4"/>
  <c r="B6" i="4"/>
  <c r="A56" i="4"/>
  <c r="H52" i="4"/>
  <c r="A41" i="4"/>
  <c r="E23" i="4"/>
  <c r="G23" i="4" s="1"/>
  <c r="E29" i="4"/>
  <c r="G29" i="4" s="1"/>
  <c r="I29" i="4" s="1"/>
  <c r="H22" i="4"/>
  <c r="H39" i="4"/>
  <c r="H43" i="4"/>
  <c r="I43" i="4" s="1"/>
  <c r="G509" i="5"/>
  <c r="K509" i="5" s="1"/>
  <c r="I510" i="22"/>
  <c r="J510" i="22"/>
  <c r="C530" i="22"/>
  <c r="G505" i="22"/>
  <c r="F505" i="22"/>
  <c r="J505" i="22"/>
  <c r="C525" i="22"/>
  <c r="I505" i="22"/>
  <c r="H505" i="22"/>
  <c r="G508" i="23"/>
  <c r="H508" i="23"/>
  <c r="F508" i="23"/>
  <c r="I508" i="23"/>
  <c r="J508" i="23"/>
  <c r="C528" i="23"/>
  <c r="F507" i="22"/>
  <c r="C527" i="22"/>
  <c r="J507" i="22"/>
  <c r="H507" i="22"/>
  <c r="I507" i="22"/>
  <c r="G507" i="21"/>
  <c r="F507" i="21"/>
  <c r="I507" i="21"/>
  <c r="J507" i="21"/>
  <c r="C527" i="21"/>
  <c r="H507" i="21"/>
  <c r="H521" i="5"/>
  <c r="G523" i="22"/>
  <c r="M275" i="5"/>
  <c r="M211" i="5"/>
  <c r="J521" i="5"/>
  <c r="I521" i="5"/>
  <c r="H523" i="22"/>
  <c r="H526" i="5"/>
  <c r="K526" i="5" s="1"/>
  <c r="M388" i="5"/>
  <c r="I41" i="4"/>
  <c r="I42" i="4"/>
  <c r="G513" i="21"/>
  <c r="J513" i="21"/>
  <c r="F513" i="21"/>
  <c r="H513" i="21"/>
  <c r="C533" i="21"/>
  <c r="I513" i="21"/>
  <c r="G509" i="21"/>
  <c r="F509" i="21"/>
  <c r="J509" i="21"/>
  <c r="C529" i="21"/>
  <c r="H509" i="21"/>
  <c r="I509" i="21"/>
  <c r="G500" i="22"/>
  <c r="C520" i="22"/>
  <c r="H500" i="22"/>
  <c r="J500" i="22"/>
  <c r="F500" i="22"/>
  <c r="I500" i="22"/>
  <c r="G501" i="21"/>
  <c r="J501" i="21"/>
  <c r="F501" i="21"/>
  <c r="I501" i="21"/>
  <c r="C521" i="21"/>
  <c r="H501" i="21"/>
  <c r="C522" i="20"/>
  <c r="F502" i="20"/>
  <c r="I502" i="20"/>
  <c r="G502" i="20"/>
  <c r="J502" i="20"/>
  <c r="H502" i="20"/>
  <c r="F507" i="23"/>
  <c r="C527" i="23"/>
  <c r="J507" i="23"/>
  <c r="H507" i="23"/>
  <c r="I507" i="23"/>
  <c r="G511" i="21"/>
  <c r="C531" i="21"/>
  <c r="I511" i="21"/>
  <c r="F511" i="21"/>
  <c r="J511" i="21"/>
  <c r="H511" i="21"/>
  <c r="F513" i="23"/>
  <c r="G513" i="23"/>
  <c r="I513" i="23"/>
  <c r="J513" i="23"/>
  <c r="I526" i="23"/>
  <c r="H526" i="23"/>
  <c r="G503" i="21"/>
  <c r="C523" i="21"/>
  <c r="F503" i="21"/>
  <c r="H503" i="21"/>
  <c r="J503" i="21"/>
  <c r="I503" i="21"/>
  <c r="K522" i="23"/>
  <c r="K530" i="23"/>
  <c r="C503" i="20"/>
  <c r="J503" i="20" s="1"/>
  <c r="C501" i="20"/>
  <c r="K508" i="23"/>
  <c r="L6" i="21"/>
  <c r="M6" i="21" s="1"/>
  <c r="L10" i="21"/>
  <c r="M10" i="21" s="1"/>
  <c r="L7" i="21"/>
  <c r="M7" i="21" s="1"/>
  <c r="L11" i="21"/>
  <c r="M11" i="21" s="1"/>
  <c r="L13" i="21"/>
  <c r="M13" i="21" s="1"/>
  <c r="L5" i="21"/>
  <c r="M5" i="21" s="1"/>
  <c r="C511" i="20"/>
  <c r="C531" i="20" s="1"/>
  <c r="C509" i="20"/>
  <c r="F509" i="20" s="1"/>
  <c r="C500" i="20"/>
  <c r="L6" i="22"/>
  <c r="M6" i="22" s="1"/>
  <c r="L10" i="22"/>
  <c r="M10" i="22" s="1"/>
  <c r="L7" i="22"/>
  <c r="M7" i="22" s="1"/>
  <c r="L8" i="22"/>
  <c r="M8" i="22" s="1"/>
  <c r="L5" i="22"/>
  <c r="M5" i="22" s="1"/>
  <c r="L9" i="22"/>
  <c r="M9" i="22" s="1"/>
  <c r="C501" i="22"/>
  <c r="F501" i="22" s="1"/>
  <c r="C506" i="21"/>
  <c r="I506" i="21" s="1"/>
  <c r="C508" i="20"/>
  <c r="C505" i="20"/>
  <c r="F503" i="22"/>
  <c r="K503" i="22" s="1"/>
  <c r="C509" i="22"/>
  <c r="J509" i="22" s="1"/>
  <c r="C510" i="21"/>
  <c r="C508" i="21"/>
  <c r="C505" i="21"/>
  <c r="G505" i="21" s="1"/>
  <c r="C502" i="21"/>
  <c r="C500" i="21"/>
  <c r="C510" i="20"/>
  <c r="C507" i="20"/>
  <c r="C527" i="20" s="1"/>
  <c r="L9" i="20"/>
  <c r="L13" i="20"/>
  <c r="L10" i="20"/>
  <c r="L14" i="20"/>
  <c r="M14" i="20" s="1"/>
  <c r="L5" i="20"/>
  <c r="L11" i="20"/>
  <c r="L15" i="20"/>
  <c r="L4" i="20"/>
  <c r="L12" i="20"/>
  <c r="L16" i="20"/>
  <c r="M16" i="20" s="1"/>
  <c r="C504" i="20"/>
  <c r="C511" i="22"/>
  <c r="H511" i="22" s="1"/>
  <c r="C508" i="22"/>
  <c r="I508" i="22" s="1"/>
  <c r="C506" i="22"/>
  <c r="C504" i="22"/>
  <c r="C502" i="22"/>
  <c r="C504" i="21"/>
  <c r="J527" i="5"/>
  <c r="K527" i="5" s="1"/>
  <c r="K514" i="5"/>
  <c r="K528" i="5"/>
  <c r="K525" i="5"/>
  <c r="G514" i="20"/>
  <c r="I514" i="20"/>
  <c r="J514" i="20"/>
  <c r="C534" i="20"/>
  <c r="H534" i="20" s="1"/>
  <c r="H514" i="20"/>
  <c r="F514" i="20"/>
  <c r="C533" i="23"/>
  <c r="H513" i="23"/>
  <c r="C513" i="22"/>
  <c r="C512" i="20"/>
  <c r="C512" i="22"/>
  <c r="F512" i="22" s="1"/>
  <c r="J515" i="5"/>
  <c r="F514" i="23"/>
  <c r="C534" i="23"/>
  <c r="H514" i="23"/>
  <c r="I514" i="23"/>
  <c r="C514" i="22"/>
  <c r="F514" i="22" s="1"/>
  <c r="C514" i="21"/>
  <c r="C512" i="21"/>
  <c r="C532" i="21" s="1"/>
  <c r="F513" i="5"/>
  <c r="H513" i="5"/>
  <c r="H515" i="5" s="1"/>
  <c r="I513" i="5"/>
  <c r="C533" i="5"/>
  <c r="M339" i="5"/>
  <c r="M291" i="5"/>
  <c r="K524" i="5"/>
  <c r="K512" i="5"/>
  <c r="M498" i="5"/>
  <c r="M494" i="5"/>
  <c r="M490" i="5"/>
  <c r="M486" i="5"/>
  <c r="M482" i="5"/>
  <c r="M478" i="5"/>
  <c r="M474" i="5"/>
  <c r="M470" i="5"/>
  <c r="M466" i="5"/>
  <c r="M462" i="5"/>
  <c r="M458" i="5"/>
  <c r="M454" i="5"/>
  <c r="M450" i="5"/>
  <c r="M446" i="5"/>
  <c r="M442" i="5"/>
  <c r="M438" i="5"/>
  <c r="M434" i="5"/>
  <c r="M430" i="5"/>
  <c r="M426" i="5"/>
  <c r="M422" i="5"/>
  <c r="M418" i="5"/>
  <c r="M414" i="5"/>
  <c r="M410" i="5"/>
  <c r="M406" i="5"/>
  <c r="M402" i="5"/>
  <c r="M398" i="5"/>
  <c r="M394" i="5"/>
  <c r="M390" i="5"/>
  <c r="M386" i="5"/>
  <c r="M382" i="5"/>
  <c r="M378" i="5"/>
  <c r="M374" i="5"/>
  <c r="M370" i="5"/>
  <c r="M366" i="5"/>
  <c r="M362" i="5"/>
  <c r="M358" i="5"/>
  <c r="M354" i="5"/>
  <c r="M350" i="5"/>
  <c r="M346" i="5"/>
  <c r="M342" i="5"/>
  <c r="M338" i="5"/>
  <c r="M334" i="5"/>
  <c r="M330" i="5"/>
  <c r="M326" i="5"/>
  <c r="M322" i="5"/>
  <c r="M318" i="5"/>
  <c r="M314" i="5"/>
  <c r="M310" i="5"/>
  <c r="M306" i="5"/>
  <c r="M302" i="5"/>
  <c r="M298" i="5"/>
  <c r="M294" i="5"/>
  <c r="M290" i="5"/>
  <c r="M286" i="5"/>
  <c r="M282" i="5"/>
  <c r="M278" i="5"/>
  <c r="M274" i="5"/>
  <c r="M270" i="5"/>
  <c r="M266" i="5"/>
  <c r="M262" i="5"/>
  <c r="M258" i="5"/>
  <c r="M254" i="5"/>
  <c r="M250" i="5"/>
  <c r="M246" i="5"/>
  <c r="M242" i="5"/>
  <c r="M238" i="5"/>
  <c r="M234" i="5"/>
  <c r="M230" i="5"/>
  <c r="M226" i="5"/>
  <c r="M222" i="5"/>
  <c r="M218" i="5"/>
  <c r="M214" i="5"/>
  <c r="M210" i="5"/>
  <c r="M497" i="5"/>
  <c r="M489" i="5"/>
  <c r="M485" i="5"/>
  <c r="M481" i="5"/>
  <c r="M469" i="5"/>
  <c r="M465" i="5"/>
  <c r="M461" i="5"/>
  <c r="M457" i="5"/>
  <c r="M453" i="5"/>
  <c r="M445" i="5"/>
  <c r="M441" i="5"/>
  <c r="M437" i="5"/>
  <c r="M429" i="5"/>
  <c r="M421" i="5"/>
  <c r="M417" i="5"/>
  <c r="M405" i="5"/>
  <c r="M401" i="5"/>
  <c r="M397" i="5"/>
  <c r="M393" i="5"/>
  <c r="M389" i="5"/>
  <c r="M381" i="5"/>
  <c r="M377" i="5"/>
  <c r="M373" i="5"/>
  <c r="M365" i="5"/>
  <c r="M357" i="5"/>
  <c r="M353" i="5"/>
  <c r="M349" i="5"/>
  <c r="M341" i="5"/>
  <c r="M337" i="5"/>
  <c r="M333" i="5"/>
  <c r="M329" i="5"/>
  <c r="M325" i="5"/>
  <c r="M321" i="5"/>
  <c r="M317" i="5"/>
  <c r="M313" i="5"/>
  <c r="M309" i="5"/>
  <c r="M305" i="5"/>
  <c r="M301" i="5"/>
  <c r="M297" i="5"/>
  <c r="M293" i="5"/>
  <c r="M289" i="5"/>
  <c r="M285" i="5"/>
  <c r="M281" i="5"/>
  <c r="M277" i="5"/>
  <c r="M273" i="5"/>
  <c r="M269" i="5"/>
  <c r="M265" i="5"/>
  <c r="M261" i="5"/>
  <c r="M257" i="5"/>
  <c r="M253" i="5"/>
  <c r="M249" i="5"/>
  <c r="M245" i="5"/>
  <c r="M241" i="5"/>
  <c r="M237" i="5"/>
  <c r="M233" i="5"/>
  <c r="M229" i="5"/>
  <c r="M225" i="5"/>
  <c r="M221" i="5"/>
  <c r="M217" i="5"/>
  <c r="M213" i="5"/>
  <c r="M209" i="5"/>
  <c r="M496" i="5"/>
  <c r="M492" i="5"/>
  <c r="M488" i="5"/>
  <c r="M484" i="5"/>
  <c r="M480" i="5"/>
  <c r="M476" i="5"/>
  <c r="M472" i="5"/>
  <c r="M468" i="5"/>
  <c r="M464" i="5"/>
  <c r="M460" i="5"/>
  <c r="M456" i="5"/>
  <c r="M448" i="5"/>
  <c r="M444" i="5"/>
  <c r="M440" i="5"/>
  <c r="M436" i="5"/>
  <c r="M432" i="5"/>
  <c r="M428" i="5"/>
  <c r="M424" i="5"/>
  <c r="M420" i="5"/>
  <c r="M416" i="5"/>
  <c r="M412" i="5"/>
  <c r="M408" i="5"/>
  <c r="M404" i="5"/>
  <c r="M400" i="5"/>
  <c r="M396" i="5"/>
  <c r="M392" i="5"/>
  <c r="M384" i="5"/>
  <c r="M380" i="5"/>
  <c r="M376" i="5"/>
  <c r="M372" i="5"/>
  <c r="M368" i="5"/>
  <c r="M364" i="5"/>
  <c r="M360" i="5"/>
  <c r="M356" i="5"/>
  <c r="M352" i="5"/>
  <c r="M348" i="5"/>
  <c r="M344" i="5"/>
  <c r="M340" i="5"/>
  <c r="M336" i="5"/>
  <c r="M332" i="5"/>
  <c r="M328" i="5"/>
  <c r="M324" i="5"/>
  <c r="M320" i="5"/>
  <c r="M316" i="5"/>
  <c r="M312" i="5"/>
  <c r="M308" i="5"/>
  <c r="M304" i="5"/>
  <c r="M300" i="5"/>
  <c r="M296" i="5"/>
  <c r="M292" i="5"/>
  <c r="M288" i="5"/>
  <c r="M284" i="5"/>
  <c r="M280" i="5"/>
  <c r="M276" i="5"/>
  <c r="M272" i="5"/>
  <c r="M268" i="5"/>
  <c r="M264" i="5"/>
  <c r="M260" i="5"/>
  <c r="M256" i="5"/>
  <c r="M252" i="5"/>
  <c r="M248" i="5"/>
  <c r="M244" i="5"/>
  <c r="M240" i="5"/>
  <c r="M236" i="5"/>
  <c r="M232" i="5"/>
  <c r="M228" i="5"/>
  <c r="M224" i="5"/>
  <c r="M220" i="5"/>
  <c r="M216" i="5"/>
  <c r="M212" i="5"/>
  <c r="K501" i="5"/>
  <c r="K534" i="5"/>
  <c r="M495" i="5"/>
  <c r="M491" i="5"/>
  <c r="M487" i="5"/>
  <c r="M483" i="5"/>
  <c r="M479" i="5"/>
  <c r="M475" i="5"/>
  <c r="M471" i="5"/>
  <c r="M467" i="5"/>
  <c r="M463" i="5"/>
  <c r="M459" i="5"/>
  <c r="M455" i="5"/>
  <c r="M451" i="5"/>
  <c r="M447" i="5"/>
  <c r="M443" i="5"/>
  <c r="M439" i="5"/>
  <c r="M435" i="5"/>
  <c r="M431" i="5"/>
  <c r="M427" i="5"/>
  <c r="M423" i="5"/>
  <c r="M419" i="5"/>
  <c r="M415" i="5"/>
  <c r="M411" i="5"/>
  <c r="M407" i="5"/>
  <c r="M403" i="5"/>
  <c r="M399" i="5"/>
  <c r="M395" i="5"/>
  <c r="M391" i="5"/>
  <c r="M387" i="5"/>
  <c r="M383" i="5"/>
  <c r="M379" i="5"/>
  <c r="M375" i="5"/>
  <c r="M371" i="5"/>
  <c r="M367" i="5"/>
  <c r="M363" i="5"/>
  <c r="M359" i="5"/>
  <c r="M355" i="5"/>
  <c r="M351" i="5"/>
  <c r="M347" i="5"/>
  <c r="M343" i="5"/>
  <c r="M335" i="5"/>
  <c r="M331" i="5"/>
  <c r="M327" i="5"/>
  <c r="M323" i="5"/>
  <c r="M319" i="5"/>
  <c r="M315" i="5"/>
  <c r="M311" i="5"/>
  <c r="M307" i="5"/>
  <c r="M303" i="5"/>
  <c r="M299" i="5"/>
  <c r="M295" i="5"/>
  <c r="M287" i="5"/>
  <c r="M283" i="5"/>
  <c r="M279" i="5"/>
  <c r="M271" i="5"/>
  <c r="M267" i="5"/>
  <c r="M263" i="5"/>
  <c r="M259" i="5"/>
  <c r="M255" i="5"/>
  <c r="M251" i="5"/>
  <c r="M247" i="5"/>
  <c r="M243" i="5"/>
  <c r="M239" i="5"/>
  <c r="M235" i="5"/>
  <c r="M231" i="5"/>
  <c r="M227" i="5"/>
  <c r="M223" i="5"/>
  <c r="M219" i="5"/>
  <c r="M215" i="5"/>
  <c r="K529" i="5"/>
  <c r="K530" i="5"/>
  <c r="K508" i="5"/>
  <c r="K505" i="22"/>
  <c r="F533" i="21"/>
  <c r="H533" i="21"/>
  <c r="I533" i="21"/>
  <c r="K509" i="21"/>
  <c r="K517" i="21"/>
  <c r="K507" i="21"/>
  <c r="E100" i="14"/>
  <c r="I14" i="14" s="1"/>
  <c r="I11" i="14" s="1"/>
  <c r="I56" i="14"/>
  <c r="I54" i="14"/>
  <c r="I55" i="14"/>
  <c r="I53" i="14"/>
  <c r="I42" i="14"/>
  <c r="I43" i="14"/>
  <c r="I41" i="14"/>
  <c r="D1" i="5"/>
  <c r="I513" i="20"/>
  <c r="G513" i="20"/>
  <c r="C533" i="20"/>
  <c r="J513" i="20"/>
  <c r="M436" i="20"/>
  <c r="M400" i="20"/>
  <c r="M388" i="20"/>
  <c r="M360" i="20"/>
  <c r="M348" i="20"/>
  <c r="M312" i="20"/>
  <c r="M248" i="20"/>
  <c r="M188" i="20"/>
  <c r="M176" i="20"/>
  <c r="M136" i="20"/>
  <c r="M132" i="20"/>
  <c r="M80" i="20"/>
  <c r="M32" i="20"/>
  <c r="M28" i="20"/>
  <c r="M372" i="20"/>
  <c r="M336" i="20"/>
  <c r="M324" i="20"/>
  <c r="M296" i="20"/>
  <c r="M284" i="20"/>
  <c r="M260" i="20"/>
  <c r="M220" i="20"/>
  <c r="M204" i="20"/>
  <c r="M152" i="20"/>
  <c r="M148" i="20"/>
  <c r="M108" i="20"/>
  <c r="M96" i="20"/>
  <c r="M48" i="20"/>
  <c r="M24" i="20"/>
  <c r="M22" i="20"/>
  <c r="M20" i="20"/>
  <c r="M18" i="20"/>
  <c r="M8" i="20"/>
  <c r="M6" i="20"/>
  <c r="M25" i="20"/>
  <c r="M23" i="20"/>
  <c r="M21" i="20"/>
  <c r="M19" i="20"/>
  <c r="M17" i="20"/>
  <c r="M7" i="20"/>
  <c r="K517" i="20"/>
  <c r="M31" i="20"/>
  <c r="M35" i="20"/>
  <c r="M39" i="20"/>
  <c r="M43" i="20"/>
  <c r="M47" i="20"/>
  <c r="M51" i="20"/>
  <c r="M55" i="20"/>
  <c r="M59" i="20"/>
  <c r="M63" i="20"/>
  <c r="M67" i="20"/>
  <c r="M71" i="20"/>
  <c r="M75" i="20"/>
  <c r="M79" i="20"/>
  <c r="M83" i="20"/>
  <c r="M87" i="20"/>
  <c r="M91" i="20"/>
  <c r="M95" i="20"/>
  <c r="M99" i="20"/>
  <c r="M103" i="20"/>
  <c r="M107" i="20"/>
  <c r="M111" i="20"/>
  <c r="M115" i="20"/>
  <c r="M119" i="20"/>
  <c r="M123" i="20"/>
  <c r="M127" i="20"/>
  <c r="M131" i="20"/>
  <c r="M135" i="20"/>
  <c r="M139" i="20"/>
  <c r="M143" i="20"/>
  <c r="M147" i="20"/>
  <c r="M151" i="20"/>
  <c r="M155" i="20"/>
  <c r="M159" i="20"/>
  <c r="M163" i="20"/>
  <c r="M167" i="20"/>
  <c r="M171" i="20"/>
  <c r="M175" i="20"/>
  <c r="M179" i="20"/>
  <c r="M183" i="20"/>
  <c r="M187" i="20"/>
  <c r="M191" i="20"/>
  <c r="M195" i="20"/>
  <c r="M199" i="20"/>
  <c r="M203" i="20"/>
  <c r="M207" i="20"/>
  <c r="M211" i="20"/>
  <c r="M215" i="20"/>
  <c r="M219" i="20"/>
  <c r="M223" i="20"/>
  <c r="M227" i="20"/>
  <c r="M231" i="20"/>
  <c r="M235" i="20"/>
  <c r="M239" i="20"/>
  <c r="M243" i="20"/>
  <c r="M247" i="20"/>
  <c r="M251" i="20"/>
  <c r="M255" i="20"/>
  <c r="M259" i="20"/>
  <c r="M263" i="20"/>
  <c r="M267" i="20"/>
  <c r="M271" i="20"/>
  <c r="M275" i="20"/>
  <c r="M279" i="20"/>
  <c r="M283" i="20"/>
  <c r="M287" i="20"/>
  <c r="M291" i="20"/>
  <c r="M295" i="20"/>
  <c r="M299" i="20"/>
  <c r="M303" i="20"/>
  <c r="M307" i="20"/>
  <c r="M311" i="20"/>
  <c r="M315" i="20"/>
  <c r="M319" i="20"/>
  <c r="M323" i="20"/>
  <c r="M327" i="20"/>
  <c r="M331" i="20"/>
  <c r="M335" i="20"/>
  <c r="M339" i="20"/>
  <c r="M343" i="20"/>
  <c r="M347" i="20"/>
  <c r="M351" i="20"/>
  <c r="M355" i="20"/>
  <c r="M359" i="20"/>
  <c r="M363" i="20"/>
  <c r="M367" i="20"/>
  <c r="M371" i="20"/>
  <c r="M375" i="20"/>
  <c r="M379" i="20"/>
  <c r="M383" i="20"/>
  <c r="M387" i="20"/>
  <c r="M391" i="20"/>
  <c r="M395" i="20"/>
  <c r="M399" i="20"/>
  <c r="M403" i="20"/>
  <c r="M407" i="20"/>
  <c r="M411" i="20"/>
  <c r="M415" i="20"/>
  <c r="M419" i="20"/>
  <c r="M423" i="20"/>
  <c r="M427" i="20"/>
  <c r="M431" i="20"/>
  <c r="M435" i="20"/>
  <c r="M439" i="20"/>
  <c r="M443" i="20"/>
  <c r="M447" i="20"/>
  <c r="M451" i="20"/>
  <c r="M455" i="20"/>
  <c r="M459" i="20"/>
  <c r="M463" i="20"/>
  <c r="M467" i="20"/>
  <c r="M471" i="20"/>
  <c r="M475" i="20"/>
  <c r="M479" i="20"/>
  <c r="M483" i="20"/>
  <c r="M487" i="20"/>
  <c r="M491" i="20"/>
  <c r="M495" i="20"/>
  <c r="M29" i="20"/>
  <c r="M33" i="20"/>
  <c r="M37" i="20"/>
  <c r="M41" i="20"/>
  <c r="M45" i="20"/>
  <c r="M49" i="20"/>
  <c r="M53" i="20"/>
  <c r="M57" i="20"/>
  <c r="M61" i="20"/>
  <c r="M65" i="20"/>
  <c r="M69" i="20"/>
  <c r="M73" i="20"/>
  <c r="M81" i="20"/>
  <c r="M85" i="20"/>
  <c r="M89" i="20"/>
  <c r="M93" i="20"/>
  <c r="M97" i="20"/>
  <c r="M101" i="20"/>
  <c r="M105" i="20"/>
  <c r="M109" i="20"/>
  <c r="M113" i="20"/>
  <c r="M117" i="20"/>
  <c r="M121" i="20"/>
  <c r="M125" i="20"/>
  <c r="M129" i="20"/>
  <c r="M133" i="20"/>
  <c r="M137" i="20"/>
  <c r="M145" i="20"/>
  <c r="M149" i="20"/>
  <c r="M153" i="20"/>
  <c r="M157" i="20"/>
  <c r="M161" i="20"/>
  <c r="M165" i="20"/>
  <c r="M169" i="20"/>
  <c r="M173" i="20"/>
  <c r="M177" i="20"/>
  <c r="M181" i="20"/>
  <c r="M185" i="20"/>
  <c r="M189" i="20"/>
  <c r="M193" i="20"/>
  <c r="M197" i="20"/>
  <c r="M201" i="20"/>
  <c r="M209" i="20"/>
  <c r="M213" i="20"/>
  <c r="M217" i="20"/>
  <c r="M221" i="20"/>
  <c r="M229" i="20"/>
  <c r="M237" i="20"/>
  <c r="M245" i="20"/>
  <c r="M249" i="20"/>
  <c r="M253" i="20"/>
  <c r="M261" i="20"/>
  <c r="M269" i="20"/>
  <c r="M285" i="20"/>
  <c r="M297" i="20"/>
  <c r="M301" i="20"/>
  <c r="M309" i="20"/>
  <c r="M317" i="20"/>
  <c r="M321" i="20"/>
  <c r="M333" i="20"/>
  <c r="M349" i="20"/>
  <c r="M361" i="20"/>
  <c r="M365" i="20"/>
  <c r="M373" i="20"/>
  <c r="M381" i="20"/>
  <c r="M385" i="20"/>
  <c r="M397" i="20"/>
  <c r="M413" i="20"/>
  <c r="M425" i="20"/>
  <c r="M429" i="20"/>
  <c r="M437" i="20"/>
  <c r="M445" i="20"/>
  <c r="M449" i="20"/>
  <c r="M461" i="20"/>
  <c r="M477" i="20"/>
  <c r="M489" i="20"/>
  <c r="M493" i="20"/>
  <c r="M30" i="20"/>
  <c r="M38" i="20"/>
  <c r="M54" i="20"/>
  <c r="M58" i="20"/>
  <c r="M66" i="20"/>
  <c r="M70" i="20"/>
  <c r="M86" i="20"/>
  <c r="M102" i="20"/>
  <c r="M118" i="20"/>
  <c r="M134" i="20"/>
  <c r="M150" i="20"/>
  <c r="M166" i="20"/>
  <c r="M182" i="20"/>
  <c r="M198" i="20"/>
  <c r="M214" i="20"/>
  <c r="K532" i="5"/>
  <c r="K531" i="5"/>
  <c r="F512" i="23"/>
  <c r="C532" i="23"/>
  <c r="H512" i="23"/>
  <c r="G512" i="23"/>
  <c r="I512" i="23"/>
  <c r="J512" i="23"/>
  <c r="I512" i="20"/>
  <c r="J512" i="20"/>
  <c r="G511" i="23"/>
  <c r="J511" i="23"/>
  <c r="H511" i="23"/>
  <c r="F511" i="23"/>
  <c r="C531" i="23"/>
  <c r="I511" i="23"/>
  <c r="G511" i="20"/>
  <c r="H511" i="20"/>
  <c r="I511" i="20"/>
  <c r="J511" i="20"/>
  <c r="F511" i="22"/>
  <c r="J511" i="22"/>
  <c r="F511" i="5"/>
  <c r="K511" i="5" s="1"/>
  <c r="M512" i="23"/>
  <c r="K510" i="5"/>
  <c r="F510" i="22"/>
  <c r="G510" i="22"/>
  <c r="H510" i="22"/>
  <c r="G510" i="21"/>
  <c r="F510" i="21"/>
  <c r="I510" i="21"/>
  <c r="G510" i="23"/>
  <c r="F510" i="23"/>
  <c r="J510" i="23"/>
  <c r="C529" i="20"/>
  <c r="C529" i="23"/>
  <c r="H509" i="23"/>
  <c r="I509" i="23"/>
  <c r="G509" i="23"/>
  <c r="F509" i="23"/>
  <c r="J509" i="23"/>
  <c r="C529" i="22"/>
  <c r="H509" i="22"/>
  <c r="G508" i="20"/>
  <c r="C528" i="20"/>
  <c r="H508" i="20"/>
  <c r="I508" i="20"/>
  <c r="J508" i="20"/>
  <c r="F508" i="20"/>
  <c r="H508" i="22"/>
  <c r="C528" i="22"/>
  <c r="G508" i="21"/>
  <c r="C528" i="21"/>
  <c r="H508" i="21"/>
  <c r="F508" i="21"/>
  <c r="I508" i="21"/>
  <c r="J508" i="21"/>
  <c r="M509" i="23"/>
  <c r="I507" i="20"/>
  <c r="M514" i="23"/>
  <c r="M510" i="23"/>
  <c r="G507" i="5"/>
  <c r="K507" i="5" s="1"/>
  <c r="G507" i="23"/>
  <c r="G507" i="22"/>
  <c r="K507" i="22" s="1"/>
  <c r="M507" i="23"/>
  <c r="M502" i="23"/>
  <c r="M508" i="23"/>
  <c r="J526" i="23"/>
  <c r="M511" i="23"/>
  <c r="M513" i="23"/>
  <c r="G526" i="23"/>
  <c r="G506" i="20"/>
  <c r="I506" i="20"/>
  <c r="F506" i="20"/>
  <c r="C526" i="20"/>
  <c r="J506" i="20"/>
  <c r="M506" i="23"/>
  <c r="F526" i="23"/>
  <c r="H506" i="23"/>
  <c r="G506" i="23"/>
  <c r="F506" i="23"/>
  <c r="J506" i="23"/>
  <c r="F506" i="21"/>
  <c r="J506" i="21"/>
  <c r="C526" i="21"/>
  <c r="H506" i="21"/>
  <c r="F506" i="5"/>
  <c r="K506" i="5" s="1"/>
  <c r="CT5" i="1" s="1"/>
  <c r="G505" i="23"/>
  <c r="I505" i="23"/>
  <c r="M505" i="23"/>
  <c r="C525" i="23"/>
  <c r="H505" i="23"/>
  <c r="F505" i="23"/>
  <c r="J505" i="23"/>
  <c r="C525" i="20"/>
  <c r="H505" i="20"/>
  <c r="G505" i="20"/>
  <c r="F505" i="20"/>
  <c r="J505" i="20"/>
  <c r="I505" i="20"/>
  <c r="G505" i="5"/>
  <c r="K505" i="5" s="1"/>
  <c r="C524" i="20"/>
  <c r="J504" i="20"/>
  <c r="F504" i="20"/>
  <c r="I504" i="20"/>
  <c r="G504" i="20"/>
  <c r="H504" i="20"/>
  <c r="G504" i="21"/>
  <c r="F504" i="21"/>
  <c r="C524" i="21"/>
  <c r="H504" i="21"/>
  <c r="J504" i="21"/>
  <c r="I504" i="21"/>
  <c r="C524" i="23"/>
  <c r="I504" i="23"/>
  <c r="G504" i="23"/>
  <c r="H504" i="23"/>
  <c r="M504" i="23"/>
  <c r="F504" i="23"/>
  <c r="J504" i="23"/>
  <c r="H504" i="22"/>
  <c r="J504" i="22"/>
  <c r="G504" i="22"/>
  <c r="I504" i="22"/>
  <c r="F504" i="22"/>
  <c r="C524" i="22"/>
  <c r="F504" i="5"/>
  <c r="K504" i="5" s="1"/>
  <c r="G503" i="20"/>
  <c r="C523" i="23"/>
  <c r="J503" i="23"/>
  <c r="M503" i="23"/>
  <c r="I503" i="23"/>
  <c r="G503" i="23"/>
  <c r="F503" i="23"/>
  <c r="H503" i="23"/>
  <c r="F523" i="5"/>
  <c r="I523" i="5"/>
  <c r="H523" i="5"/>
  <c r="G503" i="5"/>
  <c r="K503" i="5" s="1"/>
  <c r="F522" i="5"/>
  <c r="J522" i="5"/>
  <c r="G502" i="23"/>
  <c r="F502" i="23"/>
  <c r="G502" i="21"/>
  <c r="F502" i="21"/>
  <c r="I522" i="5"/>
  <c r="I502" i="5"/>
  <c r="I515" i="5" s="1"/>
  <c r="F502" i="5"/>
  <c r="J501" i="20"/>
  <c r="I501" i="20"/>
  <c r="F501" i="20"/>
  <c r="G501" i="20"/>
  <c r="C521" i="20"/>
  <c r="H501" i="20"/>
  <c r="J501" i="22"/>
  <c r="C521" i="23"/>
  <c r="M501" i="23"/>
  <c r="H501" i="23"/>
  <c r="F501" i="23"/>
  <c r="J501" i="23"/>
  <c r="G501" i="23"/>
  <c r="I501" i="23"/>
  <c r="F500" i="21"/>
  <c r="H500" i="21"/>
  <c r="G500" i="21"/>
  <c r="J500" i="21"/>
  <c r="C520" i="21"/>
  <c r="I500" i="21"/>
  <c r="H500" i="20"/>
  <c r="F500" i="20"/>
  <c r="J500" i="20"/>
  <c r="C520" i="20"/>
  <c r="I500" i="20"/>
  <c r="G500" i="20"/>
  <c r="C520" i="23"/>
  <c r="H500" i="23"/>
  <c r="F500" i="23"/>
  <c r="J500" i="23"/>
  <c r="G500" i="23"/>
  <c r="M500" i="23"/>
  <c r="I500" i="23"/>
  <c r="F500" i="5"/>
  <c r="M13" i="20"/>
  <c r="M11" i="20"/>
  <c r="M4" i="20"/>
  <c r="M9" i="20"/>
  <c r="M12" i="20"/>
  <c r="M5" i="20"/>
  <c r="M15" i="20"/>
  <c r="M10" i="20"/>
  <c r="I23" i="15"/>
  <c r="I26" i="4"/>
  <c r="I31" i="4"/>
  <c r="I40" i="17"/>
  <c r="I32" i="16"/>
  <c r="I28" i="16"/>
  <c r="I31" i="15"/>
  <c r="I30" i="15"/>
  <c r="I23" i="16"/>
  <c r="I27" i="15"/>
  <c r="I26" i="15"/>
  <c r="I27" i="16"/>
  <c r="I25" i="16"/>
  <c r="I28" i="15"/>
  <c r="I26" i="16"/>
  <c r="I32" i="15"/>
  <c r="I24" i="15"/>
  <c r="I40" i="14"/>
  <c r="I30" i="16"/>
  <c r="I24" i="16"/>
  <c r="I29" i="15"/>
  <c r="I25" i="15"/>
  <c r="I31" i="16"/>
  <c r="I29" i="16"/>
  <c r="I31" i="17"/>
  <c r="I29" i="17"/>
  <c r="I27" i="17"/>
  <c r="I25" i="17"/>
  <c r="I23" i="17"/>
  <c r="I32" i="14"/>
  <c r="I30" i="14"/>
  <c r="I28" i="14"/>
  <c r="I26" i="14"/>
  <c r="I24" i="14"/>
  <c r="I31" i="14"/>
  <c r="I29" i="14"/>
  <c r="I27" i="14"/>
  <c r="I25" i="14"/>
  <c r="I23" i="14"/>
  <c r="I40" i="15"/>
  <c r="I32" i="17"/>
  <c r="I30" i="17"/>
  <c r="I28" i="17"/>
  <c r="I26" i="17"/>
  <c r="I24" i="17"/>
  <c r="I40" i="16"/>
  <c r="J15" i="12" l="1"/>
  <c r="D26" i="12" s="1"/>
  <c r="H15" i="12"/>
  <c r="H22" i="12" s="1"/>
  <c r="I11" i="16"/>
  <c r="I515" i="23"/>
  <c r="F508" i="22"/>
  <c r="G508" i="22"/>
  <c r="F509" i="22"/>
  <c r="I509" i="22"/>
  <c r="M505" i="5"/>
  <c r="G506" i="21"/>
  <c r="J508" i="22"/>
  <c r="G509" i="22"/>
  <c r="M506" i="5"/>
  <c r="K502" i="20"/>
  <c r="K500" i="22"/>
  <c r="F534" i="20"/>
  <c r="M513" i="5"/>
  <c r="M504" i="5"/>
  <c r="I501" i="22"/>
  <c r="G501" i="22"/>
  <c r="I505" i="21"/>
  <c r="F507" i="20"/>
  <c r="G507" i="20"/>
  <c r="J509" i="20"/>
  <c r="G509" i="20"/>
  <c r="I511" i="22"/>
  <c r="M510" i="5"/>
  <c r="M514" i="5"/>
  <c r="C521" i="22"/>
  <c r="H505" i="21"/>
  <c r="J507" i="20"/>
  <c r="I509" i="20"/>
  <c r="H509" i="20"/>
  <c r="C531" i="22"/>
  <c r="J523" i="22"/>
  <c r="F523" i="22"/>
  <c r="I523" i="22"/>
  <c r="H501" i="22"/>
  <c r="K507" i="23"/>
  <c r="H507" i="20"/>
  <c r="G511" i="22"/>
  <c r="J512" i="22"/>
  <c r="M512" i="22"/>
  <c r="M500" i="22"/>
  <c r="M504" i="22"/>
  <c r="M501" i="22"/>
  <c r="I23" i="4"/>
  <c r="I32" i="4"/>
  <c r="K520" i="5"/>
  <c r="C21" i="12"/>
  <c r="I12" i="16"/>
  <c r="F12" i="16" s="1"/>
  <c r="I12" i="15"/>
  <c r="F12" i="15" s="1"/>
  <c r="X5" i="13"/>
  <c r="X6" i="13"/>
  <c r="I26" i="12"/>
  <c r="F26" i="12"/>
  <c r="H28" i="12"/>
  <c r="G28" i="12"/>
  <c r="F28" i="12"/>
  <c r="X9" i="13"/>
  <c r="G26" i="12"/>
  <c r="X8" i="13"/>
  <c r="J28" i="12"/>
  <c r="G27" i="12"/>
  <c r="H27" i="12"/>
  <c r="E28" i="12"/>
  <c r="H26" i="12"/>
  <c r="I11" i="15"/>
  <c r="I78" i="15" s="1"/>
  <c r="J14" i="17"/>
  <c r="F16" i="17" s="1"/>
  <c r="J14" i="14"/>
  <c r="G16" i="14" s="1"/>
  <c r="I13" i="14"/>
  <c r="F13" i="14" s="1"/>
  <c r="F20" i="12"/>
  <c r="I20" i="12"/>
  <c r="I11" i="17"/>
  <c r="F11" i="17" s="1"/>
  <c r="I12" i="14"/>
  <c r="F12" i="14" s="1"/>
  <c r="I21" i="12"/>
  <c r="I13" i="17"/>
  <c r="F13" i="17" s="1"/>
  <c r="H21" i="12"/>
  <c r="F21" i="12"/>
  <c r="W8" i="13"/>
  <c r="W5" i="13"/>
  <c r="W9" i="13"/>
  <c r="E21" i="12"/>
  <c r="E20" i="12"/>
  <c r="I78" i="16"/>
  <c r="F11" i="16"/>
  <c r="I25" i="4"/>
  <c r="K521" i="5"/>
  <c r="I40" i="4"/>
  <c r="I30" i="4"/>
  <c r="I28" i="4"/>
  <c r="M507" i="21"/>
  <c r="K501" i="21"/>
  <c r="F511" i="20"/>
  <c r="K513" i="20"/>
  <c r="K526" i="23"/>
  <c r="G528" i="23"/>
  <c r="J528" i="23"/>
  <c r="H528" i="23"/>
  <c r="I528" i="23"/>
  <c r="F528" i="23"/>
  <c r="J525" i="22"/>
  <c r="G525" i="22"/>
  <c r="H525" i="22"/>
  <c r="F525" i="22"/>
  <c r="I525" i="22"/>
  <c r="I530" i="22"/>
  <c r="F530" i="22"/>
  <c r="G530" i="22"/>
  <c r="J530" i="22"/>
  <c r="H530" i="22"/>
  <c r="M513" i="22"/>
  <c r="K503" i="21"/>
  <c r="K511" i="21"/>
  <c r="K513" i="21"/>
  <c r="G512" i="21"/>
  <c r="I527" i="21"/>
  <c r="J527" i="21"/>
  <c r="G527" i="21"/>
  <c r="H527" i="21"/>
  <c r="F527" i="21"/>
  <c r="I527" i="22"/>
  <c r="J527" i="22"/>
  <c r="G527" i="22"/>
  <c r="H527" i="22"/>
  <c r="F527" i="22"/>
  <c r="F527" i="23"/>
  <c r="I527" i="23"/>
  <c r="H527" i="23"/>
  <c r="C526" i="22"/>
  <c r="G506" i="22"/>
  <c r="H506" i="22"/>
  <c r="I506" i="22"/>
  <c r="F506" i="22"/>
  <c r="J506" i="22"/>
  <c r="H515" i="23"/>
  <c r="I503" i="20"/>
  <c r="H503" i="20"/>
  <c r="F505" i="21"/>
  <c r="C525" i="21"/>
  <c r="M509" i="22"/>
  <c r="M505" i="22"/>
  <c r="M507" i="22"/>
  <c r="J527" i="23"/>
  <c r="H512" i="22"/>
  <c r="I512" i="22"/>
  <c r="I512" i="21"/>
  <c r="J512" i="21"/>
  <c r="K514" i="20"/>
  <c r="H521" i="21"/>
  <c r="I521" i="21"/>
  <c r="G521" i="21"/>
  <c r="J521" i="21"/>
  <c r="F521" i="21"/>
  <c r="C523" i="20"/>
  <c r="F503" i="20"/>
  <c r="J505" i="21"/>
  <c r="M511" i="22"/>
  <c r="M508" i="22"/>
  <c r="M506" i="22"/>
  <c r="G527" i="23"/>
  <c r="M510" i="22"/>
  <c r="M503" i="22"/>
  <c r="G512" i="22"/>
  <c r="C532" i="22"/>
  <c r="H512" i="21"/>
  <c r="F512" i="21"/>
  <c r="K514" i="23"/>
  <c r="F502" i="22"/>
  <c r="H502" i="22"/>
  <c r="G502" i="22"/>
  <c r="C522" i="22"/>
  <c r="J502" i="22"/>
  <c r="I502" i="22"/>
  <c r="C530" i="21"/>
  <c r="H510" i="21"/>
  <c r="K510" i="21" s="1"/>
  <c r="J510" i="21"/>
  <c r="H520" i="22"/>
  <c r="I520" i="22"/>
  <c r="F520" i="22"/>
  <c r="G520" i="22"/>
  <c r="J520" i="22"/>
  <c r="J529" i="21"/>
  <c r="G529" i="21"/>
  <c r="H529" i="21"/>
  <c r="F529" i="21"/>
  <c r="I529" i="21"/>
  <c r="M502" i="22"/>
  <c r="M510" i="21"/>
  <c r="K513" i="23"/>
  <c r="J510" i="20"/>
  <c r="G510" i="20"/>
  <c r="F510" i="20"/>
  <c r="H510" i="20"/>
  <c r="C530" i="20"/>
  <c r="I510" i="20"/>
  <c r="I515" i="20" s="1"/>
  <c r="C522" i="21"/>
  <c r="I502" i="21"/>
  <c r="H502" i="21"/>
  <c r="J502" i="21"/>
  <c r="F523" i="21"/>
  <c r="H523" i="21"/>
  <c r="I523" i="21"/>
  <c r="J523" i="21"/>
  <c r="G523" i="21"/>
  <c r="I531" i="21"/>
  <c r="J531" i="21"/>
  <c r="G531" i="21"/>
  <c r="H531" i="21"/>
  <c r="F531" i="21"/>
  <c r="G522" i="20"/>
  <c r="I522" i="20"/>
  <c r="H522" i="20"/>
  <c r="F522" i="20"/>
  <c r="J522" i="20"/>
  <c r="J533" i="21"/>
  <c r="G533" i="21"/>
  <c r="M502" i="5"/>
  <c r="K513" i="5"/>
  <c r="M507" i="5"/>
  <c r="M503" i="5"/>
  <c r="G512" i="20"/>
  <c r="G515" i="20" s="1"/>
  <c r="G514" i="21"/>
  <c r="C534" i="21"/>
  <c r="H514" i="21"/>
  <c r="I514" i="21"/>
  <c r="J514" i="21"/>
  <c r="F514" i="21"/>
  <c r="I534" i="23"/>
  <c r="F534" i="23"/>
  <c r="J534" i="23"/>
  <c r="G534" i="23"/>
  <c r="H534" i="23"/>
  <c r="J533" i="23"/>
  <c r="H533" i="23"/>
  <c r="F533" i="23"/>
  <c r="I533" i="23"/>
  <c r="G533" i="23"/>
  <c r="G514" i="22"/>
  <c r="J514" i="22"/>
  <c r="C534" i="22"/>
  <c r="J515" i="23"/>
  <c r="M509" i="5"/>
  <c r="C532" i="20"/>
  <c r="J532" i="20" s="1"/>
  <c r="H512" i="20"/>
  <c r="H514" i="22"/>
  <c r="H515" i="22" s="1"/>
  <c r="I514" i="22"/>
  <c r="F513" i="22"/>
  <c r="F515" i="22" s="1"/>
  <c r="H513" i="22"/>
  <c r="G513" i="22"/>
  <c r="I513" i="22"/>
  <c r="C533" i="22"/>
  <c r="J513" i="22"/>
  <c r="M514" i="22"/>
  <c r="F512" i="20"/>
  <c r="M512" i="5"/>
  <c r="H533" i="5"/>
  <c r="H535" i="5" s="1"/>
  <c r="J533" i="5"/>
  <c r="J535" i="5" s="1"/>
  <c r="G533" i="5"/>
  <c r="G535" i="5" s="1"/>
  <c r="F533" i="5"/>
  <c r="F535" i="5" s="1"/>
  <c r="I533" i="5"/>
  <c r="I535" i="5" s="1"/>
  <c r="I534" i="20"/>
  <c r="G534" i="20"/>
  <c r="J534" i="20"/>
  <c r="M511" i="5"/>
  <c r="M501" i="5"/>
  <c r="M508" i="5"/>
  <c r="M500" i="5"/>
  <c r="G515" i="5"/>
  <c r="K502" i="5"/>
  <c r="AH5" i="1" s="1"/>
  <c r="E22" i="4" s="1"/>
  <c r="G22" i="4" s="1"/>
  <c r="I22" i="4" s="1"/>
  <c r="I515" i="22"/>
  <c r="G515" i="21"/>
  <c r="M504" i="21"/>
  <c r="M501" i="21"/>
  <c r="M514" i="21"/>
  <c r="J515" i="21"/>
  <c r="M513" i="21"/>
  <c r="M503" i="21"/>
  <c r="M505" i="21"/>
  <c r="M506" i="21"/>
  <c r="M509" i="21"/>
  <c r="I515" i="21"/>
  <c r="M500" i="21"/>
  <c r="M511" i="21"/>
  <c r="M502" i="21"/>
  <c r="M512" i="21"/>
  <c r="M508" i="21"/>
  <c r="F11" i="14"/>
  <c r="I78" i="14"/>
  <c r="H533" i="20"/>
  <c r="I533" i="20"/>
  <c r="J533" i="20"/>
  <c r="G533" i="20"/>
  <c r="F533" i="20"/>
  <c r="J515" i="20"/>
  <c r="H515" i="20"/>
  <c r="K506" i="20"/>
  <c r="CT6" i="1" s="1"/>
  <c r="AH6" i="1" s="1"/>
  <c r="E22" i="14" s="1"/>
  <c r="G22" i="14" s="1"/>
  <c r="I22" i="14" s="1"/>
  <c r="K505" i="20"/>
  <c r="K507" i="20"/>
  <c r="M500" i="20"/>
  <c r="K512" i="22"/>
  <c r="I532" i="23"/>
  <c r="F532" i="23"/>
  <c r="G532" i="23"/>
  <c r="J532" i="23"/>
  <c r="H532" i="23"/>
  <c r="G532" i="21"/>
  <c r="H532" i="21"/>
  <c r="F532" i="21"/>
  <c r="I532" i="21"/>
  <c r="J532" i="21"/>
  <c r="F532" i="20"/>
  <c r="K512" i="23"/>
  <c r="G532" i="22"/>
  <c r="J532" i="22"/>
  <c r="H532" i="22"/>
  <c r="I532" i="22"/>
  <c r="F532" i="22"/>
  <c r="K512" i="21"/>
  <c r="K511" i="20"/>
  <c r="I531" i="20"/>
  <c r="J531" i="20"/>
  <c r="G531" i="20"/>
  <c r="H531" i="20"/>
  <c r="F531" i="20"/>
  <c r="K511" i="23"/>
  <c r="H531" i="22"/>
  <c r="I531" i="22"/>
  <c r="F531" i="22"/>
  <c r="G531" i="22"/>
  <c r="J531" i="22"/>
  <c r="K511" i="22"/>
  <c r="H531" i="23"/>
  <c r="I531" i="23"/>
  <c r="F531" i="23"/>
  <c r="G531" i="23"/>
  <c r="J531" i="23"/>
  <c r="G515" i="23"/>
  <c r="K510" i="23"/>
  <c r="K510" i="22"/>
  <c r="F529" i="20"/>
  <c r="I529" i="20"/>
  <c r="J529" i="20"/>
  <c r="G529" i="20"/>
  <c r="H529" i="20"/>
  <c r="K509" i="23"/>
  <c r="F529" i="23"/>
  <c r="I529" i="23"/>
  <c r="J529" i="23"/>
  <c r="G529" i="23"/>
  <c r="H529" i="23"/>
  <c r="K509" i="20"/>
  <c r="H529" i="22"/>
  <c r="F529" i="22"/>
  <c r="I529" i="22"/>
  <c r="J529" i="22"/>
  <c r="G529" i="22"/>
  <c r="K509" i="22"/>
  <c r="K508" i="21"/>
  <c r="H528" i="22"/>
  <c r="I528" i="22"/>
  <c r="F528" i="22"/>
  <c r="G528" i="22"/>
  <c r="J528" i="22"/>
  <c r="K508" i="22"/>
  <c r="H528" i="21"/>
  <c r="G528" i="21"/>
  <c r="J528" i="21"/>
  <c r="I528" i="21"/>
  <c r="F528" i="21"/>
  <c r="K508" i="20"/>
  <c r="H528" i="20"/>
  <c r="I528" i="20"/>
  <c r="F528" i="20"/>
  <c r="G528" i="20"/>
  <c r="J528" i="20"/>
  <c r="M515" i="23"/>
  <c r="F527" i="20"/>
  <c r="I527" i="20"/>
  <c r="J527" i="20"/>
  <c r="G527" i="20"/>
  <c r="H527" i="20"/>
  <c r="I526" i="21"/>
  <c r="G526" i="21"/>
  <c r="H526" i="21"/>
  <c r="F526" i="21"/>
  <c r="J526" i="21"/>
  <c r="K506" i="21"/>
  <c r="CT7" i="1" s="1"/>
  <c r="F515" i="20"/>
  <c r="H515" i="21"/>
  <c r="K506" i="23"/>
  <c r="CT9" i="1" s="1"/>
  <c r="J526" i="20"/>
  <c r="G526" i="20"/>
  <c r="I526" i="20"/>
  <c r="H526" i="20"/>
  <c r="F526" i="20"/>
  <c r="I525" i="20"/>
  <c r="J525" i="20"/>
  <c r="G525" i="20"/>
  <c r="F525" i="20"/>
  <c r="H525" i="20"/>
  <c r="J525" i="23"/>
  <c r="F525" i="23"/>
  <c r="H525" i="23"/>
  <c r="G525" i="23"/>
  <c r="I525" i="23"/>
  <c r="K505" i="21"/>
  <c r="K505" i="23"/>
  <c r="J525" i="21"/>
  <c r="F525" i="21"/>
  <c r="I525" i="21"/>
  <c r="G525" i="21"/>
  <c r="H525" i="21"/>
  <c r="K504" i="21"/>
  <c r="K504" i="23"/>
  <c r="K504" i="20"/>
  <c r="I524" i="22"/>
  <c r="F524" i="22"/>
  <c r="G524" i="22"/>
  <c r="J524" i="22"/>
  <c r="H524" i="22"/>
  <c r="G524" i="23"/>
  <c r="I524" i="23"/>
  <c r="H524" i="23"/>
  <c r="J524" i="23"/>
  <c r="F524" i="23"/>
  <c r="K504" i="22"/>
  <c r="G524" i="21"/>
  <c r="F524" i="21"/>
  <c r="H524" i="21"/>
  <c r="J524" i="21"/>
  <c r="I524" i="21"/>
  <c r="H524" i="20"/>
  <c r="I524" i="20"/>
  <c r="F524" i="20"/>
  <c r="G524" i="20"/>
  <c r="J524" i="20"/>
  <c r="K503" i="23"/>
  <c r="K523" i="5"/>
  <c r="F523" i="23"/>
  <c r="I523" i="23"/>
  <c r="J523" i="23"/>
  <c r="H523" i="23"/>
  <c r="G523" i="23"/>
  <c r="J523" i="20"/>
  <c r="I523" i="20"/>
  <c r="H523" i="20"/>
  <c r="G523" i="20"/>
  <c r="F523" i="20"/>
  <c r="K503" i="20"/>
  <c r="K502" i="23"/>
  <c r="AH9" i="1" s="1"/>
  <c r="E22" i="17" s="1"/>
  <c r="G22" i="17" s="1"/>
  <c r="I22" i="17" s="1"/>
  <c r="I33" i="17" s="1"/>
  <c r="K502" i="21"/>
  <c r="K522" i="5"/>
  <c r="K501" i="22"/>
  <c r="F521" i="23"/>
  <c r="I521" i="23"/>
  <c r="J521" i="23"/>
  <c r="H521" i="23"/>
  <c r="G521" i="23"/>
  <c r="H521" i="22"/>
  <c r="F521" i="22"/>
  <c r="I521" i="22"/>
  <c r="J521" i="22"/>
  <c r="G521" i="22"/>
  <c r="K501" i="20"/>
  <c r="K501" i="23"/>
  <c r="I521" i="20"/>
  <c r="H521" i="20"/>
  <c r="F521" i="20"/>
  <c r="G521" i="20"/>
  <c r="J521" i="20"/>
  <c r="M508" i="20"/>
  <c r="M504" i="20"/>
  <c r="M505" i="20"/>
  <c r="M502" i="20"/>
  <c r="M513" i="20"/>
  <c r="M507" i="20"/>
  <c r="M510" i="20"/>
  <c r="M506" i="20"/>
  <c r="M509" i="20"/>
  <c r="M511" i="20"/>
  <c r="M512" i="20"/>
  <c r="M503" i="20"/>
  <c r="M501" i="20"/>
  <c r="M514" i="20"/>
  <c r="F515" i="23"/>
  <c r="K500" i="23"/>
  <c r="K500" i="20"/>
  <c r="K500" i="5"/>
  <c r="F515" i="5"/>
  <c r="I520" i="20"/>
  <c r="F520" i="20"/>
  <c r="G520" i="20"/>
  <c r="J520" i="20"/>
  <c r="H520" i="20"/>
  <c r="H520" i="21"/>
  <c r="J520" i="21"/>
  <c r="I520" i="21"/>
  <c r="F520" i="21"/>
  <c r="G520" i="21"/>
  <c r="I520" i="23"/>
  <c r="H520" i="23"/>
  <c r="J520" i="23"/>
  <c r="G520" i="23"/>
  <c r="F520" i="23"/>
  <c r="K500" i="21"/>
  <c r="F515" i="21"/>
  <c r="A92" i="15"/>
  <c r="A85" i="4"/>
  <c r="A93" i="4"/>
  <c r="A91" i="4"/>
  <c r="A95" i="14"/>
  <c r="A85" i="14"/>
  <c r="A94" i="16"/>
  <c r="A87" i="16"/>
  <c r="A87" i="4"/>
  <c r="A99" i="14"/>
  <c r="D99" i="14" s="1"/>
  <c r="A97" i="4"/>
  <c r="D97" i="4" s="1"/>
  <c r="A87" i="14"/>
  <c r="A98" i="14"/>
  <c r="D98" i="14" s="1"/>
  <c r="A93" i="14"/>
  <c r="A90" i="16"/>
  <c r="A89" i="4"/>
  <c r="A90" i="14"/>
  <c r="A90" i="15"/>
  <c r="A93" i="16"/>
  <c r="A88" i="14"/>
  <c r="A94" i="4"/>
  <c r="A86" i="16"/>
  <c r="A86" i="4"/>
  <c r="A98" i="15"/>
  <c r="D98" i="15" s="1"/>
  <c r="A97" i="15"/>
  <c r="D97" i="15" s="1"/>
  <c r="A95" i="16"/>
  <c r="A97" i="16"/>
  <c r="D97" i="16" s="1"/>
  <c r="A95" i="15"/>
  <c r="A92" i="14"/>
  <c r="A97" i="14"/>
  <c r="D97" i="14" s="1"/>
  <c r="A95" i="4"/>
  <c r="A86" i="14"/>
  <c r="A96" i="14"/>
  <c r="D96" i="14" s="1"/>
  <c r="A94" i="14"/>
  <c r="A98" i="16"/>
  <c r="D98" i="16" s="1"/>
  <c r="A89" i="14"/>
  <c r="A92" i="16"/>
  <c r="A88" i="15"/>
  <c r="A88" i="4"/>
  <c r="A94" i="15"/>
  <c r="A91" i="16"/>
  <c r="A86" i="15"/>
  <c r="A87" i="15"/>
  <c r="A96" i="4"/>
  <c r="D96" i="4" s="1"/>
  <c r="E96" i="4" s="1"/>
  <c r="A91" i="14"/>
  <c r="A91" i="15"/>
  <c r="A98" i="4"/>
  <c r="D98" i="4" s="1"/>
  <c r="A92" i="4"/>
  <c r="A90" i="4"/>
  <c r="A96" i="16"/>
  <c r="D96" i="16" s="1"/>
  <c r="A99" i="16"/>
  <c r="D99" i="16" s="1"/>
  <c r="A89" i="15"/>
  <c r="A99" i="4"/>
  <c r="D99" i="4" s="1"/>
  <c r="A93" i="15"/>
  <c r="A99" i="15"/>
  <c r="D99" i="15" s="1"/>
  <c r="A88" i="16"/>
  <c r="A85" i="16"/>
  <c r="A89" i="16"/>
  <c r="A96" i="15"/>
  <c r="D96" i="15" s="1"/>
  <c r="A85" i="15"/>
  <c r="D22" i="12" l="1"/>
  <c r="W6" i="13"/>
  <c r="I22" i="12"/>
  <c r="C20" i="12"/>
  <c r="G20" i="12"/>
  <c r="E22" i="12"/>
  <c r="J20" i="12"/>
  <c r="W7" i="13"/>
  <c r="F22" i="12"/>
  <c r="J21" i="12"/>
  <c r="D20" i="12"/>
  <c r="J26" i="12"/>
  <c r="D27" i="12"/>
  <c r="E27" i="12"/>
  <c r="C28" i="12"/>
  <c r="E26" i="12"/>
  <c r="F27" i="12"/>
  <c r="J27" i="12"/>
  <c r="X7" i="13"/>
  <c r="D28" i="12"/>
  <c r="I28" i="12"/>
  <c r="C27" i="12"/>
  <c r="C26" i="12"/>
  <c r="I27" i="12"/>
  <c r="J11" i="14"/>
  <c r="D21" i="12"/>
  <c r="G22" i="12"/>
  <c r="C22" i="12"/>
  <c r="G21" i="12"/>
  <c r="H20" i="12"/>
  <c r="J22" i="12"/>
  <c r="K523" i="22"/>
  <c r="H535" i="23"/>
  <c r="K527" i="22"/>
  <c r="G535" i="23"/>
  <c r="F14" i="16"/>
  <c r="V5" i="13"/>
  <c r="V7" i="13"/>
  <c r="V6" i="13"/>
  <c r="J14" i="15"/>
  <c r="V9" i="13"/>
  <c r="J14" i="16"/>
  <c r="V8" i="13"/>
  <c r="J11" i="17"/>
  <c r="I78" i="17"/>
  <c r="G16" i="17"/>
  <c r="J12" i="17"/>
  <c r="J13" i="17"/>
  <c r="F11" i="15"/>
  <c r="F16" i="14"/>
  <c r="J13" i="14"/>
  <c r="G13" i="14" s="1"/>
  <c r="J12" i="14"/>
  <c r="G12" i="14" s="1"/>
  <c r="F14" i="17"/>
  <c r="G11" i="17"/>
  <c r="H11" i="17"/>
  <c r="I33" i="4"/>
  <c r="I51" i="4"/>
  <c r="G532" i="20"/>
  <c r="J515" i="22"/>
  <c r="K527" i="23"/>
  <c r="H532" i="20"/>
  <c r="I532" i="20"/>
  <c r="K527" i="21"/>
  <c r="K528" i="23"/>
  <c r="M515" i="22"/>
  <c r="G515" i="22"/>
  <c r="K521" i="21"/>
  <c r="K512" i="20"/>
  <c r="K533" i="21"/>
  <c r="K510" i="20"/>
  <c r="K534" i="20"/>
  <c r="K514" i="22"/>
  <c r="K525" i="22"/>
  <c r="K530" i="22"/>
  <c r="I33" i="14"/>
  <c r="I535" i="23"/>
  <c r="K520" i="22"/>
  <c r="F522" i="22"/>
  <c r="G522" i="22"/>
  <c r="H522" i="22"/>
  <c r="I522" i="22"/>
  <c r="J522" i="22"/>
  <c r="K506" i="22"/>
  <c r="CT8" i="1" s="1"/>
  <c r="AH8" i="1" s="1"/>
  <c r="E22" i="16" s="1"/>
  <c r="G22" i="16" s="1"/>
  <c r="I22" i="16" s="1"/>
  <c r="H526" i="22"/>
  <c r="I526" i="22"/>
  <c r="F526" i="22"/>
  <c r="G526" i="22"/>
  <c r="J526" i="22"/>
  <c r="G530" i="20"/>
  <c r="G535" i="20" s="1"/>
  <c r="I530" i="20"/>
  <c r="F530" i="20"/>
  <c r="J530" i="20"/>
  <c r="H530" i="20"/>
  <c r="H535" i="20" s="1"/>
  <c r="F530" i="21"/>
  <c r="I530" i="21"/>
  <c r="G530" i="21"/>
  <c r="J530" i="21"/>
  <c r="H530" i="21"/>
  <c r="K515" i="20"/>
  <c r="J535" i="23"/>
  <c r="K515" i="23"/>
  <c r="K522" i="20"/>
  <c r="K531" i="21"/>
  <c r="K529" i="21"/>
  <c r="K523" i="21"/>
  <c r="F522" i="21"/>
  <c r="I522" i="21"/>
  <c r="J522" i="21"/>
  <c r="G522" i="21"/>
  <c r="H522" i="21"/>
  <c r="K502" i="22"/>
  <c r="K515" i="5"/>
  <c r="K533" i="20"/>
  <c r="M515" i="5"/>
  <c r="K533" i="5"/>
  <c r="K535" i="5" s="1"/>
  <c r="I533" i="22"/>
  <c r="F533" i="22"/>
  <c r="H533" i="22"/>
  <c r="G533" i="22"/>
  <c r="J533" i="22"/>
  <c r="K513" i="22"/>
  <c r="K515" i="22" s="1"/>
  <c r="K533" i="23"/>
  <c r="K514" i="21"/>
  <c r="G534" i="21"/>
  <c r="I534" i="21"/>
  <c r="J534" i="21"/>
  <c r="F534" i="21"/>
  <c r="H534" i="21"/>
  <c r="K534" i="23"/>
  <c r="J534" i="22"/>
  <c r="G534" i="22"/>
  <c r="F534" i="22"/>
  <c r="H534" i="22"/>
  <c r="I534" i="22"/>
  <c r="E39" i="16"/>
  <c r="G39" i="16" s="1"/>
  <c r="I39" i="16" s="1"/>
  <c r="K531" i="22"/>
  <c r="K532" i="22"/>
  <c r="G36" i="15"/>
  <c r="I36" i="15" s="1"/>
  <c r="AH7" i="1"/>
  <c r="E22" i="15" s="1"/>
  <c r="G22" i="15" s="1"/>
  <c r="I22" i="15" s="1"/>
  <c r="K526" i="21"/>
  <c r="K528" i="21"/>
  <c r="M515" i="21"/>
  <c r="K515" i="21"/>
  <c r="F14" i="14"/>
  <c r="G11" i="14"/>
  <c r="H11" i="14"/>
  <c r="J535" i="20"/>
  <c r="I535" i="20"/>
  <c r="E37" i="14"/>
  <c r="G37" i="14" s="1"/>
  <c r="I37" i="14" s="1"/>
  <c r="E38" i="14"/>
  <c r="G38" i="14" s="1"/>
  <c r="I38" i="14" s="1"/>
  <c r="G36" i="14"/>
  <c r="I36" i="14" s="1"/>
  <c r="K521" i="20"/>
  <c r="K531" i="20"/>
  <c r="K523" i="20"/>
  <c r="M515" i="20"/>
  <c r="K532" i="23"/>
  <c r="K532" i="20"/>
  <c r="K532" i="21"/>
  <c r="K531" i="23"/>
  <c r="K529" i="20"/>
  <c r="K529" i="23"/>
  <c r="K529" i="22"/>
  <c r="K528" i="22"/>
  <c r="K528" i="20"/>
  <c r="E39" i="14"/>
  <c r="G39" i="14" s="1"/>
  <c r="I39" i="14" s="1"/>
  <c r="K526" i="20"/>
  <c r="K527" i="20"/>
  <c r="K524" i="20"/>
  <c r="K525" i="20"/>
  <c r="K524" i="23"/>
  <c r="K524" i="22"/>
  <c r="K525" i="23"/>
  <c r="K524" i="21"/>
  <c r="K525" i="21"/>
  <c r="K523" i="23"/>
  <c r="G39" i="4"/>
  <c r="I39" i="4" s="1"/>
  <c r="E39" i="15"/>
  <c r="G39" i="15" s="1"/>
  <c r="I39" i="15" s="1"/>
  <c r="K521" i="23"/>
  <c r="K521" i="22"/>
  <c r="K520" i="23"/>
  <c r="F535" i="23"/>
  <c r="K520" i="21"/>
  <c r="F535" i="20"/>
  <c r="K520" i="20"/>
  <c r="G535" i="21" l="1"/>
  <c r="I535" i="22"/>
  <c r="H535" i="22"/>
  <c r="F535" i="21"/>
  <c r="J535" i="21"/>
  <c r="J535" i="22"/>
  <c r="F16" i="16"/>
  <c r="J12" i="16"/>
  <c r="J13" i="16"/>
  <c r="J11" i="16"/>
  <c r="G16" i="16"/>
  <c r="F16" i="15"/>
  <c r="J11" i="15"/>
  <c r="G16" i="15"/>
  <c r="J13" i="15"/>
  <c r="J12" i="15"/>
  <c r="G12" i="17"/>
  <c r="G13" i="17"/>
  <c r="F14" i="15"/>
  <c r="G36" i="16"/>
  <c r="I36" i="16" s="1"/>
  <c r="G535" i="22"/>
  <c r="I535" i="21"/>
  <c r="K530" i="20"/>
  <c r="K535" i="20" s="1"/>
  <c r="E81" i="14"/>
  <c r="I81" i="14" s="1"/>
  <c r="K522" i="21"/>
  <c r="K530" i="21"/>
  <c r="K526" i="22"/>
  <c r="K522" i="22"/>
  <c r="K534" i="22"/>
  <c r="K534" i="21"/>
  <c r="I33" i="16"/>
  <c r="E81" i="4"/>
  <c r="I81" i="4" s="1"/>
  <c r="F535" i="22"/>
  <c r="H535" i="21"/>
  <c r="K535" i="23"/>
  <c r="K533" i="22"/>
  <c r="E81" i="16"/>
  <c r="I81" i="16" s="1"/>
  <c r="I33" i="15"/>
  <c r="E81" i="15"/>
  <c r="I81" i="15" s="1"/>
  <c r="G14" i="14"/>
  <c r="I44" i="14"/>
  <c r="K535" i="22" l="1"/>
  <c r="K535" i="21"/>
  <c r="H11" i="15"/>
  <c r="G11" i="15"/>
  <c r="H11" i="16"/>
  <c r="G11" i="16"/>
  <c r="G12" i="15"/>
  <c r="G13" i="16"/>
  <c r="G13" i="15"/>
  <c r="G12" i="16"/>
  <c r="G14" i="17"/>
  <c r="G14" i="16" l="1"/>
  <c r="G14" i="15"/>
  <c r="E89" i="4" l="1"/>
  <c r="E85" i="4"/>
  <c r="E88" i="4"/>
  <c r="E91" i="4"/>
  <c r="E90" i="4"/>
  <c r="E86" i="4"/>
  <c r="E94" i="4"/>
  <c r="E93" i="4"/>
  <c r="E95" i="4"/>
  <c r="E92" i="4"/>
  <c r="E87" i="4"/>
  <c r="CV9" i="1"/>
  <c r="CX8" i="1"/>
  <c r="DA8" i="1"/>
  <c r="BG7" i="13"/>
  <c r="CA8" i="13"/>
  <c r="AU6" i="13"/>
  <c r="BT7" i="13"/>
  <c r="AC7" i="13"/>
  <c r="C6" i="13"/>
  <c r="BG8" i="13"/>
  <c r="H9" i="1"/>
  <c r="BW5" i="13"/>
  <c r="AE6" i="13"/>
  <c r="AE8" i="13"/>
  <c r="AT6" i="13"/>
  <c r="CN6" i="13"/>
  <c r="AD6" i="13"/>
  <c r="CS6" i="13"/>
  <c r="D94" i="4"/>
  <c r="CW6" i="1"/>
  <c r="AH9" i="13"/>
  <c r="AV7" i="13"/>
  <c r="CX5" i="13"/>
  <c r="CU7" i="13"/>
  <c r="Y7" i="13"/>
  <c r="CU9" i="1"/>
  <c r="CD6" i="13"/>
  <c r="M9" i="13"/>
  <c r="DF8" i="13"/>
  <c r="BT6" i="13"/>
  <c r="DB6" i="13"/>
  <c r="BF9" i="13"/>
  <c r="C8" i="13"/>
  <c r="BB8" i="13"/>
  <c r="D87" i="4"/>
  <c r="AY6" i="13"/>
  <c r="CK7" i="13"/>
  <c r="AA6" i="13"/>
  <c r="DE8" i="13"/>
  <c r="L6" i="13"/>
  <c r="BB7" i="13"/>
  <c r="CX5" i="1"/>
  <c r="I8" i="13"/>
  <c r="CV8" i="13"/>
  <c r="AB7" i="13"/>
  <c r="AC5" i="13"/>
  <c r="AA5" i="13"/>
  <c r="F7" i="13"/>
  <c r="AM7" i="13"/>
  <c r="CW5" i="13"/>
  <c r="AK5" i="13"/>
  <c r="AJ9" i="13"/>
  <c r="CA6" i="13"/>
  <c r="AP8" i="13"/>
  <c r="AU9" i="13"/>
  <c r="BP9" i="13"/>
  <c r="CI5" i="13"/>
  <c r="L7" i="13"/>
  <c r="CA9" i="13"/>
  <c r="CT5" i="13"/>
  <c r="DD6" i="13"/>
  <c r="B8" i="13"/>
  <c r="DJ7" i="13"/>
  <c r="AS6" i="13"/>
  <c r="CI6" i="13"/>
  <c r="BG5" i="13"/>
  <c r="CO9" i="13"/>
  <c r="CX7" i="1"/>
  <c r="K33" i="17"/>
  <c r="DH7" i="13"/>
  <c r="BX8" i="13"/>
  <c r="AD9" i="13"/>
  <c r="AV9" i="13"/>
  <c r="AA9" i="13"/>
  <c r="CR6" i="13"/>
  <c r="BL8" i="13"/>
  <c r="CK6" i="13"/>
  <c r="D94" i="16"/>
  <c r="AT7" i="13"/>
  <c r="AM8" i="13"/>
  <c r="AI7" i="13"/>
  <c r="BX7" i="13"/>
  <c r="D91" i="15"/>
  <c r="CO6" i="13"/>
  <c r="CZ8" i="13"/>
  <c r="CM7" i="13"/>
  <c r="K23" i="17"/>
  <c r="DA7" i="13"/>
  <c r="CB6" i="13"/>
  <c r="CB9" i="13"/>
  <c r="DA7" i="1"/>
  <c r="DJ5" i="13"/>
  <c r="CU8" i="1"/>
  <c r="BJ6" i="13"/>
  <c r="BY9" i="13"/>
  <c r="AI6" i="13"/>
  <c r="CJ7" i="13"/>
  <c r="H8" i="13"/>
  <c r="CP5" i="13"/>
  <c r="O6" i="13"/>
  <c r="BC5" i="13"/>
  <c r="CT6" i="13"/>
  <c r="CL9" i="13"/>
  <c r="AO7" i="13"/>
  <c r="AN5" i="13"/>
  <c r="AK9" i="13"/>
  <c r="DK8" i="13"/>
  <c r="D89" i="15"/>
  <c r="DA9" i="13"/>
  <c r="DB7" i="13"/>
  <c r="CD8" i="13"/>
  <c r="BD6" i="13"/>
  <c r="BD7" i="13"/>
  <c r="BE7" i="13"/>
  <c r="CZ7" i="13"/>
  <c r="DG8" i="13"/>
  <c r="BW6" i="13"/>
  <c r="AN7" i="13"/>
  <c r="CK8" i="13"/>
  <c r="DI8" i="13"/>
  <c r="CH9" i="13"/>
  <c r="CY8" i="13"/>
  <c r="CC8" i="13"/>
  <c r="AB5" i="13"/>
  <c r="DC5" i="13"/>
  <c r="CY6" i="1"/>
  <c r="F6" i="13"/>
  <c r="AZ7" i="13"/>
  <c r="DF9" i="13"/>
  <c r="AZ9" i="13"/>
  <c r="D95" i="4"/>
  <c r="DC7" i="13"/>
  <c r="CW9" i="13"/>
  <c r="B6" i="13"/>
  <c r="BT5" i="13"/>
  <c r="AH5" i="13"/>
  <c r="H8" i="1"/>
  <c r="CL7" i="13"/>
  <c r="M7" i="13"/>
  <c r="CX9" i="13"/>
  <c r="DE7" i="13"/>
  <c r="AH6" i="13"/>
  <c r="AF8" i="13"/>
  <c r="DA5" i="1"/>
  <c r="CX6" i="1"/>
  <c r="CT9" i="13"/>
  <c r="BN7" i="13"/>
  <c r="DA9" i="1"/>
  <c r="K27" i="17"/>
  <c r="CJ6" i="13"/>
  <c r="O8" i="13"/>
  <c r="DC6" i="13"/>
  <c r="CO8" i="13"/>
  <c r="CV6" i="1"/>
  <c r="AQ8" i="13"/>
  <c r="CS7" i="13"/>
  <c r="AO8" i="13"/>
  <c r="CR7" i="13"/>
  <c r="DK5" i="13"/>
  <c r="D93" i="14"/>
  <c r="AT9" i="13"/>
  <c r="CW9" i="1"/>
  <c r="DI7" i="13"/>
  <c r="D85" i="16"/>
  <c r="BL5" i="13"/>
  <c r="N7" i="13"/>
  <c r="D8" i="13"/>
  <c r="BX9" i="13"/>
  <c r="DK7" i="13"/>
  <c r="N6" i="13"/>
  <c r="P9" i="13"/>
  <c r="DG9" i="13"/>
  <c r="AB9" i="13"/>
  <c r="D92" i="4"/>
  <c r="BZ9" i="13"/>
  <c r="D94" i="14"/>
  <c r="CY7" i="13"/>
  <c r="CR9" i="13"/>
  <c r="AV8" i="13"/>
  <c r="CM5" i="13"/>
  <c r="AO6" i="13"/>
  <c r="CZ8" i="1"/>
  <c r="Y9" i="13"/>
  <c r="CQ7" i="13"/>
  <c r="AU7" i="13"/>
  <c r="CN9" i="13"/>
  <c r="P7" i="13"/>
  <c r="AR8" i="13"/>
  <c r="AV5" i="13"/>
  <c r="D88" i="15"/>
  <c r="AJ5" i="13"/>
  <c r="DK6" i="13"/>
  <c r="AH8" i="13"/>
  <c r="BR8" i="13"/>
  <c r="CY5" i="1"/>
  <c r="D90" i="16"/>
  <c r="D94" i="15"/>
  <c r="AP9" i="13"/>
  <c r="DE6" i="13"/>
  <c r="BS5" i="13"/>
  <c r="BR6" i="13"/>
  <c r="CI9" i="13"/>
  <c r="BG9" i="13"/>
  <c r="CZ9" i="13"/>
  <c r="E8" i="13"/>
  <c r="AR6" i="13"/>
  <c r="AB6" i="13"/>
  <c r="CN8" i="13"/>
  <c r="CA5" i="13"/>
  <c r="AD5" i="13"/>
  <c r="BJ9" i="13"/>
  <c r="CW5" i="1"/>
  <c r="AX6" i="13"/>
  <c r="BL7" i="13"/>
  <c r="BZ6" i="13"/>
  <c r="DJ8" i="13"/>
  <c r="B5" i="13"/>
  <c r="AN8" i="13"/>
  <c r="CC6" i="13"/>
  <c r="AC6" i="13"/>
  <c r="AF7" i="13"/>
  <c r="BV5" i="13"/>
  <c r="CV8" i="1"/>
  <c r="DH9" i="13"/>
  <c r="AW6" i="13"/>
  <c r="BY7" i="13"/>
  <c r="K31" i="17"/>
  <c r="AZ6" i="13"/>
  <c r="CQ8" i="13"/>
  <c r="O7" i="13"/>
  <c r="AU5" i="13"/>
  <c r="CS5" i="13"/>
  <c r="AE5" i="13"/>
  <c r="AJ7" i="13"/>
  <c r="AG9" i="13"/>
  <c r="CH8" i="13"/>
  <c r="AI8" i="13"/>
  <c r="BX5" i="13"/>
  <c r="K32" i="17"/>
  <c r="BB6" i="13"/>
  <c r="AZ5" i="13"/>
  <c r="AF6" i="13"/>
  <c r="CH6" i="13"/>
  <c r="CZ7" i="1"/>
  <c r="BT9" i="13"/>
  <c r="CV5" i="13"/>
  <c r="BW9" i="13"/>
  <c r="BR7" i="13"/>
  <c r="CX6" i="13"/>
  <c r="CQ6" i="13"/>
  <c r="CZ6" i="13"/>
  <c r="CV7" i="1"/>
  <c r="I7" i="13"/>
  <c r="CQ5" i="13"/>
  <c r="DH8" i="13"/>
  <c r="CZ6" i="1"/>
  <c r="P6" i="13"/>
  <c r="AW8" i="13"/>
  <c r="CS9" i="13"/>
  <c r="BN8" i="13"/>
  <c r="CP8" i="13"/>
  <c r="AR5" i="13"/>
  <c r="M6" i="13"/>
  <c r="D9" i="13"/>
  <c r="BH7" i="13"/>
  <c r="DB8" i="13"/>
  <c r="BB9" i="13"/>
  <c r="DH6" i="13"/>
  <c r="BI5" i="13"/>
  <c r="AG8" i="13"/>
  <c r="G7" i="13"/>
  <c r="K28" i="17"/>
  <c r="CX7" i="13"/>
  <c r="AC9" i="13"/>
  <c r="BY5" i="13"/>
  <c r="BF5" i="13"/>
  <c r="G8" i="13"/>
  <c r="BH8" i="13"/>
  <c r="BN5" i="13"/>
  <c r="DD5" i="1"/>
  <c r="AH7" i="13"/>
  <c r="CY7" i="1"/>
  <c r="AM9" i="13"/>
  <c r="D95" i="14"/>
  <c r="D6" i="13"/>
  <c r="AI9" i="13"/>
  <c r="DF7" i="13"/>
  <c r="AM5" i="13"/>
  <c r="DD5" i="13"/>
  <c r="D92" i="16"/>
  <c r="CO5" i="13"/>
  <c r="K20" i="17"/>
  <c r="CY9" i="13"/>
  <c r="BV9" i="13"/>
  <c r="D85" i="14"/>
  <c r="BW7" i="13"/>
  <c r="BI7" i="13"/>
  <c r="DD7" i="13"/>
  <c r="D92" i="15"/>
  <c r="BC7" i="13"/>
  <c r="BP8" i="13"/>
  <c r="F9" i="13"/>
  <c r="CV5" i="1"/>
  <c r="D87" i="14"/>
  <c r="D87" i="15"/>
  <c r="CC7" i="13"/>
  <c r="AJ8" i="13"/>
  <c r="D86" i="15"/>
  <c r="AO5" i="13"/>
  <c r="AE9" i="13"/>
  <c r="L8" i="13"/>
  <c r="AL6" i="13"/>
  <c r="AM6" i="13"/>
  <c r="CI7" i="13"/>
  <c r="DG6" i="13"/>
  <c r="AA7" i="13"/>
  <c r="D93" i="16"/>
  <c r="DE9" i="13"/>
  <c r="DA6" i="13"/>
  <c r="CU7" i="1"/>
  <c r="DI9" i="13"/>
  <c r="AR9" i="13"/>
  <c r="D91" i="4"/>
  <c r="K29" i="17"/>
  <c r="CW8" i="13"/>
  <c r="AS7" i="13"/>
  <c r="CV7" i="13"/>
  <c r="M8" i="13"/>
  <c r="L5" i="13"/>
  <c r="CP9" i="13"/>
  <c r="CU5" i="13"/>
  <c r="BG6" i="13"/>
  <c r="BY8" i="13"/>
  <c r="AS5" i="13"/>
  <c r="C7" i="13"/>
  <c r="CM9" i="13"/>
  <c r="CW6" i="13"/>
  <c r="D85" i="4"/>
  <c r="AQ5" i="13"/>
  <c r="CY5" i="13"/>
  <c r="F8" i="13"/>
  <c r="BH5" i="13"/>
  <c r="BE6" i="13"/>
  <c r="BH6" i="13"/>
  <c r="AX8" i="13"/>
  <c r="DI6" i="13"/>
  <c r="AT5" i="13"/>
  <c r="BW8" i="13"/>
  <c r="BV6" i="13"/>
  <c r="CC9" i="13"/>
  <c r="D93" i="4"/>
  <c r="AL7" i="13"/>
  <c r="AP5" i="13"/>
  <c r="E6" i="13"/>
  <c r="AO9" i="13"/>
  <c r="CH5" i="13"/>
  <c r="AG7" i="13"/>
  <c r="BL6" i="13"/>
  <c r="DI5" i="13"/>
  <c r="BC6" i="13"/>
  <c r="N9" i="13"/>
  <c r="CP7" i="13"/>
  <c r="P8" i="13"/>
  <c r="CX9" i="1"/>
  <c r="CY9" i="1"/>
  <c r="AE7" i="13"/>
  <c r="C9" i="13"/>
  <c r="BE5" i="13"/>
  <c r="G9" i="13"/>
  <c r="AG6" i="13"/>
  <c r="BD5" i="13"/>
  <c r="BJ8" i="13"/>
  <c r="D95" i="15"/>
  <c r="CN5" i="13"/>
  <c r="BE9" i="13"/>
  <c r="BH9" i="13"/>
  <c r="CJ9" i="13"/>
  <c r="BP5" i="13"/>
  <c r="DF6" i="13"/>
  <c r="BF8" i="13"/>
  <c r="B7" i="13"/>
  <c r="D87" i="16"/>
  <c r="DA5" i="13"/>
  <c r="AQ7" i="13"/>
  <c r="BY6" i="13"/>
  <c r="AU8" i="13"/>
  <c r="CR8" i="13"/>
  <c r="CZ5" i="13"/>
  <c r="BF7" i="13"/>
  <c r="AP6" i="13"/>
  <c r="DD8" i="13"/>
  <c r="Y8" i="13"/>
  <c r="AG5" i="13"/>
  <c r="D7" i="13"/>
  <c r="D88" i="14"/>
  <c r="D88" i="16"/>
  <c r="CZ9" i="1"/>
  <c r="K21" i="17"/>
  <c r="CQ9" i="13"/>
  <c r="K24" i="17"/>
  <c r="AF9" i="13"/>
  <c r="O9" i="13"/>
  <c r="CY6" i="13"/>
  <c r="B9" i="13"/>
  <c r="DB9" i="13"/>
  <c r="D89" i="14"/>
  <c r="AZ8" i="13"/>
  <c r="CU6" i="13"/>
  <c r="BL9" i="13"/>
  <c r="BJ5" i="13"/>
  <c r="BX6" i="13"/>
  <c r="AN6" i="13"/>
  <c r="AD7" i="13"/>
  <c r="CA7" i="13"/>
  <c r="AX9" i="13"/>
  <c r="D90" i="15"/>
  <c r="AI5" i="13"/>
  <c r="AR7" i="13"/>
  <c r="D90" i="4"/>
  <c r="BZ8" i="13"/>
  <c r="AP7" i="13"/>
  <c r="CK9" i="13"/>
  <c r="CS8" i="13"/>
  <c r="AL8" i="13"/>
  <c r="I6" i="13"/>
  <c r="CT7" i="13"/>
  <c r="J6" i="13"/>
  <c r="CT8" i="13"/>
  <c r="CZ5" i="1"/>
  <c r="CB7" i="13"/>
  <c r="D95" i="16"/>
  <c r="N8" i="13"/>
  <c r="AS8" i="13"/>
  <c r="DA8" i="13"/>
  <c r="DD9" i="1"/>
  <c r="AL9" i="13"/>
  <c r="BB5" i="13"/>
  <c r="I5" i="13"/>
  <c r="CI8" i="13"/>
  <c r="H7" i="1"/>
  <c r="BI6" i="13"/>
  <c r="DH5" i="13"/>
  <c r="DC9" i="13"/>
  <c r="AD8" i="13"/>
  <c r="K26" i="17"/>
  <c r="L9" i="13"/>
  <c r="CB5" i="13"/>
  <c r="E7" i="13"/>
  <c r="DG5" i="13"/>
  <c r="K30" i="17"/>
  <c r="CH7" i="13"/>
  <c r="AX5" i="13"/>
  <c r="CU8" i="13"/>
  <c r="AQ6" i="13"/>
  <c r="K22" i="17"/>
  <c r="CV6" i="13"/>
  <c r="D86" i="16"/>
  <c r="AL5" i="13"/>
  <c r="H9" i="13"/>
  <c r="BR9" i="13"/>
  <c r="AB8" i="13"/>
  <c r="CL6" i="13"/>
  <c r="G6" i="13"/>
  <c r="CC5" i="13"/>
  <c r="D91" i="16"/>
  <c r="H7" i="13"/>
  <c r="CU5" i="1"/>
  <c r="CX8" i="13"/>
  <c r="CR5" i="13"/>
  <c r="BE8" i="13"/>
  <c r="CJ5" i="13"/>
  <c r="CD5" i="13"/>
  <c r="DJ9" i="13"/>
  <c r="DB5" i="13"/>
  <c r="D86" i="4"/>
  <c r="DC8" i="13"/>
  <c r="AC8" i="13"/>
  <c r="CP6" i="13"/>
  <c r="D92" i="14"/>
  <c r="CB8" i="13"/>
  <c r="BI9" i="13"/>
  <c r="CW7" i="1"/>
  <c r="AA8" i="13"/>
  <c r="BZ5" i="13"/>
  <c r="H6" i="1"/>
  <c r="CU6" i="1"/>
  <c r="BJ7" i="13"/>
  <c r="BI8" i="13"/>
  <c r="BD9" i="13"/>
  <c r="BR5" i="13"/>
  <c r="AW7" i="13"/>
  <c r="CM6" i="13"/>
  <c r="AV6" i="13"/>
  <c r="K25" i="17"/>
  <c r="BP7" i="13"/>
  <c r="DK9" i="13"/>
  <c r="BF6" i="13"/>
  <c r="CY8" i="1"/>
  <c r="DJ6" i="13"/>
  <c r="DD9" i="13"/>
  <c r="CM8" i="13"/>
  <c r="D93" i="15"/>
  <c r="D89" i="4"/>
  <c r="E9" i="13"/>
  <c r="BC8" i="13"/>
  <c r="CW7" i="13"/>
  <c r="CK5" i="13"/>
  <c r="BZ7" i="13"/>
  <c r="BT8" i="13"/>
  <c r="BV7" i="13"/>
  <c r="BP6" i="13"/>
  <c r="AS9" i="13"/>
  <c r="CW8" i="1"/>
  <c r="BV8" i="13"/>
  <c r="AQ9" i="13"/>
  <c r="H5" i="1"/>
  <c r="D91" i="14"/>
  <c r="CD7" i="13"/>
  <c r="AK6" i="13"/>
  <c r="CL8" i="13"/>
  <c r="DF5" i="13"/>
  <c r="CO7" i="13"/>
  <c r="DG7" i="13"/>
  <c r="H6" i="13"/>
  <c r="AF5" i="13"/>
  <c r="D88" i="4"/>
  <c r="Y6" i="13"/>
  <c r="K19" i="17"/>
  <c r="AK8" i="13"/>
  <c r="CL5" i="13"/>
  <c r="AJ6" i="13"/>
  <c r="BN9" i="13"/>
  <c r="CV9" i="13"/>
  <c r="CN7" i="13"/>
  <c r="D90" i="14"/>
  <c r="BA6" i="13"/>
  <c r="AX7" i="13"/>
  <c r="BD8" i="13"/>
  <c r="AT8" i="13"/>
  <c r="D86" i="14"/>
  <c r="CJ8" i="13"/>
  <c r="I9" i="13"/>
  <c r="AN9" i="13"/>
  <c r="D89" i="16"/>
  <c r="DE5" i="13"/>
  <c r="AK7" i="13"/>
  <c r="BN6" i="13"/>
  <c r="CU9" i="13"/>
  <c r="D85" i="15"/>
  <c r="CD9" i="13"/>
  <c r="D100" i="4" l="1"/>
  <c r="D19" i="4" s="1"/>
  <c r="D100" i="15"/>
  <c r="D19" i="15" s="1"/>
  <c r="A97" i="17"/>
  <c r="D97" i="17" s="1"/>
  <c r="L11" i="13"/>
  <c r="E47" i="16"/>
  <c r="G47" i="16" s="1"/>
  <c r="I47" i="16" s="1"/>
  <c r="T8" i="13"/>
  <c r="E51" i="14"/>
  <c r="G51" i="14" s="1"/>
  <c r="I51" i="14" s="1"/>
  <c r="A95" i="17"/>
  <c r="E51" i="16"/>
  <c r="G51" i="16" s="1"/>
  <c r="I51" i="16" s="1"/>
  <c r="E47" i="15"/>
  <c r="G47" i="15" s="1"/>
  <c r="I47" i="15" s="1"/>
  <c r="E50" i="4"/>
  <c r="G50" i="4" s="1"/>
  <c r="I50" i="4" s="1"/>
  <c r="A88" i="17"/>
  <c r="A91" i="17"/>
  <c r="A96" i="17"/>
  <c r="E47" i="4"/>
  <c r="G47" i="4" s="1"/>
  <c r="I47" i="4" s="1"/>
  <c r="E48" i="16"/>
  <c r="G48" i="16" s="1"/>
  <c r="I48" i="16" s="1"/>
  <c r="E52" i="4"/>
  <c r="G52" i="4" s="1"/>
  <c r="I52" i="4" s="1"/>
  <c r="DB7" i="1"/>
  <c r="E37" i="15" s="1"/>
  <c r="G37" i="15" s="1"/>
  <c r="I37" i="15" s="1"/>
  <c r="DC7" i="1"/>
  <c r="E38" i="15" s="1"/>
  <c r="G38" i="15" s="1"/>
  <c r="I38" i="15" s="1"/>
  <c r="A89" i="17"/>
  <c r="E48" i="14"/>
  <c r="G48" i="14" s="1"/>
  <c r="I48" i="14" s="1"/>
  <c r="A92" i="17"/>
  <c r="D92" i="17" s="1"/>
  <c r="D100" i="14"/>
  <c r="G19" i="14" s="1"/>
  <c r="A85" i="17"/>
  <c r="A90" i="17"/>
  <c r="A86" i="17"/>
  <c r="E52" i="16"/>
  <c r="G52" i="16" s="1"/>
  <c r="I52" i="16" s="1"/>
  <c r="A87" i="17"/>
  <c r="E49" i="15"/>
  <c r="G49" i="15" s="1"/>
  <c r="I49" i="15" s="1"/>
  <c r="E52" i="17"/>
  <c r="G52" i="17" s="1"/>
  <c r="I52" i="17" s="1"/>
  <c r="A99" i="17"/>
  <c r="D99" i="17" s="1"/>
  <c r="E50" i="15"/>
  <c r="G50" i="15" s="1"/>
  <c r="I50" i="15" s="1"/>
  <c r="I11" i="13"/>
  <c r="E51" i="15"/>
  <c r="G51" i="15" s="1"/>
  <c r="I51" i="15" s="1"/>
  <c r="E39" i="17"/>
  <c r="G39" i="17" s="1"/>
  <c r="I39" i="17" s="1"/>
  <c r="U6" i="13"/>
  <c r="U7" i="13"/>
  <c r="A94" i="17"/>
  <c r="D100" i="16"/>
  <c r="D19" i="16" s="1"/>
  <c r="E49" i="17"/>
  <c r="G49" i="17" s="1"/>
  <c r="I49" i="17" s="1"/>
  <c r="U8" i="13"/>
  <c r="T6" i="13"/>
  <c r="E47" i="14"/>
  <c r="G47" i="14" s="1"/>
  <c r="I47" i="14" s="1"/>
  <c r="E51" i="17"/>
  <c r="G51" i="17" s="1"/>
  <c r="I51" i="17" s="1"/>
  <c r="E50" i="17"/>
  <c r="G50" i="17" s="1"/>
  <c r="I50" i="17" s="1"/>
  <c r="E52" i="14"/>
  <c r="G52" i="14" s="1"/>
  <c r="I52" i="14" s="1"/>
  <c r="A93" i="17"/>
  <c r="U9" i="13"/>
  <c r="DB9" i="1"/>
  <c r="E37" i="17" s="1"/>
  <c r="G37" i="17" s="1"/>
  <c r="I37" i="17" s="1"/>
  <c r="DC9" i="1"/>
  <c r="E38" i="17" s="1"/>
  <c r="G38" i="17" s="1"/>
  <c r="I38" i="17" s="1"/>
  <c r="E36" i="17"/>
  <c r="G36" i="17" s="1"/>
  <c r="I36" i="17" s="1"/>
  <c r="T9" i="13"/>
  <c r="E49" i="16"/>
  <c r="G49" i="16" s="1"/>
  <c r="I49" i="16" s="1"/>
  <c r="E48" i="17"/>
  <c r="G48" i="17" s="1"/>
  <c r="I48" i="17" s="1"/>
  <c r="E48" i="15"/>
  <c r="G48" i="15" s="1"/>
  <c r="I48" i="15" s="1"/>
  <c r="E50" i="14"/>
  <c r="G50" i="14" s="1"/>
  <c r="I50" i="14" s="1"/>
  <c r="DC5" i="1"/>
  <c r="G38" i="4" s="1"/>
  <c r="I38" i="4" s="1"/>
  <c r="E36" i="4"/>
  <c r="G36" i="4" s="1"/>
  <c r="I36" i="4" s="1"/>
  <c r="DB5" i="1"/>
  <c r="G37" i="4" s="1"/>
  <c r="I37" i="4" s="1"/>
  <c r="E49" i="14"/>
  <c r="G49" i="14" s="1"/>
  <c r="I49" i="14" s="1"/>
  <c r="T7" i="13"/>
  <c r="E52" i="15"/>
  <c r="G52" i="15" s="1"/>
  <c r="I52" i="15" s="1"/>
  <c r="I9" i="1"/>
  <c r="E81" i="17" s="1"/>
  <c r="I81" i="17" s="1"/>
  <c r="E49" i="4"/>
  <c r="G49" i="4" s="1"/>
  <c r="I49" i="4" s="1"/>
  <c r="E48" i="4"/>
  <c r="G48" i="4" s="1"/>
  <c r="I48" i="4" s="1"/>
  <c r="A98" i="17"/>
  <c r="D98" i="17" s="1"/>
  <c r="DB8" i="1"/>
  <c r="E37" i="16" s="1"/>
  <c r="G37" i="16" s="1"/>
  <c r="I37" i="16" s="1"/>
  <c r="DC8" i="1"/>
  <c r="E38" i="16" s="1"/>
  <c r="G38" i="16" s="1"/>
  <c r="I38" i="16" s="1"/>
  <c r="E50" i="16"/>
  <c r="G50" i="16" s="1"/>
  <c r="I50" i="16" s="1"/>
  <c r="E47" i="17"/>
  <c r="G47" i="17" s="1"/>
  <c r="I47" i="17" s="1"/>
  <c r="D19" i="14"/>
  <c r="E100" i="4"/>
  <c r="I14" i="4" s="1"/>
  <c r="G19" i="4"/>
  <c r="AY5" i="13"/>
  <c r="BA5" i="13"/>
  <c r="AW5" i="13"/>
  <c r="BK8" i="13"/>
  <c r="BM6" i="13"/>
  <c r="AY9" i="13"/>
  <c r="BK6" i="13"/>
  <c r="BQ7" i="13"/>
  <c r="CG8" i="13"/>
  <c r="BU6" i="13"/>
  <c r="BK9" i="13"/>
  <c r="BQ5" i="13"/>
  <c r="AW9" i="13"/>
  <c r="D87" i="17"/>
  <c r="CF5" i="13"/>
  <c r="BS8" i="13"/>
  <c r="D90" i="17"/>
  <c r="BO8" i="13"/>
  <c r="CF6" i="13"/>
  <c r="BM7" i="13"/>
  <c r="D88" i="17"/>
  <c r="BS9" i="13"/>
  <c r="BK7" i="13"/>
  <c r="BU9" i="13"/>
  <c r="BA9" i="13"/>
  <c r="CG7" i="13"/>
  <c r="BA7" i="13"/>
  <c r="Y5" i="13"/>
  <c r="BO9" i="13"/>
  <c r="D91" i="17"/>
  <c r="BO7" i="13"/>
  <c r="BM5" i="13"/>
  <c r="BK5" i="13"/>
  <c r="AY8" i="13"/>
  <c r="D89" i="17"/>
  <c r="BO6" i="13"/>
  <c r="D96" i="17"/>
  <c r="BS7" i="13"/>
  <c r="BM9" i="13"/>
  <c r="CG5" i="13"/>
  <c r="BC9" i="13"/>
  <c r="D95" i="17"/>
  <c r="BQ6" i="13"/>
  <c r="BU5" i="13"/>
  <c r="BQ9" i="13"/>
  <c r="BQ8" i="13"/>
  <c r="BU8" i="13"/>
  <c r="CG6" i="13"/>
  <c r="D85" i="17"/>
  <c r="BA8" i="13"/>
  <c r="AY7" i="13"/>
  <c r="D94" i="17"/>
  <c r="BU7" i="13"/>
  <c r="BS6" i="13"/>
  <c r="D93" i="17"/>
  <c r="BM8" i="13"/>
  <c r="BO5" i="13"/>
  <c r="D86" i="17"/>
  <c r="G19" i="16" l="1"/>
  <c r="I44" i="4"/>
  <c r="G19" i="15"/>
  <c r="I44" i="17"/>
  <c r="I44" i="16"/>
  <c r="I57" i="15"/>
  <c r="I57" i="14"/>
  <c r="I76" i="14" s="1"/>
  <c r="I57" i="4"/>
  <c r="D100" i="17"/>
  <c r="G19" i="17" s="1"/>
  <c r="I57" i="17"/>
  <c r="I57" i="16"/>
  <c r="I44" i="15"/>
  <c r="I19" i="14"/>
  <c r="I19" i="16"/>
  <c r="I11" i="4"/>
  <c r="J14" i="4"/>
  <c r="I19" i="4" s="1"/>
  <c r="I13" i="4"/>
  <c r="F13" i="4" s="1"/>
  <c r="I12" i="4"/>
  <c r="I19" i="15"/>
  <c r="CF8" i="13"/>
  <c r="J5" i="13"/>
  <c r="CF7" i="13"/>
  <c r="K6" i="13"/>
  <c r="CE6" i="13"/>
  <c r="Z5" i="13"/>
  <c r="J8" i="13"/>
  <c r="CF9" i="13"/>
  <c r="K8" i="13"/>
  <c r="J7" i="13"/>
  <c r="K7" i="13"/>
  <c r="Z7" i="13"/>
  <c r="Z8" i="13"/>
  <c r="E5" i="13"/>
  <c r="G5" i="13"/>
  <c r="J9" i="13"/>
  <c r="K5" i="13"/>
  <c r="H5" i="13"/>
  <c r="K9" i="13"/>
  <c r="Q6" i="13"/>
  <c r="Z6" i="13"/>
  <c r="D19" i="17" l="1"/>
  <c r="I76" i="16"/>
  <c r="I76" i="17"/>
  <c r="I76" i="4"/>
  <c r="J11" i="13"/>
  <c r="K11" i="13"/>
  <c r="I76" i="15"/>
  <c r="H11" i="13"/>
  <c r="DL6" i="13"/>
  <c r="G11" i="13"/>
  <c r="E11" i="13"/>
  <c r="J11" i="4"/>
  <c r="G16" i="4"/>
  <c r="J12" i="4"/>
  <c r="F16" i="4"/>
  <c r="J13" i="4"/>
  <c r="I19" i="17"/>
  <c r="F12" i="4"/>
  <c r="F11" i="4"/>
  <c r="I78" i="4"/>
  <c r="CG9" i="13"/>
  <c r="CE8" i="13"/>
  <c r="Q8" i="13"/>
  <c r="Q9" i="13"/>
  <c r="M5" i="13"/>
  <c r="C5" i="13"/>
  <c r="N5" i="13"/>
  <c r="CE9" i="13"/>
  <c r="O5" i="13"/>
  <c r="CE7" i="13"/>
  <c r="F5" i="13"/>
  <c r="Q5" i="13"/>
  <c r="P5" i="13"/>
  <c r="Q7" i="13"/>
  <c r="CE5" i="13"/>
  <c r="Z9" i="13"/>
  <c r="D5" i="13"/>
  <c r="DL8" i="13" l="1"/>
  <c r="DL9" i="13"/>
  <c r="DL5" i="13"/>
  <c r="Q11" i="13"/>
  <c r="DL7" i="13"/>
  <c r="O11" i="13"/>
  <c r="U5" i="13"/>
  <c r="N11" i="13"/>
  <c r="M11" i="13"/>
  <c r="T5" i="13"/>
  <c r="P11" i="13"/>
  <c r="G13" i="4"/>
  <c r="G12" i="4"/>
  <c r="H11" i="4"/>
  <c r="G11" i="4"/>
  <c r="F14" i="4"/>
  <c r="G14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Jakob Burgler</author>
  </authors>
  <commentList>
    <comment ref="E6" authorId="0" shapeId="0" xr:uid="{00000000-0006-0000-0200-000037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F6" authorId="0" shapeId="0" xr:uid="{00000000-0006-0000-0200-000038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6" authorId="0" shapeId="0" xr:uid="{00000000-0006-0000-0200-000039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H6" authorId="0" shapeId="0" xr:uid="{00000000-0006-0000-0200-00003A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6" authorId="0" shapeId="0" xr:uid="{00000000-0006-0000-0200-00003B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J6" authorId="0" shapeId="0" xr:uid="{00000000-0006-0000-0200-00003C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7" authorId="0" shapeId="0" xr:uid="{00000000-0006-0000-0200-000049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F7" authorId="0" shapeId="0" xr:uid="{00000000-0006-0000-0200-00004A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7" authorId="0" shapeId="0" xr:uid="{00000000-0006-0000-0200-00004B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H7" authorId="0" shapeId="0" xr:uid="{00000000-0006-0000-0200-00004C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7" authorId="0" shapeId="0" xr:uid="{00000000-0006-0000-0200-00004D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J7" authorId="0" shapeId="0" xr:uid="{00000000-0006-0000-0200-00004E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8" authorId="0" shapeId="0" xr:uid="{00000000-0006-0000-0200-00004F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F8" authorId="0" shapeId="0" xr:uid="{00000000-0006-0000-0200-000050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" authorId="0" shapeId="0" xr:uid="{00000000-0006-0000-0200-000051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H8" authorId="0" shapeId="0" xr:uid="{00000000-0006-0000-0200-000052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8" authorId="0" shapeId="0" xr:uid="{00000000-0006-0000-0200-000053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J8" authorId="0" shapeId="0" xr:uid="{00000000-0006-0000-0200-000054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9" authorId="0" shapeId="0" xr:uid="{00000000-0006-0000-0200-000055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F9" authorId="0" shapeId="0" xr:uid="{00000000-0006-0000-0200-000056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9" authorId="0" shapeId="0" xr:uid="{00000000-0006-0000-0200-000057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H9" authorId="0" shapeId="0" xr:uid="{00000000-0006-0000-0200-000058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9" authorId="0" shapeId="0" xr:uid="{00000000-0006-0000-0200-000059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J9" authorId="0" shapeId="0" xr:uid="{00000000-0006-0000-0200-00005A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1" authorId="0" shapeId="0" xr:uid="{00000000-0006-0000-0200-00005B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F11" authorId="0" shapeId="0" xr:uid="{00000000-0006-0000-0200-00005C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1" authorId="0" shapeId="0" xr:uid="{00000000-0006-0000-0200-00005D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H11" authorId="0" shapeId="0" xr:uid="{00000000-0006-0000-0200-00005E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1" authorId="0" shapeId="0" xr:uid="{00000000-0006-0000-0200-00005F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J11" authorId="0" shapeId="0" xr:uid="{00000000-0006-0000-0200-000060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2" authorId="0" shapeId="0" xr:uid="{00000000-0006-0000-0200-000061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F12" authorId="0" shapeId="0" xr:uid="{00000000-0006-0000-0200-000062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2" authorId="0" shapeId="0" xr:uid="{00000000-0006-0000-0200-000063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H12" authorId="0" shapeId="0" xr:uid="{00000000-0006-0000-0200-000064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2" authorId="0" shapeId="0" xr:uid="{00000000-0006-0000-0200-000065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J12" authorId="0" shapeId="0" xr:uid="{00000000-0006-0000-0200-000066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3" authorId="0" shapeId="0" xr:uid="{00000000-0006-0000-0200-00006E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F13" authorId="0" shapeId="0" xr:uid="{00000000-0006-0000-0200-00006F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3" authorId="0" shapeId="0" xr:uid="{00000000-0006-0000-0200-000070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H13" authorId="0" shapeId="0" xr:uid="{00000000-0006-0000-0200-000071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3" authorId="0" shapeId="0" xr:uid="{00000000-0006-0000-0200-000072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J13" authorId="0" shapeId="0" xr:uid="{00000000-0006-0000-0200-000073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4" authorId="0" shapeId="0" xr:uid="{00000000-0006-0000-0200-000074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F14" authorId="0" shapeId="0" xr:uid="{00000000-0006-0000-0200-000075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4" authorId="0" shapeId="0" xr:uid="{00000000-0006-0000-0200-000076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H14" authorId="0" shapeId="0" xr:uid="{00000000-0006-0000-0200-000077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4" authorId="0" shapeId="0" xr:uid="{00000000-0006-0000-0200-000078000000}">
      <text>
        <r>
          <rPr>
            <b/>
            <sz val="8"/>
            <color indexed="81"/>
            <rFont val="Tahoma"/>
            <family val="2"/>
          </rPr>
          <t>U dient hier een percentage in te voeren.</t>
        </r>
      </text>
    </comment>
    <comment ref="J14" authorId="0" shapeId="0" xr:uid="{00000000-0006-0000-0200-000079000000}">
      <text>
        <r>
          <rPr>
            <b/>
            <sz val="8"/>
            <color indexed="81"/>
            <rFont val="Tahoma"/>
            <family val="2"/>
          </rPr>
          <t>Als u in de vorige kolom een percentage heeft ingevulld hoeft u hier niets in te vullen anders vult u hier het bedrag in.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Marco van Dijk</author>
  </authors>
  <commentList>
    <comment ref="AH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Zie eind blad. Doorlussen m² dieptereiniging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Vincent Noordhof</author>
  </authors>
  <commentList>
    <comment ref="G51" authorId="0" shapeId="0" xr:uid="{F1A86990-3AC6-45C9-9D5C-0ACB52AB08EB}">
      <text>
        <r>
          <rPr>
            <b/>
            <sz val="9"/>
            <color indexed="81"/>
            <rFont val="Tahoma"/>
            <charset val="1"/>
          </rPr>
          <t>Prijs per beurt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Jakob Burgler</author>
  </authors>
  <commentList>
    <comment ref="H13" authorId="0" shapeId="0" xr:uid="{1BC0447E-2429-4DA3-9A79-064E5A65407F}">
      <text>
        <r>
          <rPr>
            <b/>
            <sz val="9"/>
            <color indexed="81"/>
            <rFont val="Tahoma"/>
            <family val="2"/>
          </rPr>
          <t>Bolon vloer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Jakob Burgler</author>
  </authors>
  <commentList>
    <comment ref="J11" authorId="0" shapeId="0" xr:uid="{592DDC63-1107-4E57-BB7F-81D273617088}">
      <text>
        <r>
          <rPr>
            <b/>
            <sz val="9"/>
            <color indexed="81"/>
            <rFont val="Tahoma"/>
            <family val="2"/>
          </rPr>
          <t>Epoxyvloeren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Marco van Dijk</author>
  </authors>
  <commentList>
    <comment ref="F7" authorId="0" shapeId="0" xr:uid="{27F9AA85-D5B0-4EC6-8864-F959DDC7FAC6}">
      <text>
        <r>
          <rPr>
            <sz val="9"/>
            <color indexed="81"/>
            <rFont val="Tahoma"/>
            <family val="2"/>
          </rPr>
          <t xml:space="preserve">Inloopmat
</t>
        </r>
      </text>
    </comment>
    <comment ref="F8" authorId="0" shapeId="0" xr:uid="{D4461DC2-A92F-49DD-A444-4D8E1266785C}">
      <text>
        <r>
          <rPr>
            <sz val="9"/>
            <color indexed="81"/>
            <rFont val="Tahoma"/>
            <family val="2"/>
          </rPr>
          <t xml:space="preserve">Inloopmat
</t>
        </r>
      </text>
    </comment>
    <comment ref="F9" authorId="0" shapeId="0" xr:uid="{21964F6D-30B5-406A-ABCB-AB1BE97AC372}">
      <text>
        <r>
          <rPr>
            <sz val="9"/>
            <color indexed="81"/>
            <rFont val="Tahoma"/>
            <family val="2"/>
          </rPr>
          <t xml:space="preserve">Inloopmat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<sst xmlns="http://schemas.openxmlformats.org/spreadsheetml/2006/main" count="1547" uniqueCount="585">
  <si>
    <t>VSR</t>
  </si>
  <si>
    <t>inv</t>
  </si>
  <si>
    <t>sprayen</t>
  </si>
  <si>
    <t>conserveren</t>
  </si>
  <si>
    <t>tapijtreinigen</t>
  </si>
  <si>
    <t>m2</t>
  </si>
  <si>
    <t>Straat:</t>
  </si>
  <si>
    <t>Object:</t>
  </si>
  <si>
    <t>Plaats:</t>
  </si>
  <si>
    <t>Gewenste aanvangstijd schoonmaak:</t>
  </si>
  <si>
    <t xml:space="preserve">Aantal dagen schoonmaak per jaar: </t>
  </si>
  <si>
    <t>Uitvoeringsbepaling:</t>
  </si>
  <si>
    <t>Inventarisatie:</t>
  </si>
  <si>
    <t>Totale jaarprijs / jaaruren</t>
  </si>
  <si>
    <t>Uren direct toezicht</t>
  </si>
  <si>
    <t>Extra werkzaamheden</t>
  </si>
  <si>
    <t>prijs per eenheid</t>
  </si>
  <si>
    <t>Totaal</t>
  </si>
  <si>
    <t>Werkzaamheden met een frequentie tot 1/20</t>
  </si>
  <si>
    <t>Schoonmaakwerkzaamheden 3x per jaar</t>
  </si>
  <si>
    <t>Schoonmaakwerkzaamheden 1x per jaar</t>
  </si>
  <si>
    <t>Totaalprijs per jaar</t>
  </si>
  <si>
    <t>cat</t>
  </si>
  <si>
    <t>Adres, plaats:</t>
  </si>
  <si>
    <t>nr</t>
  </si>
  <si>
    <t>Ruimte</t>
  </si>
  <si>
    <t>ED</t>
  </si>
  <si>
    <t>Cat.</t>
  </si>
  <si>
    <t>Tapijt</t>
  </si>
  <si>
    <t>Linoleum</t>
  </si>
  <si>
    <t>PVC</t>
  </si>
  <si>
    <t>Hout</t>
  </si>
  <si>
    <t>Freq</t>
  </si>
  <si>
    <t>m2 smk/jr</t>
  </si>
  <si>
    <t>Tot/jr</t>
  </si>
  <si>
    <t>Categorie:</t>
  </si>
  <si>
    <t>Categorie</t>
  </si>
  <si>
    <t>Frequentie</t>
  </si>
  <si>
    <t>Totaal uitbesteden:</t>
  </si>
  <si>
    <t>Categorie H (nio)</t>
  </si>
  <si>
    <t>Functie</t>
  </si>
  <si>
    <t>Telefoonnummer kantoor</t>
  </si>
  <si>
    <t>Tekenbevoegde schoonmaakbedrijf voor contract</t>
  </si>
  <si>
    <t>Tekenbevoegde schoonmaakbedrijf voor supplementen</t>
  </si>
  <si>
    <t>Contactpersoon offerte</t>
  </si>
  <si>
    <t>Postadres kantoor</t>
  </si>
  <si>
    <t>Mobiel nummer contactpersoon offerte</t>
  </si>
  <si>
    <t>Offerte tarief</t>
  </si>
  <si>
    <t>Specialistisch tarief</t>
  </si>
  <si>
    <t>Direct toezicht</t>
  </si>
  <si>
    <t>Totaal directe kosten</t>
  </si>
  <si>
    <t>Indirect toezicht</t>
  </si>
  <si>
    <t>Overhead</t>
  </si>
  <si>
    <t>Risico en Winst</t>
  </si>
  <si>
    <t>Totaal tarief</t>
  </si>
  <si>
    <t>MA</t>
  </si>
  <si>
    <t>DI</t>
  </si>
  <si>
    <t>WO</t>
  </si>
  <si>
    <t>DO</t>
  </si>
  <si>
    <t>VR</t>
  </si>
  <si>
    <t>ZA</t>
  </si>
  <si>
    <t>ZO</t>
  </si>
  <si>
    <t>FE</t>
  </si>
  <si>
    <t>00:00 tot 06:00</t>
  </si>
  <si>
    <t>06:00 tot 21:30</t>
  </si>
  <si>
    <t>21:30 tot 24:00</t>
  </si>
  <si>
    <t>Regietarief diverse werkzaamheden</t>
  </si>
  <si>
    <t>Regietarief specialistische werkzaamheden</t>
  </si>
  <si>
    <t>Sanitaire voorzieningen</t>
  </si>
  <si>
    <t>Uren direct toezicht per dag</t>
  </si>
  <si>
    <t>m2/jr</t>
  </si>
  <si>
    <t>prijs/jr</t>
  </si>
  <si>
    <t>Totaal:</t>
  </si>
  <si>
    <t>Kwaliteitsinspecties</t>
  </si>
  <si>
    <t>Gem. uren/dag</t>
  </si>
  <si>
    <t>Prestatie</t>
  </si>
  <si>
    <t>Regie tarief</t>
  </si>
  <si>
    <t>Gemiddelde m2 prestatie</t>
  </si>
  <si>
    <t>Totaal m2 uitbesteden/dag</t>
  </si>
  <si>
    <t>Totaal m2 uitbesteden jr</t>
  </si>
  <si>
    <t>categorie 1</t>
  </si>
  <si>
    <t>prestatie</t>
  </si>
  <si>
    <t>categorie 2</t>
  </si>
  <si>
    <t>categorie 3</t>
  </si>
  <si>
    <t>categorie 4</t>
  </si>
  <si>
    <t>categorie 5</t>
  </si>
  <si>
    <t>categorie 6</t>
  </si>
  <si>
    <t>categorie 7</t>
  </si>
  <si>
    <t>categorie 8</t>
  </si>
  <si>
    <t>categorie 9</t>
  </si>
  <si>
    <t>categorie 10</t>
  </si>
  <si>
    <t>categorie 11</t>
  </si>
  <si>
    <t>categorie 12</t>
  </si>
  <si>
    <t>categorie 13</t>
  </si>
  <si>
    <t>categorie 14</t>
  </si>
  <si>
    <t>categorie 15</t>
  </si>
  <si>
    <t>Totalen overzicht</t>
  </si>
  <si>
    <t>extra 1</t>
  </si>
  <si>
    <t>extra 2</t>
  </si>
  <si>
    <t>extra 3</t>
  </si>
  <si>
    <t>extra 4</t>
  </si>
  <si>
    <t>extra 5</t>
  </si>
  <si>
    <t>extra 6</t>
  </si>
  <si>
    <t>extra 7</t>
  </si>
  <si>
    <t>extra 8</t>
  </si>
  <si>
    <t>extra 9</t>
  </si>
  <si>
    <t>extra 10</t>
  </si>
  <si>
    <t>extra 11</t>
  </si>
  <si>
    <t>vloer 1</t>
  </si>
  <si>
    <t>vloer 2</t>
  </si>
  <si>
    <t>vloer 3</t>
  </si>
  <si>
    <t>vloer 4</t>
  </si>
  <si>
    <t>vloer 5</t>
  </si>
  <si>
    <t>vloer 6</t>
  </si>
  <si>
    <t>vloer 7</t>
  </si>
  <si>
    <t>glas 1</t>
  </si>
  <si>
    <t>glas 2</t>
  </si>
  <si>
    <t>glas 3</t>
  </si>
  <si>
    <t>glas 4</t>
  </si>
  <si>
    <t>glas 5</t>
  </si>
  <si>
    <t>glas 6</t>
  </si>
  <si>
    <t>glas 7</t>
  </si>
  <si>
    <t>glas 8</t>
  </si>
  <si>
    <t>glas 9</t>
  </si>
  <si>
    <t>glas 10</t>
  </si>
  <si>
    <t>Tot uren per jaar</t>
  </si>
  <si>
    <t>Totaal eigen dienst:</t>
  </si>
  <si>
    <t>Eigen dienst:</t>
  </si>
  <si>
    <t>Locatie</t>
  </si>
  <si>
    <t>Nr.</t>
  </si>
  <si>
    <t>Ingangsdatum</t>
  </si>
  <si>
    <t>Object</t>
  </si>
  <si>
    <t>Wijziging</t>
  </si>
  <si>
    <t>Oud jaarbedrag</t>
  </si>
  <si>
    <t>Nieuw jaarbedrag</t>
  </si>
  <si>
    <t xml:space="preserve"> Totaalprijs per jaar </t>
  </si>
  <si>
    <t xml:space="preserve">Maanduren x12 </t>
  </si>
  <si>
    <t>Kwartaalbeurt uren x3</t>
  </si>
  <si>
    <t>totaalprijs</t>
  </si>
  <si>
    <t>prijs /m2</t>
  </si>
  <si>
    <t xml:space="preserve">netto meters </t>
  </si>
  <si>
    <t>Glasbewassing (incl. houtwerk en omlijsting)</t>
  </si>
  <si>
    <t>Vloeronderhoud</t>
  </si>
  <si>
    <t>Revisiedatum:</t>
  </si>
  <si>
    <t>Maandfactuur (werkzaamheden met een frequentie tot 1x per maand)</t>
  </si>
  <si>
    <t>Maandfactuur*</t>
  </si>
  <si>
    <t>bwdl</t>
  </si>
  <si>
    <t>Bijzonderheden</t>
  </si>
  <si>
    <t>Algemene gegevens</t>
  </si>
  <si>
    <t>Tekenbevoegde voor contract</t>
  </si>
  <si>
    <t>Basisgegevens</t>
  </si>
  <si>
    <t>Tariefblad</t>
  </si>
  <si>
    <t>Totaalblad</t>
  </si>
  <si>
    <t>…</t>
  </si>
  <si>
    <t>Totale loonkosten</t>
  </si>
  <si>
    <t>Verschil</t>
  </si>
  <si>
    <t>Recoaten</t>
  </si>
  <si>
    <t>Topstrippen en topcoaten</t>
  </si>
  <si>
    <t>Volsprayen</t>
  </si>
  <si>
    <t>Tapijtreinigen</t>
  </si>
  <si>
    <t>Reinigen inloopzones</t>
  </si>
  <si>
    <t>Dieptereiniging sanitair</t>
  </si>
  <si>
    <t>m²</t>
  </si>
  <si>
    <t>Gevelglas buitenzijde enkelvoudig gemeten</t>
  </si>
  <si>
    <t>Gevelglas binnenzijde enkelvoudig gemeten</t>
  </si>
  <si>
    <t>Separatieglas dubbelvoudig gemeten</t>
  </si>
  <si>
    <t>Koepelglas enkelvoudig gemeten</t>
  </si>
  <si>
    <t>Boeidelen</t>
  </si>
  <si>
    <t>Gevelbeplating</t>
  </si>
  <si>
    <t>Volledige naam onderneming (handelsnaam KvK)</t>
  </si>
  <si>
    <t>Vestigingsplaats onderneming (KvK)</t>
  </si>
  <si>
    <t>KvK-nummer</t>
  </si>
  <si>
    <t>E-mailadres contactpersoon offerte</t>
  </si>
  <si>
    <t>Volledige naam schoonmaakbedrijf (Handelsnaam KvK)</t>
  </si>
  <si>
    <t>Vestigingsplaats schoonmaakbedrijf (KvK)</t>
  </si>
  <si>
    <t>Postcode en plaats kantoor</t>
  </si>
  <si>
    <t>Offertetarief</t>
  </si>
  <si>
    <t>Regietarief divers</t>
  </si>
  <si>
    <t>Extra werk-zaamheden</t>
  </si>
  <si>
    <t>Uren maand schoonmaak x12</t>
  </si>
  <si>
    <t>Uren kwartaal beurt x3</t>
  </si>
  <si>
    <t>Kwartaalbeurt x3</t>
  </si>
  <si>
    <t xml:space="preserve"> Maandprijs x12 </t>
  </si>
  <si>
    <t xml:space="preserve"> Kwartaalbeurt </t>
  </si>
  <si>
    <t>Jaarbeurt</t>
  </si>
  <si>
    <t>Vloer-onderhoud</t>
  </si>
  <si>
    <t>Glasbewassing</t>
  </si>
  <si>
    <t>Uren jaarbeurt</t>
  </si>
  <si>
    <t>* Werkzaamheden met een frequentie tot 1x per maand</t>
  </si>
  <si>
    <t>Totalen:</t>
  </si>
  <si>
    <t xml:space="preserve">Prijs  </t>
  </si>
  <si>
    <t>Uren</t>
  </si>
  <si>
    <t>Jaarpijs</t>
  </si>
  <si>
    <t>Jaaruren</t>
  </si>
  <si>
    <t>Verhouding</t>
  </si>
  <si>
    <t>Per dag</t>
  </si>
  <si>
    <t>Per jaar</t>
  </si>
  <si>
    <t>M² uit te besteden per jaar</t>
  </si>
  <si>
    <t>M² uit te besteden per dag</t>
  </si>
  <si>
    <t>Gem. prestatie</t>
  </si>
  <si>
    <t>Prijs per</t>
  </si>
  <si>
    <t>Aantal</t>
  </si>
  <si>
    <t>Prijs per eenheid</t>
  </si>
  <si>
    <t>Beurtprijs</t>
  </si>
  <si>
    <t>Beurten per jaar</t>
  </si>
  <si>
    <t>Prijs per jaar</t>
  </si>
  <si>
    <t>M²</t>
  </si>
  <si>
    <t>Prijs per m²</t>
  </si>
  <si>
    <t>Artikel</t>
  </si>
  <si>
    <t>Omschrijving</t>
  </si>
  <si>
    <t>Prijs per maand</t>
  </si>
  <si>
    <t>Medewerkers</t>
  </si>
  <si>
    <t>Bezoekers</t>
  </si>
  <si>
    <t>Aantal gebruikers van deze locatie</t>
  </si>
  <si>
    <t>Programma categorie</t>
  </si>
  <si>
    <t>Gemiddelde productie per m²</t>
  </si>
  <si>
    <t>Prijs</t>
  </si>
  <si>
    <t>Maandprijs</t>
  </si>
  <si>
    <t>Bestek</t>
  </si>
  <si>
    <t>Soort inspectie</t>
  </si>
  <si>
    <t>Inspectie betaald door</t>
  </si>
  <si>
    <t>Naam object</t>
  </si>
  <si>
    <t>Adres</t>
  </si>
  <si>
    <t>Plaats</t>
  </si>
  <si>
    <t>Aantal dagen schoonmaak per jaar</t>
  </si>
  <si>
    <t>M² prijs inspectie</t>
  </si>
  <si>
    <t>Totaal m² schoonmaak per dag</t>
  </si>
  <si>
    <t>Inspectieprijs</t>
  </si>
  <si>
    <t>Aantal inspecties</t>
  </si>
  <si>
    <t>Minimale prijs</t>
  </si>
  <si>
    <t>Gewenste aanvangstijd</t>
  </si>
  <si>
    <t>Soort vloeronderhoud</t>
  </si>
  <si>
    <t>Glas-bewassing</t>
  </si>
  <si>
    <t>Levering sanitaire voorzieningen</t>
  </si>
  <si>
    <t>Aantal gebruikers per locatie</t>
  </si>
  <si>
    <t>Uitvoerings- bepaling</t>
  </si>
  <si>
    <t>Eventuele einddatum</t>
  </si>
  <si>
    <t>Eventuele bijlage</t>
  </si>
  <si>
    <t>M² dieptereiniging</t>
  </si>
  <si>
    <t>M² glasbewassing binnen</t>
  </si>
  <si>
    <t>M² glasbewassing buiten</t>
  </si>
  <si>
    <t>M² glasbewassing separatie</t>
  </si>
  <si>
    <t>M² glasbewassing koepel</t>
  </si>
  <si>
    <t>M² glasbewassing boeidelen</t>
  </si>
  <si>
    <t>M² glasbewassing Gevelbeplating</t>
  </si>
  <si>
    <t>M² recoaten</t>
  </si>
  <si>
    <t>M² topstrippen en topcoaten</t>
  </si>
  <si>
    <t>M² volsprayen</t>
  </si>
  <si>
    <t>M² tapijtreinigen</t>
  </si>
  <si>
    <t>M² inloopzones</t>
  </si>
  <si>
    <t>C</t>
  </si>
  <si>
    <t>Soort glas</t>
  </si>
  <si>
    <t>Binnenzijde</t>
  </si>
  <si>
    <t>Buitenzijde</t>
  </si>
  <si>
    <t>Separatie</t>
  </si>
  <si>
    <t>Koepel</t>
  </si>
  <si>
    <t>Vrije categorie</t>
  </si>
  <si>
    <t>Steen/ Pulastic</t>
  </si>
  <si>
    <t>Gemeentehuis</t>
  </si>
  <si>
    <t>Gemeentewerf Buitenpost</t>
  </si>
  <si>
    <t>Gemeentewerf Surhuisterveen</t>
  </si>
  <si>
    <t>De Kruidhof</t>
  </si>
  <si>
    <t>Stationstraat 18</t>
  </si>
  <si>
    <t>Vaart 4</t>
  </si>
  <si>
    <t>Badlaan 2a</t>
  </si>
  <si>
    <t>Schoolstraat 29B</t>
  </si>
  <si>
    <t>Buitenpost</t>
  </si>
  <si>
    <t>Surhuisterveen</t>
  </si>
  <si>
    <t>Entree</t>
  </si>
  <si>
    <t>B</t>
  </si>
  <si>
    <t>Overlegruimte</t>
  </si>
  <si>
    <t>in: magazijn</t>
  </si>
  <si>
    <t>H</t>
  </si>
  <si>
    <t>Kast</t>
  </si>
  <si>
    <t>Keuken</t>
  </si>
  <si>
    <t>Kantine</t>
  </si>
  <si>
    <t>Gang</t>
  </si>
  <si>
    <t>Toiletgroep 1xt 1xdouch 1xwb</t>
  </si>
  <si>
    <t>Toiletgroep 2xt 2xu 1xwb</t>
  </si>
  <si>
    <t>Kantoor</t>
  </si>
  <si>
    <t>Kantoor Wegen &amp; groen</t>
  </si>
  <si>
    <t>Kantoor Rioler &amp; gebouw</t>
  </si>
  <si>
    <t>Werkplaats</t>
  </si>
  <si>
    <t>Trap</t>
  </si>
  <si>
    <t>Werkkast</t>
  </si>
  <si>
    <t>Brandweergarage</t>
  </si>
  <si>
    <t>in: cv-ruimte</t>
  </si>
  <si>
    <t>Kantine brandweer</t>
  </si>
  <si>
    <t>Stalling/garage</t>
  </si>
  <si>
    <t>A</t>
  </si>
  <si>
    <t>D</t>
  </si>
  <si>
    <t>E</t>
  </si>
  <si>
    <t>F</t>
  </si>
  <si>
    <t>G</t>
  </si>
  <si>
    <t>I</t>
  </si>
  <si>
    <t>J</t>
  </si>
  <si>
    <t>K</t>
  </si>
  <si>
    <t>X</t>
  </si>
  <si>
    <t>Categorie X (nio)</t>
  </si>
  <si>
    <t>Schrobben epoxyvloeren</t>
  </si>
  <si>
    <t>Ramen en deuren brandweer/garages</t>
  </si>
  <si>
    <t>Begane grond</t>
  </si>
  <si>
    <t>Wasruimte</t>
  </si>
  <si>
    <t>Dames Miva Douche</t>
  </si>
  <si>
    <t>Stalling / Garage / Wegen</t>
  </si>
  <si>
    <t xml:space="preserve">Stalling  </t>
  </si>
  <si>
    <t>Heren toilet</t>
  </si>
  <si>
    <t>Berging</t>
  </si>
  <si>
    <t>Stalling / Garage / Groen</t>
  </si>
  <si>
    <t>Epoxy</t>
  </si>
  <si>
    <t>Glas bi/bui/sep</t>
  </si>
  <si>
    <t>Expositieruimte</t>
  </si>
  <si>
    <t>Entree achter</t>
  </si>
  <si>
    <t>Gang entree</t>
  </si>
  <si>
    <t xml:space="preserve">Gang  </t>
  </si>
  <si>
    <t>Totaal Kruidhof</t>
  </si>
  <si>
    <t>Glasbewassing vindt iedere 6 weken plaats tussen 1 april en 1 oktober. De eerste glasbewassing vindt plaats vlak voor 1 april (i.v.m. de opening). De overige 4 beurten vinden vervolgens (in overleg) plaats in de volgende weeknummers: 20, 26, 32 en 38. De kantoren dienen alleen meegenomen te worden in de eerste, derde en vijfde beurt. Voor deze glasbewassingsbeurten geldt dan een andere prijs zoals hierboven te zien.</t>
  </si>
  <si>
    <t>Gevelglas buitenzijde incl. kantoren</t>
  </si>
  <si>
    <t>Gevelglas binnenzijde incl. kantoren</t>
  </si>
  <si>
    <t>Separatie incl. kantoren</t>
  </si>
  <si>
    <t>Separatieglas incl. kantoren</t>
  </si>
  <si>
    <t>Vincent Noordhof</t>
  </si>
  <si>
    <t>085 200 3991</t>
  </si>
  <si>
    <t>via TenderNed</t>
  </si>
  <si>
    <t>P</t>
  </si>
  <si>
    <t>001</t>
  </si>
  <si>
    <t>001b</t>
  </si>
  <si>
    <t>Hal (receptie)</t>
  </si>
  <si>
    <t>009</t>
  </si>
  <si>
    <t>Centrale hal</t>
  </si>
  <si>
    <t>in: trap</t>
  </si>
  <si>
    <t>021</t>
  </si>
  <si>
    <t>Garderobe</t>
  </si>
  <si>
    <t>024</t>
  </si>
  <si>
    <t>Toiletgroep 2x t 2xu</t>
  </si>
  <si>
    <t>022</t>
  </si>
  <si>
    <t>Mv toilet</t>
  </si>
  <si>
    <t>023</t>
  </si>
  <si>
    <t xml:space="preserve">Toiletgroep 3x t </t>
  </si>
  <si>
    <t>020</t>
  </si>
  <si>
    <t>Raadzaal</t>
  </si>
  <si>
    <t>025</t>
  </si>
  <si>
    <t>(achter) berging</t>
  </si>
  <si>
    <t>015</t>
  </si>
  <si>
    <t>Vergaderkamer</t>
  </si>
  <si>
    <t>016</t>
  </si>
  <si>
    <t>009a</t>
  </si>
  <si>
    <t>Pantry/bar</t>
  </si>
  <si>
    <t>017</t>
  </si>
  <si>
    <t>(achter) voorraadkast</t>
  </si>
  <si>
    <t>010</t>
  </si>
  <si>
    <t>014</t>
  </si>
  <si>
    <t>Nooduitgang</t>
  </si>
  <si>
    <t>in: trappenhuis</t>
  </si>
  <si>
    <t>013</t>
  </si>
  <si>
    <t>Kantoor Griffier</t>
  </si>
  <si>
    <t>012</t>
  </si>
  <si>
    <t>Kantoor onderst griff</t>
  </si>
  <si>
    <t>011</t>
  </si>
  <si>
    <t>004</t>
  </si>
  <si>
    <t>Spreekkamer 1</t>
  </si>
  <si>
    <t>005</t>
  </si>
  <si>
    <t>Spreekkamer 2</t>
  </si>
  <si>
    <t>006</t>
  </si>
  <si>
    <t>Wachtruimte</t>
  </si>
  <si>
    <t>007</t>
  </si>
  <si>
    <t>Spreekkamer 3</t>
  </si>
  <si>
    <t>008</t>
  </si>
  <si>
    <t>Spreekkamer 4</t>
  </si>
  <si>
    <t>Trappenhuis</t>
  </si>
  <si>
    <t>C032</t>
  </si>
  <si>
    <t xml:space="preserve">Hal  </t>
  </si>
  <si>
    <t>A014c</t>
  </si>
  <si>
    <t>A014b</t>
  </si>
  <si>
    <t>A014a</t>
  </si>
  <si>
    <t>Servicedesk</t>
  </si>
  <si>
    <t>A015</t>
  </si>
  <si>
    <t>Reproruimte</t>
  </si>
  <si>
    <t>A016</t>
  </si>
  <si>
    <t>Magazijn</t>
  </si>
  <si>
    <t>A019</t>
  </si>
  <si>
    <t>Archief burgerz</t>
  </si>
  <si>
    <t>A021</t>
  </si>
  <si>
    <t>Archief extra</t>
  </si>
  <si>
    <t>Ondersteuning archief</t>
  </si>
  <si>
    <t>A023</t>
  </si>
  <si>
    <t>A024</t>
  </si>
  <si>
    <t>Magazijn kantoor</t>
  </si>
  <si>
    <t>(achter) papier afval</t>
  </si>
  <si>
    <t>B025</t>
  </si>
  <si>
    <t>Archiefbewaarplaats</t>
  </si>
  <si>
    <t>B030</t>
  </si>
  <si>
    <t>B031</t>
  </si>
  <si>
    <t>Vergaderruimte</t>
  </si>
  <si>
    <t>B030a</t>
  </si>
  <si>
    <t>B030b</t>
  </si>
  <si>
    <t>Douche</t>
  </si>
  <si>
    <t>C036</t>
  </si>
  <si>
    <t>C043</t>
  </si>
  <si>
    <t>C040</t>
  </si>
  <si>
    <t>C050</t>
  </si>
  <si>
    <t>C038</t>
  </si>
  <si>
    <t>C039</t>
  </si>
  <si>
    <t>Cursusruimte</t>
  </si>
  <si>
    <t>C042</t>
  </si>
  <si>
    <t>in trap</t>
  </si>
  <si>
    <t>C041</t>
  </si>
  <si>
    <t>C050a</t>
  </si>
  <si>
    <t>C051</t>
  </si>
  <si>
    <t>C046</t>
  </si>
  <si>
    <t>C047</t>
  </si>
  <si>
    <t>Archief en mag</t>
  </si>
  <si>
    <t>C049</t>
  </si>
  <si>
    <t>Toiletgroep 1xt 2x u</t>
  </si>
  <si>
    <t>C048</t>
  </si>
  <si>
    <t>Toiletgroep 3xt</t>
  </si>
  <si>
    <t>DD03</t>
  </si>
  <si>
    <t>Lift</t>
  </si>
  <si>
    <t>027</t>
  </si>
  <si>
    <t>Frontoffice</t>
  </si>
  <si>
    <t>028</t>
  </si>
  <si>
    <t>Backoffice</t>
  </si>
  <si>
    <t>055</t>
  </si>
  <si>
    <t>Hellingbaan</t>
  </si>
  <si>
    <t>Toiletgroep 2xt</t>
  </si>
  <si>
    <t>Trappetje</t>
  </si>
  <si>
    <t xml:space="preserve">Pantry  </t>
  </si>
  <si>
    <t>Grutte keamer</t>
  </si>
  <si>
    <t>002</t>
  </si>
  <si>
    <t>Lytse keamer</t>
  </si>
  <si>
    <t>003</t>
  </si>
  <si>
    <t>Librije</t>
  </si>
  <si>
    <t>Rijwielenberging</t>
  </si>
  <si>
    <t>Stalling motoren</t>
  </si>
  <si>
    <t xml:space="preserve">Buitenberging </t>
  </si>
  <si>
    <t>NSA</t>
  </si>
  <si>
    <t>Trap Centraal</t>
  </si>
  <si>
    <t>B135</t>
  </si>
  <si>
    <t>D102</t>
  </si>
  <si>
    <t>Gaanderij incl brug</t>
  </si>
  <si>
    <t>101</t>
  </si>
  <si>
    <t>101c</t>
  </si>
  <si>
    <t>Toiletportaal 2x wb</t>
  </si>
  <si>
    <t>in: Toilet H</t>
  </si>
  <si>
    <t>in: Toilet D</t>
  </si>
  <si>
    <t>103</t>
  </si>
  <si>
    <t>102</t>
  </si>
  <si>
    <t>E114</t>
  </si>
  <si>
    <t>E113</t>
  </si>
  <si>
    <t>kantoor Wethouder</t>
  </si>
  <si>
    <t>E112</t>
  </si>
  <si>
    <t>Kantoor Wethouder</t>
  </si>
  <si>
    <t>E111</t>
  </si>
  <si>
    <t>E110</t>
  </si>
  <si>
    <t>Kantoor Burgemeester</t>
  </si>
  <si>
    <t>E109</t>
  </si>
  <si>
    <t>Kantoor Alg Directeur</t>
  </si>
  <si>
    <t>E108</t>
  </si>
  <si>
    <t>Kantoor Communicatie</t>
  </si>
  <si>
    <t>E107</t>
  </si>
  <si>
    <t>Kantoor Bestuurs secr</t>
  </si>
  <si>
    <t>A114</t>
  </si>
  <si>
    <t>A115</t>
  </si>
  <si>
    <t>A120</t>
  </si>
  <si>
    <t>B123</t>
  </si>
  <si>
    <t>Entree Secundair</t>
  </si>
  <si>
    <t>B124</t>
  </si>
  <si>
    <t>Kantoor Politie</t>
  </si>
  <si>
    <t>B125</t>
  </si>
  <si>
    <t>B1</t>
  </si>
  <si>
    <t>B126</t>
  </si>
  <si>
    <t>Kantoor adm en ondst</t>
  </si>
  <si>
    <t>B127</t>
  </si>
  <si>
    <t>B128</t>
  </si>
  <si>
    <t>B129</t>
  </si>
  <si>
    <t>B130</t>
  </si>
  <si>
    <t>Werkplek</t>
  </si>
  <si>
    <t>B131</t>
  </si>
  <si>
    <t>C140</t>
  </si>
  <si>
    <t>C141</t>
  </si>
  <si>
    <t>C142</t>
  </si>
  <si>
    <t>C143</t>
  </si>
  <si>
    <t>G146</t>
  </si>
  <si>
    <t>G161</t>
  </si>
  <si>
    <t>Luchtbrug</t>
  </si>
  <si>
    <t>G157</t>
  </si>
  <si>
    <t>J107</t>
  </si>
  <si>
    <t>Toilet 1x</t>
  </si>
  <si>
    <t>J101</t>
  </si>
  <si>
    <t>J105</t>
  </si>
  <si>
    <t>J104</t>
  </si>
  <si>
    <t>J102</t>
  </si>
  <si>
    <t>Trouwzaal</t>
  </si>
  <si>
    <t>G162</t>
  </si>
  <si>
    <t>Toiletgroep 2x toilet</t>
  </si>
  <si>
    <t>F155</t>
  </si>
  <si>
    <t>G158</t>
  </si>
  <si>
    <t>Keuken (ED)</t>
  </si>
  <si>
    <t>C148</t>
  </si>
  <si>
    <t>Mag onderst unit ser</t>
  </si>
  <si>
    <t>C149</t>
  </si>
  <si>
    <t>C145</t>
  </si>
  <si>
    <t>Kantoor Stilte</t>
  </si>
  <si>
    <t>C146</t>
  </si>
  <si>
    <t>kantoor Stilte</t>
  </si>
  <si>
    <t>C144</t>
  </si>
  <si>
    <t>C152</t>
  </si>
  <si>
    <t>Toiletgroep 2x t 2x u</t>
  </si>
  <si>
    <t>C154</t>
  </si>
  <si>
    <t>Mvtoilet 1x</t>
  </si>
  <si>
    <t>C153</t>
  </si>
  <si>
    <t>Toiletgroep 2x t</t>
  </si>
  <si>
    <t>1e etage</t>
  </si>
  <si>
    <t>C220</t>
  </si>
  <si>
    <t>Hal</t>
  </si>
  <si>
    <t>A202</t>
  </si>
  <si>
    <t>A201</t>
  </si>
  <si>
    <t>A203</t>
  </si>
  <si>
    <t>A204</t>
  </si>
  <si>
    <t>A206</t>
  </si>
  <si>
    <t>A208</t>
  </si>
  <si>
    <t>Kantoor unit inf aut</t>
  </si>
  <si>
    <t>A209</t>
  </si>
  <si>
    <t>Serverruimte</t>
  </si>
  <si>
    <t>B2</t>
  </si>
  <si>
    <t>B209</t>
  </si>
  <si>
    <t>B210</t>
  </si>
  <si>
    <t>B210B</t>
  </si>
  <si>
    <t>B211</t>
  </si>
  <si>
    <t>B213</t>
  </si>
  <si>
    <t>B214</t>
  </si>
  <si>
    <t>B215</t>
  </si>
  <si>
    <t>B216</t>
  </si>
  <si>
    <t>C222</t>
  </si>
  <si>
    <t>C223</t>
  </si>
  <si>
    <t>Balkon</t>
  </si>
  <si>
    <t>C224</t>
  </si>
  <si>
    <t>C2</t>
  </si>
  <si>
    <t>C226</t>
  </si>
  <si>
    <t>C227</t>
  </si>
  <si>
    <t>C235</t>
  </si>
  <si>
    <t>C228</t>
  </si>
  <si>
    <t>C230</t>
  </si>
  <si>
    <t>C231</t>
  </si>
  <si>
    <t>C232</t>
  </si>
  <si>
    <t>C234</t>
  </si>
  <si>
    <t>Toiletgroep 2xt 2xu</t>
  </si>
  <si>
    <t>C233</t>
  </si>
  <si>
    <t>Totaal souterain</t>
  </si>
  <si>
    <t>Totaal begane grond</t>
  </si>
  <si>
    <t>Totaal 1e etage</t>
  </si>
  <si>
    <t>x</t>
  </si>
  <si>
    <t>Terras (buiten)</t>
  </si>
  <si>
    <t>Trespa, houtwerk en boeiranden</t>
  </si>
  <si>
    <t>Conserveren</t>
  </si>
  <si>
    <t>op afroep</t>
  </si>
  <si>
    <t>Schrobben terras raadzaal</t>
  </si>
  <si>
    <t>beurt</t>
  </si>
  <si>
    <t>Extra toiletronde</t>
  </si>
  <si>
    <t>uur</t>
  </si>
  <si>
    <t>Gemeente Achtkarspelen</t>
  </si>
  <si>
    <t>R. Wijnja</t>
  </si>
  <si>
    <t>Teamleider Interne Diensten</t>
  </si>
  <si>
    <t>Gevelglas oudbouw buitenzijde enkelvoudig gemeten</t>
  </si>
  <si>
    <t>Gevelglas nieuwbouw Jeltingahuis en entree enkelvoudig gemeten</t>
  </si>
  <si>
    <t>Opdrachtgever</t>
  </si>
  <si>
    <t>Schrobben vloeren (extra)</t>
  </si>
  <si>
    <t>Middelen, materialen, machines, werkkleding en materialen</t>
  </si>
  <si>
    <t>Diversen, indien van toepassing omschrijving</t>
  </si>
  <si>
    <t>Totaal indirecte kosten</t>
  </si>
  <si>
    <t>B027/B027a</t>
  </si>
  <si>
    <t>Bibliotheek/Vergaderruimte</t>
  </si>
  <si>
    <t>E106</t>
  </si>
  <si>
    <t>A121</t>
  </si>
  <si>
    <t>B132</t>
  </si>
  <si>
    <t>Gearkomstekeamer</t>
  </si>
  <si>
    <t>B&amp;W Keamer</t>
  </si>
  <si>
    <t>J160</t>
  </si>
  <si>
    <t>Serre</t>
  </si>
  <si>
    <t>Brassery</t>
  </si>
  <si>
    <t>A202b</t>
  </si>
  <si>
    <t>A207</t>
  </si>
  <si>
    <t>Plotter en doorgang</t>
  </si>
  <si>
    <t>Kolfruimte</t>
  </si>
  <si>
    <t>8 luiken en 15 lantaarns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</si>
</sst>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 &quot;€&quot;\ * #,##0.00_ ;_ &quot;€&quot;\ * \-#,##0.00_ ;_ &quot;€&quot;\ * &quot;-&quot;??_ ;_ @_ "/>
    <numFmt numFmtId="164" formatCode="_(&quot;€&quot;* #,##0.00_);_(&quot;€&quot;* \(#,##0.00\);_(&quot;€&quot;* &quot;-&quot;??_);_(@_)"/>
    <numFmt numFmtId="165" formatCode="[$-413]d\ mmmm\ yyyy;@"/>
    <numFmt numFmtId="166" formatCode="0.0%"/>
    <numFmt numFmtId="167" formatCode="#,##0_ ;\-#,##0\ "/>
    <numFmt numFmtId="168" formatCode="_ &quot;€&quot;\ * #,##0.00000_ ;_ &quot;€&quot;\ * \-#,##0.00000_ ;_ &quot;€&quot;\ * &quot;-&quot;??_ ;_ @_ "/>
    <numFmt numFmtId="169" formatCode="0.0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1F1770"/>
      <name val="Calibri"/>
      <family val="2"/>
      <scheme val="minor"/>
    </font>
    <font>
      <b/>
      <sz val="8"/>
      <color indexed="81"/>
      <name val="Tahoma"/>
      <family val="2"/>
    </font>
    <font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mbria"/>
      <family val="2"/>
      <scheme val="maj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20"/>
      <color theme="0"/>
      <name val="Calibri Light"/>
      <family val="2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07512"/>
        <bgColor indexed="64"/>
      </patternFill>
    </fill>
    <fill>
      <patternFill patternType="solid">
        <fgColor rgb="FF1F1770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9F92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2E76B"/>
        <bgColor indexed="64"/>
      </patternFill>
    </fill>
    <fill>
      <patternFill patternType="solid">
        <fgColor rgb="FF173583"/>
        <bgColor indexed="64"/>
      </patternFill>
    </fill>
  </fills>
  <borders count="68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theme="0"/>
      </right>
      <top style="thin">
        <color indexed="64"/>
      </top>
      <bottom style="hair">
        <color indexed="64"/>
      </bottom>
      <diagonal/>
    </border>
    <border>
      <left style="hair">
        <color theme="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theme="0"/>
      </right>
      <top style="hair">
        <color indexed="64"/>
      </top>
      <bottom style="hair">
        <color indexed="64"/>
      </bottom>
      <diagonal/>
    </border>
    <border>
      <left style="hair">
        <color theme="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theme="0"/>
      </right>
      <top style="hair">
        <color indexed="64"/>
      </top>
      <bottom style="thin">
        <color indexed="64"/>
      </bottom>
      <diagonal/>
    </border>
    <border>
      <left style="hair">
        <color theme="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theme="0"/>
      </left>
      <right/>
      <top style="thin">
        <color indexed="64"/>
      </top>
      <bottom style="hair">
        <color indexed="64"/>
      </bottom>
      <diagonal/>
    </border>
    <border>
      <left style="hair">
        <color theme="0"/>
      </left>
      <right/>
      <top style="hair">
        <color indexed="64"/>
      </top>
      <bottom style="hair">
        <color indexed="64"/>
      </bottom>
      <diagonal/>
    </border>
    <border>
      <left style="hair">
        <color theme="0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8" fillId="0" borderId="0" applyFont="0" applyFill="0" applyBorder="0" applyAlignment="0" applyProtection="0"/>
    <xf numFmtId="44" fontId="18" fillId="0" borderId="0" applyFont="0" applyFill="0" applyBorder="0" applyAlignment="0" applyProtection="0"/>
  </cellStyleXfs>
  <cellXfs count="548">
    <xf numFmtId="0" fontId="0" fillId="0" borderId="0" xfId="0"/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/>
    <xf numFmtId="1" fontId="0" fillId="0" borderId="0" xfId="0" applyNumberFormat="1"/>
    <xf numFmtId="1" fontId="0" fillId="0" borderId="0" xfId="0" applyNumberFormat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4" fontId="3" fillId="0" borderId="0" xfId="0" applyNumberFormat="1" applyFont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0" fillId="0" borderId="14" xfId="0" applyBorder="1"/>
    <xf numFmtId="0" fontId="0" fillId="0" borderId="0" xfId="0" applyBorder="1"/>
    <xf numFmtId="0" fontId="0" fillId="0" borderId="3" xfId="0" applyBorder="1"/>
    <xf numFmtId="0" fontId="0" fillId="0" borderId="2" xfId="0" applyBorder="1"/>
    <xf numFmtId="0" fontId="0" fillId="0" borderId="15" xfId="0" applyBorder="1"/>
    <xf numFmtId="0" fontId="0" fillId="0" borderId="0" xfId="0" applyFill="1" applyBorder="1"/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Fill="1"/>
    <xf numFmtId="4" fontId="0" fillId="0" borderId="2" xfId="0" applyNumberFormat="1" applyBorder="1"/>
    <xf numFmtId="0" fontId="0" fillId="2" borderId="14" xfId="0" applyFill="1" applyBorder="1"/>
    <xf numFmtId="0" fontId="2" fillId="0" borderId="13" xfId="0" applyFont="1" applyBorder="1"/>
    <xf numFmtId="0" fontId="0" fillId="0" borderId="0" xfId="0" applyBorder="1" applyAlignment="1">
      <alignment horizontal="right"/>
    </xf>
    <xf numFmtId="0" fontId="0" fillId="0" borderId="0" xfId="0" applyFill="1" applyBorder="1" applyAlignment="1">
      <alignment horizontal="right"/>
    </xf>
    <xf numFmtId="2" fontId="0" fillId="0" borderId="39" xfId="0" applyNumberFormat="1" applyFill="1" applyBorder="1"/>
    <xf numFmtId="2" fontId="0" fillId="0" borderId="26" xfId="0" applyNumberFormat="1" applyFill="1" applyBorder="1"/>
    <xf numFmtId="1" fontId="0" fillId="0" borderId="13" xfId="0" applyNumberFormat="1" applyBorder="1"/>
    <xf numFmtId="0" fontId="0" fillId="0" borderId="13" xfId="0" applyBorder="1" applyAlignment="1">
      <alignment horizontal="center"/>
    </xf>
    <xf numFmtId="1" fontId="0" fillId="0" borderId="0" xfId="0" applyNumberFormat="1" applyAlignment="1" applyProtection="1">
      <alignment horizontal="left"/>
      <protection hidden="1"/>
    </xf>
    <xf numFmtId="164" fontId="0" fillId="0" borderId="0" xfId="0" applyNumberFormat="1"/>
    <xf numFmtId="0" fontId="0" fillId="0" borderId="48" xfId="0" applyBorder="1"/>
    <xf numFmtId="2" fontId="0" fillId="0" borderId="0" xfId="0" applyNumberFormat="1" applyFill="1" applyBorder="1"/>
    <xf numFmtId="0" fontId="0" fillId="0" borderId="49" xfId="0" applyBorder="1"/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center"/>
    </xf>
    <xf numFmtId="2" fontId="0" fillId="2" borderId="15" xfId="0" applyNumberFormat="1" applyFill="1" applyBorder="1"/>
    <xf numFmtId="0" fontId="0" fillId="3" borderId="10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6" fillId="4" borderId="1" xfId="0" applyFont="1" applyFill="1" applyBorder="1"/>
    <xf numFmtId="164" fontId="6" fillId="4" borderId="1" xfId="0" applyNumberFormat="1" applyFont="1" applyFill="1" applyBorder="1"/>
    <xf numFmtId="0" fontId="0" fillId="5" borderId="41" xfId="0" applyFill="1" applyBorder="1"/>
    <xf numFmtId="0" fontId="0" fillId="5" borderId="28" xfId="0" applyFill="1" applyBorder="1"/>
    <xf numFmtId="0" fontId="0" fillId="5" borderId="32" xfId="0" applyFill="1" applyBorder="1"/>
    <xf numFmtId="0" fontId="0" fillId="5" borderId="42" xfId="0" applyFill="1" applyBorder="1"/>
    <xf numFmtId="0" fontId="0" fillId="5" borderId="36" xfId="0" applyFill="1" applyBorder="1"/>
    <xf numFmtId="0" fontId="0" fillId="5" borderId="10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4" xfId="0" applyFill="1" applyBorder="1"/>
    <xf numFmtId="0" fontId="0" fillId="5" borderId="10" xfId="0" applyFill="1" applyBorder="1"/>
    <xf numFmtId="0" fontId="0" fillId="5" borderId="40" xfId="0" applyFill="1" applyBorder="1"/>
    <xf numFmtId="0" fontId="0" fillId="5" borderId="33" xfId="0" applyFill="1" applyBorder="1"/>
    <xf numFmtId="0" fontId="0" fillId="5" borderId="34" xfId="0" applyFill="1" applyBorder="1"/>
    <xf numFmtId="0" fontId="0" fillId="5" borderId="27" xfId="0" applyFill="1" applyBorder="1"/>
    <xf numFmtId="0" fontId="0" fillId="5" borderId="31" xfId="0" applyFill="1" applyBorder="1"/>
    <xf numFmtId="0" fontId="0" fillId="5" borderId="14" xfId="0" applyFill="1" applyBorder="1"/>
    <xf numFmtId="1" fontId="0" fillId="5" borderId="21" xfId="0" applyNumberFormat="1" applyFill="1" applyBorder="1" applyAlignment="1">
      <alignment horizontal="right"/>
    </xf>
    <xf numFmtId="0" fontId="0" fillId="5" borderId="13" xfId="0" applyFill="1" applyBorder="1"/>
    <xf numFmtId="0" fontId="0" fillId="5" borderId="15" xfId="0" applyFill="1" applyBorder="1"/>
    <xf numFmtId="0" fontId="0" fillId="5" borderId="30" xfId="0" applyFill="1" applyBorder="1"/>
    <xf numFmtId="0" fontId="0" fillId="5" borderId="5" xfId="0" applyFill="1" applyBorder="1"/>
    <xf numFmtId="0" fontId="0" fillId="5" borderId="8" xfId="0" applyFill="1" applyBorder="1"/>
    <xf numFmtId="0" fontId="0" fillId="5" borderId="29" xfId="0" applyFill="1" applyBorder="1"/>
    <xf numFmtId="0" fontId="0" fillId="5" borderId="6" xfId="0" applyFill="1" applyBorder="1"/>
    <xf numFmtId="0" fontId="0" fillId="5" borderId="12" xfId="0" applyFill="1" applyBorder="1"/>
    <xf numFmtId="0" fontId="0" fillId="5" borderId="43" xfId="0" applyFill="1" applyBorder="1"/>
    <xf numFmtId="0" fontId="0" fillId="5" borderId="18" xfId="0" applyFill="1" applyBorder="1"/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2" fontId="5" fillId="6" borderId="44" xfId="0" applyNumberFormat="1" applyFont="1" applyFill="1" applyBorder="1"/>
    <xf numFmtId="164" fontId="0" fillId="6" borderId="10" xfId="0" applyNumberFormat="1" applyFill="1" applyBorder="1"/>
    <xf numFmtId="2" fontId="0" fillId="6" borderId="10" xfId="0" applyNumberFormat="1" applyFill="1" applyBorder="1"/>
    <xf numFmtId="164" fontId="0" fillId="6" borderId="8" xfId="0" applyNumberFormat="1" applyFill="1" applyBorder="1"/>
    <xf numFmtId="2" fontId="0" fillId="6" borderId="11" xfId="0" applyNumberFormat="1" applyFill="1" applyBorder="1"/>
    <xf numFmtId="164" fontId="0" fillId="6" borderId="22" xfId="0" applyNumberFormat="1" applyFill="1" applyBorder="1"/>
    <xf numFmtId="2" fontId="0" fillId="6" borderId="9" xfId="0" applyNumberFormat="1" applyFill="1" applyBorder="1"/>
    <xf numFmtId="164" fontId="0" fillId="6" borderId="25" xfId="0" applyNumberFormat="1" applyFill="1" applyBorder="1"/>
    <xf numFmtId="2" fontId="0" fillId="6" borderId="24" xfId="0" applyNumberFormat="1" applyFill="1" applyBorder="1"/>
    <xf numFmtId="164" fontId="0" fillId="6" borderId="32" xfId="0" applyNumberFormat="1" applyFill="1" applyBorder="1"/>
    <xf numFmtId="2" fontId="0" fillId="6" borderId="8" xfId="0" applyNumberFormat="1" applyFill="1" applyBorder="1"/>
    <xf numFmtId="164" fontId="0" fillId="6" borderId="37" xfId="0" applyNumberFormat="1" applyFill="1" applyBorder="1"/>
    <xf numFmtId="2" fontId="0" fillId="6" borderId="22" xfId="0" applyNumberFormat="1" applyFill="1" applyBorder="1"/>
    <xf numFmtId="2" fontId="0" fillId="6" borderId="21" xfId="0" applyNumberFormat="1" applyFill="1" applyBorder="1" applyAlignment="1">
      <alignment horizontal="center"/>
    </xf>
    <xf numFmtId="2" fontId="0" fillId="6" borderId="20" xfId="0" applyNumberFormat="1" applyFill="1" applyBorder="1" applyAlignment="1">
      <alignment horizontal="center"/>
    </xf>
    <xf numFmtId="0" fontId="0" fillId="6" borderId="15" xfId="0" applyFill="1" applyBorder="1" applyAlignment="1">
      <alignment horizontal="center"/>
    </xf>
    <xf numFmtId="1" fontId="0" fillId="6" borderId="15" xfId="0" applyNumberFormat="1" applyFill="1" applyBorder="1" applyAlignment="1">
      <alignment horizontal="center"/>
    </xf>
    <xf numFmtId="0" fontId="0" fillId="6" borderId="10" xfId="0" applyFill="1" applyBorder="1"/>
    <xf numFmtId="0" fontId="0" fillId="6" borderId="8" xfId="0" applyFill="1" applyBorder="1"/>
    <xf numFmtId="0" fontId="0" fillId="6" borderId="12" xfId="0" applyFill="1" applyBorder="1"/>
    <xf numFmtId="0" fontId="0" fillId="6" borderId="38" xfId="0" applyFill="1" applyBorder="1"/>
    <xf numFmtId="0" fontId="0" fillId="6" borderId="35" xfId="0" applyFill="1" applyBorder="1"/>
    <xf numFmtId="164" fontId="0" fillId="6" borderId="1" xfId="0" applyNumberFormat="1" applyFill="1" applyBorder="1"/>
    <xf numFmtId="0" fontId="0" fillId="5" borderId="11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4" fontId="7" fillId="0" borderId="0" xfId="0" applyNumberFormat="1" applyFont="1" applyAlignment="1">
      <alignment horizontal="center"/>
    </xf>
    <xf numFmtId="4" fontId="7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2" fontId="7" fillId="0" borderId="0" xfId="0" applyNumberFormat="1" applyFont="1"/>
    <xf numFmtId="1" fontId="7" fillId="0" borderId="0" xfId="0" applyNumberFormat="1" applyFont="1"/>
    <xf numFmtId="1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4" fontId="6" fillId="4" borderId="1" xfId="0" applyNumberFormat="1" applyFont="1" applyFill="1" applyBorder="1"/>
    <xf numFmtId="0" fontId="5" fillId="0" borderId="0" xfId="0" applyFont="1" applyFill="1" applyBorder="1"/>
    <xf numFmtId="164" fontId="5" fillId="0" borderId="0" xfId="0" applyNumberFormat="1" applyFont="1" applyFill="1" applyBorder="1"/>
    <xf numFmtId="0" fontId="0" fillId="0" borderId="0" xfId="0" applyAlignment="1">
      <alignment wrapText="1"/>
    </xf>
    <xf numFmtId="165" fontId="0" fillId="0" borderId="0" xfId="0" applyNumberFormat="1"/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ont="1"/>
    <xf numFmtId="164" fontId="0" fillId="0" borderId="0" xfId="0" applyNumberFormat="1" applyFill="1" applyBorder="1"/>
    <xf numFmtId="4" fontId="0" fillId="0" borderId="0" xfId="0" applyNumberFormat="1"/>
    <xf numFmtId="0" fontId="10" fillId="0" borderId="0" xfId="0" applyFont="1"/>
    <xf numFmtId="2" fontId="0" fillId="2" borderId="14" xfId="0" applyNumberFormat="1" applyFill="1" applyBorder="1"/>
    <xf numFmtId="2" fontId="7" fillId="0" borderId="0" xfId="0" applyNumberFormat="1" applyFont="1" applyAlignment="1">
      <alignment horizontal="center"/>
    </xf>
    <xf numFmtId="2" fontId="7" fillId="0" borderId="1" xfId="0" applyNumberFormat="1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0" fillId="5" borderId="4" xfId="0" applyNumberFormat="1" applyFill="1" applyBorder="1"/>
    <xf numFmtId="2" fontId="0" fillId="5" borderId="7" xfId="0" applyNumberFormat="1" applyFill="1" applyBorder="1"/>
    <xf numFmtId="1" fontId="0" fillId="0" borderId="0" xfId="0" applyNumberFormat="1" applyFont="1" applyAlignment="1" applyProtection="1">
      <alignment horizontal="left"/>
      <protection hidden="1"/>
    </xf>
    <xf numFmtId="1" fontId="0" fillId="0" borderId="13" xfId="0" applyNumberFormat="1" applyFont="1" applyBorder="1"/>
    <xf numFmtId="0" fontId="0" fillId="0" borderId="13" xfId="0" applyFont="1" applyBorder="1" applyAlignment="1">
      <alignment horizontal="center"/>
    </xf>
    <xf numFmtId="0" fontId="0" fillId="2" borderId="14" xfId="0" applyFont="1" applyFill="1" applyBorder="1" applyAlignment="1">
      <alignment horizontal="left"/>
    </xf>
    <xf numFmtId="0" fontId="0" fillId="2" borderId="14" xfId="0" applyFont="1" applyFill="1" applyBorder="1" applyAlignment="1">
      <alignment horizontal="center"/>
    </xf>
    <xf numFmtId="0" fontId="0" fillId="2" borderId="14" xfId="0" applyFont="1" applyFill="1" applyBorder="1"/>
    <xf numFmtId="2" fontId="0" fillId="2" borderId="15" xfId="0" applyNumberFormat="1" applyFont="1" applyFill="1" applyBorder="1"/>
    <xf numFmtId="1" fontId="0" fillId="0" borderId="0" xfId="0" applyNumberFormat="1" applyFont="1"/>
    <xf numFmtId="0" fontId="0" fillId="0" borderId="14" xfId="0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2" fontId="0" fillId="0" borderId="0" xfId="0" applyNumberFormat="1" applyFont="1" applyAlignment="1">
      <alignment horizontal="center"/>
    </xf>
    <xf numFmtId="2" fontId="0" fillId="0" borderId="0" xfId="0" applyNumberFormat="1" applyFont="1"/>
    <xf numFmtId="4" fontId="0" fillId="0" borderId="0" xfId="0" applyNumberFormat="1" applyFont="1" applyAlignment="1">
      <alignment horizontal="center"/>
    </xf>
    <xf numFmtId="1" fontId="10" fillId="0" borderId="0" xfId="0" applyNumberFormat="1" applyFont="1"/>
    <xf numFmtId="0" fontId="0" fillId="8" borderId="0" xfId="0" applyFill="1"/>
    <xf numFmtId="0" fontId="0" fillId="8" borderId="0" xfId="0" applyFill="1" applyAlignment="1">
      <alignment horizontal="center"/>
    </xf>
    <xf numFmtId="0" fontId="0" fillId="8" borderId="0" xfId="0" applyFill="1" applyBorder="1"/>
    <xf numFmtId="164" fontId="0" fillId="6" borderId="10" xfId="0" applyNumberFormat="1" applyFill="1" applyBorder="1"/>
    <xf numFmtId="164" fontId="0" fillId="6" borderId="8" xfId="0" applyNumberFormat="1" applyFill="1" applyBorder="1"/>
    <xf numFmtId="164" fontId="0" fillId="6" borderId="12" xfId="0" applyNumberFormat="1" applyFill="1" applyBorder="1"/>
    <xf numFmtId="164" fontId="0" fillId="6" borderId="7" xfId="0" applyNumberFormat="1" applyFill="1" applyBorder="1"/>
    <xf numFmtId="164" fontId="0" fillId="6" borderId="11" xfId="0" applyNumberFormat="1" applyFill="1" applyBorder="1"/>
    <xf numFmtId="164" fontId="0" fillId="6" borderId="9" xfId="0" applyNumberFormat="1" applyFill="1" applyBorder="1"/>
    <xf numFmtId="164" fontId="0" fillId="6" borderId="50" xfId="0" applyNumberFormat="1" applyFill="1" applyBorder="1"/>
    <xf numFmtId="164" fontId="0" fillId="6" borderId="1" xfId="0" applyNumberFormat="1" applyFill="1" applyBorder="1"/>
    <xf numFmtId="164" fontId="5" fillId="6" borderId="15" xfId="0" applyNumberFormat="1" applyFont="1" applyFill="1" applyBorder="1"/>
    <xf numFmtId="164" fontId="0" fillId="6" borderId="15" xfId="0" applyNumberFormat="1" applyFill="1" applyBorder="1"/>
    <xf numFmtId="164" fontId="0" fillId="6" borderId="19" xfId="0" applyNumberFormat="1" applyFill="1" applyBorder="1"/>
    <xf numFmtId="164" fontId="0" fillId="0" borderId="2" xfId="0" applyNumberFormat="1" applyBorder="1"/>
    <xf numFmtId="167" fontId="0" fillId="5" borderId="10" xfId="0" applyNumberFormat="1" applyFill="1" applyBorder="1" applyAlignment="1">
      <alignment horizontal="center"/>
    </xf>
    <xf numFmtId="167" fontId="0" fillId="5" borderId="8" xfId="0" applyNumberFormat="1" applyFill="1" applyBorder="1" applyAlignment="1">
      <alignment horizontal="center"/>
    </xf>
    <xf numFmtId="167" fontId="0" fillId="5" borderId="12" xfId="0" applyNumberFormat="1" applyFill="1" applyBorder="1" applyAlignment="1">
      <alignment horizontal="center"/>
    </xf>
    <xf numFmtId="0" fontId="0" fillId="7" borderId="0" xfId="0" applyFill="1" applyBorder="1"/>
    <xf numFmtId="0" fontId="0" fillId="7" borderId="0" xfId="0" applyFill="1" applyBorder="1" applyProtection="1">
      <protection locked="0"/>
    </xf>
    <xf numFmtId="0" fontId="0" fillId="7" borderId="0" xfId="0" applyFill="1" applyBorder="1" applyAlignment="1">
      <alignment horizontal="center"/>
    </xf>
    <xf numFmtId="164" fontId="0" fillId="0" borderId="52" xfId="0" applyNumberFormat="1" applyFill="1" applyBorder="1" applyProtection="1">
      <protection locked="0"/>
    </xf>
    <xf numFmtId="0" fontId="0" fillId="0" borderId="0" xfId="0" applyFill="1" applyBorder="1" applyAlignment="1"/>
    <xf numFmtId="0" fontId="4" fillId="0" borderId="0" xfId="0" applyFont="1" applyBorder="1"/>
    <xf numFmtId="0" fontId="13" fillId="0" borderId="0" xfId="0" applyFont="1" applyBorder="1"/>
    <xf numFmtId="0" fontId="4" fillId="0" borderId="0" xfId="0" applyFont="1" applyFill="1" applyBorder="1"/>
    <xf numFmtId="165" fontId="0" fillId="0" borderId="0" xfId="0" applyNumberFormat="1" applyFont="1"/>
    <xf numFmtId="164" fontId="0" fillId="0" borderId="0" xfId="0" applyNumberFormat="1" applyFont="1"/>
    <xf numFmtId="0" fontId="0" fillId="5" borderId="11" xfId="0" applyNumberFormat="1" applyFill="1" applyBorder="1" applyAlignment="1">
      <alignment horizontal="center"/>
    </xf>
    <xf numFmtId="4" fontId="0" fillId="5" borderId="10" xfId="0" applyNumberFormat="1" applyFill="1" applyBorder="1" applyAlignment="1">
      <alignment horizontal="center"/>
    </xf>
    <xf numFmtId="0" fontId="11" fillId="0" borderId="0" xfId="0" applyFont="1" applyFill="1"/>
    <xf numFmtId="0" fontId="13" fillId="7" borderId="0" xfId="0" applyFont="1" applyFill="1" applyBorder="1" applyAlignment="1" applyProtection="1"/>
    <xf numFmtId="0" fontId="13" fillId="7" borderId="0" xfId="0" applyFont="1" applyFill="1" applyBorder="1" applyProtection="1"/>
    <xf numFmtId="4" fontId="0" fillId="6" borderId="20" xfId="0" applyNumberFormat="1" applyFill="1" applyBorder="1" applyAlignment="1">
      <alignment horizontal="center"/>
    </xf>
    <xf numFmtId="168" fontId="0" fillId="0" borderId="0" xfId="3" applyNumberFormat="1" applyFont="1" applyFill="1"/>
    <xf numFmtId="44" fontId="0" fillId="0" borderId="0" xfId="3" applyFont="1" applyFill="1"/>
    <xf numFmtId="44" fontId="0" fillId="0" borderId="0" xfId="3" applyFont="1"/>
    <xf numFmtId="0" fontId="0" fillId="0" borderId="0" xfId="0" applyFont="1" applyAlignment="1">
      <alignment wrapText="1"/>
    </xf>
    <xf numFmtId="0" fontId="0" fillId="0" borderId="0" xfId="0" applyNumberFormat="1"/>
    <xf numFmtId="0" fontId="0" fillId="0" borderId="3" xfId="0" applyNumberFormat="1" applyFill="1" applyBorder="1" applyAlignment="1">
      <alignment wrapText="1"/>
    </xf>
    <xf numFmtId="0" fontId="6" fillId="4" borderId="0" xfId="0" applyFont="1" applyFill="1" applyAlignment="1">
      <alignment wrapText="1"/>
    </xf>
    <xf numFmtId="0" fontId="6" fillId="0" borderId="0" xfId="0" applyFont="1"/>
    <xf numFmtId="0" fontId="5" fillId="0" borderId="0" xfId="0" applyFont="1" applyFill="1" applyAlignment="1">
      <alignment wrapText="1"/>
    </xf>
    <xf numFmtId="2" fontId="0" fillId="5" borderId="5" xfId="0" applyNumberFormat="1" applyFill="1" applyBorder="1" applyAlignment="1">
      <alignment horizontal="left"/>
    </xf>
    <xf numFmtId="0" fontId="0" fillId="5" borderId="5" xfId="0" applyFill="1" applyBorder="1" applyAlignment="1">
      <alignment horizontal="left"/>
    </xf>
    <xf numFmtId="0" fontId="0" fillId="5" borderId="6" xfId="0" applyFill="1" applyBorder="1" applyAlignment="1">
      <alignment horizontal="left"/>
    </xf>
    <xf numFmtId="2" fontId="0" fillId="0" borderId="0" xfId="0" applyNumberFormat="1" applyAlignment="1">
      <alignment horizontal="center" wrapText="1"/>
    </xf>
    <xf numFmtId="1" fontId="0" fillId="10" borderId="7" xfId="0" applyNumberFormat="1" applyFill="1" applyBorder="1" applyAlignment="1" applyProtection="1">
      <alignment horizontal="center"/>
      <protection locked="0"/>
    </xf>
    <xf numFmtId="1" fontId="0" fillId="10" borderId="11" xfId="0" applyNumberFormat="1" applyFill="1" applyBorder="1" applyAlignment="1" applyProtection="1">
      <alignment horizontal="center"/>
      <protection locked="0"/>
    </xf>
    <xf numFmtId="1" fontId="0" fillId="10" borderId="9" xfId="0" applyNumberFormat="1" applyFill="1" applyBorder="1" applyAlignment="1" applyProtection="1">
      <alignment horizontal="center"/>
      <protection locked="0"/>
    </xf>
    <xf numFmtId="9" fontId="0" fillId="10" borderId="7" xfId="0" applyNumberFormat="1" applyFill="1" applyBorder="1" applyProtection="1">
      <protection locked="0"/>
    </xf>
    <xf numFmtId="9" fontId="0" fillId="10" borderId="11" xfId="0" applyNumberFormat="1" applyFill="1" applyBorder="1" applyProtection="1">
      <protection locked="0"/>
    </xf>
    <xf numFmtId="9" fontId="0" fillId="10" borderId="9" xfId="0" applyNumberFormat="1" applyFill="1" applyBorder="1" applyProtection="1">
      <protection locked="0"/>
    </xf>
    <xf numFmtId="166" fontId="0" fillId="10" borderId="7" xfId="0" applyNumberFormat="1" applyFill="1" applyBorder="1" applyProtection="1">
      <protection locked="0"/>
    </xf>
    <xf numFmtId="166" fontId="0" fillId="10" borderId="11" xfId="0" applyNumberFormat="1" applyFill="1" applyBorder="1" applyProtection="1">
      <protection locked="0"/>
    </xf>
    <xf numFmtId="166" fontId="0" fillId="10" borderId="9" xfId="0" applyNumberFormat="1" applyFill="1" applyBorder="1" applyProtection="1">
      <protection locked="0"/>
    </xf>
    <xf numFmtId="0" fontId="0" fillId="11" borderId="0" xfId="0" applyFill="1" applyBorder="1"/>
    <xf numFmtId="0" fontId="6" fillId="11" borderId="7" xfId="0" applyFont="1" applyFill="1" applyBorder="1"/>
    <xf numFmtId="0" fontId="6" fillId="11" borderId="11" xfId="0" applyFont="1" applyFill="1" applyBorder="1" applyAlignment="1">
      <alignment horizontal="right"/>
    </xf>
    <xf numFmtId="0" fontId="6" fillId="11" borderId="9" xfId="0" applyFont="1" applyFill="1" applyBorder="1" applyAlignment="1">
      <alignment horizontal="right"/>
    </xf>
    <xf numFmtId="0" fontId="6" fillId="11" borderId="38" xfId="0" applyFont="1" applyFill="1" applyBorder="1"/>
    <xf numFmtId="0" fontId="6" fillId="11" borderId="35" xfId="0" applyFont="1" applyFill="1" applyBorder="1"/>
    <xf numFmtId="0" fontId="6" fillId="11" borderId="58" xfId="0" applyNumberFormat="1" applyFont="1" applyFill="1" applyBorder="1" applyAlignment="1">
      <alignment horizontal="center"/>
    </xf>
    <xf numFmtId="0" fontId="6" fillId="11" borderId="60" xfId="0" applyNumberFormat="1" applyFont="1" applyFill="1" applyBorder="1" applyAlignment="1">
      <alignment horizontal="center"/>
    </xf>
    <xf numFmtId="0" fontId="6" fillId="11" borderId="62" xfId="0" applyNumberFormat="1" applyFont="1" applyFill="1" applyBorder="1" applyAlignment="1">
      <alignment horizontal="center"/>
    </xf>
    <xf numFmtId="0" fontId="6" fillId="11" borderId="0" xfId="0" applyFont="1" applyFill="1"/>
    <xf numFmtId="14" fontId="6" fillId="11" borderId="0" xfId="0" applyNumberFormat="1" applyFont="1" applyFill="1" applyAlignment="1">
      <alignment horizontal="left"/>
    </xf>
    <xf numFmtId="0" fontId="6" fillId="11" borderId="0" xfId="0" applyNumberFormat="1" applyFont="1" applyFill="1" applyBorder="1" applyProtection="1">
      <protection locked="0"/>
    </xf>
    <xf numFmtId="0" fontId="6" fillId="11" borderId="0" xfId="3" applyNumberFormat="1" applyFont="1" applyFill="1" applyBorder="1" applyProtection="1">
      <protection locked="0"/>
    </xf>
    <xf numFmtId="0" fontId="6" fillId="11" borderId="3" xfId="0" applyFont="1" applyFill="1" applyBorder="1" applyAlignment="1">
      <alignment wrapText="1"/>
    </xf>
    <xf numFmtId="0" fontId="6" fillId="11" borderId="3" xfId="0" applyNumberFormat="1" applyFont="1" applyFill="1" applyBorder="1" applyAlignment="1">
      <alignment wrapText="1"/>
    </xf>
    <xf numFmtId="0" fontId="5" fillId="11" borderId="3" xfId="0" applyFont="1" applyFill="1" applyBorder="1" applyAlignment="1">
      <alignment wrapText="1"/>
    </xf>
    <xf numFmtId="0" fontId="11" fillId="10" borderId="13" xfId="0" applyFont="1" applyFill="1" applyBorder="1" applyAlignment="1">
      <alignment horizontal="left" wrapText="1"/>
    </xf>
    <xf numFmtId="0" fontId="11" fillId="10" borderId="14" xfId="0" applyFont="1" applyFill="1" applyBorder="1" applyAlignment="1">
      <alignment horizontal="left" wrapText="1"/>
    </xf>
    <xf numFmtId="165" fontId="11" fillId="10" borderId="14" xfId="0" applyNumberFormat="1" applyFont="1" applyFill="1" applyBorder="1" applyAlignment="1">
      <alignment horizontal="left" wrapText="1"/>
    </xf>
    <xf numFmtId="164" fontId="11" fillId="10" borderId="14" xfId="0" applyNumberFormat="1" applyFont="1" applyFill="1" applyBorder="1" applyAlignment="1">
      <alignment horizontal="left" wrapText="1"/>
    </xf>
    <xf numFmtId="0" fontId="11" fillId="10" borderId="15" xfId="0" applyFont="1" applyFill="1" applyBorder="1" applyAlignment="1">
      <alignment horizontal="left" wrapText="1"/>
    </xf>
    <xf numFmtId="4" fontId="0" fillId="10" borderId="10" xfId="0" applyNumberFormat="1" applyFill="1" applyBorder="1" applyProtection="1">
      <protection locked="0"/>
    </xf>
    <xf numFmtId="4" fontId="0" fillId="10" borderId="8" xfId="0" applyNumberFormat="1" applyFill="1" applyBorder="1" applyProtection="1">
      <protection locked="0"/>
    </xf>
    <xf numFmtId="4" fontId="0" fillId="10" borderId="12" xfId="0" applyNumberFormat="1" applyFill="1" applyBorder="1" applyProtection="1">
      <protection locked="0"/>
    </xf>
    <xf numFmtId="0" fontId="20" fillId="10" borderId="2" xfId="0" applyFont="1" applyFill="1" applyBorder="1" applyAlignment="1">
      <alignment horizontal="center" vertical="center" wrapText="1"/>
    </xf>
    <xf numFmtId="0" fontId="6" fillId="11" borderId="6" xfId="0" applyFont="1" applyFill="1" applyBorder="1" applyAlignment="1">
      <alignment horizontal="left"/>
    </xf>
    <xf numFmtId="0" fontId="6" fillId="11" borderId="5" xfId="0" applyFont="1" applyFill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2" fontId="10" fillId="0" borderId="1" xfId="0" applyNumberFormat="1" applyFont="1" applyBorder="1"/>
    <xf numFmtId="2" fontId="6" fillId="11" borderId="4" xfId="0" applyNumberFormat="1" applyFont="1" applyFill="1" applyBorder="1"/>
    <xf numFmtId="2" fontId="6" fillId="11" borderId="7" xfId="0" applyNumberFormat="1" applyFont="1" applyFill="1" applyBorder="1"/>
    <xf numFmtId="2" fontId="6" fillId="11" borderId="5" xfId="0" applyNumberFormat="1" applyFont="1" applyFill="1" applyBorder="1" applyAlignment="1">
      <alignment horizontal="left"/>
    </xf>
    <xf numFmtId="0" fontId="6" fillId="11" borderId="11" xfId="0" applyNumberFormat="1" applyFont="1" applyFill="1" applyBorder="1" applyAlignment="1">
      <alignment horizontal="center"/>
    </xf>
    <xf numFmtId="2" fontId="6" fillId="11" borderId="11" xfId="0" applyNumberFormat="1" applyFont="1" applyFill="1" applyBorder="1" applyAlignment="1">
      <alignment horizontal="center"/>
    </xf>
    <xf numFmtId="2" fontId="6" fillId="11" borderId="6" xfId="0" applyNumberFormat="1" applyFont="1" applyFill="1" applyBorder="1" applyAlignment="1">
      <alignment horizontal="left"/>
    </xf>
    <xf numFmtId="2" fontId="6" fillId="11" borderId="9" xfId="0" applyNumberFormat="1" applyFont="1" applyFill="1" applyBorder="1" applyAlignment="1">
      <alignment horizontal="center"/>
    </xf>
    <xf numFmtId="2" fontId="0" fillId="0" borderId="56" xfId="0" applyNumberFormat="1" applyBorder="1"/>
    <xf numFmtId="2" fontId="0" fillId="0" borderId="66" xfId="0" applyNumberFormat="1" applyBorder="1"/>
    <xf numFmtId="2" fontId="0" fillId="0" borderId="67" xfId="0" applyNumberFormat="1" applyBorder="1"/>
    <xf numFmtId="0" fontId="6" fillId="11" borderId="9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2" fontId="5" fillId="0" borderId="0" xfId="0" applyNumberFormat="1" applyFont="1"/>
    <xf numFmtId="0" fontId="6" fillId="11" borderId="11" xfId="0" applyFont="1" applyFill="1" applyBorder="1" applyAlignment="1">
      <alignment horizontal="center"/>
    </xf>
    <xf numFmtId="49" fontId="0" fillId="0" borderId="0" xfId="0" applyNumberFormat="1"/>
    <xf numFmtId="0" fontId="21" fillId="0" borderId="0" xfId="0" applyFont="1" applyFill="1"/>
    <xf numFmtId="0" fontId="23" fillId="0" borderId="0" xfId="0" applyFont="1" applyFill="1"/>
    <xf numFmtId="49" fontId="0" fillId="0" borderId="0" xfId="0" applyNumberFormat="1" applyFill="1"/>
    <xf numFmtId="0" fontId="0" fillId="0" borderId="0" xfId="0" applyFill="1" applyAlignment="1">
      <alignment horizontal="center"/>
    </xf>
    <xf numFmtId="2" fontId="0" fillId="0" borderId="0" xfId="0" applyNumberFormat="1" applyFill="1"/>
    <xf numFmtId="1" fontId="0" fillId="0" borderId="0" xfId="0" applyNumberFormat="1" applyFill="1"/>
    <xf numFmtId="49" fontId="0" fillId="0" borderId="0" xfId="0" applyNumberFormat="1" applyFont="1" applyFill="1"/>
    <xf numFmtId="0" fontId="0" fillId="0" borderId="0" xfId="0" applyFont="1" applyFill="1" applyAlignment="1">
      <alignment horizontal="center"/>
    </xf>
    <xf numFmtId="2" fontId="0" fillId="0" borderId="0" xfId="0" applyNumberFormat="1" applyFont="1" applyFill="1"/>
    <xf numFmtId="49" fontId="0" fillId="0" borderId="0" xfId="0" applyNumberFormat="1" applyFont="1"/>
    <xf numFmtId="169" fontId="6" fillId="11" borderId="60" xfId="0" applyNumberFormat="1" applyFont="1" applyFill="1" applyBorder="1" applyAlignment="1">
      <alignment horizontal="center"/>
    </xf>
    <xf numFmtId="10" fontId="0" fillId="10" borderId="47" xfId="0" applyNumberFormat="1" applyFill="1" applyBorder="1" applyProtection="1">
      <protection locked="0"/>
    </xf>
    <xf numFmtId="10" fontId="0" fillId="10" borderId="44" xfId="0" applyNumberFormat="1" applyFill="1" applyBorder="1" applyProtection="1">
      <protection locked="0"/>
    </xf>
    <xf numFmtId="10" fontId="0" fillId="10" borderId="47" xfId="3" applyNumberFormat="1" applyFont="1" applyFill="1" applyBorder="1" applyProtection="1">
      <protection locked="0"/>
    </xf>
    <xf numFmtId="10" fontId="0" fillId="10" borderId="44" xfId="3" applyNumberFormat="1" applyFont="1" applyFill="1" applyBorder="1" applyProtection="1">
      <protection locked="0"/>
    </xf>
    <xf numFmtId="0" fontId="17" fillId="11" borderId="13" xfId="0" applyFont="1" applyFill="1" applyBorder="1" applyProtection="1"/>
    <xf numFmtId="0" fontId="11" fillId="11" borderId="14" xfId="0" applyFont="1" applyFill="1" applyBorder="1" applyProtection="1"/>
    <xf numFmtId="0" fontId="11" fillId="11" borderId="15" xfId="0" applyFont="1" applyFill="1" applyBorder="1" applyProtection="1"/>
    <xf numFmtId="0" fontId="14" fillId="7" borderId="0" xfId="0" applyFont="1" applyFill="1" applyBorder="1" applyAlignment="1" applyProtection="1">
      <alignment horizontal="left"/>
    </xf>
    <xf numFmtId="0" fontId="15" fillId="7" borderId="0" xfId="0" applyFont="1" applyFill="1" applyBorder="1" applyProtection="1"/>
    <xf numFmtId="0" fontId="15" fillId="11" borderId="13" xfId="0" applyFont="1" applyFill="1" applyBorder="1" applyAlignment="1" applyProtection="1">
      <alignment horizontal="left"/>
    </xf>
    <xf numFmtId="0" fontId="12" fillId="11" borderId="14" xfId="0" applyFont="1" applyFill="1" applyBorder="1" applyProtection="1"/>
    <xf numFmtId="0" fontId="13" fillId="11" borderId="14" xfId="0" applyFont="1" applyFill="1" applyBorder="1" applyProtection="1"/>
    <xf numFmtId="0" fontId="12" fillId="11" borderId="15" xfId="0" applyFont="1" applyFill="1" applyBorder="1" applyProtection="1"/>
    <xf numFmtId="0" fontId="13" fillId="7" borderId="0" xfId="0" applyFont="1" applyFill="1" applyBorder="1" applyAlignment="1" applyProtection="1">
      <alignment horizontal="right"/>
    </xf>
    <xf numFmtId="0" fontId="13" fillId="7" borderId="14" xfId="0" applyFont="1" applyFill="1" applyBorder="1" applyAlignment="1" applyProtection="1">
      <alignment horizontal="left"/>
    </xf>
    <xf numFmtId="0" fontId="13" fillId="7" borderId="14" xfId="0" applyFont="1" applyFill="1" applyBorder="1" applyProtection="1"/>
    <xf numFmtId="0" fontId="13" fillId="7" borderId="0" xfId="0" applyFont="1" applyFill="1" applyBorder="1" applyAlignment="1" applyProtection="1">
      <alignment horizontal="left"/>
    </xf>
    <xf numFmtId="0" fontId="13" fillId="0" borderId="0" xfId="0" applyFont="1" applyBorder="1" applyProtection="1"/>
    <xf numFmtId="0" fontId="13" fillId="7" borderId="39" xfId="0" applyFont="1" applyFill="1" applyBorder="1" applyProtection="1"/>
    <xf numFmtId="0" fontId="13" fillId="0" borderId="0" xfId="0" applyFont="1" applyFill="1" applyBorder="1" applyProtection="1"/>
    <xf numFmtId="0" fontId="0" fillId="0" borderId="0" xfId="0" applyFill="1" applyProtection="1"/>
    <xf numFmtId="0" fontId="0" fillId="0" borderId="0" xfId="0" applyProtection="1"/>
    <xf numFmtId="0" fontId="0" fillId="0" borderId="0" xfId="0" applyBorder="1" applyProtection="1"/>
    <xf numFmtId="0" fontId="4" fillId="0" borderId="0" xfId="0" applyFont="1" applyBorder="1" applyProtection="1"/>
    <xf numFmtId="0" fontId="0" fillId="5" borderId="13" xfId="0" applyFill="1" applyBorder="1" applyProtection="1"/>
    <xf numFmtId="0" fontId="0" fillId="5" borderId="14" xfId="0" applyFill="1" applyBorder="1" applyProtection="1"/>
    <xf numFmtId="0" fontId="0" fillId="5" borderId="15" xfId="0" applyFill="1" applyBorder="1" applyProtection="1"/>
    <xf numFmtId="0" fontId="0" fillId="5" borderId="18" xfId="0" applyFill="1" applyBorder="1" applyProtection="1"/>
    <xf numFmtId="0" fontId="0" fillId="5" borderId="1" xfId="0" applyFill="1" applyBorder="1" applyProtection="1"/>
    <xf numFmtId="0" fontId="0" fillId="0" borderId="16" xfId="0" applyBorder="1" applyProtection="1"/>
    <xf numFmtId="0" fontId="0" fillId="0" borderId="3" xfId="0" applyBorder="1" applyProtection="1"/>
    <xf numFmtId="0" fontId="0" fillId="0" borderId="46" xfId="0" applyBorder="1" applyProtection="1"/>
    <xf numFmtId="44" fontId="0" fillId="0" borderId="47" xfId="3" applyFont="1" applyFill="1" applyBorder="1" applyProtection="1"/>
    <xf numFmtId="2" fontId="0" fillId="0" borderId="47" xfId="0" applyNumberFormat="1" applyFill="1" applyBorder="1" applyProtection="1"/>
    <xf numFmtId="44" fontId="0" fillId="0" borderId="17" xfId="3" applyFont="1" applyFill="1" applyBorder="1" applyProtection="1"/>
    <xf numFmtId="0" fontId="0" fillId="0" borderId="13" xfId="0" applyBorder="1" applyProtection="1"/>
    <xf numFmtId="0" fontId="0" fillId="0" borderId="14" xfId="0" applyBorder="1" applyProtection="1"/>
    <xf numFmtId="0" fontId="0" fillId="0" borderId="45" xfId="0" applyBorder="1" applyProtection="1"/>
    <xf numFmtId="44" fontId="0" fillId="0" borderId="44" xfId="3" applyFont="1" applyFill="1" applyBorder="1" applyProtection="1"/>
    <xf numFmtId="2" fontId="0" fillId="0" borderId="44" xfId="0" applyNumberFormat="1" applyFill="1" applyBorder="1" applyProtection="1"/>
    <xf numFmtId="44" fontId="0" fillId="0" borderId="15" xfId="3" applyFont="1" applyFill="1" applyBorder="1" applyProtection="1"/>
    <xf numFmtId="44" fontId="6" fillId="11" borderId="1" xfId="3" applyFont="1" applyFill="1" applyBorder="1" applyProtection="1"/>
    <xf numFmtId="44" fontId="6" fillId="11" borderId="19" xfId="3" applyFont="1" applyFill="1" applyBorder="1" applyProtection="1"/>
    <xf numFmtId="0" fontId="0" fillId="5" borderId="25" xfId="0" applyFill="1" applyBorder="1" applyProtection="1"/>
    <xf numFmtId="44" fontId="6" fillId="11" borderId="23" xfId="3" applyFont="1" applyFill="1" applyBorder="1" applyProtection="1"/>
    <xf numFmtId="164" fontId="0" fillId="5" borderId="23" xfId="0" applyNumberFormat="1" applyFill="1" applyBorder="1" applyProtection="1"/>
    <xf numFmtId="164" fontId="0" fillId="0" borderId="0" xfId="0" applyNumberFormat="1" applyProtection="1"/>
    <xf numFmtId="0" fontId="0" fillId="0" borderId="5" xfId="0" applyBorder="1" applyProtection="1"/>
    <xf numFmtId="0" fontId="0" fillId="0" borderId="8" xfId="0" applyBorder="1" applyAlignment="1" applyProtection="1">
      <alignment horizontal="center"/>
    </xf>
    <xf numFmtId="0" fontId="0" fillId="0" borderId="11" xfId="0" applyBorder="1" applyAlignment="1" applyProtection="1">
      <alignment horizontal="center"/>
    </xf>
    <xf numFmtId="20" fontId="0" fillId="0" borderId="5" xfId="0" applyNumberFormat="1" applyBorder="1" applyProtection="1"/>
    <xf numFmtId="2" fontId="0" fillId="0" borderId="8" xfId="0" applyNumberFormat="1" applyBorder="1" applyProtection="1"/>
    <xf numFmtId="2" fontId="0" fillId="0" borderId="11" xfId="0" applyNumberFormat="1" applyBorder="1" applyProtection="1"/>
    <xf numFmtId="0" fontId="0" fillId="0" borderId="6" xfId="0" applyBorder="1" applyProtection="1"/>
    <xf numFmtId="2" fontId="0" fillId="0" borderId="12" xfId="0" applyNumberFormat="1" applyBorder="1" applyProtection="1"/>
    <xf numFmtId="2" fontId="0" fillId="0" borderId="9" xfId="0" applyNumberFormat="1" applyBorder="1" applyProtection="1"/>
    <xf numFmtId="44" fontId="5" fillId="10" borderId="1" xfId="3" applyFont="1" applyFill="1" applyBorder="1" applyProtection="1">
      <protection locked="0"/>
    </xf>
    <xf numFmtId="44" fontId="5" fillId="10" borderId="19" xfId="3" applyFont="1" applyFill="1" applyBorder="1" applyProtection="1">
      <protection locked="0"/>
    </xf>
    <xf numFmtId="0" fontId="2" fillId="0" borderId="13" xfId="0" applyFont="1" applyBorder="1" applyProtection="1"/>
    <xf numFmtId="0" fontId="0" fillId="0" borderId="15" xfId="0" applyBorder="1" applyProtection="1"/>
    <xf numFmtId="0" fontId="0" fillId="0" borderId="48" xfId="0" applyBorder="1" applyProtection="1"/>
    <xf numFmtId="0" fontId="0" fillId="5" borderId="27" xfId="0" applyFill="1" applyBorder="1" applyProtection="1"/>
    <xf numFmtId="0" fontId="6" fillId="11" borderId="53" xfId="0" applyFont="1" applyFill="1" applyBorder="1" applyProtection="1"/>
    <xf numFmtId="0" fontId="0" fillId="5" borderId="40" xfId="0" applyFill="1" applyBorder="1" applyProtection="1"/>
    <xf numFmtId="0" fontId="6" fillId="11" borderId="55" xfId="0" applyFont="1" applyFill="1" applyBorder="1" applyAlignment="1" applyProtection="1">
      <alignment horizontal="right"/>
    </xf>
    <xf numFmtId="0" fontId="0" fillId="5" borderId="34" xfId="0" applyFill="1" applyBorder="1" applyProtection="1"/>
    <xf numFmtId="0" fontId="6" fillId="11" borderId="54" xfId="0" applyFont="1" applyFill="1" applyBorder="1" applyAlignment="1" applyProtection="1">
      <alignment horizontal="right"/>
    </xf>
    <xf numFmtId="0" fontId="0" fillId="0" borderId="0" xfId="0" applyFill="1" applyBorder="1" applyProtection="1"/>
    <xf numFmtId="0" fontId="0" fillId="0" borderId="0" xfId="0" applyBorder="1" applyAlignment="1" applyProtection="1">
      <alignment horizontal="right"/>
    </xf>
    <xf numFmtId="0" fontId="0" fillId="0" borderId="0" xfId="0" applyFill="1" applyBorder="1" applyAlignment="1" applyProtection="1">
      <alignment horizontal="right"/>
    </xf>
    <xf numFmtId="0" fontId="0" fillId="5" borderId="31" xfId="0" applyFill="1" applyBorder="1" applyProtection="1"/>
    <xf numFmtId="0" fontId="0" fillId="11" borderId="0" xfId="0" applyFill="1" applyBorder="1" applyProtection="1"/>
    <xf numFmtId="0" fontId="0" fillId="5" borderId="42" xfId="0" applyFill="1" applyBorder="1" applyProtection="1"/>
    <xf numFmtId="0" fontId="6" fillId="11" borderId="54" xfId="0" applyFont="1" applyFill="1" applyBorder="1" applyProtection="1"/>
    <xf numFmtId="0" fontId="0" fillId="0" borderId="0" xfId="0" applyAlignment="1" applyProtection="1">
      <alignment horizontal="center"/>
    </xf>
    <xf numFmtId="0" fontId="0" fillId="5" borderId="4" xfId="0" applyFill="1" applyBorder="1" applyProtection="1"/>
    <xf numFmtId="0" fontId="0" fillId="5" borderId="10" xfId="0" applyFill="1" applyBorder="1" applyProtection="1"/>
    <xf numFmtId="0" fontId="0" fillId="5" borderId="30" xfId="0" applyFill="1" applyBorder="1" applyProtection="1"/>
    <xf numFmtId="0" fontId="0" fillId="5" borderId="28" xfId="0" applyFill="1" applyBorder="1" applyProtection="1"/>
    <xf numFmtId="164" fontId="5" fillId="6" borderId="10" xfId="0" applyNumberFormat="1" applyFont="1" applyFill="1" applyBorder="1" applyProtection="1"/>
    <xf numFmtId="2" fontId="5" fillId="6" borderId="10" xfId="0" applyNumberFormat="1" applyFont="1" applyFill="1" applyBorder="1" applyProtection="1"/>
    <xf numFmtId="2" fontId="5" fillId="6" borderId="44" xfId="0" applyNumberFormat="1" applyFont="1" applyFill="1" applyBorder="1" applyProtection="1"/>
    <xf numFmtId="0" fontId="0" fillId="5" borderId="5" xfId="0" applyFill="1" applyBorder="1" applyProtection="1"/>
    <xf numFmtId="0" fontId="0" fillId="5" borderId="8" xfId="0" applyFill="1" applyBorder="1" applyProtection="1"/>
    <xf numFmtId="0" fontId="0" fillId="5" borderId="29" xfId="0" applyFill="1" applyBorder="1" applyProtection="1"/>
    <xf numFmtId="0" fontId="0" fillId="5" borderId="32" xfId="0" applyFill="1" applyBorder="1" applyProtection="1"/>
    <xf numFmtId="164" fontId="5" fillId="6" borderId="8" xfId="0" applyNumberFormat="1" applyFont="1" applyFill="1" applyBorder="1" applyProtection="1"/>
    <xf numFmtId="2" fontId="5" fillId="6" borderId="11" xfId="0" applyNumberFormat="1" applyFont="1" applyFill="1" applyBorder="1" applyProtection="1"/>
    <xf numFmtId="2" fontId="0" fillId="0" borderId="39" xfId="0" applyNumberFormat="1" applyFill="1" applyBorder="1" applyProtection="1"/>
    <xf numFmtId="164" fontId="5" fillId="6" borderId="32" xfId="0" applyNumberFormat="1" applyFont="1" applyFill="1" applyBorder="1" applyProtection="1"/>
    <xf numFmtId="2" fontId="5" fillId="6" borderId="8" xfId="0" applyNumberFormat="1" applyFont="1" applyFill="1" applyBorder="1" applyProtection="1"/>
    <xf numFmtId="0" fontId="0" fillId="5" borderId="6" xfId="0" applyFill="1" applyBorder="1" applyProtection="1"/>
    <xf numFmtId="0" fontId="0" fillId="5" borderId="12" xfId="0" applyFill="1" applyBorder="1" applyProtection="1"/>
    <xf numFmtId="0" fontId="0" fillId="5" borderId="43" xfId="0" applyFill="1" applyBorder="1" applyProtection="1"/>
    <xf numFmtId="0" fontId="0" fillId="5" borderId="36" xfId="0" applyFill="1" applyBorder="1" applyProtection="1"/>
    <xf numFmtId="164" fontId="5" fillId="6" borderId="22" xfId="0" applyNumberFormat="1" applyFont="1" applyFill="1" applyBorder="1" applyProtection="1"/>
    <xf numFmtId="2" fontId="5" fillId="6" borderId="9" xfId="0" applyNumberFormat="1" applyFont="1" applyFill="1" applyBorder="1" applyProtection="1"/>
    <xf numFmtId="2" fontId="0" fillId="0" borderId="26" xfId="0" applyNumberFormat="1" applyFill="1" applyBorder="1" applyProtection="1"/>
    <xf numFmtId="164" fontId="5" fillId="6" borderId="37" xfId="0" applyNumberFormat="1" applyFont="1" applyFill="1" applyBorder="1" applyProtection="1"/>
    <xf numFmtId="2" fontId="5" fillId="6" borderId="22" xfId="0" applyNumberFormat="1" applyFont="1" applyFill="1" applyBorder="1" applyProtection="1"/>
    <xf numFmtId="164" fontId="5" fillId="6" borderId="25" xfId="0" applyNumberFormat="1" applyFont="1" applyFill="1" applyBorder="1" applyProtection="1"/>
    <xf numFmtId="2" fontId="5" fillId="6" borderId="24" xfId="0" applyNumberFormat="1" applyFont="1" applyFill="1" applyBorder="1" applyProtection="1"/>
    <xf numFmtId="2" fontId="0" fillId="0" borderId="0" xfId="0" applyNumberFormat="1" applyFill="1" applyBorder="1" applyProtection="1"/>
    <xf numFmtId="0" fontId="0" fillId="0" borderId="0" xfId="0" applyBorder="1" applyAlignment="1" applyProtection="1">
      <alignment horizontal="center"/>
    </xf>
    <xf numFmtId="2" fontId="5" fillId="6" borderId="21" xfId="0" applyNumberFormat="1" applyFont="1" applyFill="1" applyBorder="1" applyAlignment="1" applyProtection="1">
      <alignment horizontal="center"/>
    </xf>
    <xf numFmtId="2" fontId="5" fillId="6" borderId="20" xfId="0" applyNumberFormat="1" applyFont="1" applyFill="1" applyBorder="1" applyAlignment="1" applyProtection="1">
      <alignment horizontal="center"/>
    </xf>
    <xf numFmtId="4" fontId="5" fillId="6" borderId="20" xfId="0" applyNumberFormat="1" applyFont="1" applyFill="1" applyBorder="1" applyAlignment="1" applyProtection="1">
      <alignment horizontal="center"/>
    </xf>
    <xf numFmtId="0" fontId="5" fillId="6" borderId="15" xfId="0" applyFont="1" applyFill="1" applyBorder="1" applyAlignment="1" applyProtection="1">
      <alignment horizontal="center"/>
    </xf>
    <xf numFmtId="1" fontId="0" fillId="5" borderId="21" xfId="0" applyNumberFormat="1" applyFill="1" applyBorder="1" applyAlignment="1" applyProtection="1">
      <alignment horizontal="right"/>
    </xf>
    <xf numFmtId="1" fontId="5" fillId="6" borderId="15" xfId="0" applyNumberFormat="1" applyFont="1" applyFill="1" applyBorder="1" applyAlignment="1" applyProtection="1">
      <alignment horizontal="center"/>
    </xf>
    <xf numFmtId="0" fontId="0" fillId="5" borderId="4" xfId="0" applyFill="1" applyBorder="1" applyAlignment="1" applyProtection="1">
      <alignment horizontal="center"/>
    </xf>
    <xf numFmtId="0" fontId="0" fillId="5" borderId="5" xfId="0" applyFill="1" applyBorder="1" applyAlignment="1" applyProtection="1">
      <alignment horizontal="center"/>
    </xf>
    <xf numFmtId="0" fontId="0" fillId="5" borderId="10" xfId="0" applyFill="1" applyBorder="1" applyAlignment="1" applyProtection="1">
      <alignment horizontal="center"/>
    </xf>
    <xf numFmtId="4" fontId="0" fillId="5" borderId="10" xfId="0" applyNumberFormat="1" applyFill="1" applyBorder="1" applyAlignment="1" applyProtection="1">
      <alignment horizontal="center"/>
    </xf>
    <xf numFmtId="164" fontId="5" fillId="6" borderId="7" xfId="0" applyNumberFormat="1" applyFont="1" applyFill="1" applyBorder="1" applyProtection="1"/>
    <xf numFmtId="0" fontId="0" fillId="5" borderId="33" xfId="0" applyFill="1" applyBorder="1" applyProtection="1"/>
    <xf numFmtId="0" fontId="0" fillId="5" borderId="8" xfId="0" applyFill="1" applyBorder="1" applyAlignment="1" applyProtection="1">
      <alignment horizontal="center"/>
    </xf>
    <xf numFmtId="164" fontId="5" fillId="6" borderId="11" xfId="0" applyNumberFormat="1" applyFont="1" applyFill="1" applyBorder="1" applyProtection="1"/>
    <xf numFmtId="0" fontId="0" fillId="5" borderId="32" xfId="0" applyFill="1" applyBorder="1" applyAlignment="1" applyProtection="1">
      <alignment horizontal="center"/>
    </xf>
    <xf numFmtId="0" fontId="0" fillId="5" borderId="12" xfId="0" applyFill="1" applyBorder="1" applyAlignment="1" applyProtection="1">
      <alignment horizontal="center"/>
    </xf>
    <xf numFmtId="164" fontId="5" fillId="6" borderId="12" xfId="0" applyNumberFormat="1" applyFont="1" applyFill="1" applyBorder="1" applyProtection="1"/>
    <xf numFmtId="164" fontId="5" fillId="6" borderId="9" xfId="0" applyNumberFormat="1" applyFont="1" applyFill="1" applyBorder="1" applyProtection="1"/>
    <xf numFmtId="164" fontId="5" fillId="6" borderId="50" xfId="0" applyNumberFormat="1" applyFont="1" applyFill="1" applyBorder="1" applyProtection="1"/>
    <xf numFmtId="0" fontId="0" fillId="5" borderId="6" xfId="0" applyFill="1" applyBorder="1" applyAlignment="1" applyProtection="1">
      <alignment horizontal="center"/>
    </xf>
    <xf numFmtId="0" fontId="5" fillId="6" borderId="8" xfId="0" applyFont="1" applyFill="1" applyBorder="1" applyProtection="1"/>
    <xf numFmtId="0" fontId="5" fillId="6" borderId="12" xfId="0" applyFont="1" applyFill="1" applyBorder="1" applyProtection="1"/>
    <xf numFmtId="0" fontId="0" fillId="0" borderId="49" xfId="0" applyBorder="1" applyProtection="1"/>
    <xf numFmtId="164" fontId="5" fillId="6" borderId="1" xfId="0" applyNumberFormat="1" applyFont="1" applyFill="1" applyBorder="1" applyProtection="1"/>
    <xf numFmtId="167" fontId="0" fillId="5" borderId="10" xfId="0" applyNumberFormat="1" applyFill="1" applyBorder="1" applyAlignment="1" applyProtection="1">
      <alignment horizontal="center"/>
    </xf>
    <xf numFmtId="167" fontId="0" fillId="5" borderId="8" xfId="0" applyNumberFormat="1" applyFill="1" applyBorder="1" applyAlignment="1" applyProtection="1">
      <alignment horizontal="center"/>
    </xf>
    <xf numFmtId="4" fontId="0" fillId="6" borderId="8" xfId="0" applyNumberFormat="1" applyFill="1" applyBorder="1" applyProtection="1"/>
    <xf numFmtId="167" fontId="0" fillId="5" borderId="12" xfId="0" applyNumberFormat="1" applyFill="1" applyBorder="1" applyAlignment="1" applyProtection="1">
      <alignment horizontal="center"/>
    </xf>
    <xf numFmtId="0" fontId="0" fillId="8" borderId="0" xfId="0" applyFill="1" applyProtection="1"/>
    <xf numFmtId="0" fontId="0" fillId="8" borderId="0" xfId="0" applyFill="1" applyAlignment="1" applyProtection="1">
      <alignment horizontal="center"/>
    </xf>
    <xf numFmtId="0" fontId="0" fillId="3" borderId="10" xfId="0" applyFill="1" applyBorder="1" applyProtection="1"/>
    <xf numFmtId="0" fontId="0" fillId="3" borderId="8" xfId="0" applyFill="1" applyBorder="1" applyProtection="1"/>
    <xf numFmtId="0" fontId="5" fillId="6" borderId="38" xfId="0" applyFont="1" applyFill="1" applyBorder="1" applyProtection="1"/>
    <xf numFmtId="0" fontId="5" fillId="6" borderId="35" xfId="0" applyFont="1" applyFill="1" applyBorder="1" applyProtection="1"/>
    <xf numFmtId="0" fontId="0" fillId="3" borderId="12" xfId="0" applyFill="1" applyBorder="1" applyProtection="1"/>
    <xf numFmtId="0" fontId="0" fillId="7" borderId="0" xfId="0" applyFill="1" applyBorder="1" applyProtection="1"/>
    <xf numFmtId="0" fontId="0" fillId="7" borderId="0" xfId="0" applyFill="1" applyBorder="1" applyAlignment="1" applyProtection="1">
      <alignment horizontal="center"/>
    </xf>
    <xf numFmtId="164" fontId="0" fillId="0" borderId="52" xfId="0" applyNumberFormat="1" applyFill="1" applyBorder="1" applyProtection="1"/>
    <xf numFmtId="0" fontId="0" fillId="0" borderId="0" xfId="0" applyFill="1" applyBorder="1" applyAlignment="1" applyProtection="1"/>
    <xf numFmtId="0" fontId="0" fillId="8" borderId="0" xfId="0" applyFill="1" applyBorder="1" applyProtection="1"/>
    <xf numFmtId="164" fontId="5" fillId="6" borderId="15" xfId="0" applyNumberFormat="1" applyFont="1" applyFill="1" applyBorder="1" applyProtection="1"/>
    <xf numFmtId="164" fontId="5" fillId="0" borderId="0" xfId="0" applyNumberFormat="1" applyFont="1" applyFill="1" applyBorder="1" applyProtection="1"/>
    <xf numFmtId="0" fontId="0" fillId="5" borderId="1" xfId="0" applyFill="1" applyBorder="1" applyAlignment="1" applyProtection="1">
      <alignment horizontal="center"/>
    </xf>
    <xf numFmtId="164" fontId="5" fillId="6" borderId="19" xfId="0" applyNumberFormat="1" applyFont="1" applyFill="1" applyBorder="1" applyProtection="1"/>
    <xf numFmtId="0" fontId="0" fillId="0" borderId="1" xfId="0" applyBorder="1" applyProtection="1"/>
    <xf numFmtId="0" fontId="6" fillId="11" borderId="7" xfId="0" applyFont="1" applyFill="1" applyBorder="1" applyProtection="1"/>
    <xf numFmtId="0" fontId="6" fillId="11" borderId="11" xfId="0" applyFont="1" applyFill="1" applyBorder="1" applyAlignment="1" applyProtection="1">
      <alignment horizontal="right"/>
    </xf>
    <xf numFmtId="0" fontId="6" fillId="11" borderId="9" xfId="0" applyFont="1" applyFill="1" applyBorder="1" applyAlignment="1" applyProtection="1">
      <alignment horizontal="right"/>
    </xf>
    <xf numFmtId="0" fontId="6" fillId="11" borderId="38" xfId="0" applyFont="1" applyFill="1" applyBorder="1" applyProtection="1"/>
    <xf numFmtId="0" fontId="6" fillId="11" borderId="35" xfId="0" applyFont="1" applyFill="1" applyBorder="1" applyProtection="1"/>
    <xf numFmtId="164" fontId="0" fillId="6" borderId="10" xfId="0" applyNumberFormat="1" applyFill="1" applyBorder="1" applyProtection="1"/>
    <xf numFmtId="2" fontId="0" fillId="6" borderId="10" xfId="0" applyNumberFormat="1" applyFill="1" applyBorder="1" applyProtection="1"/>
    <xf numFmtId="164" fontId="0" fillId="6" borderId="8" xfId="0" applyNumberFormat="1" applyFill="1" applyBorder="1" applyProtection="1"/>
    <xf numFmtId="2" fontId="0" fillId="6" borderId="11" xfId="0" applyNumberFormat="1" applyFill="1" applyBorder="1" applyProtection="1"/>
    <xf numFmtId="164" fontId="0" fillId="6" borderId="32" xfId="0" applyNumberFormat="1" applyFill="1" applyBorder="1" applyProtection="1"/>
    <xf numFmtId="2" fontId="0" fillId="6" borderId="8" xfId="0" applyNumberFormat="1" applyFill="1" applyBorder="1" applyProtection="1"/>
    <xf numFmtId="164" fontId="0" fillId="6" borderId="22" xfId="0" applyNumberFormat="1" applyFill="1" applyBorder="1" applyProtection="1"/>
    <xf numFmtId="2" fontId="0" fillId="6" borderId="9" xfId="0" applyNumberFormat="1" applyFill="1" applyBorder="1" applyProtection="1"/>
    <xf numFmtId="164" fontId="0" fillId="6" borderId="37" xfId="0" applyNumberFormat="1" applyFill="1" applyBorder="1" applyProtection="1"/>
    <xf numFmtId="2" fontId="0" fillId="6" borderId="22" xfId="0" applyNumberFormat="1" applyFill="1" applyBorder="1" applyProtection="1"/>
    <xf numFmtId="164" fontId="0" fillId="6" borderId="25" xfId="0" applyNumberFormat="1" applyFill="1" applyBorder="1" applyProtection="1"/>
    <xf numFmtId="2" fontId="0" fillId="6" borderId="24" xfId="0" applyNumberFormat="1" applyFill="1" applyBorder="1" applyProtection="1"/>
    <xf numFmtId="2" fontId="0" fillId="6" borderId="21" xfId="0" applyNumberFormat="1" applyFill="1" applyBorder="1" applyAlignment="1" applyProtection="1">
      <alignment horizontal="center"/>
    </xf>
    <xf numFmtId="2" fontId="0" fillId="6" borderId="20" xfId="0" applyNumberFormat="1" applyFill="1" applyBorder="1" applyAlignment="1" applyProtection="1">
      <alignment horizontal="center"/>
    </xf>
    <xf numFmtId="4" fontId="0" fillId="6" borderId="20" xfId="0" applyNumberFormat="1" applyFill="1" applyBorder="1" applyAlignment="1" applyProtection="1">
      <alignment horizontal="center"/>
    </xf>
    <xf numFmtId="0" fontId="0" fillId="6" borderId="15" xfId="0" applyFill="1" applyBorder="1" applyAlignment="1" applyProtection="1">
      <alignment horizontal="center"/>
    </xf>
    <xf numFmtId="1" fontId="0" fillId="6" borderId="15" xfId="0" applyNumberFormat="1" applyFill="1" applyBorder="1" applyAlignment="1" applyProtection="1">
      <alignment horizontal="center"/>
    </xf>
    <xf numFmtId="0" fontId="0" fillId="5" borderId="41" xfId="0" applyFill="1" applyBorder="1" applyProtection="1"/>
    <xf numFmtId="164" fontId="0" fillId="6" borderId="7" xfId="0" applyNumberFormat="1" applyFill="1" applyBorder="1" applyProtection="1"/>
    <xf numFmtId="164" fontId="0" fillId="6" borderId="11" xfId="0" applyNumberFormat="1" applyFill="1" applyBorder="1" applyProtection="1"/>
    <xf numFmtId="164" fontId="0" fillId="6" borderId="12" xfId="0" applyNumberFormat="1" applyFill="1" applyBorder="1" applyProtection="1"/>
    <xf numFmtId="164" fontId="0" fillId="6" borderId="9" xfId="0" applyNumberFormat="1" applyFill="1" applyBorder="1" applyProtection="1"/>
    <xf numFmtId="164" fontId="0" fillId="6" borderId="50" xfId="0" applyNumberFormat="1" applyFill="1" applyBorder="1" applyProtection="1"/>
    <xf numFmtId="0" fontId="0" fillId="6" borderId="8" xfId="0" applyNumberFormat="1" applyFill="1" applyBorder="1" applyProtection="1"/>
    <xf numFmtId="0" fontId="0" fillId="6" borderId="12" xfId="0" applyNumberFormat="1" applyFill="1" applyBorder="1" applyProtection="1"/>
    <xf numFmtId="164" fontId="0" fillId="6" borderId="1" xfId="0" applyNumberFormat="1" applyFill="1" applyBorder="1" applyProtection="1"/>
    <xf numFmtId="0" fontId="0" fillId="6" borderId="38" xfId="0" applyFill="1" applyBorder="1" applyProtection="1"/>
    <xf numFmtId="0" fontId="0" fillId="6" borderId="35" xfId="0" applyFill="1" applyBorder="1" applyProtection="1"/>
    <xf numFmtId="164" fontId="0" fillId="0" borderId="0" xfId="0" applyNumberFormat="1" applyFill="1" applyBorder="1" applyProtection="1"/>
    <xf numFmtId="164" fontId="0" fillId="6" borderId="15" xfId="0" applyNumberFormat="1" applyFill="1" applyBorder="1" applyProtection="1"/>
    <xf numFmtId="164" fontId="0" fillId="6" borderId="19" xfId="0" applyNumberFormat="1" applyFill="1" applyBorder="1" applyProtection="1"/>
    <xf numFmtId="0" fontId="0" fillId="6" borderId="10" xfId="0" applyFill="1" applyBorder="1" applyProtection="1"/>
    <xf numFmtId="0" fontId="0" fillId="6" borderId="8" xfId="0" applyFill="1" applyBorder="1" applyProtection="1"/>
    <xf numFmtId="0" fontId="0" fillId="6" borderId="12" xfId="0" applyFill="1" applyBorder="1" applyProtection="1"/>
    <xf numFmtId="164" fontId="5" fillId="10" borderId="8" xfId="0" applyNumberFormat="1" applyFont="1" applyFill="1" applyBorder="1" applyProtection="1"/>
    <xf numFmtId="4" fontId="0" fillId="10" borderId="8" xfId="0" applyNumberFormat="1" applyFill="1" applyBorder="1" applyProtection="1"/>
    <xf numFmtId="0" fontId="13" fillId="7" borderId="40" xfId="0" applyFont="1" applyFill="1" applyBorder="1" applyAlignment="1" applyProtection="1">
      <alignment horizontal="left"/>
    </xf>
    <xf numFmtId="0" fontId="13" fillId="7" borderId="33" xfId="0" applyFont="1" applyFill="1" applyBorder="1" applyAlignment="1" applyProtection="1">
      <alignment horizontal="left"/>
    </xf>
    <xf numFmtId="0" fontId="13" fillId="7" borderId="51" xfId="0" applyFont="1" applyFill="1" applyBorder="1" applyAlignment="1" applyProtection="1">
      <alignment horizontal="left"/>
    </xf>
    <xf numFmtId="0" fontId="13" fillId="7" borderId="27" xfId="0" applyFont="1" applyFill="1" applyBorder="1" applyAlignment="1" applyProtection="1">
      <alignment horizontal="left"/>
    </xf>
    <xf numFmtId="0" fontId="13" fillId="7" borderId="31" xfId="0" applyFont="1" applyFill="1" applyBorder="1" applyAlignment="1" applyProtection="1">
      <alignment horizontal="left"/>
    </xf>
    <xf numFmtId="0" fontId="13" fillId="7" borderId="38" xfId="0" applyFont="1" applyFill="1" applyBorder="1" applyAlignment="1" applyProtection="1">
      <alignment horizontal="left"/>
    </xf>
    <xf numFmtId="0" fontId="13" fillId="7" borderId="34" xfId="0" applyFont="1" applyFill="1" applyBorder="1" applyAlignment="1" applyProtection="1">
      <alignment horizontal="left"/>
    </xf>
    <xf numFmtId="0" fontId="13" fillId="7" borderId="42" xfId="0" applyFont="1" applyFill="1" applyBorder="1" applyAlignment="1" applyProtection="1">
      <alignment horizontal="left"/>
    </xf>
    <xf numFmtId="0" fontId="13" fillId="7" borderId="35" xfId="0" applyFont="1" applyFill="1" applyBorder="1" applyAlignment="1" applyProtection="1">
      <alignment horizontal="left"/>
    </xf>
    <xf numFmtId="0" fontId="15" fillId="11" borderId="27" xfId="0" applyFont="1" applyFill="1" applyBorder="1" applyAlignment="1" applyProtection="1">
      <alignment horizontal="left"/>
    </xf>
    <xf numFmtId="0" fontId="15" fillId="11" borderId="31" xfId="0" applyFont="1" applyFill="1" applyBorder="1" applyAlignment="1" applyProtection="1">
      <alignment horizontal="left"/>
    </xf>
    <xf numFmtId="0" fontId="15" fillId="11" borderId="38" xfId="0" applyFont="1" applyFill="1" applyBorder="1" applyAlignment="1" applyProtection="1">
      <alignment horizontal="left"/>
    </xf>
    <xf numFmtId="0" fontId="16" fillId="10" borderId="27" xfId="0" applyFont="1" applyFill="1" applyBorder="1" applyAlignment="1" applyProtection="1">
      <alignment horizontal="left"/>
      <protection locked="0"/>
    </xf>
    <xf numFmtId="0" fontId="16" fillId="10" borderId="31" xfId="0" applyFont="1" applyFill="1" applyBorder="1" applyAlignment="1" applyProtection="1">
      <alignment horizontal="left"/>
      <protection locked="0"/>
    </xf>
    <xf numFmtId="0" fontId="16" fillId="10" borderId="38" xfId="0" applyFont="1" applyFill="1" applyBorder="1" applyAlignment="1" applyProtection="1">
      <alignment horizontal="left"/>
      <protection locked="0"/>
    </xf>
    <xf numFmtId="0" fontId="15" fillId="11" borderId="34" xfId="0" applyFont="1" applyFill="1" applyBorder="1" applyAlignment="1" applyProtection="1">
      <alignment horizontal="left"/>
    </xf>
    <xf numFmtId="0" fontId="15" fillId="11" borderId="42" xfId="0" applyFont="1" applyFill="1" applyBorder="1" applyAlignment="1" applyProtection="1">
      <alignment horizontal="left"/>
    </xf>
    <xf numFmtId="0" fontId="15" fillId="11" borderId="35" xfId="0" applyFont="1" applyFill="1" applyBorder="1" applyAlignment="1" applyProtection="1">
      <alignment horizontal="left"/>
    </xf>
    <xf numFmtId="0" fontId="16" fillId="10" borderId="40" xfId="0" applyFont="1" applyFill="1" applyBorder="1" applyAlignment="1" applyProtection="1">
      <alignment horizontal="left"/>
      <protection locked="0"/>
    </xf>
    <xf numFmtId="0" fontId="16" fillId="10" borderId="33" xfId="0" applyFont="1" applyFill="1" applyBorder="1" applyAlignment="1" applyProtection="1">
      <alignment horizontal="left"/>
      <protection locked="0"/>
    </xf>
    <xf numFmtId="0" fontId="16" fillId="10" borderId="51" xfId="0" applyFont="1" applyFill="1" applyBorder="1" applyAlignment="1" applyProtection="1">
      <alignment horizontal="left"/>
      <protection locked="0"/>
    </xf>
    <xf numFmtId="0" fontId="15" fillId="11" borderId="40" xfId="0" applyFont="1" applyFill="1" applyBorder="1" applyAlignment="1" applyProtection="1">
      <alignment horizontal="left"/>
    </xf>
    <xf numFmtId="0" fontId="15" fillId="11" borderId="33" xfId="0" applyFont="1" applyFill="1" applyBorder="1" applyAlignment="1" applyProtection="1">
      <alignment horizontal="left"/>
    </xf>
    <xf numFmtId="0" fontId="15" fillId="11" borderId="51" xfId="0" applyFont="1" applyFill="1" applyBorder="1" applyAlignment="1" applyProtection="1">
      <alignment horizontal="left"/>
    </xf>
    <xf numFmtId="0" fontId="16" fillId="10" borderId="34" xfId="0" applyFont="1" applyFill="1" applyBorder="1" applyAlignment="1" applyProtection="1">
      <alignment horizontal="left"/>
      <protection locked="0"/>
    </xf>
    <xf numFmtId="0" fontId="16" fillId="10" borderId="42" xfId="0" applyFont="1" applyFill="1" applyBorder="1" applyAlignment="1" applyProtection="1">
      <alignment horizontal="left"/>
      <protection locked="0"/>
    </xf>
    <xf numFmtId="0" fontId="16" fillId="10" borderId="35" xfId="0" applyFont="1" applyFill="1" applyBorder="1" applyAlignment="1" applyProtection="1">
      <alignment horizontal="left"/>
      <protection locked="0"/>
    </xf>
    <xf numFmtId="0" fontId="17" fillId="11" borderId="0" xfId="0" applyFont="1" applyFill="1" applyAlignment="1" applyProtection="1">
      <alignment horizontal="center"/>
    </xf>
    <xf numFmtId="0" fontId="0" fillId="5" borderId="27" xfId="0" applyFill="1" applyBorder="1" applyAlignment="1" applyProtection="1">
      <alignment horizontal="center"/>
    </xf>
    <xf numFmtId="0" fontId="0" fillId="5" borderId="31" xfId="0" applyFill="1" applyBorder="1" applyAlignment="1" applyProtection="1">
      <alignment horizontal="center"/>
    </xf>
    <xf numFmtId="0" fontId="0" fillId="5" borderId="38" xfId="0" applyFill="1" applyBorder="1" applyAlignment="1" applyProtection="1">
      <alignment horizontal="center"/>
    </xf>
    <xf numFmtId="0" fontId="0" fillId="5" borderId="4" xfId="0" applyFill="1" applyBorder="1" applyAlignment="1" applyProtection="1">
      <alignment horizontal="right"/>
    </xf>
    <xf numFmtId="0" fontId="0" fillId="5" borderId="30" xfId="0" applyFill="1" applyBorder="1" applyAlignment="1" applyProtection="1">
      <alignment horizontal="right"/>
    </xf>
    <xf numFmtId="0" fontId="0" fillId="5" borderId="5" xfId="0" applyFill="1" applyBorder="1" applyAlignment="1" applyProtection="1">
      <alignment horizontal="right"/>
    </xf>
    <xf numFmtId="0" fontId="0" fillId="5" borderId="29" xfId="0" applyFill="1" applyBorder="1" applyAlignment="1" applyProtection="1">
      <alignment horizontal="right"/>
    </xf>
    <xf numFmtId="0" fontId="6" fillId="11" borderId="6" xfId="0" applyFont="1" applyFill="1" applyBorder="1" applyAlignment="1" applyProtection="1">
      <alignment horizontal="left"/>
    </xf>
    <xf numFmtId="0" fontId="6" fillId="11" borderId="12" xfId="0" applyFont="1" applyFill="1" applyBorder="1" applyAlignment="1" applyProtection="1">
      <alignment horizontal="left"/>
    </xf>
    <xf numFmtId="0" fontId="6" fillId="11" borderId="9" xfId="0" applyFont="1" applyFill="1" applyBorder="1" applyAlignment="1" applyProtection="1">
      <alignment horizontal="left"/>
    </xf>
    <xf numFmtId="0" fontId="6" fillId="11" borderId="5" xfId="0" applyFont="1" applyFill="1" applyBorder="1" applyAlignment="1" applyProtection="1">
      <alignment horizontal="left"/>
    </xf>
    <xf numFmtId="0" fontId="6" fillId="11" borderId="8" xfId="0" applyFont="1" applyFill="1" applyBorder="1" applyAlignment="1" applyProtection="1">
      <alignment horizontal="left"/>
    </xf>
    <xf numFmtId="0" fontId="6" fillId="11" borderId="11" xfId="0" applyFont="1" applyFill="1" applyBorder="1" applyAlignment="1" applyProtection="1">
      <alignment horizontal="left"/>
    </xf>
    <xf numFmtId="0" fontId="6" fillId="11" borderId="4" xfId="0" applyFont="1" applyFill="1" applyBorder="1" applyAlignment="1" applyProtection="1">
      <alignment horizontal="left"/>
    </xf>
    <xf numFmtId="0" fontId="6" fillId="11" borderId="10" xfId="0" applyFont="1" applyFill="1" applyBorder="1" applyAlignment="1" applyProtection="1">
      <alignment horizontal="left"/>
    </xf>
    <xf numFmtId="0" fontId="6" fillId="11" borderId="7" xfId="0" applyFont="1" applyFill="1" applyBorder="1" applyAlignment="1" applyProtection="1">
      <alignment horizontal="left"/>
    </xf>
    <xf numFmtId="0" fontId="0" fillId="5" borderId="6" xfId="0" applyFill="1" applyBorder="1" applyAlignment="1" applyProtection="1">
      <alignment horizontal="right"/>
    </xf>
    <xf numFmtId="0" fontId="0" fillId="5" borderId="43" xfId="0" applyFill="1" applyBorder="1" applyAlignment="1" applyProtection="1">
      <alignment horizontal="right"/>
    </xf>
    <xf numFmtId="0" fontId="0" fillId="0" borderId="0" xfId="0" applyAlignment="1" applyProtection="1">
      <alignment horizontal="left" wrapText="1"/>
    </xf>
    <xf numFmtId="0" fontId="0" fillId="0" borderId="3" xfId="0" applyBorder="1" applyAlignment="1" applyProtection="1">
      <alignment horizontal="left" wrapText="1"/>
    </xf>
    <xf numFmtId="0" fontId="0" fillId="5" borderId="40" xfId="0" applyFill="1" applyBorder="1" applyAlignment="1" applyProtection="1">
      <alignment horizontal="center"/>
    </xf>
    <xf numFmtId="0" fontId="0" fillId="5" borderId="33" xfId="0" applyFill="1" applyBorder="1" applyAlignment="1" applyProtection="1">
      <alignment horizontal="center"/>
    </xf>
    <xf numFmtId="0" fontId="0" fillId="5" borderId="51" xfId="0" applyFill="1" applyBorder="1" applyAlignment="1" applyProtection="1">
      <alignment horizontal="center"/>
    </xf>
    <xf numFmtId="0" fontId="0" fillId="5" borderId="34" xfId="0" applyFill="1" applyBorder="1" applyAlignment="1" applyProtection="1">
      <alignment horizontal="center"/>
    </xf>
    <xf numFmtId="0" fontId="0" fillId="5" borderId="42" xfId="0" applyFill="1" applyBorder="1" applyAlignment="1" applyProtection="1">
      <alignment horizontal="center"/>
    </xf>
    <xf numFmtId="0" fontId="0" fillId="5" borderId="35" xfId="0" applyFill="1" applyBorder="1" applyAlignment="1" applyProtection="1">
      <alignment horizontal="center"/>
    </xf>
    <xf numFmtId="0" fontId="0" fillId="5" borderId="27" xfId="0" applyFill="1" applyBorder="1" applyAlignment="1" applyProtection="1">
      <alignment horizontal="left"/>
    </xf>
    <xf numFmtId="0" fontId="0" fillId="5" borderId="31" xfId="0" applyFill="1" applyBorder="1" applyAlignment="1" applyProtection="1">
      <alignment horizontal="left"/>
    </xf>
    <xf numFmtId="0" fontId="0" fillId="5" borderId="28" xfId="0" applyFill="1" applyBorder="1" applyAlignment="1" applyProtection="1">
      <alignment horizontal="left"/>
    </xf>
    <xf numFmtId="0" fontId="0" fillId="5" borderId="13" xfId="0" applyFill="1" applyBorder="1" applyAlignment="1" applyProtection="1">
      <alignment horizontal="right"/>
    </xf>
    <xf numFmtId="0" fontId="0" fillId="5" borderId="45" xfId="0" applyFill="1" applyBorder="1" applyAlignment="1" applyProtection="1">
      <alignment horizontal="right"/>
    </xf>
    <xf numFmtId="0" fontId="0" fillId="5" borderId="13" xfId="0" applyFill="1" applyBorder="1" applyAlignment="1" applyProtection="1">
      <alignment horizontal="left"/>
    </xf>
    <xf numFmtId="0" fontId="0" fillId="5" borderId="14" xfId="0" applyFill="1" applyBorder="1" applyAlignment="1" applyProtection="1">
      <alignment horizontal="left"/>
    </xf>
    <xf numFmtId="0" fontId="0" fillId="5" borderId="45" xfId="0" applyFill="1" applyBorder="1" applyAlignment="1" applyProtection="1">
      <alignment horizontal="left"/>
    </xf>
    <xf numFmtId="2" fontId="6" fillId="11" borderId="61" xfId="0" applyNumberFormat="1" applyFont="1" applyFill="1" applyBorder="1" applyAlignment="1">
      <alignment horizontal="left"/>
    </xf>
    <xf numFmtId="2" fontId="6" fillId="11" borderId="65" xfId="0" applyNumberFormat="1" applyFont="1" applyFill="1" applyBorder="1" applyAlignment="1">
      <alignment horizontal="left"/>
    </xf>
    <xf numFmtId="2" fontId="6" fillId="11" borderId="57" xfId="0" applyNumberFormat="1" applyFont="1" applyFill="1" applyBorder="1" applyAlignment="1">
      <alignment horizontal="left"/>
    </xf>
    <xf numFmtId="2" fontId="6" fillId="11" borderId="63" xfId="0" applyNumberFormat="1" applyFont="1" applyFill="1" applyBorder="1" applyAlignment="1">
      <alignment horizontal="left"/>
    </xf>
    <xf numFmtId="2" fontId="6" fillId="11" borderId="59" xfId="0" applyNumberFormat="1" applyFont="1" applyFill="1" applyBorder="1" applyAlignment="1">
      <alignment horizontal="left"/>
    </xf>
    <xf numFmtId="2" fontId="6" fillId="11" borderId="64" xfId="0" applyNumberFormat="1" applyFont="1" applyFill="1" applyBorder="1" applyAlignment="1">
      <alignment horizontal="left"/>
    </xf>
    <xf numFmtId="0" fontId="0" fillId="5" borderId="10" xfId="0" applyFill="1" applyBorder="1" applyAlignment="1" applyProtection="1">
      <alignment horizontal="right"/>
    </xf>
    <xf numFmtId="0" fontId="0" fillId="5" borderId="8" xfId="0" applyFill="1" applyBorder="1" applyAlignment="1" applyProtection="1">
      <alignment horizontal="right"/>
    </xf>
    <xf numFmtId="0" fontId="0" fillId="5" borderId="12" xfId="0" applyFill="1" applyBorder="1" applyAlignment="1" applyProtection="1">
      <alignment horizontal="right"/>
    </xf>
    <xf numFmtId="0" fontId="0" fillId="5" borderId="34" xfId="0" applyFill="1" applyBorder="1" applyAlignment="1" applyProtection="1">
      <alignment horizontal="left"/>
    </xf>
    <xf numFmtId="0" fontId="0" fillId="5" borderId="42" xfId="0" applyFill="1" applyBorder="1" applyAlignment="1" applyProtection="1">
      <alignment horizontal="left"/>
    </xf>
    <xf numFmtId="0" fontId="0" fillId="5" borderId="36" xfId="0" applyFill="1" applyBorder="1" applyAlignment="1" applyProtection="1">
      <alignment horizontal="left"/>
    </xf>
    <xf numFmtId="0" fontId="0" fillId="5" borderId="40" xfId="0" applyFill="1" applyBorder="1" applyAlignment="1" applyProtection="1">
      <alignment horizontal="left"/>
    </xf>
    <xf numFmtId="0" fontId="0" fillId="5" borderId="33" xfId="0" applyFill="1" applyBorder="1" applyAlignment="1" applyProtection="1">
      <alignment horizontal="left"/>
    </xf>
    <xf numFmtId="0" fontId="0" fillId="5" borderId="32" xfId="0" applyFill="1" applyBorder="1" applyAlignment="1" applyProtection="1">
      <alignment horizontal="left"/>
    </xf>
    <xf numFmtId="0" fontId="21" fillId="5" borderId="34" xfId="0" applyFont="1" applyFill="1" applyBorder="1" applyAlignment="1" applyProtection="1">
      <alignment horizontal="left" wrapText="1"/>
    </xf>
    <xf numFmtId="0" fontId="21" fillId="5" borderId="42" xfId="0" applyFont="1" applyFill="1" applyBorder="1" applyAlignment="1" applyProtection="1">
      <alignment horizontal="left" wrapText="1"/>
    </xf>
    <xf numFmtId="0" fontId="21" fillId="5" borderId="42" xfId="0" applyFont="1" applyFill="1" applyBorder="1" applyAlignment="1" applyProtection="1">
      <alignment horizontal="left" wrapText="1"/>
      <protection locked="0"/>
    </xf>
    <xf numFmtId="0" fontId="21" fillId="5" borderId="35" xfId="0" applyFont="1" applyFill="1" applyBorder="1" applyAlignment="1" applyProtection="1">
      <alignment horizontal="left" wrapText="1"/>
    </xf>
    <xf numFmtId="0" fontId="17" fillId="9" borderId="0" xfId="0" applyFont="1" applyFill="1" applyAlignment="1">
      <alignment horizontal="center"/>
    </xf>
    <xf numFmtId="0" fontId="0" fillId="5" borderId="40" xfId="0" applyFill="1" applyBorder="1" applyAlignment="1">
      <alignment horizontal="center"/>
    </xf>
    <xf numFmtId="0" fontId="0" fillId="5" borderId="33" xfId="0" applyFill="1" applyBorder="1" applyAlignment="1">
      <alignment horizontal="center"/>
    </xf>
    <xf numFmtId="0" fontId="0" fillId="5" borderId="51" xfId="0" applyFill="1" applyBorder="1" applyAlignment="1">
      <alignment horizontal="center"/>
    </xf>
    <xf numFmtId="0" fontId="0" fillId="5" borderId="34" xfId="0" applyFill="1" applyBorder="1" applyAlignment="1">
      <alignment horizontal="center"/>
    </xf>
    <xf numFmtId="0" fontId="0" fillId="5" borderId="42" xfId="0" applyFill="1" applyBorder="1" applyAlignment="1">
      <alignment horizontal="center"/>
    </xf>
    <xf numFmtId="0" fontId="0" fillId="5" borderId="35" xfId="0" applyFill="1" applyBorder="1" applyAlignment="1">
      <alignment horizontal="center"/>
    </xf>
    <xf numFmtId="0" fontId="0" fillId="5" borderId="10" xfId="0" applyFill="1" applyBorder="1" applyAlignment="1">
      <alignment horizontal="right"/>
    </xf>
    <xf numFmtId="0" fontId="0" fillId="5" borderId="8" xfId="0" applyFill="1" applyBorder="1" applyAlignment="1">
      <alignment horizontal="right"/>
    </xf>
    <xf numFmtId="0" fontId="6" fillId="11" borderId="12" xfId="0" applyFont="1" applyFill="1" applyBorder="1" applyAlignment="1">
      <alignment horizontal="left"/>
    </xf>
    <xf numFmtId="0" fontId="6" fillId="11" borderId="8" xfId="0" applyFont="1" applyFill="1" applyBorder="1" applyAlignment="1">
      <alignment horizontal="left"/>
    </xf>
    <xf numFmtId="0" fontId="6" fillId="11" borderId="10" xfId="0" applyFont="1" applyFill="1" applyBorder="1" applyAlignment="1">
      <alignment horizontal="left"/>
    </xf>
    <xf numFmtId="0" fontId="0" fillId="5" borderId="12" xfId="0" applyFill="1" applyBorder="1" applyAlignment="1">
      <alignment horizontal="right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5" borderId="13" xfId="0" applyFill="1" applyBorder="1" applyAlignment="1">
      <alignment horizontal="left"/>
    </xf>
    <xf numFmtId="0" fontId="0" fillId="5" borderId="14" xfId="0" applyFill="1" applyBorder="1" applyAlignment="1">
      <alignment horizontal="left"/>
    </xf>
    <xf numFmtId="0" fontId="0" fillId="5" borderId="45" xfId="0" applyFill="1" applyBorder="1" applyAlignment="1">
      <alignment horizontal="left"/>
    </xf>
    <xf numFmtId="0" fontId="0" fillId="5" borderId="13" xfId="0" applyFill="1" applyBorder="1" applyAlignment="1">
      <alignment horizontal="right"/>
    </xf>
    <xf numFmtId="0" fontId="0" fillId="5" borderId="45" xfId="0" applyFill="1" applyBorder="1" applyAlignment="1">
      <alignment horizontal="right"/>
    </xf>
    <xf numFmtId="0" fontId="0" fillId="5" borderId="27" xfId="0" applyFill="1" applyBorder="1" applyAlignment="1">
      <alignment horizontal="center"/>
    </xf>
    <xf numFmtId="0" fontId="0" fillId="5" borderId="31" xfId="0" applyFill="1" applyBorder="1" applyAlignment="1">
      <alignment horizontal="center"/>
    </xf>
    <xf numFmtId="0" fontId="0" fillId="5" borderId="38" xfId="0" applyFill="1" applyBorder="1" applyAlignment="1">
      <alignment horizontal="center"/>
    </xf>
    <xf numFmtId="0" fontId="17" fillId="11" borderId="3" xfId="0" applyFont="1" applyFill="1" applyBorder="1" applyAlignment="1">
      <alignment horizontal="center"/>
    </xf>
  </cellXfs>
  <cellStyles count="4">
    <cellStyle name="Standaard" xfId="0" builtinId="0"/>
    <cellStyle name="Standaard 2" xfId="1" xr:uid="{00000000-0005-0000-0000-000001000000}"/>
    <cellStyle name="Valuta" xfId="3" builtinId="4"/>
    <cellStyle name="Valuta 2" xfId="2" xr:uid="{00000000-0005-0000-0000-000003000000}"/>
  </cellStyles>
  <dxfs count="2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C2E76B"/>
      <color rgb="FF173583"/>
      <color rgb="FF1F1770"/>
      <color rgb="FFEBEBEB"/>
      <color rgb="FF9F9289"/>
      <color rgb="FFF07512"/>
      <color rgb="FFDC6710"/>
      <color rgb="FFFF66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tchel\AppData\Local\Microsoft\Windows\Temporary%20Internet%20Files\Content.IE5\YH72Y4QQ\Uitvoeringsbepaling%20Brede%20Scholen%20Appingedam_Asito%200608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zamelblad"/>
      <sheetName val="Algemene gegevens"/>
      <sheetName val="uurtariefopbouw"/>
      <sheetName val="1"/>
      <sheetName val="1a"/>
      <sheetName val="2"/>
      <sheetName val="2a"/>
      <sheetName val="Totaalblad"/>
      <sheetName val="3"/>
      <sheetName val="3a"/>
      <sheetName val="4"/>
      <sheetName val="4a"/>
      <sheetName val="5"/>
      <sheetName val="5a"/>
      <sheetName val="6"/>
      <sheetName val="6a"/>
      <sheetName val="7"/>
      <sheetName val="7a"/>
      <sheetName val="8"/>
      <sheetName val="8a"/>
      <sheetName val="9"/>
      <sheetName val="9a"/>
      <sheetName val="10"/>
      <sheetName val="10a"/>
      <sheetName val="11"/>
      <sheetName val="11a"/>
      <sheetName val="12"/>
      <sheetName val="12a"/>
      <sheetName val="13"/>
      <sheetName val="13a"/>
      <sheetName val="14"/>
      <sheetName val="14a"/>
      <sheetName val="15"/>
      <sheetName val="15a"/>
      <sheetName val="16"/>
      <sheetName val="16a"/>
      <sheetName val="17"/>
      <sheetName val="17a"/>
      <sheetName val="18"/>
      <sheetName val="18a"/>
      <sheetName val="19"/>
      <sheetName val="19a"/>
      <sheetName val="20"/>
      <sheetName val="20a"/>
      <sheetName val="21"/>
      <sheetName val="21a"/>
      <sheetName val="22"/>
      <sheetName val="22a"/>
      <sheetName val="23"/>
      <sheetName val="23a"/>
      <sheetName val="24"/>
      <sheetName val="24a"/>
      <sheetName val="25"/>
      <sheetName val="25a"/>
      <sheetName val="26"/>
      <sheetName val="26a"/>
      <sheetName val="27"/>
      <sheetName val="27a"/>
      <sheetName val="28"/>
      <sheetName val="28a"/>
      <sheetName val="29"/>
      <sheetName val="29a"/>
      <sheetName val="30"/>
      <sheetName val="30a"/>
      <sheetName val="Wijzigingenblad"/>
      <sheetName val="Supplement"/>
    </sheetNames>
    <sheetDataSet>
      <sheetData sheetId="0">
        <row r="2">
          <cell r="A2" t="str">
            <v>bestek</v>
          </cell>
        </row>
        <row r="3">
          <cell r="A3" t="str">
            <v>2018-S1600</v>
          </cell>
        </row>
      </sheetData>
      <sheetData sheetId="1">
        <row r="5">
          <cell r="H5" t="str">
            <v>Stichting Brede Scholen Appingedam</v>
          </cell>
        </row>
      </sheetData>
      <sheetData sheetId="2">
        <row r="24">
          <cell r="E24">
            <v>0.125</v>
          </cell>
        </row>
        <row r="35">
          <cell r="F35">
            <v>25.967586234808007</v>
          </cell>
          <cell r="H35">
            <v>24.576183110703983</v>
          </cell>
          <cell r="J35">
            <v>32.894008732464663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</sheetDataSet>
  </externalBook>
</externalLink>
</file>

<file path=xl/theme/theme1.xml><?xml version="1.0" encoding="utf-8"?>
<a:theme xmlns:a="http://schemas.openxmlformats.org/drawingml/2006/main" name="Kantoorthema">
  <a:themeElements>
    <a:clrScheme name="Aangepast Alpha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F3A447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5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6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73583"/>
    <pageSetUpPr fitToPage="1"/>
  </sheetPr>
  <dimension ref="A1:L35"/>
  <sheetViews>
    <sheetView showGridLines="0" showZeros="0" tabSelected="1" zoomScaleNormal="100" zoomScaleSheetLayoutView="100" workbookViewId="0">
      <selection activeCell="Q23" sqref="Q23"/>
    </sheetView>
  </sheetViews>
  <sheetFormatPr defaultColWidth="9.140625" defaultRowHeight="15" x14ac:dyDescent="0.25"/>
  <cols>
    <col min="1" max="1" width="9.7109375" customWidth="1"/>
    <col min="2" max="2" width="3.42578125" customWidth="1"/>
    <col min="3" max="5" width="9.140625" customWidth="1"/>
    <col min="6" max="6" width="12.5703125" customWidth="1"/>
    <col min="7" max="7" width="2.85546875" customWidth="1"/>
    <col min="8" max="9" width="9.140625" customWidth="1"/>
    <col min="10" max="10" width="23.7109375" customWidth="1"/>
  </cols>
  <sheetData>
    <row r="1" spans="1:10" s="170" customFormat="1" ht="26.25" customHeight="1" x14ac:dyDescent="0.4">
      <c r="A1" s="257" t="s">
        <v>150</v>
      </c>
      <c r="B1" s="258"/>
      <c r="C1" s="258"/>
      <c r="D1" s="258"/>
      <c r="E1" s="258"/>
      <c r="F1" s="258"/>
      <c r="G1" s="258"/>
      <c r="H1" s="258"/>
      <c r="I1" s="258"/>
      <c r="J1" s="259"/>
    </row>
    <row r="2" spans="1:10" ht="15.75" x14ac:dyDescent="0.25">
      <c r="A2" s="260"/>
      <c r="B2" s="261"/>
      <c r="C2" s="261"/>
      <c r="D2" s="261"/>
      <c r="E2" s="261"/>
      <c r="F2" s="261"/>
      <c r="G2" s="261"/>
      <c r="H2" s="261"/>
      <c r="I2" s="261"/>
      <c r="J2" s="261"/>
    </row>
    <row r="3" spans="1:10" ht="17.25" customHeight="1" x14ac:dyDescent="0.25">
      <c r="A3" s="262" t="s">
        <v>148</v>
      </c>
      <c r="B3" s="263"/>
      <c r="C3" s="263"/>
      <c r="D3" s="263"/>
      <c r="E3" s="263"/>
      <c r="F3" s="264"/>
      <c r="G3" s="263"/>
      <c r="H3" s="263"/>
      <c r="I3" s="263"/>
      <c r="J3" s="265"/>
    </row>
    <row r="4" spans="1:10" ht="15.75" x14ac:dyDescent="0.25">
      <c r="A4" s="266"/>
      <c r="B4" s="172"/>
      <c r="C4" s="172"/>
      <c r="D4" s="172"/>
      <c r="E4" s="172"/>
      <c r="F4" s="172"/>
      <c r="G4" s="172"/>
      <c r="H4" s="172"/>
      <c r="I4" s="172"/>
      <c r="J4" s="172"/>
    </row>
    <row r="5" spans="1:10" ht="15.75" customHeight="1" x14ac:dyDescent="0.25">
      <c r="A5" s="446" t="s">
        <v>169</v>
      </c>
      <c r="B5" s="447"/>
      <c r="C5" s="447"/>
      <c r="D5" s="447"/>
      <c r="E5" s="447"/>
      <c r="F5" s="448"/>
      <c r="G5" s="172"/>
      <c r="H5" s="452" t="s">
        <v>560</v>
      </c>
      <c r="I5" s="453"/>
      <c r="J5" s="454"/>
    </row>
    <row r="6" spans="1:10" ht="15.75" customHeight="1" x14ac:dyDescent="0.25">
      <c r="A6" s="443" t="s">
        <v>170</v>
      </c>
      <c r="B6" s="444"/>
      <c r="C6" s="444"/>
      <c r="D6" s="444"/>
      <c r="E6" s="444"/>
      <c r="F6" s="445"/>
      <c r="G6" s="172"/>
      <c r="H6" s="464" t="s">
        <v>266</v>
      </c>
      <c r="I6" s="465"/>
      <c r="J6" s="466"/>
    </row>
    <row r="7" spans="1:10" ht="15.75" customHeight="1" x14ac:dyDescent="0.25">
      <c r="A7" s="443" t="s">
        <v>171</v>
      </c>
      <c r="B7" s="444"/>
      <c r="C7" s="444"/>
      <c r="D7" s="444"/>
      <c r="E7" s="444"/>
      <c r="F7" s="445"/>
      <c r="G7" s="172"/>
      <c r="H7" s="464">
        <v>1176356</v>
      </c>
      <c r="I7" s="465"/>
      <c r="J7" s="466"/>
    </row>
    <row r="8" spans="1:10" ht="15.75" customHeight="1" x14ac:dyDescent="0.25">
      <c r="A8" s="443" t="s">
        <v>149</v>
      </c>
      <c r="B8" s="444"/>
      <c r="C8" s="444"/>
      <c r="D8" s="444"/>
      <c r="E8" s="444"/>
      <c r="F8" s="445"/>
      <c r="G8" s="172"/>
      <c r="H8" s="464" t="s">
        <v>561</v>
      </c>
      <c r="I8" s="465"/>
      <c r="J8" s="466"/>
    </row>
    <row r="9" spans="1:10" ht="15.75" customHeight="1" x14ac:dyDescent="0.25">
      <c r="A9" s="443" t="s">
        <v>40</v>
      </c>
      <c r="B9" s="444"/>
      <c r="C9" s="444"/>
      <c r="D9" s="444"/>
      <c r="E9" s="444"/>
      <c r="F9" s="445"/>
      <c r="G9" s="172"/>
      <c r="H9" s="458" t="s">
        <v>562</v>
      </c>
      <c r="I9" s="459"/>
      <c r="J9" s="460"/>
    </row>
    <row r="10" spans="1:10" ht="15.75" customHeight="1" x14ac:dyDescent="0.25">
      <c r="A10" s="267"/>
      <c r="B10" s="268"/>
      <c r="C10" s="268"/>
      <c r="D10" s="268"/>
      <c r="E10" s="268"/>
      <c r="F10" s="268"/>
      <c r="G10" s="172"/>
      <c r="H10" s="171"/>
      <c r="I10" s="172"/>
      <c r="J10" s="172"/>
    </row>
    <row r="11" spans="1:10" ht="15.75" customHeight="1" x14ac:dyDescent="0.25">
      <c r="A11" s="446" t="s">
        <v>44</v>
      </c>
      <c r="B11" s="447"/>
      <c r="C11" s="447"/>
      <c r="D11" s="447"/>
      <c r="E11" s="447"/>
      <c r="F11" s="448"/>
      <c r="G11" s="172"/>
      <c r="H11" s="452" t="s">
        <v>321</v>
      </c>
      <c r="I11" s="453"/>
      <c r="J11" s="454"/>
    </row>
    <row r="12" spans="1:10" ht="15.75" customHeight="1" x14ac:dyDescent="0.25">
      <c r="A12" s="443" t="s">
        <v>41</v>
      </c>
      <c r="B12" s="444"/>
      <c r="C12" s="444"/>
      <c r="D12" s="444"/>
      <c r="E12" s="444"/>
      <c r="F12" s="445"/>
      <c r="G12" s="172"/>
      <c r="H12" s="464" t="s">
        <v>322</v>
      </c>
      <c r="I12" s="465"/>
      <c r="J12" s="466"/>
    </row>
    <row r="13" spans="1:10" ht="15.75" customHeight="1" x14ac:dyDescent="0.25">
      <c r="A13" s="449" t="s">
        <v>172</v>
      </c>
      <c r="B13" s="450"/>
      <c r="C13" s="450"/>
      <c r="D13" s="450"/>
      <c r="E13" s="450"/>
      <c r="F13" s="451"/>
      <c r="G13" s="172"/>
      <c r="H13" s="458" t="s">
        <v>323</v>
      </c>
      <c r="I13" s="459"/>
      <c r="J13" s="460"/>
    </row>
    <row r="14" spans="1:10" ht="15.75" customHeight="1" x14ac:dyDescent="0.25">
      <c r="A14" s="172"/>
      <c r="B14" s="269"/>
      <c r="C14" s="172"/>
      <c r="D14" s="172"/>
      <c r="E14" s="270"/>
      <c r="F14" s="271"/>
      <c r="G14" s="172"/>
      <c r="H14" s="171"/>
      <c r="I14" s="172"/>
      <c r="J14" s="172"/>
    </row>
    <row r="15" spans="1:10" ht="15.75" customHeight="1" x14ac:dyDescent="0.25">
      <c r="A15" s="446" t="s">
        <v>173</v>
      </c>
      <c r="B15" s="447"/>
      <c r="C15" s="447"/>
      <c r="D15" s="447"/>
      <c r="E15" s="447"/>
      <c r="F15" s="448"/>
      <c r="G15" s="270"/>
      <c r="H15" s="455"/>
      <c r="I15" s="456"/>
      <c r="J15" s="457"/>
    </row>
    <row r="16" spans="1:10" ht="15.75" customHeight="1" x14ac:dyDescent="0.25">
      <c r="A16" s="443" t="s">
        <v>174</v>
      </c>
      <c r="B16" s="444"/>
      <c r="C16" s="444"/>
      <c r="D16" s="444"/>
      <c r="E16" s="444"/>
      <c r="F16" s="445"/>
      <c r="G16" s="270"/>
      <c r="H16" s="461"/>
      <c r="I16" s="462"/>
      <c r="J16" s="463"/>
    </row>
    <row r="17" spans="1:10" ht="15.75" customHeight="1" x14ac:dyDescent="0.25">
      <c r="A17" s="443" t="s">
        <v>171</v>
      </c>
      <c r="B17" s="444"/>
      <c r="C17" s="444"/>
      <c r="D17" s="444"/>
      <c r="E17" s="444"/>
      <c r="F17" s="445"/>
      <c r="G17" s="270"/>
      <c r="H17" s="461"/>
      <c r="I17" s="462"/>
      <c r="J17" s="463"/>
    </row>
    <row r="18" spans="1:10" ht="15.75" customHeight="1" x14ac:dyDescent="0.25">
      <c r="A18" s="443" t="s">
        <v>42</v>
      </c>
      <c r="B18" s="444"/>
      <c r="C18" s="444"/>
      <c r="D18" s="444"/>
      <c r="E18" s="444"/>
      <c r="F18" s="445"/>
      <c r="G18" s="270"/>
      <c r="H18" s="461"/>
      <c r="I18" s="462"/>
      <c r="J18" s="463"/>
    </row>
    <row r="19" spans="1:10" ht="15.75" customHeight="1" x14ac:dyDescent="0.25">
      <c r="A19" s="443" t="s">
        <v>40</v>
      </c>
      <c r="B19" s="444"/>
      <c r="C19" s="444"/>
      <c r="D19" s="444"/>
      <c r="E19" s="444"/>
      <c r="F19" s="445"/>
      <c r="G19" s="270"/>
      <c r="H19" s="461"/>
      <c r="I19" s="462"/>
      <c r="J19" s="463"/>
    </row>
    <row r="20" spans="1:10" ht="15.75" customHeight="1" x14ac:dyDescent="0.25">
      <c r="A20" s="443" t="s">
        <v>43</v>
      </c>
      <c r="B20" s="444"/>
      <c r="C20" s="444"/>
      <c r="D20" s="444"/>
      <c r="E20" s="444"/>
      <c r="F20" s="445"/>
      <c r="G20" s="270"/>
      <c r="H20" s="461"/>
      <c r="I20" s="462"/>
      <c r="J20" s="463"/>
    </row>
    <row r="21" spans="1:10" ht="15.75" customHeight="1" x14ac:dyDescent="0.25">
      <c r="A21" s="449" t="s">
        <v>40</v>
      </c>
      <c r="B21" s="450"/>
      <c r="C21" s="450"/>
      <c r="D21" s="450"/>
      <c r="E21" s="450"/>
      <c r="F21" s="451"/>
      <c r="G21" s="270"/>
      <c r="H21" s="467"/>
      <c r="I21" s="468"/>
      <c r="J21" s="469"/>
    </row>
    <row r="22" spans="1:10" ht="15.75" customHeight="1" x14ac:dyDescent="0.25">
      <c r="A22" s="270"/>
      <c r="B22" s="272"/>
      <c r="C22" s="172"/>
      <c r="D22" s="172"/>
      <c r="E22" s="172"/>
      <c r="F22" s="271"/>
      <c r="G22" s="270"/>
      <c r="H22" s="171"/>
      <c r="I22" s="172"/>
      <c r="J22" s="172"/>
    </row>
    <row r="23" spans="1:10" ht="15.75" customHeight="1" x14ac:dyDescent="0.25">
      <c r="A23" s="446" t="s">
        <v>44</v>
      </c>
      <c r="B23" s="447"/>
      <c r="C23" s="447"/>
      <c r="D23" s="447"/>
      <c r="E23" s="447"/>
      <c r="F23" s="448"/>
      <c r="G23" s="270"/>
      <c r="H23" s="455"/>
      <c r="I23" s="456"/>
      <c r="J23" s="457"/>
    </row>
    <row r="24" spans="1:10" ht="15.75" customHeight="1" x14ac:dyDescent="0.25">
      <c r="A24" s="443" t="s">
        <v>41</v>
      </c>
      <c r="B24" s="444"/>
      <c r="C24" s="444"/>
      <c r="D24" s="444"/>
      <c r="E24" s="444"/>
      <c r="F24" s="445"/>
      <c r="G24" s="270"/>
      <c r="H24" s="461"/>
      <c r="I24" s="462"/>
      <c r="J24" s="463"/>
    </row>
    <row r="25" spans="1:10" ht="15.75" customHeight="1" x14ac:dyDescent="0.25">
      <c r="A25" s="443" t="s">
        <v>45</v>
      </c>
      <c r="B25" s="444"/>
      <c r="C25" s="444"/>
      <c r="D25" s="444"/>
      <c r="E25" s="444"/>
      <c r="F25" s="445"/>
      <c r="G25" s="270"/>
      <c r="H25" s="461"/>
      <c r="I25" s="462"/>
      <c r="J25" s="463"/>
    </row>
    <row r="26" spans="1:10" ht="15.75" customHeight="1" x14ac:dyDescent="0.25">
      <c r="A26" s="443" t="s">
        <v>175</v>
      </c>
      <c r="B26" s="444"/>
      <c r="C26" s="444"/>
      <c r="D26" s="444"/>
      <c r="E26" s="444"/>
      <c r="F26" s="445"/>
      <c r="G26" s="270"/>
      <c r="H26" s="461"/>
      <c r="I26" s="462"/>
      <c r="J26" s="463"/>
    </row>
    <row r="27" spans="1:10" ht="15.75" customHeight="1" x14ac:dyDescent="0.25">
      <c r="A27" s="443" t="s">
        <v>46</v>
      </c>
      <c r="B27" s="444"/>
      <c r="C27" s="444"/>
      <c r="D27" s="444"/>
      <c r="E27" s="444"/>
      <c r="F27" s="445"/>
      <c r="G27" s="270"/>
      <c r="H27" s="461"/>
      <c r="I27" s="462"/>
      <c r="J27" s="463"/>
    </row>
    <row r="28" spans="1:10" ht="15.75" customHeight="1" x14ac:dyDescent="0.25">
      <c r="A28" s="449" t="s">
        <v>172</v>
      </c>
      <c r="B28" s="450"/>
      <c r="C28" s="450"/>
      <c r="D28" s="450"/>
      <c r="E28" s="450"/>
      <c r="F28" s="451"/>
      <c r="G28" s="270"/>
      <c r="H28" s="467"/>
      <c r="I28" s="468"/>
      <c r="J28" s="469"/>
    </row>
    <row r="29" spans="1:10" ht="15.75" x14ac:dyDescent="0.25">
      <c r="A29" s="164"/>
      <c r="B29" s="164"/>
      <c r="C29" s="164"/>
      <c r="D29" s="164"/>
      <c r="E29" s="164"/>
      <c r="F29" s="164"/>
      <c r="G29" s="164"/>
      <c r="H29" s="164"/>
      <c r="I29" s="164"/>
      <c r="J29" s="164"/>
    </row>
    <row r="30" spans="1:10" ht="15.75" x14ac:dyDescent="0.25">
      <c r="A30" s="164"/>
      <c r="B30" s="164"/>
      <c r="C30" s="164"/>
      <c r="D30" s="164"/>
      <c r="E30" s="164"/>
      <c r="F30" s="164"/>
      <c r="G30" s="164"/>
      <c r="H30" s="164"/>
      <c r="I30" s="164"/>
      <c r="J30" s="164"/>
    </row>
    <row r="31" spans="1:10" ht="15.75" x14ac:dyDescent="0.25">
      <c r="A31" s="164"/>
      <c r="B31" s="164"/>
      <c r="C31" s="164"/>
      <c r="D31" s="164"/>
      <c r="E31" s="164"/>
      <c r="F31" s="12"/>
      <c r="G31" s="164"/>
      <c r="H31" s="164"/>
      <c r="I31" s="164"/>
      <c r="J31" s="164"/>
    </row>
    <row r="32" spans="1:10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</row>
    <row r="33" spans="1:12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</row>
    <row r="34" spans="1:12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</row>
    <row r="35" spans="1:12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</sheetData>
  <mergeCells count="42">
    <mergeCell ref="A24:F24"/>
    <mergeCell ref="H28:J28"/>
    <mergeCell ref="H26:J26"/>
    <mergeCell ref="H27:J27"/>
    <mergeCell ref="A26:F26"/>
    <mergeCell ref="A27:F27"/>
    <mergeCell ref="A28:F28"/>
    <mergeCell ref="A25:F25"/>
    <mergeCell ref="H24:J24"/>
    <mergeCell ref="H25:J25"/>
    <mergeCell ref="H5:J5"/>
    <mergeCell ref="H11:J11"/>
    <mergeCell ref="H15:J15"/>
    <mergeCell ref="H23:J23"/>
    <mergeCell ref="H13:J13"/>
    <mergeCell ref="H18:J18"/>
    <mergeCell ref="H6:J6"/>
    <mergeCell ref="H7:J7"/>
    <mergeCell ref="H8:J8"/>
    <mergeCell ref="H9:J9"/>
    <mergeCell ref="H12:J12"/>
    <mergeCell ref="H16:J16"/>
    <mergeCell ref="H17:J17"/>
    <mergeCell ref="H19:J19"/>
    <mergeCell ref="H20:J20"/>
    <mergeCell ref="H21:J21"/>
    <mergeCell ref="A11:F11"/>
    <mergeCell ref="A5:F5"/>
    <mergeCell ref="A6:F6"/>
    <mergeCell ref="A7:F7"/>
    <mergeCell ref="A8:F8"/>
    <mergeCell ref="A9:F9"/>
    <mergeCell ref="A12:F12"/>
    <mergeCell ref="A16:F16"/>
    <mergeCell ref="A15:F15"/>
    <mergeCell ref="A23:F23"/>
    <mergeCell ref="A13:F13"/>
    <mergeCell ref="A21:F21"/>
    <mergeCell ref="A17:F17"/>
    <mergeCell ref="A18:F18"/>
    <mergeCell ref="A19:F19"/>
    <mergeCell ref="A20:F20"/>
  </mergeCells>
  <pageMargins left="0.70866141732283472" right="0.70866141732283472" top="1.1859375000000001" bottom="0.74803149606299213" header="0.31496062992125984" footer="0.31496062992125984"/>
  <pageSetup paperSize="9" scale="88"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>
    <tabColor rgb="FFC2E76B"/>
  </sheetPr>
  <dimension ref="A1:K52"/>
  <sheetViews>
    <sheetView showGridLines="0" showZeros="0" zoomScaleNormal="100" workbookViewId="0">
      <selection activeCell="J13" sqref="J13"/>
    </sheetView>
  </sheetViews>
  <sheetFormatPr defaultColWidth="9.140625" defaultRowHeight="15" zeroHeight="1" x14ac:dyDescent="0.25"/>
  <cols>
    <col min="1" max="1" width="5.28515625" customWidth="1"/>
    <col min="2" max="2" width="36.5703125" customWidth="1"/>
    <col min="3" max="5" width="9.7109375" customWidth="1"/>
    <col min="6" max="6" width="10.5703125" bestFit="1" customWidth="1"/>
    <col min="7" max="7" width="9.7109375" customWidth="1"/>
    <col min="8" max="8" width="10.5703125" bestFit="1" customWidth="1"/>
    <col min="9" max="9" width="9.7109375" customWidth="1"/>
    <col min="10" max="10" width="10.5703125" bestFit="1" customWidth="1"/>
  </cols>
  <sheetData>
    <row r="1" spans="1:11" ht="26.25" customHeight="1" x14ac:dyDescent="0.4">
      <c r="A1" s="273"/>
      <c r="B1" s="470" t="s">
        <v>151</v>
      </c>
      <c r="C1" s="470"/>
      <c r="D1" s="470"/>
      <c r="E1" s="470"/>
      <c r="F1" s="470"/>
      <c r="G1" s="470"/>
      <c r="H1" s="470"/>
      <c r="I1" s="470"/>
      <c r="J1" s="470"/>
      <c r="K1" s="274"/>
    </row>
    <row r="2" spans="1:11" ht="23.25" x14ac:dyDescent="0.35">
      <c r="A2" s="275"/>
      <c r="B2" s="276"/>
      <c r="C2" s="276"/>
      <c r="D2" s="276"/>
      <c r="E2" s="275"/>
      <c r="F2" s="275"/>
      <c r="G2" s="275"/>
      <c r="H2" s="275"/>
      <c r="I2" s="275"/>
      <c r="J2" s="275"/>
      <c r="K2" s="274"/>
    </row>
    <row r="3" spans="1:11" x14ac:dyDescent="0.25">
      <c r="A3" s="274"/>
      <c r="B3" s="274"/>
      <c r="C3" s="274"/>
      <c r="D3" s="275"/>
      <c r="E3" s="274"/>
      <c r="F3" s="274"/>
      <c r="G3" s="274"/>
      <c r="H3" s="274"/>
      <c r="I3" s="274"/>
      <c r="J3" s="274"/>
      <c r="K3" s="274"/>
    </row>
    <row r="4" spans="1:11" x14ac:dyDescent="0.25">
      <c r="A4" s="274"/>
      <c r="B4" s="277"/>
      <c r="C4" s="278"/>
      <c r="D4" s="278"/>
      <c r="E4" s="278" t="s">
        <v>176</v>
      </c>
      <c r="F4" s="278"/>
      <c r="G4" s="278" t="s">
        <v>177</v>
      </c>
      <c r="H4" s="278"/>
      <c r="I4" s="278" t="s">
        <v>48</v>
      </c>
      <c r="J4" s="279"/>
      <c r="K4" s="274"/>
    </row>
    <row r="5" spans="1:11" ht="15.75" thickBot="1" x14ac:dyDescent="0.3">
      <c r="A5" s="274"/>
      <c r="B5" s="280" t="s">
        <v>154</v>
      </c>
      <c r="C5" s="281"/>
      <c r="D5" s="281"/>
      <c r="E5" s="281"/>
      <c r="F5" s="309"/>
      <c r="G5" s="281"/>
      <c r="H5" s="309"/>
      <c r="I5" s="281"/>
      <c r="J5" s="310"/>
      <c r="K5" s="274"/>
    </row>
    <row r="6" spans="1:11" ht="15.75" thickTop="1" x14ac:dyDescent="0.25">
      <c r="A6" s="274"/>
      <c r="B6" s="282" t="s">
        <v>567</v>
      </c>
      <c r="C6" s="283"/>
      <c r="D6" s="284"/>
      <c r="E6" s="253"/>
      <c r="F6" s="285" t="str">
        <f t="shared" ref="F6:F9" si="0">IF(E6="","",SUM(E6*$F$5))</f>
        <v/>
      </c>
      <c r="G6" s="253"/>
      <c r="H6" s="286" t="str">
        <f t="shared" ref="H6:H9" si="1">IF(G6="","",SUM(G6*$H$5))</f>
        <v/>
      </c>
      <c r="I6" s="255"/>
      <c r="J6" s="287" t="str">
        <f t="shared" ref="J6:J9" si="2">IF(I6="","",SUM(I6*$J$5))</f>
        <v/>
      </c>
      <c r="K6" s="274"/>
    </row>
    <row r="7" spans="1:11" x14ac:dyDescent="0.25">
      <c r="A7" s="274"/>
      <c r="B7" s="288" t="s">
        <v>49</v>
      </c>
      <c r="C7" s="289"/>
      <c r="D7" s="290"/>
      <c r="E7" s="254"/>
      <c r="F7" s="291" t="str">
        <f t="shared" si="0"/>
        <v/>
      </c>
      <c r="G7" s="254"/>
      <c r="H7" s="292" t="str">
        <f t="shared" si="1"/>
        <v/>
      </c>
      <c r="I7" s="256"/>
      <c r="J7" s="293" t="str">
        <f t="shared" si="2"/>
        <v/>
      </c>
      <c r="K7" s="274"/>
    </row>
    <row r="8" spans="1:11" x14ac:dyDescent="0.25">
      <c r="A8" s="274"/>
      <c r="B8" s="288" t="s">
        <v>568</v>
      </c>
      <c r="C8" s="289"/>
      <c r="D8" s="290"/>
      <c r="E8" s="254"/>
      <c r="F8" s="291" t="str">
        <f t="shared" si="0"/>
        <v/>
      </c>
      <c r="G8" s="254"/>
      <c r="H8" s="292" t="str">
        <f t="shared" si="1"/>
        <v/>
      </c>
      <c r="I8" s="256"/>
      <c r="J8" s="293" t="str">
        <f t="shared" si="2"/>
        <v/>
      </c>
      <c r="K8" s="274"/>
    </row>
    <row r="9" spans="1:11" x14ac:dyDescent="0.25">
      <c r="A9" s="274"/>
      <c r="B9" s="288"/>
      <c r="C9" s="289"/>
      <c r="D9" s="290"/>
      <c r="E9" s="254"/>
      <c r="F9" s="291" t="str">
        <f t="shared" si="0"/>
        <v/>
      </c>
      <c r="G9" s="254"/>
      <c r="H9" s="292" t="str">
        <f t="shared" si="1"/>
        <v/>
      </c>
      <c r="I9" s="256"/>
      <c r="J9" s="293" t="str">
        <f t="shared" si="2"/>
        <v/>
      </c>
      <c r="K9" s="274"/>
    </row>
    <row r="10" spans="1:11" ht="15.75" thickBot="1" x14ac:dyDescent="0.3">
      <c r="A10" s="274"/>
      <c r="B10" s="280" t="s">
        <v>50</v>
      </c>
      <c r="C10" s="281"/>
      <c r="D10" s="281"/>
      <c r="E10" s="281"/>
      <c r="F10" s="294">
        <f>SUM(F5:F9)</f>
        <v>0</v>
      </c>
      <c r="G10" s="281"/>
      <c r="H10" s="294">
        <f>SUM(H5:H9)</f>
        <v>0</v>
      </c>
      <c r="I10" s="281"/>
      <c r="J10" s="295">
        <f>SUM(J5:J9)</f>
        <v>0</v>
      </c>
      <c r="K10" s="274"/>
    </row>
    <row r="11" spans="1:11" ht="15.75" thickTop="1" x14ac:dyDescent="0.25">
      <c r="A11" s="274"/>
      <c r="B11" s="282" t="s">
        <v>51</v>
      </c>
      <c r="C11" s="283"/>
      <c r="D11" s="284"/>
      <c r="E11" s="253"/>
      <c r="F11" s="285" t="str">
        <f>IF(E11="","",SUM(E11*$F$10))</f>
        <v/>
      </c>
      <c r="G11" s="253"/>
      <c r="H11" s="285" t="str">
        <f>IF(G11="","",SUM(G11*$H$10))</f>
        <v/>
      </c>
      <c r="I11" s="253"/>
      <c r="J11" s="287" t="str">
        <f>IF(I11="","",SUM(I11*$J$10))</f>
        <v/>
      </c>
      <c r="K11" s="274"/>
    </row>
    <row r="12" spans="1:11" x14ac:dyDescent="0.25">
      <c r="A12" s="274"/>
      <c r="B12" s="288" t="s">
        <v>52</v>
      </c>
      <c r="C12" s="289"/>
      <c r="D12" s="290"/>
      <c r="E12" s="254"/>
      <c r="F12" s="291" t="str">
        <f>IF(E12="","",SUM(E12*$F$10))</f>
        <v/>
      </c>
      <c r="G12" s="254"/>
      <c r="H12" s="291" t="str">
        <f>IF(G12="","",SUM(G12*$H$10))</f>
        <v/>
      </c>
      <c r="I12" s="254"/>
      <c r="J12" s="293" t="str">
        <f>IF(I12="","",SUM(I12*$J$10))</f>
        <v/>
      </c>
      <c r="K12" s="274"/>
    </row>
    <row r="13" spans="1:11" x14ac:dyDescent="0.25">
      <c r="A13" s="274"/>
      <c r="B13" s="282" t="s">
        <v>53</v>
      </c>
      <c r="C13" s="283"/>
      <c r="D13" s="290"/>
      <c r="E13" s="254"/>
      <c r="F13" s="291" t="str">
        <f>IF(E13="","",SUM(E13*F10))</f>
        <v/>
      </c>
      <c r="G13" s="254"/>
      <c r="H13" s="292" t="str">
        <f>IF(G13="","",SUM(G13*H10))</f>
        <v/>
      </c>
      <c r="I13" s="256"/>
      <c r="J13" s="293" t="str">
        <f>IF(I13="","",SUM(I13*J10))</f>
        <v/>
      </c>
      <c r="K13" s="274"/>
    </row>
    <row r="14" spans="1:11" ht="15.75" thickBot="1" x14ac:dyDescent="0.3">
      <c r="A14" s="274"/>
      <c r="B14" s="280" t="s">
        <v>569</v>
      </c>
      <c r="C14" s="281"/>
      <c r="D14" s="281"/>
      <c r="E14" s="296"/>
      <c r="F14" s="297">
        <f>SUM(F11:F13)</f>
        <v>0</v>
      </c>
      <c r="G14" s="298"/>
      <c r="H14" s="297">
        <f>SUM(H11:H13)</f>
        <v>0</v>
      </c>
      <c r="I14" s="298"/>
      <c r="J14" s="295">
        <f>SUM(J11:J13)</f>
        <v>0</v>
      </c>
      <c r="K14" s="274"/>
    </row>
    <row r="15" spans="1:11" s="31" customFormat="1" ht="16.5" thickTop="1" thickBot="1" x14ac:dyDescent="0.3">
      <c r="A15" s="299"/>
      <c r="B15" s="280" t="s">
        <v>54</v>
      </c>
      <c r="C15" s="281"/>
      <c r="D15" s="281"/>
      <c r="E15" s="296"/>
      <c r="F15" s="297">
        <f>SUM(F10+F14)</f>
        <v>0</v>
      </c>
      <c r="G15" s="298"/>
      <c r="H15" s="297">
        <f>SUM(H10+H14)</f>
        <v>0</v>
      </c>
      <c r="I15" s="298"/>
      <c r="J15" s="295">
        <f>SUM(J10+J14)</f>
        <v>0</v>
      </c>
      <c r="K15" s="299"/>
    </row>
    <row r="16" spans="1:11" ht="15.75" thickTop="1" x14ac:dyDescent="0.25">
      <c r="A16" s="274"/>
      <c r="B16" s="275"/>
      <c r="C16" s="275"/>
      <c r="D16" s="275"/>
      <c r="E16" s="275"/>
      <c r="F16" s="275"/>
      <c r="G16" s="275"/>
      <c r="H16" s="275"/>
      <c r="I16" s="275"/>
      <c r="J16" s="275"/>
      <c r="K16" s="274"/>
    </row>
    <row r="17" spans="1:11" x14ac:dyDescent="0.25">
      <c r="A17" s="274"/>
      <c r="B17" s="275"/>
      <c r="C17" s="275"/>
      <c r="D17" s="275"/>
      <c r="E17" s="275"/>
      <c r="F17" s="275"/>
      <c r="G17" s="275"/>
      <c r="H17" s="275"/>
      <c r="I17" s="275"/>
      <c r="J17" s="275"/>
      <c r="K17" s="274"/>
    </row>
    <row r="18" spans="1:11" x14ac:dyDescent="0.25">
      <c r="A18" s="274"/>
      <c r="B18" s="471" t="s">
        <v>66</v>
      </c>
      <c r="C18" s="472"/>
      <c r="D18" s="472"/>
      <c r="E18" s="472"/>
      <c r="F18" s="472"/>
      <c r="G18" s="472"/>
      <c r="H18" s="472"/>
      <c r="I18" s="472"/>
      <c r="J18" s="473"/>
      <c r="K18" s="274"/>
    </row>
    <row r="19" spans="1:11" x14ac:dyDescent="0.25">
      <c r="A19" s="274"/>
      <c r="B19" s="300"/>
      <c r="C19" s="301" t="s">
        <v>55</v>
      </c>
      <c r="D19" s="301" t="s">
        <v>56</v>
      </c>
      <c r="E19" s="301" t="s">
        <v>57</v>
      </c>
      <c r="F19" s="301" t="s">
        <v>58</v>
      </c>
      <c r="G19" s="301" t="s">
        <v>59</v>
      </c>
      <c r="H19" s="301" t="s">
        <v>60</v>
      </c>
      <c r="I19" s="301" t="s">
        <v>61</v>
      </c>
      <c r="J19" s="302" t="s">
        <v>62</v>
      </c>
      <c r="K19" s="274"/>
    </row>
    <row r="20" spans="1:11" x14ac:dyDescent="0.25">
      <c r="A20" s="274"/>
      <c r="B20" s="303" t="s">
        <v>63</v>
      </c>
      <c r="C20" s="304">
        <f>IFERROR(SUM($H$5*1.5)+($H$15-$H$5),"")</f>
        <v>0</v>
      </c>
      <c r="D20" s="304">
        <f>IFERROR(SUM($H$5*1.3)+($H$15-$H$5),"")</f>
        <v>0</v>
      </c>
      <c r="E20" s="304">
        <f>IFERROR(SUM($H$5*1.3)+($H$15-$H$5),"")</f>
        <v>0</v>
      </c>
      <c r="F20" s="304">
        <f>IFERROR(SUM($H$5*1.3)+($H$15-$H$5),"")</f>
        <v>0</v>
      </c>
      <c r="G20" s="304">
        <f>IFERROR(SUM($H$5*1.3)+($H$15-$H$5),"")</f>
        <v>0</v>
      </c>
      <c r="H20" s="304">
        <f t="shared" ref="H20:I22" si="3">IFERROR(SUM($H$5*1.5)+($H$15-$H$5),"")</f>
        <v>0</v>
      </c>
      <c r="I20" s="304">
        <f t="shared" si="3"/>
        <v>0</v>
      </c>
      <c r="J20" s="305">
        <f>IFERROR(SUM($H$5*2.5)+($H$15-$H$5),"")</f>
        <v>0</v>
      </c>
      <c r="K20" s="274"/>
    </row>
    <row r="21" spans="1:11" x14ac:dyDescent="0.25">
      <c r="A21" s="274"/>
      <c r="B21" s="300" t="s">
        <v>64</v>
      </c>
      <c r="C21" s="304">
        <f>IFERROR(SUM($H$5*1)+($H$15-$H$5),"")</f>
        <v>0</v>
      </c>
      <c r="D21" s="304">
        <f>IFERROR(SUM($H$5*1)+($H$15-$H$5),"")</f>
        <v>0</v>
      </c>
      <c r="E21" s="304">
        <f>IFERROR(SUM($H$5*1)+($H$15-$H$5),"")</f>
        <v>0</v>
      </c>
      <c r="F21" s="304">
        <f>IFERROR(SUM($H$5*1)+($H$15-$H$5),"")</f>
        <v>0</v>
      </c>
      <c r="G21" s="304">
        <f>IFERROR(SUM($H$5*1)+($H$15-$H$5),"")</f>
        <v>0</v>
      </c>
      <c r="H21" s="304">
        <f t="shared" si="3"/>
        <v>0</v>
      </c>
      <c r="I21" s="304">
        <f t="shared" si="3"/>
        <v>0</v>
      </c>
      <c r="J21" s="305">
        <f>IFERROR(SUM($H$5*2.5)+($H$15-$H$5),"")</f>
        <v>0</v>
      </c>
      <c r="K21" s="274"/>
    </row>
    <row r="22" spans="1:11" x14ac:dyDescent="0.25">
      <c r="A22" s="274"/>
      <c r="B22" s="306" t="s">
        <v>65</v>
      </c>
      <c r="C22" s="307">
        <f>IFERROR(SUM($H$5*1.3)+($H$15-$H$5),"")</f>
        <v>0</v>
      </c>
      <c r="D22" s="307">
        <f>IFERROR(SUM($H$5*1.3)+($H$15-$H$5),"")</f>
        <v>0</v>
      </c>
      <c r="E22" s="307">
        <f>IFERROR(SUM($H$5*1.3)+($H$15-$H$5),"")</f>
        <v>0</v>
      </c>
      <c r="F22" s="307">
        <f>IFERROR(SUM($H$5*1.3)+($H$15-$H$5),"")</f>
        <v>0</v>
      </c>
      <c r="G22" s="307">
        <f>IFERROR(SUM($H$5*1.5)+($H$15-$H$5),"")</f>
        <v>0</v>
      </c>
      <c r="H22" s="307">
        <f t="shared" si="3"/>
        <v>0</v>
      </c>
      <c r="I22" s="307">
        <f t="shared" si="3"/>
        <v>0</v>
      </c>
      <c r="J22" s="308">
        <f>IFERROR(SUM($H$5*2.5)+($H$15-$H$5),"")</f>
        <v>0</v>
      </c>
      <c r="K22" s="274"/>
    </row>
    <row r="23" spans="1:11" x14ac:dyDescent="0.25">
      <c r="A23" s="274"/>
      <c r="B23" s="275"/>
      <c r="C23" s="275"/>
      <c r="D23" s="275"/>
      <c r="E23" s="275"/>
      <c r="F23" s="275"/>
      <c r="G23" s="275"/>
      <c r="H23" s="275"/>
      <c r="I23" s="275"/>
      <c r="J23" s="275"/>
      <c r="K23" s="274"/>
    </row>
    <row r="24" spans="1:11" x14ac:dyDescent="0.25">
      <c r="A24" s="274"/>
      <c r="B24" s="471" t="s">
        <v>67</v>
      </c>
      <c r="C24" s="472"/>
      <c r="D24" s="472"/>
      <c r="E24" s="472"/>
      <c r="F24" s="472"/>
      <c r="G24" s="472"/>
      <c r="H24" s="472"/>
      <c r="I24" s="472"/>
      <c r="J24" s="473"/>
      <c r="K24" s="274"/>
    </row>
    <row r="25" spans="1:11" x14ac:dyDescent="0.25">
      <c r="A25" s="274"/>
      <c r="B25" s="300"/>
      <c r="C25" s="301" t="s">
        <v>55</v>
      </c>
      <c r="D25" s="301" t="s">
        <v>56</v>
      </c>
      <c r="E25" s="301" t="s">
        <v>57</v>
      </c>
      <c r="F25" s="301" t="s">
        <v>58</v>
      </c>
      <c r="G25" s="301" t="s">
        <v>59</v>
      </c>
      <c r="H25" s="301" t="s">
        <v>60</v>
      </c>
      <c r="I25" s="301" t="s">
        <v>61</v>
      </c>
      <c r="J25" s="302" t="s">
        <v>62</v>
      </c>
      <c r="K25" s="274"/>
    </row>
    <row r="26" spans="1:11" x14ac:dyDescent="0.25">
      <c r="A26" s="274"/>
      <c r="B26" s="303" t="s">
        <v>63</v>
      </c>
      <c r="C26" s="304">
        <f>IFERROR(SUM($J$5*1.5)+($J$15-$J$5),"")</f>
        <v>0</v>
      </c>
      <c r="D26" s="304">
        <f>IFERROR(SUM($J$5*1.3)+($J$15-$J$5),"")</f>
        <v>0</v>
      </c>
      <c r="E26" s="304">
        <f>IFERROR(SUM($J$5*1.3)+($J$15-$J$5),"")</f>
        <v>0</v>
      </c>
      <c r="F26" s="304">
        <f>IFERROR(SUM($J$5*1.3)+($J$15-$J$5),"")</f>
        <v>0</v>
      </c>
      <c r="G26" s="304">
        <f>IFERROR(SUM($J$5*1.3)+($J$15-$J$5),"")</f>
        <v>0</v>
      </c>
      <c r="H26" s="304">
        <f t="shared" ref="H26:I28" si="4">IFERROR(SUM($J$5*1.5)+($J$15-$J$5),"")</f>
        <v>0</v>
      </c>
      <c r="I26" s="304">
        <f t="shared" si="4"/>
        <v>0</v>
      </c>
      <c r="J26" s="305">
        <f>IFERROR(SUM($J$5*2.5)+($J$15-$J$5),"")</f>
        <v>0</v>
      </c>
      <c r="K26" s="274"/>
    </row>
    <row r="27" spans="1:11" x14ac:dyDescent="0.25">
      <c r="A27" s="274"/>
      <c r="B27" s="300" t="s">
        <v>64</v>
      </c>
      <c r="C27" s="304">
        <f>IFERROR(SUM($J$5*1)+($J$15-$J$5),"")</f>
        <v>0</v>
      </c>
      <c r="D27" s="304">
        <f>IFERROR(SUM($J$5*1)+($J$15-$J$5),"")</f>
        <v>0</v>
      </c>
      <c r="E27" s="304">
        <f>IFERROR(SUM($J$5*1)+($J$15-$J$5),"")</f>
        <v>0</v>
      </c>
      <c r="F27" s="304">
        <f>IFERROR(SUM($J$5*1)+($J$15-$J$5),"")</f>
        <v>0</v>
      </c>
      <c r="G27" s="304">
        <f>IFERROR(SUM($J$5*1)+($J$15-$J$5),"")</f>
        <v>0</v>
      </c>
      <c r="H27" s="304">
        <f t="shared" si="4"/>
        <v>0</v>
      </c>
      <c r="I27" s="304">
        <f t="shared" si="4"/>
        <v>0</v>
      </c>
      <c r="J27" s="305">
        <f>IFERROR(SUM($J$5*2.5)+($J$15-$J$5),"")</f>
        <v>0</v>
      </c>
      <c r="K27" s="274"/>
    </row>
    <row r="28" spans="1:11" x14ac:dyDescent="0.25">
      <c r="A28" s="274"/>
      <c r="B28" s="306" t="s">
        <v>65</v>
      </c>
      <c r="C28" s="307">
        <f>IFERROR(SUM($J$5*1.3)+($J$15-$J$5),"")</f>
        <v>0</v>
      </c>
      <c r="D28" s="307">
        <f>IFERROR(SUM($J$5*1.3)+($J$15-$J$5),"")</f>
        <v>0</v>
      </c>
      <c r="E28" s="307">
        <f>IFERROR(SUM($J$5*1.3)+($J$15-$J$5),"")</f>
        <v>0</v>
      </c>
      <c r="F28" s="307">
        <f>IFERROR(SUM($J$5*1.3)+($J$15-$J$5),"")</f>
        <v>0</v>
      </c>
      <c r="G28" s="307">
        <f>IFERROR(SUM($J$5*1.5)+($J$15-$J$5),"")</f>
        <v>0</v>
      </c>
      <c r="H28" s="307">
        <f t="shared" si="4"/>
        <v>0</v>
      </c>
      <c r="I28" s="307">
        <f t="shared" si="4"/>
        <v>0</v>
      </c>
      <c r="J28" s="308">
        <f>IFERROR(SUM($J$5*2.5)+($J$15-$J$5),"")</f>
        <v>0</v>
      </c>
      <c r="K28" s="274"/>
    </row>
    <row r="29" spans="1:11" x14ac:dyDescent="0.25">
      <c r="A29" s="274"/>
      <c r="B29" s="274"/>
      <c r="C29" s="274"/>
      <c r="D29" s="274"/>
      <c r="E29" s="274"/>
      <c r="F29" s="274"/>
      <c r="G29" s="274"/>
      <c r="H29" s="274"/>
      <c r="I29" s="274"/>
      <c r="J29" s="274"/>
      <c r="K29" s="274"/>
    </row>
    <row r="30" spans="1:11" x14ac:dyDescent="0.25"/>
    <row r="31" spans="1:11" x14ac:dyDescent="0.25"/>
    <row r="32" spans="1:11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</sheetData>
  <mergeCells count="3">
    <mergeCell ref="B1:J1"/>
    <mergeCell ref="B18:J18"/>
    <mergeCell ref="B24:J24"/>
  </mergeCells>
  <pageMargins left="0.70866141732283472" right="0.70866141732283472" top="0.97333333333333338" bottom="0.74803149606299213" header="0.31496062992125984" footer="0.31496062992125984"/>
  <pageSetup paperSize="9" scale="73" orientation="portrait" r:id="rId1"/>
  <headerFooter>
    <oddHeader xml:space="preserve">&amp;L&amp;G
</oddHeader>
  </headerFooter>
  <ignoredErrors>
    <ignoredError sqref="D21:F21 D27:F27" formula="1"/>
  </ignoredErrors>
  <legacy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rgb="FF173583"/>
  </sheetPr>
  <dimension ref="A1:DE9"/>
  <sheetViews>
    <sheetView showZeros="0" zoomScaleNormal="100" workbookViewId="0">
      <pane xSplit="3" ySplit="4" topLeftCell="D5" activePane="bottomRight" state="frozen"/>
      <selection activeCell="I545" sqref="I545"/>
      <selection pane="topRight" activeCell="I545" sqref="I545"/>
      <selection pane="bottomLeft" activeCell="I545" sqref="I545"/>
      <selection pane="bottomRight" activeCell="CJ22" sqref="CJ22"/>
    </sheetView>
  </sheetViews>
  <sheetFormatPr defaultRowHeight="15" x14ac:dyDescent="0.25"/>
  <cols>
    <col min="2" max="2" width="4.42578125" customWidth="1"/>
    <col min="3" max="5" width="34.42578125" customWidth="1"/>
    <col min="6" max="6" width="20" customWidth="1"/>
    <col min="7" max="7" width="15.5703125" hidden="1" customWidth="1"/>
    <col min="8" max="10" width="15.5703125" customWidth="1"/>
    <col min="12" max="12" width="10.28515625" customWidth="1"/>
    <col min="14" max="14" width="12.140625" customWidth="1"/>
    <col min="15" max="15" width="11" customWidth="1"/>
    <col min="16" max="16" width="15.7109375" customWidth="1"/>
    <col min="17" max="17" width="11" customWidth="1"/>
    <col min="18" max="18" width="15.7109375" customWidth="1"/>
    <col min="19" max="19" width="11" customWidth="1"/>
    <col min="20" max="20" width="15.7109375" customWidth="1"/>
    <col min="21" max="21" width="11" customWidth="1"/>
    <col min="22" max="22" width="15.7109375" customWidth="1"/>
    <col min="23" max="23" width="11" customWidth="1"/>
    <col min="24" max="24" width="15.7109375" customWidth="1"/>
    <col min="25" max="25" width="11" customWidth="1"/>
    <col min="26" max="26" width="15.7109375" customWidth="1"/>
    <col min="27" max="27" width="11" customWidth="1"/>
    <col min="28" max="28" width="15.7109375" customWidth="1"/>
    <col min="29" max="29" width="11" customWidth="1"/>
    <col min="30" max="30" width="15.7109375" customWidth="1"/>
    <col min="31" max="95" width="11" customWidth="1"/>
    <col min="96" max="97" width="14.5703125" customWidth="1"/>
    <col min="98" max="111" width="16" customWidth="1"/>
  </cols>
  <sheetData>
    <row r="1" spans="1:109" x14ac:dyDescent="0.25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>
        <v>11</v>
      </c>
      <c r="L1">
        <v>12</v>
      </c>
      <c r="M1">
        <v>13</v>
      </c>
      <c r="N1">
        <v>14</v>
      </c>
      <c r="O1">
        <v>15</v>
      </c>
      <c r="P1">
        <v>16</v>
      </c>
      <c r="Q1">
        <v>17</v>
      </c>
      <c r="R1">
        <v>18</v>
      </c>
      <c r="S1">
        <v>19</v>
      </c>
      <c r="T1">
        <v>20</v>
      </c>
      <c r="U1">
        <v>21</v>
      </c>
      <c r="V1">
        <v>22</v>
      </c>
      <c r="W1">
        <v>23</v>
      </c>
      <c r="X1">
        <v>24</v>
      </c>
      <c r="Y1">
        <v>25</v>
      </c>
      <c r="Z1">
        <v>26</v>
      </c>
      <c r="AA1">
        <v>27</v>
      </c>
      <c r="AB1">
        <v>28</v>
      </c>
      <c r="AC1">
        <v>29</v>
      </c>
      <c r="AD1">
        <v>30</v>
      </c>
      <c r="AE1">
        <v>31</v>
      </c>
      <c r="AF1">
        <v>32</v>
      </c>
      <c r="AG1">
        <v>33</v>
      </c>
      <c r="AH1">
        <v>34</v>
      </c>
      <c r="AI1">
        <v>35</v>
      </c>
      <c r="AJ1">
        <v>36</v>
      </c>
      <c r="AK1">
        <v>37</v>
      </c>
      <c r="AL1">
        <v>38</v>
      </c>
      <c r="AM1">
        <v>39</v>
      </c>
      <c r="AN1">
        <v>40</v>
      </c>
      <c r="AO1">
        <v>41</v>
      </c>
      <c r="AP1">
        <v>42</v>
      </c>
      <c r="AQ1">
        <v>43</v>
      </c>
      <c r="AR1">
        <v>44</v>
      </c>
      <c r="AS1">
        <v>45</v>
      </c>
      <c r="AT1">
        <v>46</v>
      </c>
      <c r="AU1">
        <v>47</v>
      </c>
      <c r="AV1">
        <v>48</v>
      </c>
      <c r="AW1">
        <v>49</v>
      </c>
      <c r="AX1">
        <v>50</v>
      </c>
      <c r="AY1">
        <v>51</v>
      </c>
      <c r="AZ1">
        <v>52</v>
      </c>
      <c r="BA1">
        <v>53</v>
      </c>
      <c r="BB1">
        <v>54</v>
      </c>
      <c r="BC1">
        <v>55</v>
      </c>
      <c r="BD1">
        <v>56</v>
      </c>
      <c r="BE1">
        <v>57</v>
      </c>
      <c r="BF1">
        <v>58</v>
      </c>
      <c r="BG1">
        <v>59</v>
      </c>
      <c r="BH1">
        <v>60</v>
      </c>
      <c r="BI1">
        <v>61</v>
      </c>
      <c r="BJ1">
        <v>62</v>
      </c>
      <c r="BK1">
        <v>63</v>
      </c>
      <c r="BL1">
        <v>64</v>
      </c>
      <c r="BM1">
        <v>65</v>
      </c>
      <c r="BN1">
        <v>66</v>
      </c>
      <c r="BO1">
        <v>67</v>
      </c>
      <c r="BP1">
        <v>68</v>
      </c>
      <c r="BQ1">
        <v>69</v>
      </c>
      <c r="BR1">
        <v>70</v>
      </c>
      <c r="BS1">
        <v>71</v>
      </c>
      <c r="BT1">
        <v>72</v>
      </c>
      <c r="BU1">
        <v>73</v>
      </c>
      <c r="BV1">
        <v>74</v>
      </c>
      <c r="BW1">
        <v>75</v>
      </c>
      <c r="BX1">
        <v>76</v>
      </c>
      <c r="BY1">
        <v>77</v>
      </c>
      <c r="BZ1">
        <v>78</v>
      </c>
      <c r="CA1">
        <v>79</v>
      </c>
      <c r="CB1">
        <v>80</v>
      </c>
      <c r="CC1">
        <v>81</v>
      </c>
      <c r="CD1">
        <v>82</v>
      </c>
      <c r="CE1">
        <v>83</v>
      </c>
      <c r="CF1">
        <v>84</v>
      </c>
      <c r="CG1">
        <v>85</v>
      </c>
      <c r="CH1">
        <v>86</v>
      </c>
      <c r="CI1">
        <v>87</v>
      </c>
      <c r="CJ1">
        <v>88</v>
      </c>
      <c r="CK1">
        <v>89</v>
      </c>
      <c r="CL1">
        <v>90</v>
      </c>
      <c r="CM1">
        <v>91</v>
      </c>
      <c r="CN1">
        <v>92</v>
      </c>
      <c r="CO1">
        <v>93</v>
      </c>
      <c r="CP1">
        <v>94</v>
      </c>
      <c r="CQ1">
        <v>95</v>
      </c>
      <c r="CR1">
        <v>96</v>
      </c>
      <c r="CS1">
        <v>97</v>
      </c>
      <c r="CT1">
        <v>98</v>
      </c>
      <c r="CU1">
        <v>99</v>
      </c>
      <c r="CV1">
        <v>100</v>
      </c>
      <c r="CW1">
        <v>101</v>
      </c>
      <c r="CX1">
        <v>102</v>
      </c>
      <c r="CY1">
        <v>103</v>
      </c>
      <c r="CZ1">
        <v>104</v>
      </c>
      <c r="DA1">
        <v>105</v>
      </c>
      <c r="DB1">
        <v>106</v>
      </c>
      <c r="DC1">
        <v>107</v>
      </c>
      <c r="DD1">
        <v>108</v>
      </c>
      <c r="DE1">
        <v>109</v>
      </c>
    </row>
    <row r="2" spans="1:109" x14ac:dyDescent="0.25">
      <c r="A2" t="s">
        <v>218</v>
      </c>
      <c r="C2" t="s">
        <v>130</v>
      </c>
      <c r="D2" t="s">
        <v>219</v>
      </c>
      <c r="E2" t="s">
        <v>220</v>
      </c>
      <c r="F2" t="s">
        <v>228</v>
      </c>
      <c r="G2" t="s">
        <v>207</v>
      </c>
      <c r="H2" t="s">
        <v>229</v>
      </c>
    </row>
    <row r="3" spans="1:109" x14ac:dyDescent="0.25">
      <c r="A3" s="205"/>
      <c r="C3" s="206">
        <v>45078</v>
      </c>
      <c r="D3" s="207" t="s">
        <v>0</v>
      </c>
      <c r="E3" s="207" t="s">
        <v>565</v>
      </c>
      <c r="F3" s="208">
        <v>3</v>
      </c>
      <c r="G3" s="207"/>
      <c r="H3" s="207"/>
      <c r="I3" s="178"/>
      <c r="J3" s="178"/>
      <c r="CT3" s="181" t="s">
        <v>250</v>
      </c>
    </row>
    <row r="4" spans="1:109" s="1" customFormat="1" ht="42.75" customHeight="1" x14ac:dyDescent="0.25">
      <c r="A4" s="2"/>
      <c r="B4" s="2" t="s">
        <v>1</v>
      </c>
      <c r="C4" s="209" t="s">
        <v>221</v>
      </c>
      <c r="D4" s="210" t="s">
        <v>222</v>
      </c>
      <c r="E4" s="210" t="s">
        <v>223</v>
      </c>
      <c r="F4" s="210" t="s">
        <v>224</v>
      </c>
      <c r="G4" s="179" t="s">
        <v>225</v>
      </c>
      <c r="H4" s="179" t="s">
        <v>226</v>
      </c>
      <c r="I4" s="179" t="s">
        <v>227</v>
      </c>
      <c r="J4" s="179" t="s">
        <v>228</v>
      </c>
      <c r="K4" s="2" t="s">
        <v>153</v>
      </c>
      <c r="L4" s="2" t="s">
        <v>153</v>
      </c>
      <c r="M4" s="2" t="s">
        <v>153</v>
      </c>
      <c r="N4" s="209" t="s">
        <v>230</v>
      </c>
      <c r="O4" s="2" t="s">
        <v>153</v>
      </c>
      <c r="P4" s="209" t="s">
        <v>231</v>
      </c>
      <c r="Q4" s="209" t="s">
        <v>37</v>
      </c>
      <c r="R4" s="209" t="s">
        <v>231</v>
      </c>
      <c r="S4" s="209" t="s">
        <v>37</v>
      </c>
      <c r="T4" s="209" t="s">
        <v>231</v>
      </c>
      <c r="U4" s="209" t="s">
        <v>37</v>
      </c>
      <c r="V4" s="209" t="s">
        <v>231</v>
      </c>
      <c r="W4" s="209" t="s">
        <v>37</v>
      </c>
      <c r="X4" s="209" t="s">
        <v>231</v>
      </c>
      <c r="Y4" s="209" t="s">
        <v>37</v>
      </c>
      <c r="Z4" s="209" t="s">
        <v>231</v>
      </c>
      <c r="AA4" s="209" t="s">
        <v>37</v>
      </c>
      <c r="AB4" s="209" t="s">
        <v>231</v>
      </c>
      <c r="AC4" s="209" t="s">
        <v>37</v>
      </c>
      <c r="AD4" s="209" t="s">
        <v>231</v>
      </c>
      <c r="AE4" s="209" t="s">
        <v>37</v>
      </c>
      <c r="AF4" s="209" t="s">
        <v>178</v>
      </c>
      <c r="AG4" s="209" t="s">
        <v>200</v>
      </c>
      <c r="AH4" s="211" t="s">
        <v>201</v>
      </c>
      <c r="AI4" s="209" t="s">
        <v>204</v>
      </c>
      <c r="AJ4" s="209" t="s">
        <v>178</v>
      </c>
      <c r="AK4" s="209" t="s">
        <v>200</v>
      </c>
      <c r="AL4" s="209" t="s">
        <v>201</v>
      </c>
      <c r="AM4" s="209" t="s">
        <v>204</v>
      </c>
      <c r="AN4" s="209" t="s">
        <v>178</v>
      </c>
      <c r="AO4" s="209" t="s">
        <v>200</v>
      </c>
      <c r="AP4" s="209" t="s">
        <v>201</v>
      </c>
      <c r="AQ4" s="209" t="s">
        <v>204</v>
      </c>
      <c r="AR4" s="209" t="s">
        <v>178</v>
      </c>
      <c r="AS4" s="209" t="s">
        <v>200</v>
      </c>
      <c r="AT4" s="209" t="s">
        <v>201</v>
      </c>
      <c r="AU4" s="209" t="s">
        <v>204</v>
      </c>
      <c r="AV4" s="209" t="s">
        <v>178</v>
      </c>
      <c r="AW4" s="209" t="s">
        <v>200</v>
      </c>
      <c r="AX4" s="209" t="s">
        <v>201</v>
      </c>
      <c r="AY4" s="209" t="s">
        <v>204</v>
      </c>
      <c r="AZ4" s="209" t="s">
        <v>178</v>
      </c>
      <c r="BA4" s="209" t="s">
        <v>200</v>
      </c>
      <c r="BB4" s="209" t="s">
        <v>201</v>
      </c>
      <c r="BC4" s="209" t="s">
        <v>204</v>
      </c>
      <c r="BD4" s="209" t="s">
        <v>178</v>
      </c>
      <c r="BE4" s="209" t="s">
        <v>200</v>
      </c>
      <c r="BF4" s="209" t="s">
        <v>201</v>
      </c>
      <c r="BG4" s="209" t="s">
        <v>204</v>
      </c>
      <c r="BH4" s="209" t="s">
        <v>178</v>
      </c>
      <c r="BI4" s="209" t="s">
        <v>200</v>
      </c>
      <c r="BJ4" s="209" t="s">
        <v>201</v>
      </c>
      <c r="BK4" s="209" t="s">
        <v>204</v>
      </c>
      <c r="BL4" s="209" t="s">
        <v>178</v>
      </c>
      <c r="BM4" s="209" t="s">
        <v>200</v>
      </c>
      <c r="BN4" s="209" t="s">
        <v>201</v>
      </c>
      <c r="BO4" s="209" t="s">
        <v>204</v>
      </c>
      <c r="BP4" s="209" t="s">
        <v>178</v>
      </c>
      <c r="BQ4" s="209" t="s">
        <v>200</v>
      </c>
      <c r="BR4" s="209" t="s">
        <v>201</v>
      </c>
      <c r="BS4" s="209" t="s">
        <v>204</v>
      </c>
      <c r="BT4" s="209" t="s">
        <v>178</v>
      </c>
      <c r="BU4" s="209" t="s">
        <v>200</v>
      </c>
      <c r="BV4" s="209" t="s">
        <v>201</v>
      </c>
      <c r="BW4" s="209" t="s">
        <v>204</v>
      </c>
      <c r="BX4" s="209" t="s">
        <v>232</v>
      </c>
      <c r="BY4" s="209" t="s">
        <v>37</v>
      </c>
      <c r="BZ4" s="209" t="s">
        <v>232</v>
      </c>
      <c r="CA4" s="209" t="s">
        <v>37</v>
      </c>
      <c r="CB4" s="209" t="s">
        <v>232</v>
      </c>
      <c r="CC4" s="209" t="s">
        <v>37</v>
      </c>
      <c r="CD4" s="209" t="s">
        <v>232</v>
      </c>
      <c r="CE4" s="209" t="s">
        <v>37</v>
      </c>
      <c r="CF4" s="209" t="s">
        <v>232</v>
      </c>
      <c r="CG4" s="209" t="s">
        <v>37</v>
      </c>
      <c r="CH4" s="209" t="s">
        <v>232</v>
      </c>
      <c r="CI4" s="209" t="s">
        <v>37</v>
      </c>
      <c r="CJ4" s="209" t="s">
        <v>232</v>
      </c>
      <c r="CK4" s="209" t="s">
        <v>37</v>
      </c>
      <c r="CL4" s="209" t="s">
        <v>232</v>
      </c>
      <c r="CM4" s="209" t="s">
        <v>37</v>
      </c>
      <c r="CN4" s="209" t="s">
        <v>232</v>
      </c>
      <c r="CO4" s="209" t="s">
        <v>37</v>
      </c>
      <c r="CP4" s="209" t="s">
        <v>232</v>
      </c>
      <c r="CQ4" s="209" t="s">
        <v>37</v>
      </c>
      <c r="CR4" s="2" t="s">
        <v>233</v>
      </c>
      <c r="CS4" s="2" t="s">
        <v>234</v>
      </c>
      <c r="CT4" s="182" t="s">
        <v>238</v>
      </c>
      <c r="CU4" s="182" t="s">
        <v>239</v>
      </c>
      <c r="CV4" s="182" t="s">
        <v>240</v>
      </c>
      <c r="CW4" s="182" t="s">
        <v>241</v>
      </c>
      <c r="CX4" s="182" t="s">
        <v>242</v>
      </c>
      <c r="CY4" s="182" t="s">
        <v>243</v>
      </c>
      <c r="CZ4" s="182" t="s">
        <v>244</v>
      </c>
      <c r="DA4" s="182" t="s">
        <v>245</v>
      </c>
      <c r="DB4" s="182" t="s">
        <v>246</v>
      </c>
      <c r="DC4" s="182" t="s">
        <v>247</v>
      </c>
      <c r="DD4" s="182" t="s">
        <v>248</v>
      </c>
      <c r="DE4" s="180" t="s">
        <v>249</v>
      </c>
    </row>
    <row r="5" spans="1:109" x14ac:dyDescent="0.25">
      <c r="A5">
        <v>1</v>
      </c>
      <c r="B5" t="str">
        <f>CONCATENATE(A5,"a")</f>
        <v>1a</v>
      </c>
      <c r="C5" t="s">
        <v>258</v>
      </c>
      <c r="D5" t="s">
        <v>262</v>
      </c>
      <c r="E5" t="s">
        <v>266</v>
      </c>
      <c r="F5">
        <v>260</v>
      </c>
      <c r="G5" s="174" t="str">
        <f>IF($G$3="","",$G$3)</f>
        <v/>
      </c>
      <c r="H5" s="20">
        <f t="shared" ref="H5:H9" ca="1" si="0">INDIRECT("'" &amp; B5 &amp; "'!$K$515")</f>
        <v>6381.8</v>
      </c>
      <c r="I5" s="175">
        <v>425</v>
      </c>
      <c r="J5" s="20">
        <f>IF($F$3="","",$F$3)</f>
        <v>3</v>
      </c>
      <c r="P5" t="s">
        <v>554</v>
      </c>
      <c r="Q5" t="s">
        <v>555</v>
      </c>
      <c r="AF5" t="s">
        <v>161</v>
      </c>
      <c r="AG5" t="s">
        <v>162</v>
      </c>
      <c r="AH5" s="116">
        <f>CT5</f>
        <v>129.1</v>
      </c>
      <c r="AI5">
        <v>1</v>
      </c>
      <c r="AJ5" t="s">
        <v>556</v>
      </c>
      <c r="AK5" t="s">
        <v>557</v>
      </c>
      <c r="AL5">
        <v>1</v>
      </c>
      <c r="AM5">
        <v>2</v>
      </c>
      <c r="AN5" t="s">
        <v>558</v>
      </c>
      <c r="AO5" t="s">
        <v>559</v>
      </c>
      <c r="AP5">
        <v>1.5</v>
      </c>
      <c r="AQ5">
        <v>208</v>
      </c>
      <c r="BX5" t="s">
        <v>563</v>
      </c>
      <c r="BY5">
        <v>2</v>
      </c>
      <c r="BZ5" t="s">
        <v>564</v>
      </c>
      <c r="CA5">
        <v>3</v>
      </c>
      <c r="CB5" t="s">
        <v>164</v>
      </c>
      <c r="CC5">
        <v>2</v>
      </c>
      <c r="CD5" t="s">
        <v>165</v>
      </c>
      <c r="CE5">
        <v>2</v>
      </c>
      <c r="CF5" t="s">
        <v>584</v>
      </c>
      <c r="CG5">
        <v>1</v>
      </c>
      <c r="CH5" t="s">
        <v>553</v>
      </c>
      <c r="CI5">
        <v>1</v>
      </c>
      <c r="CT5">
        <f>SUMIF('1a'!$C$500:$C$514,"G",'1a'!$K$500:$K$514)</f>
        <v>129.1</v>
      </c>
      <c r="CU5">
        <f ca="1">INDIRECT("'" &amp; B5 &amp; "'!$K$539")</f>
        <v>1892.6</v>
      </c>
      <c r="CV5">
        <f ca="1">INDIRECT("'" &amp; B5 &amp; "'!$K$540")</f>
        <v>1892.6</v>
      </c>
      <c r="CW5">
        <f ca="1">INDIRECT("'" &amp; B5 &amp; "'!$K$541")</f>
        <v>1273.5</v>
      </c>
      <c r="CX5">
        <f ca="1">INDIRECT("'" &amp; B5 &amp; "'!$K$542")</f>
        <v>0</v>
      </c>
      <c r="CY5">
        <f ca="1">INDIRECT("'" &amp; B5 &amp; "'!$K$543")</f>
        <v>310</v>
      </c>
      <c r="CZ5">
        <f ca="1">INDIRECT("'" &amp; B5 &amp; "'!$K$544")</f>
        <v>0</v>
      </c>
      <c r="DA5" s="7">
        <f ca="1">INDIRECT("'" &amp; B5 &amp; "'!$G$515")</f>
        <v>320</v>
      </c>
      <c r="DB5" s="7">
        <f ca="1">DA5</f>
        <v>320</v>
      </c>
      <c r="DC5" s="7">
        <f ca="1">DA5</f>
        <v>320</v>
      </c>
      <c r="DD5" s="7">
        <f ca="1">INDIRECT("'" &amp; B5 &amp; "'!$F$515")</f>
        <v>4494</v>
      </c>
    </row>
    <row r="6" spans="1:109" x14ac:dyDescent="0.25">
      <c r="A6">
        <v>2</v>
      </c>
      <c r="B6" t="str">
        <f t="shared" ref="B6:B9" si="1">CONCATENATE(A6,"a")</f>
        <v>2a</v>
      </c>
      <c r="C6" t="s">
        <v>259</v>
      </c>
      <c r="D6" t="s">
        <v>263</v>
      </c>
      <c r="E6" t="s">
        <v>266</v>
      </c>
      <c r="F6">
        <v>260</v>
      </c>
      <c r="G6" s="174" t="str">
        <f>IF($G$3="","",$G$3)</f>
        <v/>
      </c>
      <c r="H6" s="20">
        <f t="shared" ca="1" si="0"/>
        <v>652</v>
      </c>
      <c r="I6" s="175">
        <v>100</v>
      </c>
      <c r="J6" s="20">
        <f>IF($F$3="","",$F$3)</f>
        <v>3</v>
      </c>
      <c r="P6" t="s">
        <v>299</v>
      </c>
      <c r="Q6">
        <v>2</v>
      </c>
      <c r="AF6" t="s">
        <v>161</v>
      </c>
      <c r="AG6" t="s">
        <v>162</v>
      </c>
      <c r="AH6" s="116">
        <f>CT6</f>
        <v>25</v>
      </c>
      <c r="AI6">
        <v>2</v>
      </c>
      <c r="BX6" t="s">
        <v>163</v>
      </c>
      <c r="BY6">
        <v>2</v>
      </c>
      <c r="BZ6" t="s">
        <v>164</v>
      </c>
      <c r="CA6">
        <v>2</v>
      </c>
      <c r="CB6" t="s">
        <v>165</v>
      </c>
      <c r="CC6">
        <v>2</v>
      </c>
      <c r="CD6" t="s">
        <v>300</v>
      </c>
      <c r="CE6">
        <v>2</v>
      </c>
      <c r="CT6">
        <f>SUMIF('2a'!$C$500:$C$514,"G",'2a'!$K$500:$K$514)</f>
        <v>25</v>
      </c>
      <c r="CU6">
        <f t="shared" ref="CU6:CU9" ca="1" si="2">INDIRECT("'" &amp; B6 &amp; "'!$K$539")</f>
        <v>110.22499999999999</v>
      </c>
      <c r="CV6">
        <f t="shared" ref="CV6:CV9" ca="1" si="3">INDIRECT("'" &amp; B6 &amp; "'!$K$540")</f>
        <v>110.22499999999999</v>
      </c>
      <c r="CW6">
        <f t="shared" ref="CW6:CW9" ca="1" si="4">INDIRECT("'" &amp; B6 &amp; "'!$K$541")</f>
        <v>23.95</v>
      </c>
      <c r="CX6">
        <f t="shared" ref="CX6:CX9" ca="1" si="5">INDIRECT("'" &amp; B6 &amp; "'!$K$542")</f>
        <v>231.45</v>
      </c>
      <c r="CY6">
        <f t="shared" ref="CY6:CY9" ca="1" si="6">INDIRECT("'" &amp; B6 &amp; "'!$K$543")</f>
        <v>0</v>
      </c>
      <c r="CZ6">
        <f t="shared" ref="CZ6:CZ9" ca="1" si="7">INDIRECT("'" &amp; B6 &amp; "'!$K$544")</f>
        <v>0</v>
      </c>
      <c r="DA6" s="7"/>
      <c r="DB6" s="7"/>
      <c r="DC6" s="7"/>
      <c r="DD6" s="7"/>
    </row>
    <row r="7" spans="1:109" x14ac:dyDescent="0.25">
      <c r="A7">
        <v>3</v>
      </c>
      <c r="B7" t="str">
        <f t="shared" si="1"/>
        <v>3a</v>
      </c>
      <c r="C7" t="s">
        <v>260</v>
      </c>
      <c r="D7" t="s">
        <v>264</v>
      </c>
      <c r="E7" t="s">
        <v>267</v>
      </c>
      <c r="F7">
        <v>260</v>
      </c>
      <c r="G7" s="174" t="str">
        <f t="shared" ref="G7:G9" si="8">IF($G$3="","",$G$3)</f>
        <v/>
      </c>
      <c r="H7" s="20">
        <f t="shared" ca="1" si="0"/>
        <v>418</v>
      </c>
      <c r="I7" s="175">
        <v>100</v>
      </c>
      <c r="J7" s="20">
        <f t="shared" ref="J7:J9" si="9">IF($F$3="","",$F$3)</f>
        <v>3</v>
      </c>
      <c r="P7" t="s">
        <v>566</v>
      </c>
      <c r="Q7" t="s">
        <v>555</v>
      </c>
      <c r="AF7" t="s">
        <v>161</v>
      </c>
      <c r="AG7" t="s">
        <v>162</v>
      </c>
      <c r="AH7" s="116">
        <f t="shared" ref="AH7:AH9" si="10">CT7</f>
        <v>22</v>
      </c>
      <c r="AI7">
        <v>2</v>
      </c>
      <c r="BX7" t="s">
        <v>310</v>
      </c>
      <c r="BY7">
        <v>2</v>
      </c>
      <c r="CT7">
        <f>SUMIF('3a'!$C$500:$C$514,"G",'3a'!$K$500:$K$514)</f>
        <v>22</v>
      </c>
      <c r="CU7">
        <f t="shared" ca="1" si="2"/>
        <v>62</v>
      </c>
      <c r="CV7">
        <f t="shared" ca="1" si="3"/>
        <v>0</v>
      </c>
      <c r="CW7">
        <f t="shared" ca="1" si="4"/>
        <v>0</v>
      </c>
      <c r="CX7">
        <f t="shared" ca="1" si="5"/>
        <v>0</v>
      </c>
      <c r="CY7">
        <f t="shared" ca="1" si="6"/>
        <v>0</v>
      </c>
      <c r="CZ7">
        <f t="shared" ca="1" si="7"/>
        <v>0</v>
      </c>
      <c r="DA7" s="7">
        <f t="shared" ref="DA7:DA9" ca="1" si="11">INDIRECT("'" &amp; B7 &amp; "'!$G$515")</f>
        <v>0</v>
      </c>
      <c r="DB7" s="7">
        <f t="shared" ref="DB7:DB9" ca="1" si="12">DA7</f>
        <v>0</v>
      </c>
      <c r="DC7" s="7">
        <f t="shared" ref="DC7:DC9" ca="1" si="13">DA7</f>
        <v>0</v>
      </c>
      <c r="DD7" s="7"/>
    </row>
    <row r="8" spans="1:109" x14ac:dyDescent="0.25">
      <c r="A8">
        <v>4</v>
      </c>
      <c r="B8" t="str">
        <f t="shared" si="1"/>
        <v>4a</v>
      </c>
      <c r="C8" t="s">
        <v>261</v>
      </c>
      <c r="D8" t="s">
        <v>265</v>
      </c>
      <c r="E8" t="s">
        <v>266</v>
      </c>
      <c r="F8">
        <v>52</v>
      </c>
      <c r="G8" s="174" t="str">
        <f t="shared" si="8"/>
        <v/>
      </c>
      <c r="H8" s="20">
        <f t="shared" ca="1" si="0"/>
        <v>264.18</v>
      </c>
      <c r="I8" s="175">
        <v>100</v>
      </c>
      <c r="J8" s="20">
        <f t="shared" si="9"/>
        <v>3</v>
      </c>
      <c r="P8" t="s">
        <v>566</v>
      </c>
      <c r="Q8" t="s">
        <v>555</v>
      </c>
      <c r="AF8" t="s">
        <v>161</v>
      </c>
      <c r="AG8" t="s">
        <v>162</v>
      </c>
      <c r="AH8" s="116">
        <f t="shared" si="10"/>
        <v>0</v>
      </c>
      <c r="BX8" t="s">
        <v>163</v>
      </c>
      <c r="BY8">
        <v>2</v>
      </c>
      <c r="BZ8" t="s">
        <v>164</v>
      </c>
      <c r="CA8">
        <v>2</v>
      </c>
      <c r="CB8" t="s">
        <v>165</v>
      </c>
      <c r="CC8">
        <v>2</v>
      </c>
      <c r="CD8" t="s">
        <v>317</v>
      </c>
      <c r="CE8">
        <v>3</v>
      </c>
      <c r="CF8" t="s">
        <v>318</v>
      </c>
      <c r="CG8">
        <v>3</v>
      </c>
      <c r="CH8" t="s">
        <v>320</v>
      </c>
      <c r="CI8">
        <v>3</v>
      </c>
      <c r="CT8">
        <f>SUMIF('4a'!$C$500:$C$514,"G",'4a'!$K$500:$K$514)</f>
        <v>0</v>
      </c>
      <c r="CU8">
        <f t="shared" ca="1" si="2"/>
        <v>104.11</v>
      </c>
      <c r="CV8">
        <f t="shared" ca="1" si="3"/>
        <v>104.11</v>
      </c>
      <c r="CW8">
        <f t="shared" ca="1" si="4"/>
        <v>14.14</v>
      </c>
      <c r="CX8">
        <f t="shared" ca="1" si="5"/>
        <v>113.43</v>
      </c>
      <c r="CY8">
        <f t="shared" ca="1" si="6"/>
        <v>113.43</v>
      </c>
      <c r="CZ8">
        <f t="shared" ca="1" si="7"/>
        <v>17.54</v>
      </c>
      <c r="DA8" s="7">
        <f t="shared" ca="1" si="11"/>
        <v>0</v>
      </c>
      <c r="DB8" s="7">
        <f t="shared" ca="1" si="12"/>
        <v>0</v>
      </c>
      <c r="DC8" s="7">
        <f t="shared" ca="1" si="13"/>
        <v>0</v>
      </c>
      <c r="DD8" s="7"/>
    </row>
    <row r="9" spans="1:109" hidden="1" x14ac:dyDescent="0.25">
      <c r="A9">
        <v>5</v>
      </c>
      <c r="B9" t="str">
        <f t="shared" si="1"/>
        <v>5a</v>
      </c>
      <c r="G9" s="174" t="str">
        <f t="shared" si="8"/>
        <v/>
      </c>
      <c r="H9" s="20">
        <f t="shared" ca="1" si="0"/>
        <v>0</v>
      </c>
      <c r="I9" s="175" t="str">
        <f t="shared" ref="I9" ca="1" si="14">IFERROR(IF(SUM(G9*H9&lt;IF($H$3="","",$H$3)),IF($H$3="","",$H$3),SUM(G9*H9)),"")</f>
        <v/>
      </c>
      <c r="J9" s="20">
        <f t="shared" si="9"/>
        <v>3</v>
      </c>
      <c r="P9" t="s">
        <v>156</v>
      </c>
      <c r="R9" t="s">
        <v>157</v>
      </c>
      <c r="T9" t="s">
        <v>158</v>
      </c>
      <c r="V9" t="s">
        <v>159</v>
      </c>
      <c r="X9" t="s">
        <v>160</v>
      </c>
      <c r="AF9" t="s">
        <v>161</v>
      </c>
      <c r="AG9" t="s">
        <v>162</v>
      </c>
      <c r="AH9" s="116">
        <f t="shared" si="10"/>
        <v>0</v>
      </c>
      <c r="BX9" t="s">
        <v>163</v>
      </c>
      <c r="BZ9" t="s">
        <v>164</v>
      </c>
      <c r="CB9" t="s">
        <v>165</v>
      </c>
      <c r="CD9" t="s">
        <v>166</v>
      </c>
      <c r="CF9" t="s">
        <v>167</v>
      </c>
      <c r="CH9" t="s">
        <v>168</v>
      </c>
      <c r="CT9">
        <f>SUMIF('5a'!$C$500:$C$514,"G",'5a'!$K$500:$K$514)</f>
        <v>0</v>
      </c>
      <c r="CU9">
        <f t="shared" ca="1" si="2"/>
        <v>0</v>
      </c>
      <c r="CV9">
        <f t="shared" ca="1" si="3"/>
        <v>0</v>
      </c>
      <c r="CW9">
        <f t="shared" ca="1" si="4"/>
        <v>0</v>
      </c>
      <c r="CX9">
        <f t="shared" ca="1" si="5"/>
        <v>0</v>
      </c>
      <c r="CY9">
        <f t="shared" ca="1" si="6"/>
        <v>0</v>
      </c>
      <c r="CZ9">
        <f t="shared" ca="1" si="7"/>
        <v>0</v>
      </c>
      <c r="DA9" s="7">
        <f t="shared" ca="1" si="11"/>
        <v>0</v>
      </c>
      <c r="DB9" s="7">
        <f t="shared" ca="1" si="12"/>
        <v>0</v>
      </c>
      <c r="DC9" s="7">
        <f t="shared" ca="1" si="13"/>
        <v>0</v>
      </c>
      <c r="DD9" s="7">
        <f t="shared" ref="DD9" ca="1" si="15">INDIRECT("'" &amp; B9 &amp; "'!$F$515")</f>
        <v>0</v>
      </c>
    </row>
  </sheetData>
  <pageMargins left="0.7" right="0.7" top="0.75" bottom="0.75" header="0.3" footer="0.3"/>
  <pageSetup paperSize="9" scale="21" orientation="portrait" r:id="rId1"/>
  <headerFooter>
    <oddHeader xml:space="preserve">&amp;L&amp;G
</oddHeader>
  </headerFooter>
  <colBreaks count="3" manualBreakCount="3">
    <brk id="15" max="1048575" man="1"/>
    <brk id="31" max="1048575" man="1"/>
    <brk id="75" max="1048575" man="1"/>
  </colBreaks>
  <legacy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4">
    <tabColor rgb="FFC2E76B"/>
  </sheetPr>
  <dimension ref="A1:O101"/>
  <sheetViews>
    <sheetView showGridLines="0" showZeros="0" topLeftCell="A30" zoomScaleNormal="100" workbookViewId="0">
      <selection activeCell="C51" sqref="C51"/>
    </sheetView>
  </sheetViews>
  <sheetFormatPr defaultColWidth="0" defaultRowHeight="15" zeroHeight="1" x14ac:dyDescent="0.25"/>
  <cols>
    <col min="1" max="2" width="9.140625" style="274" customWidth="1"/>
    <col min="3" max="3" width="18.140625" style="274" customWidth="1"/>
    <col min="4" max="5" width="15.7109375" style="274" customWidth="1"/>
    <col min="6" max="6" width="17.140625" style="274" customWidth="1"/>
    <col min="7" max="9" width="15.7109375" style="274" customWidth="1"/>
    <col min="10" max="10" width="12.140625" style="274" customWidth="1"/>
    <col min="11" max="11" width="15.7109375" style="274" customWidth="1"/>
    <col min="12" max="12" width="16.42578125" style="274" customWidth="1"/>
    <col min="13" max="13" width="2.140625" style="274" customWidth="1"/>
    <col min="14" max="15" width="0" style="274" hidden="1" customWidth="1"/>
    <col min="16" max="16384" width="9.140625" style="274" hidden="1"/>
  </cols>
  <sheetData>
    <row r="1" spans="1:11" x14ac:dyDescent="0.25"/>
    <row r="2" spans="1:11" ht="23.25" x14ac:dyDescent="0.35">
      <c r="D2" s="311" t="str">
        <f>CONCATENATE("Uitvoeringsbepaling"," ",H4,", onderdeel van ",Verzamelblad!A2," ",Verzamelblad!A3)</f>
        <v xml:space="preserve">Uitvoeringsbepaling 1, onderdeel van Bestek </v>
      </c>
      <c r="E2" s="289"/>
      <c r="F2" s="289"/>
      <c r="G2" s="289"/>
      <c r="H2" s="312"/>
    </row>
    <row r="3" spans="1:11" x14ac:dyDescent="0.25">
      <c r="A3" s="275"/>
      <c r="B3" s="275"/>
      <c r="C3" s="275"/>
      <c r="D3" s="313"/>
      <c r="E3" s="313"/>
      <c r="F3" s="275"/>
      <c r="G3" s="275"/>
      <c r="H3" s="275"/>
    </row>
    <row r="4" spans="1:11" ht="15" customHeight="1" x14ac:dyDescent="0.25">
      <c r="A4" s="314" t="s">
        <v>7</v>
      </c>
      <c r="B4" s="484" t="str">
        <f>VLOOKUP(H4,Verzamelblad!A5:E19,3)</f>
        <v>Gemeentehuis</v>
      </c>
      <c r="C4" s="485"/>
      <c r="D4" s="485"/>
      <c r="E4" s="486"/>
      <c r="F4" s="474" t="s">
        <v>11</v>
      </c>
      <c r="G4" s="475"/>
      <c r="H4" s="315">
        <f>Verzamelblad!A5</f>
        <v>1</v>
      </c>
    </row>
    <row r="5" spans="1:11" x14ac:dyDescent="0.25">
      <c r="A5" s="316" t="s">
        <v>6</v>
      </c>
      <c r="B5" s="481" t="str">
        <f>VLOOKUP(H4,Verzamelblad!A5:E19,4)</f>
        <v>Stationstraat 18</v>
      </c>
      <c r="C5" s="482"/>
      <c r="D5" s="482"/>
      <c r="E5" s="483"/>
      <c r="F5" s="476" t="s">
        <v>12</v>
      </c>
      <c r="G5" s="477"/>
      <c r="H5" s="317" t="str">
        <f>CONCATENATE(H4,"a")</f>
        <v>1a</v>
      </c>
    </row>
    <row r="6" spans="1:11" x14ac:dyDescent="0.25">
      <c r="A6" s="318" t="s">
        <v>8</v>
      </c>
      <c r="B6" s="478" t="str">
        <f>VLOOKUP(H4,Verzamelblad!A5:E19,5)</f>
        <v>Buitenpost</v>
      </c>
      <c r="C6" s="479"/>
      <c r="D6" s="479"/>
      <c r="E6" s="480"/>
      <c r="F6" s="487" t="s">
        <v>143</v>
      </c>
      <c r="G6" s="488"/>
      <c r="H6" s="319"/>
      <c r="I6" s="275"/>
    </row>
    <row r="7" spans="1:11" x14ac:dyDescent="0.25">
      <c r="A7" s="320"/>
      <c r="B7" s="320"/>
      <c r="C7" s="320"/>
      <c r="D7" s="320"/>
      <c r="E7" s="320"/>
      <c r="F7" s="275"/>
      <c r="G7" s="321"/>
      <c r="H7" s="322"/>
      <c r="I7" s="275"/>
    </row>
    <row r="8" spans="1:11" x14ac:dyDescent="0.25">
      <c r="A8" s="314" t="s">
        <v>9</v>
      </c>
      <c r="B8" s="323"/>
      <c r="C8" s="323"/>
      <c r="D8" s="323"/>
      <c r="E8" s="315">
        <f>VLOOKUP($H$4,Verzamelblad!$A$5:$EK$19,14,0)</f>
        <v>0</v>
      </c>
      <c r="F8" s="324"/>
      <c r="G8" s="275"/>
      <c r="H8" s="275"/>
      <c r="I8" s="275"/>
    </row>
    <row r="9" spans="1:11" x14ac:dyDescent="0.25">
      <c r="A9" s="318" t="s">
        <v>10</v>
      </c>
      <c r="B9" s="325"/>
      <c r="C9" s="325"/>
      <c r="D9" s="325"/>
      <c r="E9" s="326">
        <f>VLOOKUP($H$4,Verzamelblad!$A$5:$EK$19,6,0)</f>
        <v>260</v>
      </c>
      <c r="F9" s="275"/>
      <c r="G9" s="275"/>
      <c r="H9" s="275"/>
      <c r="I9" s="275"/>
    </row>
    <row r="10" spans="1:11" ht="18.75" customHeight="1" x14ac:dyDescent="0.25">
      <c r="F10" s="327" t="s">
        <v>190</v>
      </c>
      <c r="G10" s="327" t="s">
        <v>191</v>
      </c>
      <c r="H10" s="327" t="s">
        <v>74</v>
      </c>
      <c r="I10" s="327" t="s">
        <v>192</v>
      </c>
      <c r="J10" s="327" t="s">
        <v>193</v>
      </c>
      <c r="K10" s="327" t="s">
        <v>194</v>
      </c>
    </row>
    <row r="11" spans="1:11" x14ac:dyDescent="0.25">
      <c r="A11" s="328" t="s">
        <v>18</v>
      </c>
      <c r="B11" s="329"/>
      <c r="C11" s="329"/>
      <c r="D11" s="330"/>
      <c r="E11" s="331"/>
      <c r="F11" s="332" t="str">
        <f>IFERROR(IF(SUM(I11/12)=0,"",SUM(I11/12)),"")</f>
        <v/>
      </c>
      <c r="G11" s="333" t="str">
        <f>IFERROR(SUM(J11/12),"")</f>
        <v/>
      </c>
      <c r="H11" s="334" t="str">
        <f>IFERROR(SUM(J11/E9),"")</f>
        <v/>
      </c>
      <c r="I11" s="332" t="str">
        <f>IFERROR(IF(SUM($I$14*K11)=0,"",SUM($I$14*K11)),"")</f>
        <v/>
      </c>
      <c r="J11" s="333" t="str">
        <f>IFERROR(SUM(J14*K11),"")</f>
        <v/>
      </c>
      <c r="K11" s="190"/>
    </row>
    <row r="12" spans="1:11" x14ac:dyDescent="0.25">
      <c r="A12" s="335" t="s">
        <v>19</v>
      </c>
      <c r="B12" s="336"/>
      <c r="C12" s="336"/>
      <c r="D12" s="337"/>
      <c r="E12" s="338"/>
      <c r="F12" s="339" t="str">
        <f>IFERROR(IF(SUM(I12/3)=0,"",SUM(I12/3)),"")</f>
        <v/>
      </c>
      <c r="G12" s="340" t="str">
        <f>IFERROR(SUM(J12/3),"")</f>
        <v/>
      </c>
      <c r="H12" s="341"/>
      <c r="I12" s="342" t="str">
        <f>IFERROR(IF(SUM($I$14*K12)=0,"",SUM($I$14*K12)),"")</f>
        <v/>
      </c>
      <c r="J12" s="343" t="str">
        <f>IFERROR(SUM(J14*K12),"")</f>
        <v/>
      </c>
      <c r="K12" s="191"/>
    </row>
    <row r="13" spans="1:11" x14ac:dyDescent="0.25">
      <c r="A13" s="344" t="s">
        <v>20</v>
      </c>
      <c r="B13" s="345"/>
      <c r="C13" s="345"/>
      <c r="D13" s="346"/>
      <c r="E13" s="347"/>
      <c r="F13" s="348" t="str">
        <f>IF(I13=0,"",I13)</f>
        <v/>
      </c>
      <c r="G13" s="349" t="str">
        <f>IFERROR(J13,"")</f>
        <v/>
      </c>
      <c r="H13" s="350"/>
      <c r="I13" s="351" t="str">
        <f>IFERROR(IF(SUM($I$14*K13)=0,"",SUM($I$14*K13)),"")</f>
        <v/>
      </c>
      <c r="J13" s="352" t="str">
        <f>IFERROR(SUM(J14*K13),"")</f>
        <v/>
      </c>
      <c r="K13" s="192"/>
    </row>
    <row r="14" spans="1:11" ht="15.75" thickBot="1" x14ac:dyDescent="0.3">
      <c r="A14" s="275" t="s">
        <v>13</v>
      </c>
      <c r="B14" s="275"/>
      <c r="C14" s="275"/>
      <c r="D14" s="275"/>
      <c r="E14" s="313"/>
      <c r="F14" s="353" t="str">
        <f>IFERROR(IF(SUM(F11:F13)=0,"",SUM(F11:F13)),"")</f>
        <v/>
      </c>
      <c r="G14" s="354">
        <f>IFERROR(SUM(G11:G13),"")</f>
        <v>0</v>
      </c>
      <c r="H14" s="355"/>
      <c r="I14" s="353" t="str">
        <f>IFERROR(IF(E100=0,"",E100),"")</f>
        <v/>
      </c>
      <c r="J14" s="354" t="str">
        <f>IFERROR(SUM(I14/offertetarief),"")</f>
        <v/>
      </c>
      <c r="K14" s="356" t="str">
        <f>IF(SUM(K11:K13)=100%,"","Geen 100%")</f>
        <v>Geen 100%</v>
      </c>
    </row>
    <row r="15" spans="1:11" ht="15.75" thickTop="1" x14ac:dyDescent="0.25">
      <c r="F15" s="327" t="s">
        <v>195</v>
      </c>
      <c r="G15" s="327" t="s">
        <v>196</v>
      </c>
    </row>
    <row r="16" spans="1:11" x14ac:dyDescent="0.25">
      <c r="A16" s="277" t="s">
        <v>14</v>
      </c>
      <c r="B16" s="278"/>
      <c r="C16" s="278"/>
      <c r="D16" s="278"/>
      <c r="E16" s="279"/>
      <c r="F16" s="357" t="str">
        <f>IFERROR(SUM((J14*directtoezicht)/E9),"")</f>
        <v/>
      </c>
      <c r="G16" s="358" t="str">
        <f>IF(J14="","",SUM(J14*directtoezicht))</f>
        <v/>
      </c>
    </row>
    <row r="17" spans="1:12" ht="15.75" customHeight="1" x14ac:dyDescent="0.25">
      <c r="K17" s="489" t="s">
        <v>214</v>
      </c>
      <c r="L17" s="489" t="s">
        <v>215</v>
      </c>
    </row>
    <row r="18" spans="1:12" ht="15.75" customHeight="1" x14ac:dyDescent="0.25">
      <c r="A18" s="274" t="s">
        <v>75</v>
      </c>
      <c r="K18" s="490"/>
      <c r="L18" s="490"/>
    </row>
    <row r="19" spans="1:12" x14ac:dyDescent="0.25">
      <c r="A19" s="502" t="s">
        <v>197</v>
      </c>
      <c r="B19" s="503"/>
      <c r="C19" s="504"/>
      <c r="D19" s="359">
        <f ca="1">D100</f>
        <v>1062000</v>
      </c>
      <c r="E19" s="500" t="s">
        <v>198</v>
      </c>
      <c r="F19" s="501"/>
      <c r="G19" s="360">
        <f ca="1">IFERROR(D100/E9,"")</f>
        <v>4084.6153846153848</v>
      </c>
      <c r="H19" s="361" t="s">
        <v>199</v>
      </c>
      <c r="I19" s="362" t="str">
        <f ca="1">IFERROR(SUM(D19/J14),"")</f>
        <v/>
      </c>
      <c r="K19" s="363" t="str">
        <f ca="1">IF(INDIRECT("'"&amp;$H$5&amp;"'!F539")="X","",IF(INDIRECT("'"&amp;$H$5&amp;"'!F539")="Vrije categorie","",INDIRECT("'"&amp;$H$5&amp;"'!F539")))</f>
        <v>A</v>
      </c>
      <c r="L19" s="187"/>
    </row>
    <row r="20" spans="1:12" x14ac:dyDescent="0.25">
      <c r="K20" s="364" t="str">
        <f ca="1">IF(INDIRECT("'"&amp;$H$5&amp;"'!F540")="X","",IF(INDIRECT("'"&amp;$H$5&amp;"'!F540")="Vrije categorie","",INDIRECT("'"&amp;$H$5&amp;"'!F540")))</f>
        <v>B</v>
      </c>
      <c r="L20" s="188"/>
    </row>
    <row r="21" spans="1:12" x14ac:dyDescent="0.25">
      <c r="A21" s="274" t="s">
        <v>15</v>
      </c>
      <c r="B21" s="283"/>
      <c r="D21" s="327" t="s">
        <v>200</v>
      </c>
      <c r="E21" s="327" t="s">
        <v>201</v>
      </c>
      <c r="F21" s="327" t="s">
        <v>202</v>
      </c>
      <c r="G21" s="327" t="s">
        <v>203</v>
      </c>
      <c r="H21" s="327" t="s">
        <v>204</v>
      </c>
      <c r="I21" s="327" t="s">
        <v>205</v>
      </c>
      <c r="K21" s="364" t="str">
        <f ca="1">IF(INDIRECT("'"&amp;$H$5&amp;"'!F541")="X","",IF(INDIRECT("'"&amp;$H$5&amp;"'!F541")="Vrije categorie","",INDIRECT("'"&amp;$H$5&amp;"'!F541")))</f>
        <v>C</v>
      </c>
      <c r="L21" s="188"/>
    </row>
    <row r="22" spans="1:12" x14ac:dyDescent="0.25">
      <c r="A22" s="497" t="str">
        <f>VLOOKUP($H$4,Verzamelblad!$A$5:$EK$19,32,0)</f>
        <v>Dieptereiniging sanitair</v>
      </c>
      <c r="B22" s="498"/>
      <c r="C22" s="499"/>
      <c r="D22" s="365" t="str">
        <f>VLOOKUP($H$4,Verzamelblad!$A$5:$EK$19,33,0)</f>
        <v>m²</v>
      </c>
      <c r="E22" s="366">
        <f>VLOOKUP($H$4,Verzamelblad!$A$5:$DE$19,34)</f>
        <v>129.1</v>
      </c>
      <c r="F22" s="217"/>
      <c r="G22" s="332" t="str">
        <f>IF(IF(E22="","",SUM(E22*F22))=0,"",IF(E22="","",SUM(E22*F22)))</f>
        <v/>
      </c>
      <c r="H22" s="365">
        <f>VLOOKUP($H$4,Verzamelblad!$A$5:$EK$19,35,0)</f>
        <v>1</v>
      </c>
      <c r="I22" s="367" t="str">
        <f>IFERROR(IF(IF(H22="op afroep","",SUM(G22*H22))=0,"",IF(H22="op afroep","",SUM(G22*H22))),"")</f>
        <v/>
      </c>
      <c r="K22" s="364" t="str">
        <f ca="1">IF(INDIRECT("'"&amp;$H$5&amp;"'!F542")="X","",IF(INDIRECT("'"&amp;$H$5&amp;"'!F542")="Vrije categorie","",INDIRECT("'"&amp;$H$5&amp;"'!F542")))</f>
        <v>D</v>
      </c>
      <c r="L22" s="188"/>
    </row>
    <row r="23" spans="1:12" x14ac:dyDescent="0.25">
      <c r="A23" s="316" t="str">
        <f>VLOOKUP($H$4,Verzamelblad!$A$5:$EK$19,36,0)</f>
        <v>Schrobben terras raadzaal</v>
      </c>
      <c r="B23" s="368"/>
      <c r="C23" s="338"/>
      <c r="D23" s="369" t="str">
        <f>VLOOKUP($H$4,Verzamelblad!$A$5:$EK$19,37,0)</f>
        <v>beurt</v>
      </c>
      <c r="E23" s="369">
        <f>VLOOKUP($H$4,Verzamelblad!$A$5:$DE$19,38)</f>
        <v>1</v>
      </c>
      <c r="F23" s="218"/>
      <c r="G23" s="339" t="str">
        <f>IF(IF(E23="","",SUM(E23*F23))=0,"",IF(E23="","",SUM(E23*F23)))</f>
        <v/>
      </c>
      <c r="H23" s="369">
        <f>VLOOKUP($H$4,Verzamelblad!$A$5:$EK$19,39,0)</f>
        <v>2</v>
      </c>
      <c r="I23" s="370" t="str">
        <f>IFERROR(IF(IF(H23="op afroep","",SUM(G23*H23))=0,"",IF(H23="op afroep","",SUM(G23*H23))),"")</f>
        <v/>
      </c>
      <c r="K23" s="364" t="str">
        <f ca="1">IF(INDIRECT("'"&amp;$H$5&amp;"'!F543")="X","",IF(INDIRECT("'"&amp;$H$5&amp;"'!F543")="Vrije categorie","",INDIRECT("'"&amp;$H$5&amp;"'!F543")))</f>
        <v>E</v>
      </c>
      <c r="L23" s="188"/>
    </row>
    <row r="24" spans="1:12" x14ac:dyDescent="0.25">
      <c r="A24" s="316"/>
      <c r="B24" s="368"/>
      <c r="C24" s="338"/>
      <c r="D24" s="371"/>
      <c r="E24" s="369"/>
      <c r="F24" s="218"/>
      <c r="G24" s="339"/>
      <c r="H24" s="369"/>
      <c r="I24" s="370"/>
      <c r="K24" s="364" t="str">
        <f ca="1">IF(INDIRECT("'"&amp;$H$5&amp;"'!F544")="X","",IF(INDIRECT("'"&amp;$H$5&amp;"'!F544")="Vrije categorie","",INDIRECT("'"&amp;$H$5&amp;"'!F544")))</f>
        <v>F</v>
      </c>
      <c r="L24" s="188"/>
    </row>
    <row r="25" spans="1:12" x14ac:dyDescent="0.25">
      <c r="A25" s="316">
        <f>VLOOKUP($H$4,Verzamelblad!$A$5:$EK$19,44,0)</f>
        <v>0</v>
      </c>
      <c r="B25" s="368"/>
      <c r="C25" s="338"/>
      <c r="D25" s="369">
        <f>VLOOKUP($H$4,Verzamelblad!$A$5:$EK$19,45,0)</f>
        <v>0</v>
      </c>
      <c r="E25" s="369">
        <f>VLOOKUP($H$4,Verzamelblad!$A$5:$DE$19,46)</f>
        <v>0</v>
      </c>
      <c r="F25" s="218"/>
      <c r="G25" s="339" t="str">
        <f t="shared" ref="G25:G32" si="0">IF(IF(E25="","",SUM(E25*F25))=0,"",IF(E25="","",SUM(E25*F25)))</f>
        <v/>
      </c>
      <c r="H25" s="369">
        <f>VLOOKUP($H$4,Verzamelblad!$A$5:$EK$19,47,0)</f>
        <v>0</v>
      </c>
      <c r="I25" s="370" t="str">
        <f t="shared" ref="I25:I31" si="1">IFERROR(IF(IF(H25="op afroep","",SUM(G25*H25))=0,"",IF(H25="op afroep","",SUM(G25*H25))),"")</f>
        <v/>
      </c>
      <c r="K25" s="364" t="str">
        <f ca="1">IF(INDIRECT("'"&amp;$H$5&amp;"'!F545")="X","",IF(INDIRECT("'"&amp;$H$5&amp;"'!F545")="Vrije categorie","",INDIRECT("'"&amp;$H$5&amp;"'!F545")))</f>
        <v>G</v>
      </c>
      <c r="L25" s="188"/>
    </row>
    <row r="26" spans="1:12" x14ac:dyDescent="0.25">
      <c r="A26" s="316">
        <f>VLOOKUP($H$4,Verzamelblad!$A$5:$EK$19,48,0)</f>
        <v>0</v>
      </c>
      <c r="B26" s="368"/>
      <c r="C26" s="338"/>
      <c r="D26" s="369">
        <f>VLOOKUP($H$4,Verzamelblad!$A$5:$EK$19,49,0)</f>
        <v>0</v>
      </c>
      <c r="E26" s="369">
        <f>VLOOKUP($H$4,Verzamelblad!$A$5:$DE$19,50)</f>
        <v>0</v>
      </c>
      <c r="F26" s="218"/>
      <c r="G26" s="339" t="str">
        <f t="shared" si="0"/>
        <v/>
      </c>
      <c r="H26" s="369">
        <f>VLOOKUP($H$4,Verzamelblad!$A$5:$EK$19,51,0)</f>
        <v>0</v>
      </c>
      <c r="I26" s="370" t="str">
        <f t="shared" si="1"/>
        <v/>
      </c>
      <c r="K26" s="364" t="str">
        <f ca="1">IF(INDIRECT("'"&amp;$H$5&amp;"'!F546")="X","",IF(INDIRECT("'"&amp;$H$5&amp;"'!F546")="Vrije categorie","",INDIRECT("'"&amp;$H$5&amp;"'!F546")))</f>
        <v>H</v>
      </c>
      <c r="L26" s="188"/>
    </row>
    <row r="27" spans="1:12" x14ac:dyDescent="0.25">
      <c r="A27" s="316">
        <f>VLOOKUP($H$4,Verzamelblad!$A$5:$EK$19,52,0)</f>
        <v>0</v>
      </c>
      <c r="B27" s="368"/>
      <c r="C27" s="338"/>
      <c r="D27" s="369">
        <f>VLOOKUP($H$4,Verzamelblad!$A$5:$EK$19,53,0)</f>
        <v>0</v>
      </c>
      <c r="E27" s="369">
        <f>VLOOKUP($H$4,Verzamelblad!$A$5:$DE$19,54)</f>
        <v>0</v>
      </c>
      <c r="F27" s="218"/>
      <c r="G27" s="339" t="str">
        <f t="shared" si="0"/>
        <v/>
      </c>
      <c r="H27" s="369">
        <f>VLOOKUP($H$4,Verzamelblad!$A$5:$EK$19,55,0)</f>
        <v>0</v>
      </c>
      <c r="I27" s="370" t="str">
        <f t="shared" si="1"/>
        <v/>
      </c>
      <c r="K27" s="364" t="str">
        <f ca="1">IF(INDIRECT("'"&amp;$H$5&amp;"'!F547")="X","",IF(INDIRECT("'"&amp;$H$5&amp;"'!F547")="Vrije categorie","",INDIRECT("'"&amp;$H$5&amp;"'!F547")))</f>
        <v>I</v>
      </c>
      <c r="L27" s="188"/>
    </row>
    <row r="28" spans="1:12" x14ac:dyDescent="0.25">
      <c r="A28" s="316">
        <f>VLOOKUP($H$4,Verzamelblad!$A$5:$EK$19,56,0)</f>
        <v>0</v>
      </c>
      <c r="B28" s="368"/>
      <c r="C28" s="338"/>
      <c r="D28" s="369">
        <f>VLOOKUP($H$4,Verzamelblad!$A$5:$EK$19,57,0)</f>
        <v>0</v>
      </c>
      <c r="E28" s="369">
        <f>VLOOKUP($H$4,Verzamelblad!$A$5:$DE$19,58)</f>
        <v>0</v>
      </c>
      <c r="F28" s="218"/>
      <c r="G28" s="339" t="str">
        <f t="shared" si="0"/>
        <v/>
      </c>
      <c r="H28" s="369">
        <f>VLOOKUP($H$4,Verzamelblad!$A$5:$EK$19,59,0)</f>
        <v>0</v>
      </c>
      <c r="I28" s="370" t="str">
        <f t="shared" si="1"/>
        <v/>
      </c>
      <c r="K28" s="364" t="str">
        <f ca="1">IF(INDIRECT("'"&amp;$H$5&amp;"'!F548")="X","",IF(INDIRECT("'"&amp;$H$5&amp;"'!F548")="Vrije categorie","",INDIRECT("'"&amp;$H$5&amp;"'!F548")))</f>
        <v>J</v>
      </c>
      <c r="L28" s="188"/>
    </row>
    <row r="29" spans="1:12" x14ac:dyDescent="0.25">
      <c r="A29" s="316">
        <f>VLOOKUP($H$4,Verzamelblad!$A$5:$EK$19,60,0)</f>
        <v>0</v>
      </c>
      <c r="B29" s="368"/>
      <c r="C29" s="338"/>
      <c r="D29" s="369">
        <f>VLOOKUP($H$4,Verzamelblad!$A$5:$EK$19,61,0)</f>
        <v>0</v>
      </c>
      <c r="E29" s="369">
        <f>VLOOKUP($H$4,Verzamelblad!$A$5:$DE$19,62)</f>
        <v>0</v>
      </c>
      <c r="F29" s="218"/>
      <c r="G29" s="339" t="str">
        <f t="shared" si="0"/>
        <v/>
      </c>
      <c r="H29" s="369">
        <f>VLOOKUP($H$4,Verzamelblad!$A$5:$EK$19,63,0)</f>
        <v>0</v>
      </c>
      <c r="I29" s="370" t="str">
        <f t="shared" si="1"/>
        <v/>
      </c>
      <c r="K29" s="364" t="str">
        <f ca="1">IF(INDIRECT("'"&amp;$H$5&amp;"'!F549")="X","",IF(INDIRECT("'"&amp;$H$5&amp;"'!F549")="Vrije categorie","",INDIRECT("'"&amp;$H$5&amp;"'!F549")))</f>
        <v>K</v>
      </c>
      <c r="L29" s="188"/>
    </row>
    <row r="30" spans="1:12" x14ac:dyDescent="0.25">
      <c r="A30" s="316">
        <f>VLOOKUP($H$4,Verzamelblad!$A$5:$EK$19,64,0)</f>
        <v>0</v>
      </c>
      <c r="B30" s="368"/>
      <c r="C30" s="338"/>
      <c r="D30" s="369">
        <f>VLOOKUP($H$4,Verzamelblad!$A$5:$EK$19,65,0)</f>
        <v>0</v>
      </c>
      <c r="E30" s="369">
        <f>VLOOKUP($H$4,Verzamelblad!$A$5:$DE$19,66)</f>
        <v>0</v>
      </c>
      <c r="F30" s="218"/>
      <c r="G30" s="339" t="str">
        <f t="shared" si="0"/>
        <v/>
      </c>
      <c r="H30" s="369">
        <f>VLOOKUP($H$4,Verzamelblad!$A$5:$EK$19,67,0)</f>
        <v>0</v>
      </c>
      <c r="I30" s="370" t="str">
        <f t="shared" si="1"/>
        <v/>
      </c>
      <c r="K30" s="364" t="str">
        <f ca="1">IF(INDIRECT("'"&amp;$H$5&amp;"'!F550")="X","",IF(INDIRECT("'"&amp;$H$5&amp;"'!F550")="Vrije categorie","",INDIRECT("'"&amp;$H$5&amp;"'!F550")))</f>
        <v/>
      </c>
      <c r="L30" s="188"/>
    </row>
    <row r="31" spans="1:12" x14ac:dyDescent="0.25">
      <c r="A31" s="316">
        <f>VLOOKUP($H$4,Verzamelblad!$A$5:$EK$19,68,0)</f>
        <v>0</v>
      </c>
      <c r="B31" s="368"/>
      <c r="C31" s="338"/>
      <c r="D31" s="369">
        <f>VLOOKUP($H$4,Verzamelblad!$A$5:$EK$19,69,0)</f>
        <v>0</v>
      </c>
      <c r="E31" s="369">
        <f>VLOOKUP($H$4,Verzamelblad!$A$5:$DE$19,70)</f>
        <v>0</v>
      </c>
      <c r="F31" s="218"/>
      <c r="G31" s="339" t="str">
        <f t="shared" si="0"/>
        <v/>
      </c>
      <c r="H31" s="369">
        <f>VLOOKUP($H$4,Verzamelblad!$A$5:$EK$19,71,0)</f>
        <v>0</v>
      </c>
      <c r="I31" s="370" t="str">
        <f t="shared" si="1"/>
        <v/>
      </c>
      <c r="K31" s="364" t="str">
        <f ca="1">IF(INDIRECT("'"&amp;$H$5&amp;"'!F551")="X","",IF(INDIRECT("'"&amp;$H$5&amp;"'!F551")="Vrije categorie","",INDIRECT("'"&amp;$H$5&amp;"'!F551")))</f>
        <v/>
      </c>
      <c r="L31" s="188"/>
    </row>
    <row r="32" spans="1:12" x14ac:dyDescent="0.25">
      <c r="A32" s="318">
        <f>VLOOKUP($H$4,Verzamelblad!$A$5:$EK$19,72,0)</f>
        <v>0</v>
      </c>
      <c r="B32" s="325"/>
      <c r="C32" s="347"/>
      <c r="D32" s="372">
        <f>VLOOKUP($H$4,Verzamelblad!$A$5:$EK$19,73,0)</f>
        <v>0</v>
      </c>
      <c r="E32" s="372">
        <f>VLOOKUP($H$4,Verzamelblad!$A$5:$DE$19,74)</f>
        <v>0</v>
      </c>
      <c r="F32" s="219"/>
      <c r="G32" s="373" t="str">
        <f t="shared" si="0"/>
        <v/>
      </c>
      <c r="H32" s="372">
        <f>VLOOKUP($H$4,Verzamelblad!$A$5:$EK$19,75,0)</f>
        <v>0</v>
      </c>
      <c r="I32" s="374" t="str">
        <f>IFERROR(IF(IF(H32="op afroep","",SUM(G32*H32))=0,"",IF(H32="op afroep","",SUM(G32*H32))),"")</f>
        <v/>
      </c>
      <c r="K32" s="364" t="str">
        <f ca="1">IF(INDIRECT("'"&amp;$H$5&amp;"'!F552")="X","",IF(INDIRECT("'"&amp;$H$5&amp;"'!F552")="Vrije categorie","",INDIRECT("'"&amp;$H$5&amp;"'!F552")))</f>
        <v/>
      </c>
      <c r="L32" s="188"/>
    </row>
    <row r="33" spans="1:12" ht="15.75" thickBot="1" x14ac:dyDescent="0.3">
      <c r="A33" s="275" t="s">
        <v>17</v>
      </c>
      <c r="B33" s="275"/>
      <c r="C33" s="275"/>
      <c r="D33" s="275"/>
      <c r="E33" s="275"/>
      <c r="F33" s="275"/>
      <c r="G33" s="275"/>
      <c r="H33" s="275"/>
      <c r="I33" s="375" t="str">
        <f>IF(SUM(I22:I32)=0,"",SUM(I22:I32))</f>
        <v/>
      </c>
      <c r="K33" s="376" t="str">
        <f ca="1">IF(INDIRECT("'"&amp;$H$5&amp;"'!F553")="X","",IF(INDIRECT("'"&amp;$H$5&amp;"'!F553")="Vrije categorie","",INDIRECT("'"&amp;$H$5&amp;"'!F553")))</f>
        <v/>
      </c>
      <c r="L33" s="189"/>
    </row>
    <row r="34" spans="1:12" ht="15.75" thickTop="1" x14ac:dyDescent="0.25"/>
    <row r="35" spans="1:12" x14ac:dyDescent="0.25">
      <c r="A35" s="274" t="s">
        <v>142</v>
      </c>
      <c r="E35" s="327" t="s">
        <v>206</v>
      </c>
      <c r="F35" s="327" t="s">
        <v>207</v>
      </c>
      <c r="G35" s="327" t="s">
        <v>203</v>
      </c>
      <c r="H35" s="327" t="s">
        <v>204</v>
      </c>
      <c r="I35" s="327" t="s">
        <v>205</v>
      </c>
    </row>
    <row r="36" spans="1:12" x14ac:dyDescent="0.25">
      <c r="A36" s="314" t="str">
        <f>VLOOKUP($H$4,Verzamelblad!$A$5:$EK$19,16,0)</f>
        <v>Conserveren</v>
      </c>
      <c r="B36" s="323"/>
      <c r="C36" s="323"/>
      <c r="D36" s="331"/>
      <c r="E36" s="333">
        <f ca="1">VLOOKUP($H$4,Verzamelblad!$A$5:$DE$19,105)</f>
        <v>320</v>
      </c>
      <c r="F36" s="217"/>
      <c r="G36" s="332" t="str">
        <f ca="1">IF(IF(E36="","",SUM(E36*F36))=0,"",IF(E36="","",SUM(E36*F36)))</f>
        <v/>
      </c>
      <c r="H36" s="365" t="str">
        <f>VLOOKUP($H$4,Verzamelblad!$A$5:$DE$19,17)</f>
        <v>op afroep</v>
      </c>
      <c r="I36" s="367" t="str">
        <f t="shared" ref="I36:I43" si="2">IFERROR(IF(IF(H36="op afroep","",SUM(G36*H36))=0,"",IF(H36="op afroep","",SUM(G36*H36))),"")</f>
        <v/>
      </c>
    </row>
    <row r="37" spans="1:12" x14ac:dyDescent="0.25">
      <c r="A37" s="316">
        <f>VLOOKUP($H$4,Verzamelblad!$A$5:$EK$19,18,0)</f>
        <v>0</v>
      </c>
      <c r="B37" s="368"/>
      <c r="C37" s="368"/>
      <c r="D37" s="338"/>
      <c r="E37" s="343"/>
      <c r="F37" s="218"/>
      <c r="G37" s="339" t="str">
        <f>IF(IF(E37="","",SUM(E37*F37))=0,"",IF(E37="","",SUM(E37*F37)))</f>
        <v/>
      </c>
      <c r="H37" s="369">
        <f>VLOOKUP($H$4,Verzamelblad!$A$5:$DE$19,19)</f>
        <v>0</v>
      </c>
      <c r="I37" s="370" t="str">
        <f t="shared" si="2"/>
        <v/>
      </c>
    </row>
    <row r="38" spans="1:12" x14ac:dyDescent="0.25">
      <c r="A38" s="316">
        <f>VLOOKUP($H$4,Verzamelblad!$A$5:$EK$19,20,0)</f>
        <v>0</v>
      </c>
      <c r="B38" s="368"/>
      <c r="C38" s="368"/>
      <c r="D38" s="338"/>
      <c r="E38" s="343"/>
      <c r="F38" s="218"/>
      <c r="G38" s="339" t="str">
        <f t="shared" ref="G38:G43" si="3">IF(IF(E38="","",SUM(E38*F38))=0,"",IF(E38="","",SUM(E38*F38)))</f>
        <v/>
      </c>
      <c r="H38" s="369">
        <f>VLOOKUP($H$4,Verzamelblad!$A$5:$DE$19,21)</f>
        <v>0</v>
      </c>
      <c r="I38" s="370" t="str">
        <f t="shared" si="2"/>
        <v/>
      </c>
      <c r="K38" s="275"/>
    </row>
    <row r="39" spans="1:12" x14ac:dyDescent="0.25">
      <c r="A39" s="316">
        <f>VLOOKUP($H$4,Verzamelblad!$A$5:$EK$19,22,0)</f>
        <v>0</v>
      </c>
      <c r="B39" s="368"/>
      <c r="C39" s="368"/>
      <c r="D39" s="338"/>
      <c r="E39" s="343"/>
      <c r="F39" s="218"/>
      <c r="G39" s="339" t="str">
        <f t="shared" si="3"/>
        <v/>
      </c>
      <c r="H39" s="369">
        <f>VLOOKUP($H$4,Verzamelblad!$A$5:$DE$19,23)</f>
        <v>0</v>
      </c>
      <c r="I39" s="370" t="str">
        <f t="shared" si="2"/>
        <v/>
      </c>
    </row>
    <row r="40" spans="1:12" x14ac:dyDescent="0.25">
      <c r="A40" s="316">
        <f>VLOOKUP($H$4,Verzamelblad!$A$5:$EK$19,24,0)</f>
        <v>0</v>
      </c>
      <c r="B40" s="368"/>
      <c r="C40" s="368"/>
      <c r="D40" s="338"/>
      <c r="E40" s="377">
        <f>VLOOKUP($H$4,Verzamelblad!$A$5:$DE$19,109)</f>
        <v>0</v>
      </c>
      <c r="F40" s="218"/>
      <c r="G40" s="339" t="str">
        <f t="shared" si="3"/>
        <v/>
      </c>
      <c r="H40" s="369">
        <f>VLOOKUP($H$4,Verzamelblad!$A$5:$DE$19,25)</f>
        <v>0</v>
      </c>
      <c r="I40" s="370" t="str">
        <f t="shared" si="2"/>
        <v/>
      </c>
    </row>
    <row r="41" spans="1:12" x14ac:dyDescent="0.25">
      <c r="A41" s="316">
        <f>VLOOKUP($H$4,Verzamelblad!$A$5:$EK$19,26,0)</f>
        <v>0</v>
      </c>
      <c r="B41" s="368"/>
      <c r="C41" s="368"/>
      <c r="D41" s="338"/>
      <c r="E41" s="377">
        <v>0</v>
      </c>
      <c r="F41" s="218"/>
      <c r="G41" s="339" t="str">
        <f t="shared" si="3"/>
        <v/>
      </c>
      <c r="H41" s="369">
        <f>VLOOKUP($H$4,Verzamelblad!$A$5:$DE$19,27)</f>
        <v>0</v>
      </c>
      <c r="I41" s="370" t="str">
        <f t="shared" si="2"/>
        <v/>
      </c>
    </row>
    <row r="42" spans="1:12" x14ac:dyDescent="0.25">
      <c r="A42" s="316">
        <f>VLOOKUP($H$4,Verzamelblad!$A$5:$EK$19,28,0)</f>
        <v>0</v>
      </c>
      <c r="B42" s="368"/>
      <c r="C42" s="368"/>
      <c r="D42" s="338"/>
      <c r="E42" s="377">
        <v>0</v>
      </c>
      <c r="F42" s="218"/>
      <c r="G42" s="339" t="str">
        <f t="shared" si="3"/>
        <v/>
      </c>
      <c r="H42" s="369">
        <f>VLOOKUP($H$4,Verzamelblad!$A$5:$DE$19,29)</f>
        <v>0</v>
      </c>
      <c r="I42" s="370" t="str">
        <f t="shared" si="2"/>
        <v/>
      </c>
    </row>
    <row r="43" spans="1:12" x14ac:dyDescent="0.25">
      <c r="A43" s="318">
        <f>VLOOKUP($H$4,Verzamelblad!$A$5:$EK$19,30,0)</f>
        <v>0</v>
      </c>
      <c r="B43" s="325"/>
      <c r="C43" s="325"/>
      <c r="D43" s="347"/>
      <c r="E43" s="378">
        <v>0</v>
      </c>
      <c r="F43" s="219"/>
      <c r="G43" s="339" t="str">
        <f t="shared" si="3"/>
        <v/>
      </c>
      <c r="H43" s="372">
        <f>VLOOKUP($H$4,Verzamelblad!$A$5:$DE$19,31)</f>
        <v>0</v>
      </c>
      <c r="I43" s="370" t="str">
        <f t="shared" si="2"/>
        <v/>
      </c>
    </row>
    <row r="44" spans="1:12" ht="15.75" thickBot="1" x14ac:dyDescent="0.3">
      <c r="A44" s="379" t="s">
        <v>17</v>
      </c>
      <c r="B44" s="313"/>
      <c r="C44" s="313"/>
      <c r="D44" s="313"/>
      <c r="E44" s="313"/>
      <c r="F44" s="313"/>
      <c r="G44" s="313"/>
      <c r="H44" s="313"/>
      <c r="I44" s="380" t="str">
        <f>IF(SUM(I36:I43)=0,"",SUM(I36:I43))</f>
        <v/>
      </c>
    </row>
    <row r="45" spans="1:12" ht="15.75" thickTop="1" x14ac:dyDescent="0.25"/>
    <row r="46" spans="1:12" x14ac:dyDescent="0.25">
      <c r="A46" s="274" t="s">
        <v>141</v>
      </c>
      <c r="E46" s="327" t="s">
        <v>206</v>
      </c>
      <c r="F46" s="327" t="s">
        <v>207</v>
      </c>
      <c r="G46" s="327" t="s">
        <v>203</v>
      </c>
      <c r="H46" s="327" t="s">
        <v>204</v>
      </c>
      <c r="I46" s="327" t="s">
        <v>205</v>
      </c>
    </row>
    <row r="47" spans="1:12" x14ac:dyDescent="0.25">
      <c r="A47" s="314" t="str">
        <f>VLOOKUP($H$4,Verzamelblad!$A$5:$EK$19,76,0)</f>
        <v>Gevelglas oudbouw buitenzijde enkelvoudig gemeten</v>
      </c>
      <c r="B47" s="323"/>
      <c r="C47" s="323"/>
      <c r="D47" s="331"/>
      <c r="E47" s="333">
        <f ca="1">VLOOKUP($H$4,Verzamelblad!$A$5:$DE$19,100)-368</f>
        <v>1524.6</v>
      </c>
      <c r="F47" s="217"/>
      <c r="G47" s="332" t="str">
        <f ca="1">IF(IF(E47="","",SUM(E47*F47))=0,"",IF(E47="","",SUM(E47*F47)))</f>
        <v/>
      </c>
      <c r="H47" s="381">
        <f>VLOOKUP($H$4,Verzamelblad!$A$5:$EK$19,77,0)</f>
        <v>2</v>
      </c>
      <c r="I47" s="367" t="str">
        <f t="shared" ref="I47:I56" ca="1" si="4">IFERROR(IF(IF(H47="op afroep","",SUM(G47*H47))=0,"",IF(H47="op afroep","",SUM(G47*H47))),"")</f>
        <v/>
      </c>
    </row>
    <row r="48" spans="1:12" x14ac:dyDescent="0.25">
      <c r="A48" s="316" t="str">
        <f>VLOOKUP($H$4,Verzamelblad!$A$5:$EK$19,78,0)</f>
        <v>Gevelglas nieuwbouw Jeltingahuis en entree enkelvoudig gemeten</v>
      </c>
      <c r="B48" s="368"/>
      <c r="C48" s="368"/>
      <c r="D48" s="338"/>
      <c r="E48" s="343">
        <f ca="1">VLOOKUP($H$4,Verzamelblad!$A$5:$DE$19,99)-1524.6</f>
        <v>368</v>
      </c>
      <c r="F48" s="218"/>
      <c r="G48" s="339" t="str">
        <f ca="1">IF(IF(E48="","",SUM(E48*F48))=0,"",IF(E48="","",SUM(E48*F48)))</f>
        <v/>
      </c>
      <c r="H48" s="382">
        <f>VLOOKUP($H$4,Verzamelblad!$A$5:$EK$19,79,0)</f>
        <v>3</v>
      </c>
      <c r="I48" s="370" t="str">
        <f t="shared" ca="1" si="4"/>
        <v/>
      </c>
    </row>
    <row r="49" spans="1:12" x14ac:dyDescent="0.25">
      <c r="A49" s="316" t="str">
        <f>VLOOKUP($H$4,Verzamelblad!$A$5:$EK$19,80,0)</f>
        <v>Gevelglas binnenzijde enkelvoudig gemeten</v>
      </c>
      <c r="B49" s="368"/>
      <c r="C49" s="368"/>
      <c r="D49" s="338"/>
      <c r="E49" s="343">
        <f ca="1">VLOOKUP($H$4,Verzamelblad!$A$5:$DE$19,99)</f>
        <v>1892.6</v>
      </c>
      <c r="F49" s="218"/>
      <c r="G49" s="339" t="str">
        <f t="shared" ref="G49:G56" ca="1" si="5">IF(IF(E49="","",SUM(E49*F49))=0,"",IF(E49="","",SUM(E49*F49)))</f>
        <v/>
      </c>
      <c r="H49" s="382">
        <f>VLOOKUP($H$4,Verzamelblad!$A$5:$EK$19,81,0)</f>
        <v>2</v>
      </c>
      <c r="I49" s="370" t="str">
        <f t="shared" ca="1" si="4"/>
        <v/>
      </c>
    </row>
    <row r="50" spans="1:12" x14ac:dyDescent="0.25">
      <c r="A50" s="316" t="str">
        <f>VLOOKUP($H$4,Verzamelblad!$A$5:$EK$19,82,0)</f>
        <v>Separatieglas dubbelvoudig gemeten</v>
      </c>
      <c r="B50" s="368"/>
      <c r="C50" s="368"/>
      <c r="D50" s="338"/>
      <c r="E50" s="343">
        <f ca="1">VLOOKUP($H$4,Verzamelblad!$A$5:$DE$19,101)</f>
        <v>1273.5</v>
      </c>
      <c r="F50" s="442"/>
      <c r="G50" s="339" t="str">
        <f ca="1">IF(IF(E50="","",SUM(E50*F50))=0,"",IF(E50="","",SUM(E50*F50)))</f>
        <v/>
      </c>
      <c r="H50" s="382">
        <f>VLOOKUP($H$4,Verzamelblad!$A$5:$EK$19,83,0)</f>
        <v>2</v>
      </c>
      <c r="I50" s="370" t="str">
        <f ca="1">IFERROR(IF(IF(H50="op afroep","",SUM(G50*H50))=0,"",IF(H50="op afroep","",SUM(G50*H50))),"")</f>
        <v/>
      </c>
    </row>
    <row r="51" spans="1:12" x14ac:dyDescent="0.25">
      <c r="A51" s="316" t="str">
        <f>VLOOKUP($H$4,Verzamelblad!$A$5:$EK$19,84,0)</f>
        <v>8 luiken en 15 lantaarns</v>
      </c>
      <c r="B51" s="368"/>
      <c r="C51" s="368"/>
      <c r="D51" s="338"/>
      <c r="E51" s="343"/>
      <c r="F51" s="383"/>
      <c r="G51" s="441"/>
      <c r="H51" s="382">
        <f>VLOOKUP($H$4,Verzamelblad!$A$5:$EK$19,85,0)</f>
        <v>1</v>
      </c>
      <c r="I51" s="370" t="str">
        <f t="shared" si="4"/>
        <v/>
      </c>
    </row>
    <row r="52" spans="1:12" x14ac:dyDescent="0.25">
      <c r="A52" s="316" t="str">
        <f>VLOOKUP($H$4,Verzamelblad!$A$5:$EK$19,86,0)</f>
        <v>Trespa, houtwerk en boeiranden</v>
      </c>
      <c r="B52" s="368"/>
      <c r="C52" s="368"/>
      <c r="D52" s="338"/>
      <c r="E52" s="343">
        <f ca="1">VLOOKUP($H$4,Verzamelblad!$A$5:$DE$19,103)</f>
        <v>310</v>
      </c>
      <c r="F52" s="218"/>
      <c r="G52" s="339" t="str">
        <f ca="1">IF(IF(E52="","",SUM(E52*F52))=0,"",IF(E52="","",SUM(E52*F52)))</f>
        <v/>
      </c>
      <c r="H52" s="382">
        <f>VLOOKUP($H$4,Verzamelblad!$A$5:$EK$19,87,0)</f>
        <v>1</v>
      </c>
      <c r="I52" s="370" t="str">
        <f t="shared" ca="1" si="4"/>
        <v/>
      </c>
    </row>
    <row r="53" spans="1:12" x14ac:dyDescent="0.25">
      <c r="A53" s="316">
        <f>VLOOKUP($H$4,Verzamelblad!$A$5:$EK$19,88,0)</f>
        <v>0</v>
      </c>
      <c r="B53" s="368"/>
      <c r="C53" s="368"/>
      <c r="D53" s="338"/>
      <c r="E53" s="377"/>
      <c r="F53" s="218"/>
      <c r="G53" s="339" t="str">
        <f t="shared" si="5"/>
        <v/>
      </c>
      <c r="H53" s="382">
        <f>VLOOKUP($H$4,Verzamelblad!$A$5:$EK$19,89,0)</f>
        <v>0</v>
      </c>
      <c r="I53" s="370" t="str">
        <f t="shared" si="4"/>
        <v/>
      </c>
    </row>
    <row r="54" spans="1:12" x14ac:dyDescent="0.25">
      <c r="A54" s="316">
        <f>VLOOKUP($H$4,Verzamelblad!$A$5:$EK$19,90,0)</f>
        <v>0</v>
      </c>
      <c r="B54" s="368"/>
      <c r="C54" s="368"/>
      <c r="D54" s="338"/>
      <c r="E54" s="377">
        <v>0</v>
      </c>
      <c r="F54" s="218"/>
      <c r="G54" s="339" t="str">
        <f t="shared" si="5"/>
        <v/>
      </c>
      <c r="H54" s="382">
        <f>VLOOKUP($H$4,Verzamelblad!$A$5:$EK$19,91,0)</f>
        <v>0</v>
      </c>
      <c r="I54" s="370" t="str">
        <f t="shared" si="4"/>
        <v/>
      </c>
    </row>
    <row r="55" spans="1:12" x14ac:dyDescent="0.25">
      <c r="A55" s="316">
        <f>VLOOKUP($H$4,Verzamelblad!$A$5:$EK$19,92,0)</f>
        <v>0</v>
      </c>
      <c r="B55" s="368"/>
      <c r="C55" s="368"/>
      <c r="D55" s="338"/>
      <c r="E55" s="377">
        <v>0</v>
      </c>
      <c r="F55" s="218"/>
      <c r="G55" s="339" t="str">
        <f t="shared" si="5"/>
        <v/>
      </c>
      <c r="H55" s="382">
        <f>VLOOKUP($H$4,Verzamelblad!$A$5:$EK$19,93,0)</f>
        <v>0</v>
      </c>
      <c r="I55" s="370" t="str">
        <f t="shared" si="4"/>
        <v/>
      </c>
    </row>
    <row r="56" spans="1:12" x14ac:dyDescent="0.25">
      <c r="A56" s="318">
        <f>VLOOKUP($H$4,Verzamelblad!$A$5:$EK$19,94,0)</f>
        <v>0</v>
      </c>
      <c r="B56" s="325"/>
      <c r="C56" s="325"/>
      <c r="D56" s="347"/>
      <c r="E56" s="378">
        <v>0</v>
      </c>
      <c r="F56" s="219"/>
      <c r="G56" s="339" t="str">
        <f t="shared" si="5"/>
        <v/>
      </c>
      <c r="H56" s="384">
        <f>VLOOKUP($H$4,Verzamelblad!$A$5:$EK$19,95,0)</f>
        <v>0</v>
      </c>
      <c r="I56" s="370" t="str">
        <f t="shared" si="4"/>
        <v/>
      </c>
    </row>
    <row r="57" spans="1:12" ht="15.75" thickBot="1" x14ac:dyDescent="0.3">
      <c r="A57" s="313" t="s">
        <v>17</v>
      </c>
      <c r="B57" s="313"/>
      <c r="C57" s="313"/>
      <c r="D57" s="313"/>
      <c r="E57" s="313"/>
      <c r="F57" s="313"/>
      <c r="G57" s="313"/>
      <c r="H57" s="313"/>
      <c r="I57" s="380" t="str">
        <f ca="1">IF(SUM(I47:I56)=0,"",SUM(I47:I56))</f>
        <v/>
      </c>
    </row>
    <row r="58" spans="1:12" ht="15.75" thickTop="1" x14ac:dyDescent="0.25">
      <c r="E58" s="327"/>
      <c r="F58" s="327"/>
      <c r="G58" s="327"/>
      <c r="H58" s="327"/>
      <c r="I58" s="327"/>
    </row>
    <row r="59" spans="1:12" hidden="1" x14ac:dyDescent="0.25">
      <c r="A59" s="385" t="s">
        <v>68</v>
      </c>
      <c r="B59" s="385"/>
      <c r="C59" s="385"/>
      <c r="D59" s="385"/>
      <c r="E59" s="386" t="s">
        <v>208</v>
      </c>
      <c r="F59" s="386" t="s">
        <v>209</v>
      </c>
      <c r="G59" s="386" t="s">
        <v>201</v>
      </c>
      <c r="H59" s="386" t="s">
        <v>210</v>
      </c>
      <c r="I59" s="386" t="s">
        <v>205</v>
      </c>
      <c r="K59" s="275"/>
      <c r="L59" s="275"/>
    </row>
    <row r="60" spans="1:12" hidden="1" x14ac:dyDescent="0.25">
      <c r="A60" s="314"/>
      <c r="B60" s="323"/>
      <c r="C60" s="323"/>
      <c r="D60" s="331"/>
      <c r="E60" s="387"/>
      <c r="F60" s="387"/>
      <c r="G60" s="365"/>
      <c r="H60" s="387"/>
      <c r="I60" s="367" t="str">
        <f t="shared" ref="I60:I65" si="6">IFERROR(IF(IF(H60="op afroep","",SUM(G60*H60))=0,"",IF(H60="op afroep","",SUM(G60*H60))),"")</f>
        <v/>
      </c>
      <c r="K60" s="275" t="s">
        <v>213</v>
      </c>
      <c r="L60" s="275"/>
    </row>
    <row r="61" spans="1:12" hidden="1" x14ac:dyDescent="0.25">
      <c r="A61" s="316"/>
      <c r="B61" s="368"/>
      <c r="C61" s="368"/>
      <c r="D61" s="338"/>
      <c r="E61" s="388"/>
      <c r="F61" s="388"/>
      <c r="G61" s="369"/>
      <c r="H61" s="388"/>
      <c r="I61" s="370" t="str">
        <f t="shared" si="6"/>
        <v/>
      </c>
      <c r="K61" s="314" t="s">
        <v>211</v>
      </c>
      <c r="L61" s="389"/>
    </row>
    <row r="62" spans="1:12" hidden="1" x14ac:dyDescent="0.25">
      <c r="A62" s="316"/>
      <c r="B62" s="368"/>
      <c r="C62" s="368"/>
      <c r="D62" s="338"/>
      <c r="E62" s="388"/>
      <c r="F62" s="388"/>
      <c r="G62" s="369"/>
      <c r="H62" s="388"/>
      <c r="I62" s="370" t="str">
        <f t="shared" si="6"/>
        <v/>
      </c>
      <c r="K62" s="318" t="s">
        <v>212</v>
      </c>
      <c r="L62" s="390"/>
    </row>
    <row r="63" spans="1:12" hidden="1" x14ac:dyDescent="0.25">
      <c r="A63" s="316"/>
      <c r="B63" s="368"/>
      <c r="C63" s="368"/>
      <c r="D63" s="338"/>
      <c r="E63" s="388"/>
      <c r="F63" s="388"/>
      <c r="G63" s="369"/>
      <c r="H63" s="388"/>
      <c r="I63" s="370" t="str">
        <f t="shared" si="6"/>
        <v/>
      </c>
    </row>
    <row r="64" spans="1:12" hidden="1" x14ac:dyDescent="0.25">
      <c r="A64" s="316"/>
      <c r="B64" s="368"/>
      <c r="C64" s="368"/>
      <c r="D64" s="338"/>
      <c r="E64" s="388"/>
      <c r="F64" s="388"/>
      <c r="G64" s="369"/>
      <c r="H64" s="388"/>
      <c r="I64" s="370" t="str">
        <f t="shared" si="6"/>
        <v/>
      </c>
    </row>
    <row r="65" spans="1:12" hidden="1" x14ac:dyDescent="0.25">
      <c r="A65" s="318"/>
      <c r="B65" s="325"/>
      <c r="C65" s="325"/>
      <c r="D65" s="347"/>
      <c r="E65" s="391"/>
      <c r="F65" s="391"/>
      <c r="G65" s="372"/>
      <c r="H65" s="391"/>
      <c r="I65" s="370" t="str">
        <f t="shared" si="6"/>
        <v/>
      </c>
    </row>
    <row r="66" spans="1:12" ht="15.75" hidden="1" thickBot="1" x14ac:dyDescent="0.3">
      <c r="A66" s="392" t="s">
        <v>17</v>
      </c>
      <c r="B66" s="392"/>
      <c r="C66" s="392"/>
      <c r="D66" s="392"/>
      <c r="E66" s="392"/>
      <c r="F66" s="392"/>
      <c r="G66" s="393"/>
      <c r="H66" s="392"/>
      <c r="I66" s="380" t="str">
        <f>IF(SUM(I60:I65)=0,"",SUM(I60:I65))</f>
        <v/>
      </c>
    </row>
    <row r="67" spans="1:12" ht="15.75" hidden="1" thickTop="1" x14ac:dyDescent="0.25">
      <c r="B67" s="392"/>
      <c r="C67" s="392"/>
      <c r="D67" s="392"/>
      <c r="E67" s="392"/>
      <c r="F67" s="392"/>
      <c r="G67" s="393"/>
      <c r="H67" s="392"/>
      <c r="I67" s="394"/>
    </row>
    <row r="68" spans="1:12" hidden="1" x14ac:dyDescent="0.25">
      <c r="A68" s="320" t="s">
        <v>147</v>
      </c>
      <c r="B68" s="395"/>
      <c r="C68" s="395"/>
      <c r="D68" s="395"/>
      <c r="E68" s="395"/>
      <c r="F68" s="395"/>
      <c r="G68" s="395"/>
      <c r="H68" s="395"/>
      <c r="I68" s="395"/>
    </row>
    <row r="69" spans="1:12" hidden="1" x14ac:dyDescent="0.25">
      <c r="A69" s="471"/>
      <c r="B69" s="472"/>
      <c r="C69" s="472"/>
      <c r="D69" s="472"/>
      <c r="E69" s="472"/>
      <c r="F69" s="472"/>
      <c r="G69" s="472"/>
      <c r="H69" s="472"/>
      <c r="I69" s="473"/>
    </row>
    <row r="70" spans="1:12" hidden="1" x14ac:dyDescent="0.25">
      <c r="A70" s="491"/>
      <c r="B70" s="492"/>
      <c r="C70" s="492"/>
      <c r="D70" s="492"/>
      <c r="E70" s="492"/>
      <c r="F70" s="492"/>
      <c r="G70" s="492"/>
      <c r="H70" s="492"/>
      <c r="I70" s="493"/>
    </row>
    <row r="71" spans="1:12" hidden="1" x14ac:dyDescent="0.25">
      <c r="A71" s="491"/>
      <c r="B71" s="492"/>
      <c r="C71" s="492"/>
      <c r="D71" s="492"/>
      <c r="E71" s="492"/>
      <c r="F71" s="492"/>
      <c r="G71" s="492"/>
      <c r="H71" s="492"/>
      <c r="I71" s="493"/>
    </row>
    <row r="72" spans="1:12" hidden="1" x14ac:dyDescent="0.25">
      <c r="A72" s="491"/>
      <c r="B72" s="492"/>
      <c r="C72" s="492"/>
      <c r="D72" s="492"/>
      <c r="E72" s="492"/>
      <c r="F72" s="492"/>
      <c r="G72" s="492"/>
      <c r="H72" s="492"/>
      <c r="I72" s="493"/>
    </row>
    <row r="73" spans="1:12" hidden="1" x14ac:dyDescent="0.25">
      <c r="A73" s="494"/>
      <c r="B73" s="495"/>
      <c r="C73" s="495"/>
      <c r="D73" s="495"/>
      <c r="E73" s="495"/>
      <c r="F73" s="495"/>
      <c r="G73" s="495"/>
      <c r="H73" s="495"/>
      <c r="I73" s="496"/>
    </row>
    <row r="74" spans="1:12" hidden="1" x14ac:dyDescent="0.25">
      <c r="A74" s="396"/>
      <c r="B74" s="396"/>
      <c r="C74" s="396"/>
      <c r="D74" s="396"/>
      <c r="E74" s="396"/>
      <c r="F74" s="396"/>
      <c r="G74" s="396"/>
      <c r="H74" s="396"/>
    </row>
    <row r="75" spans="1:12" x14ac:dyDescent="0.25"/>
    <row r="76" spans="1:12" x14ac:dyDescent="0.25">
      <c r="A76" s="277" t="s">
        <v>21</v>
      </c>
      <c r="B76" s="278"/>
      <c r="C76" s="278"/>
      <c r="D76" s="278"/>
      <c r="E76" s="278"/>
      <c r="F76" s="278"/>
      <c r="G76" s="278"/>
      <c r="H76" s="278"/>
      <c r="I76" s="397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x14ac:dyDescent="0.25">
      <c r="A77" s="320"/>
      <c r="B77" s="320"/>
      <c r="C77" s="320"/>
      <c r="D77" s="320"/>
      <c r="E77" s="320"/>
      <c r="F77" s="320"/>
      <c r="G77" s="320"/>
      <c r="H77" s="320"/>
      <c r="I77" s="398"/>
    </row>
    <row r="78" spans="1:12" x14ac:dyDescent="0.25">
      <c r="A78" s="277" t="s">
        <v>144</v>
      </c>
      <c r="B78" s="278"/>
      <c r="C78" s="278"/>
      <c r="D78" s="278"/>
      <c r="E78" s="278"/>
      <c r="F78" s="278"/>
      <c r="G78" s="278"/>
      <c r="H78" s="278"/>
      <c r="I78" s="397" t="str">
        <f>IFERROR(I11/12,"")</f>
        <v/>
      </c>
    </row>
    <row r="79" spans="1:12" x14ac:dyDescent="0.25">
      <c r="A79" s="320"/>
      <c r="B79" s="320"/>
      <c r="C79" s="320"/>
      <c r="D79" s="320"/>
      <c r="E79" s="320"/>
      <c r="F79" s="320"/>
      <c r="G79" s="320"/>
      <c r="H79" s="320"/>
      <c r="I79" s="398"/>
      <c r="J79" s="273"/>
      <c r="K79" s="273"/>
      <c r="L79" s="273"/>
    </row>
    <row r="80" spans="1:12" x14ac:dyDescent="0.25">
      <c r="A80" s="274" t="s">
        <v>73</v>
      </c>
      <c r="E80" s="274" t="s">
        <v>216</v>
      </c>
      <c r="F80" s="327" t="s">
        <v>201</v>
      </c>
      <c r="I80" s="274" t="s">
        <v>205</v>
      </c>
    </row>
    <row r="81" spans="1:9" ht="15.75" thickBot="1" x14ac:dyDescent="0.3">
      <c r="A81" s="280" t="str">
        <f>Verzamelblad!D3</f>
        <v>VSR</v>
      </c>
      <c r="B81" s="281"/>
      <c r="C81" s="281"/>
      <c r="D81" s="281"/>
      <c r="E81" s="380">
        <f>VLOOKUP($H$4,Verzamelblad!$A$5:$EK$19,9,0)</f>
        <v>425</v>
      </c>
      <c r="F81" s="399">
        <f>VLOOKUP($H$4,Verzamelblad!$A$5:$EK$19,10,0)</f>
        <v>3</v>
      </c>
      <c r="G81" s="281"/>
      <c r="H81" s="281"/>
      <c r="I81" s="400">
        <f>IFERROR(IF(SUM(E81*F81)=0,"",SUM(E81*F81)),"")</f>
        <v>1275</v>
      </c>
    </row>
    <row r="82" spans="1:9" ht="15.75" thickTop="1" x14ac:dyDescent="0.25"/>
    <row r="83" spans="1:9" x14ac:dyDescent="0.25"/>
    <row r="84" spans="1:9" hidden="1" x14ac:dyDescent="0.25">
      <c r="A84" s="274" t="s">
        <v>22</v>
      </c>
      <c r="D84" s="274" t="s">
        <v>70</v>
      </c>
      <c r="E84" s="274" t="s">
        <v>71</v>
      </c>
    </row>
    <row r="85" spans="1:9" hidden="1" x14ac:dyDescent="0.25">
      <c r="A85" s="274" t="str">
        <f t="shared" ref="A85:A99" ca="1" si="7">IF(K19=0,"",K19)</f>
        <v>A</v>
      </c>
      <c r="D85" s="274">
        <f t="shared" ref="D85:D99" ca="1" si="8">IF(A85="",0,VLOOKUP(A85,INDIRECT("'"&amp;$H$5&amp;"'!C500:M515"),11,0))</f>
        <v>312416</v>
      </c>
      <c r="E85" s="274" t="str">
        <f>IF(L19=0,"",IF(L19="","",SUM(D85/L19)*Uurtariefopbouw!$F$15))</f>
        <v/>
      </c>
    </row>
    <row r="86" spans="1:9" hidden="1" x14ac:dyDescent="0.25">
      <c r="A86" s="274" t="str">
        <f t="shared" ca="1" si="7"/>
        <v>B</v>
      </c>
      <c r="D86" s="274">
        <f t="shared" ca="1" si="8"/>
        <v>141440</v>
      </c>
      <c r="E86" s="274" t="str">
        <f>IF(L20=0,"",IF(L20="","",SUM(D86/L20)*Uurtariefopbouw!$F$15))</f>
        <v/>
      </c>
    </row>
    <row r="87" spans="1:9" hidden="1" x14ac:dyDescent="0.25">
      <c r="A87" s="274" t="str">
        <f t="shared" ca="1" si="7"/>
        <v>C</v>
      </c>
      <c r="D87" s="274">
        <f t="shared" ca="1" si="8"/>
        <v>58240</v>
      </c>
      <c r="E87" s="274" t="str">
        <f>IF(L21=0,"",IF(L21="","",SUM(D87/L21)*Uurtariefopbouw!$F$15))</f>
        <v/>
      </c>
    </row>
    <row r="88" spans="1:9" hidden="1" x14ac:dyDescent="0.25">
      <c r="A88" s="274" t="str">
        <f t="shared" ca="1" si="7"/>
        <v>D</v>
      </c>
      <c r="D88" s="274">
        <f t="shared" ca="1" si="8"/>
        <v>0</v>
      </c>
      <c r="E88" s="274" t="str">
        <f>IF(L22=0,"",IF(L22="","",SUM(D88/L22)*Uurtariefopbouw!$F$15))</f>
        <v/>
      </c>
    </row>
    <row r="89" spans="1:9" hidden="1" x14ac:dyDescent="0.25">
      <c r="A89" s="274" t="str">
        <f t="shared" ca="1" si="7"/>
        <v>E</v>
      </c>
      <c r="D89" s="274">
        <f t="shared" ca="1" si="8"/>
        <v>514202</v>
      </c>
      <c r="E89" s="274" t="str">
        <f>IF(L23=0,"",IF(L23="","",SUM(D89/L23)*Uurtariefopbouw!$F$15))</f>
        <v/>
      </c>
    </row>
    <row r="90" spans="1:9" hidden="1" x14ac:dyDescent="0.25">
      <c r="A90" s="274" t="str">
        <f t="shared" ca="1" si="7"/>
        <v>F</v>
      </c>
      <c r="D90" s="274">
        <f t="shared" ca="1" si="8"/>
        <v>0</v>
      </c>
      <c r="E90" s="274" t="str">
        <f>IF(L24=0,"",IF(L24="","",SUM(D90/L24)*Uurtariefopbouw!$F$15))</f>
        <v/>
      </c>
    </row>
    <row r="91" spans="1:9" hidden="1" x14ac:dyDescent="0.25">
      <c r="A91" s="274" t="str">
        <f t="shared" ca="1" si="7"/>
        <v>G</v>
      </c>
      <c r="D91" s="274">
        <f t="shared" ca="1" si="8"/>
        <v>33566</v>
      </c>
      <c r="E91" s="274" t="str">
        <f>IF(L25=0,"",IF(L25="","",SUM(D91/L25)*Uurtariefopbouw!$F$15))</f>
        <v/>
      </c>
    </row>
    <row r="92" spans="1:9" hidden="1" x14ac:dyDescent="0.25">
      <c r="A92" s="274" t="str">
        <f t="shared" ca="1" si="7"/>
        <v>H</v>
      </c>
      <c r="D92" s="274">
        <f t="shared" ca="1" si="8"/>
        <v>0</v>
      </c>
      <c r="E92" s="274" t="str">
        <f>IF(L26=0,"",IF(L26="","",SUM(D92/L26)*Uurtariefopbouw!$F$15))</f>
        <v/>
      </c>
    </row>
    <row r="93" spans="1:9" hidden="1" x14ac:dyDescent="0.25">
      <c r="A93" s="274" t="str">
        <f t="shared" ca="1" si="7"/>
        <v>I</v>
      </c>
      <c r="D93" s="274">
        <f t="shared" ca="1" si="8"/>
        <v>0</v>
      </c>
      <c r="E93" s="274" t="str">
        <f>IF(L27=0,"",IF(L27="","",SUM(D93/L27)*Uurtariefopbouw!$F$15))</f>
        <v/>
      </c>
    </row>
    <row r="94" spans="1:9" hidden="1" x14ac:dyDescent="0.25">
      <c r="A94" s="274" t="str">
        <f t="shared" ca="1" si="7"/>
        <v>J</v>
      </c>
      <c r="D94" s="274">
        <f t="shared" ca="1" si="8"/>
        <v>0</v>
      </c>
      <c r="E94" s="274" t="str">
        <f>IF(L28=0,"",IF(L28="","",SUM(D94/L28)*Uurtariefopbouw!$F$15))</f>
        <v/>
      </c>
    </row>
    <row r="95" spans="1:9" hidden="1" x14ac:dyDescent="0.25">
      <c r="A95" s="274" t="str">
        <f t="shared" ca="1" si="7"/>
        <v>K</v>
      </c>
      <c r="D95" s="274">
        <f t="shared" ca="1" si="8"/>
        <v>2136</v>
      </c>
      <c r="E95" s="274" t="str">
        <f>IF(L29=0,"",IF(L29="","",SUM(D95/L29)*Uurtariefopbouw!$F$15))</f>
        <v/>
      </c>
    </row>
    <row r="96" spans="1:9" hidden="1" x14ac:dyDescent="0.25">
      <c r="A96" s="274" t="str">
        <f t="shared" ca="1" si="7"/>
        <v/>
      </c>
      <c r="D96" s="274">
        <f t="shared" ca="1" si="8"/>
        <v>0</v>
      </c>
      <c r="E96" s="274" t="str">
        <f>IF(L30=0,"",IF(L30="","",SUM(D96/L30)*Uurtariefopbouw!$F$15))</f>
        <v/>
      </c>
    </row>
    <row r="97" spans="1:5" hidden="1" x14ac:dyDescent="0.25">
      <c r="A97" s="274" t="str">
        <f t="shared" ca="1" si="7"/>
        <v/>
      </c>
      <c r="D97" s="274">
        <f t="shared" ca="1" si="8"/>
        <v>0</v>
      </c>
      <c r="E97" s="274" t="str">
        <f>IF(L31=0,"",IF(L31="","",SUM(D97/L31)*Uurtariefopbouw!$F$15))</f>
        <v/>
      </c>
    </row>
    <row r="98" spans="1:5" hidden="1" x14ac:dyDescent="0.25">
      <c r="A98" s="274" t="str">
        <f t="shared" ca="1" si="7"/>
        <v/>
      </c>
      <c r="D98" s="274">
        <f t="shared" ca="1" si="8"/>
        <v>0</v>
      </c>
      <c r="E98" s="274" t="str">
        <f>IF(L32=0,"",IF(L32="","",SUM(D98/L32)*Uurtariefopbouw!$F$15))</f>
        <v/>
      </c>
    </row>
    <row r="99" spans="1:5" hidden="1" x14ac:dyDescent="0.25">
      <c r="A99" s="274" t="str">
        <f t="shared" ca="1" si="7"/>
        <v/>
      </c>
      <c r="D99" s="274">
        <f t="shared" ca="1" si="8"/>
        <v>0</v>
      </c>
      <c r="E99" s="274" t="str">
        <f>IF(L33=0,"",IF(L33="","",SUM(D99/L33)*Uurtariefopbouw!$F$15))</f>
        <v/>
      </c>
    </row>
    <row r="100" spans="1:5" ht="15.75" hidden="1" thickBot="1" x14ac:dyDescent="0.3">
      <c r="A100" s="401" t="s">
        <v>72</v>
      </c>
      <c r="B100" s="401"/>
      <c r="C100" s="401"/>
      <c r="D100" s="401">
        <f ca="1">SUM(D85:D99)</f>
        <v>1062000</v>
      </c>
      <c r="E100" s="401">
        <f>SUM(E85:E99)</f>
        <v>0</v>
      </c>
    </row>
    <row r="101" spans="1:5" ht="15.75" hidden="1" thickTop="1" x14ac:dyDescent="0.25"/>
  </sheetData>
  <mergeCells count="16">
    <mergeCell ref="K17:K18"/>
    <mergeCell ref="L17:L18"/>
    <mergeCell ref="A71:I71"/>
    <mergeCell ref="A72:I72"/>
    <mergeCell ref="A73:I73"/>
    <mergeCell ref="A70:I70"/>
    <mergeCell ref="A69:I69"/>
    <mergeCell ref="A22:C22"/>
    <mergeCell ref="E19:F19"/>
    <mergeCell ref="A19:C19"/>
    <mergeCell ref="F4:G4"/>
    <mergeCell ref="F5:G5"/>
    <mergeCell ref="B6:E6"/>
    <mergeCell ref="B5:E5"/>
    <mergeCell ref="B4:E4"/>
    <mergeCell ref="F6:G6"/>
  </mergeCells>
  <conditionalFormatting sqref="K14">
    <cfRule type="cellIs" dxfId="19" priority="4" operator="equal">
      <formula>"Geen 100%"</formula>
    </cfRule>
  </conditionalFormatting>
  <conditionalFormatting sqref="G12">
    <cfRule type="containsText" dxfId="18" priority="2" operator="containsText" text="te laag">
      <formula>NOT(ISERROR(SEARCH("te laag",G12)))</formula>
    </cfRule>
  </conditionalFormatting>
  <conditionalFormatting sqref="G13">
    <cfRule type="containsText" dxfId="17" priority="1" operator="containsText" text="te laag">
      <formula>NOT(ISERROR(SEARCH("te laag",G13)))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 r:id="rId2"/>
  <legacyDrawingHF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ADB6B4D7-C34E-4691-9912-6FFAEFED2784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5">
    <tabColor rgb="FF173583"/>
  </sheetPr>
  <dimension ref="A1:R553"/>
  <sheetViews>
    <sheetView zoomScaleNormal="100" workbookViewId="0">
      <selection activeCell="N542" sqref="N542"/>
    </sheetView>
  </sheetViews>
  <sheetFormatPr defaultRowHeight="15" x14ac:dyDescent="0.25"/>
  <cols>
    <col min="1" max="1" width="6" style="5" customWidth="1"/>
    <col min="2" max="2" width="6.5703125" style="5" customWidth="1"/>
    <col min="3" max="3" width="25.42578125" style="3" customWidth="1"/>
    <col min="4" max="4" width="3" style="3" customWidth="1"/>
    <col min="5" max="5" width="3.7109375" style="3" customWidth="1"/>
    <col min="6" max="6" width="9.42578125" style="7" customWidth="1"/>
    <col min="7" max="7" width="10.5703125" style="7" customWidth="1"/>
    <col min="8" max="10" width="8.7109375" style="7" customWidth="1"/>
    <col min="11" max="11" width="10.7109375" style="7" customWidth="1"/>
    <col min="12" max="12" width="5.7109375" style="5" customWidth="1"/>
    <col min="13" max="13" width="11.7109375" bestFit="1" customWidth="1"/>
  </cols>
  <sheetData>
    <row r="1" spans="1:13" x14ac:dyDescent="0.25">
      <c r="A1" s="30">
        <f>'1'!H4</f>
        <v>1</v>
      </c>
      <c r="B1" s="28" t="s">
        <v>7</v>
      </c>
      <c r="C1" s="29"/>
      <c r="D1" s="35" t="str">
        <f>IF(VLOOKUP(A1,Verzamelblad!A5:E19,3)=0,"",VLOOKUP(A1,Verzamelblad!A5:E19,3))</f>
        <v>Gemeentehuis</v>
      </c>
      <c r="E1" s="36"/>
      <c r="F1" s="118"/>
      <c r="G1" s="118"/>
      <c r="H1" s="118"/>
      <c r="I1" s="118"/>
      <c r="J1" s="118"/>
      <c r="K1" s="37"/>
    </row>
    <row r="2" spans="1:13" x14ac:dyDescent="0.25">
      <c r="B2" s="28" t="s">
        <v>23</v>
      </c>
      <c r="C2" s="19"/>
      <c r="D2" s="35" t="str">
        <f>IF(CONCATENATE(VLOOKUP(A1,Verzamelblad!A5:E19,4)," te ",VLOOKUP(A1,Verzamelblad!A5:E19,5))=" te ","",CONCATENATE(VLOOKUP(A1,Verzamelblad!A5:E19,4)," te ",VLOOKUP(A1,Verzamelblad!A5:E19,5)))</f>
        <v>Stationstraat 18 te Buitenpost</v>
      </c>
      <c r="E2" s="36"/>
      <c r="F2" s="118"/>
      <c r="G2" s="118"/>
      <c r="H2" s="118"/>
      <c r="I2" s="118"/>
      <c r="J2" s="118"/>
      <c r="K2" s="37"/>
    </row>
    <row r="3" spans="1:13" ht="30" x14ac:dyDescent="0.25">
      <c r="A3" s="6" t="s">
        <v>146</v>
      </c>
      <c r="B3" s="6" t="s">
        <v>24</v>
      </c>
      <c r="C3" s="3" t="s">
        <v>25</v>
      </c>
      <c r="D3" s="3" t="s">
        <v>26</v>
      </c>
      <c r="E3" s="3" t="s">
        <v>27</v>
      </c>
      <c r="F3" s="8" t="s">
        <v>28</v>
      </c>
      <c r="G3" s="8" t="s">
        <v>29</v>
      </c>
      <c r="H3" s="8" t="s">
        <v>30</v>
      </c>
      <c r="I3" s="8" t="s">
        <v>31</v>
      </c>
      <c r="J3" s="186" t="s">
        <v>257</v>
      </c>
      <c r="K3" s="8" t="s">
        <v>5</v>
      </c>
      <c r="L3" s="6" t="s">
        <v>32</v>
      </c>
      <c r="M3" s="3" t="s">
        <v>33</v>
      </c>
    </row>
    <row r="4" spans="1:13" x14ac:dyDescent="0.25">
      <c r="C4" s="237" t="s">
        <v>301</v>
      </c>
      <c r="F4"/>
      <c r="G4"/>
      <c r="H4"/>
      <c r="I4"/>
      <c r="J4"/>
      <c r="L4" s="247"/>
    </row>
    <row r="5" spans="1:13" x14ac:dyDescent="0.25">
      <c r="A5" s="5" t="s">
        <v>324</v>
      </c>
      <c r="B5" s="241" t="s">
        <v>325</v>
      </c>
      <c r="C5" s="3" t="s">
        <v>268</v>
      </c>
      <c r="E5" s="3" t="s">
        <v>291</v>
      </c>
      <c r="F5" s="8">
        <v>26</v>
      </c>
      <c r="K5" s="7">
        <f>SUM(F5:J5)</f>
        <v>26</v>
      </c>
      <c r="L5" s="247">
        <f t="shared" ref="L5:L36" si="0">IF(D5="X",0,IF(E5="",0,IF(E5="X",0,VLOOKUP(E5,$F$539:$G$553,2))))</f>
        <v>260</v>
      </c>
      <c r="M5">
        <f t="shared" ref="M5:M29" si="1">SUM(K5*L5)</f>
        <v>6760</v>
      </c>
    </row>
    <row r="6" spans="1:13" x14ac:dyDescent="0.25">
      <c r="A6" s="5" t="s">
        <v>324</v>
      </c>
      <c r="B6" s="241" t="s">
        <v>326</v>
      </c>
      <c r="C6" s="3" t="s">
        <v>327</v>
      </c>
      <c r="E6" s="3" t="s">
        <v>291</v>
      </c>
      <c r="J6" s="7">
        <v>150</v>
      </c>
      <c r="K6" s="7">
        <f t="shared" ref="K6:K70" si="2">SUM(F6:J6)</f>
        <v>150</v>
      </c>
      <c r="L6" s="247">
        <f t="shared" si="0"/>
        <v>260</v>
      </c>
      <c r="M6">
        <f t="shared" si="1"/>
        <v>39000</v>
      </c>
    </row>
    <row r="7" spans="1:13" x14ac:dyDescent="0.25">
      <c r="A7" s="5" t="s">
        <v>324</v>
      </c>
      <c r="B7" s="241" t="s">
        <v>328</v>
      </c>
      <c r="C7" s="3" t="s">
        <v>329</v>
      </c>
      <c r="E7" s="3" t="s">
        <v>291</v>
      </c>
      <c r="J7" s="7">
        <v>188</v>
      </c>
      <c r="K7" s="7">
        <f t="shared" si="2"/>
        <v>188</v>
      </c>
      <c r="L7" s="247">
        <f t="shared" si="0"/>
        <v>260</v>
      </c>
      <c r="M7">
        <f t="shared" si="1"/>
        <v>48880</v>
      </c>
    </row>
    <row r="8" spans="1:13" x14ac:dyDescent="0.25">
      <c r="A8" s="5" t="s">
        <v>324</v>
      </c>
      <c r="B8" s="241"/>
      <c r="C8" s="3" t="s">
        <v>330</v>
      </c>
      <c r="E8" s="3" t="s">
        <v>291</v>
      </c>
      <c r="K8" s="7">
        <f t="shared" si="2"/>
        <v>0</v>
      </c>
      <c r="L8" s="247">
        <f t="shared" si="0"/>
        <v>260</v>
      </c>
      <c r="M8">
        <f t="shared" si="1"/>
        <v>0</v>
      </c>
    </row>
    <row r="9" spans="1:13" x14ac:dyDescent="0.25">
      <c r="A9" s="5" t="s">
        <v>324</v>
      </c>
      <c r="B9" s="241" t="s">
        <v>331</v>
      </c>
      <c r="C9" s="3" t="s">
        <v>332</v>
      </c>
      <c r="E9" s="3" t="s">
        <v>291</v>
      </c>
      <c r="J9" s="7">
        <v>9</v>
      </c>
      <c r="K9" s="7">
        <f t="shared" si="2"/>
        <v>9</v>
      </c>
      <c r="L9" s="247">
        <f t="shared" si="0"/>
        <v>260</v>
      </c>
      <c r="M9">
        <f t="shared" si="1"/>
        <v>2340</v>
      </c>
    </row>
    <row r="10" spans="1:13" x14ac:dyDescent="0.25">
      <c r="A10" s="5" t="s">
        <v>324</v>
      </c>
      <c r="B10" s="241" t="s">
        <v>333</v>
      </c>
      <c r="C10" s="3" t="s">
        <v>334</v>
      </c>
      <c r="E10" s="3" t="s">
        <v>293</v>
      </c>
      <c r="J10" s="7">
        <v>8</v>
      </c>
      <c r="K10" s="7">
        <f t="shared" si="2"/>
        <v>8</v>
      </c>
      <c r="L10" s="247">
        <f t="shared" si="0"/>
        <v>260</v>
      </c>
      <c r="M10">
        <f t="shared" si="1"/>
        <v>2080</v>
      </c>
    </row>
    <row r="11" spans="1:13" x14ac:dyDescent="0.25">
      <c r="A11" s="5" t="s">
        <v>324</v>
      </c>
      <c r="B11" s="241" t="s">
        <v>335</v>
      </c>
      <c r="C11" s="3" t="s">
        <v>336</v>
      </c>
      <c r="E11" s="3" t="s">
        <v>293</v>
      </c>
      <c r="J11" s="7">
        <v>4.5</v>
      </c>
      <c r="K11" s="7">
        <f t="shared" si="2"/>
        <v>4.5</v>
      </c>
      <c r="L11" s="247">
        <f t="shared" si="0"/>
        <v>260</v>
      </c>
      <c r="M11">
        <f t="shared" si="1"/>
        <v>1170</v>
      </c>
    </row>
    <row r="12" spans="1:13" x14ac:dyDescent="0.25">
      <c r="A12" s="5" t="s">
        <v>324</v>
      </c>
      <c r="B12" s="241" t="s">
        <v>337</v>
      </c>
      <c r="C12" s="3" t="s">
        <v>338</v>
      </c>
      <c r="E12" s="3" t="s">
        <v>293</v>
      </c>
      <c r="K12" s="7">
        <f t="shared" si="2"/>
        <v>0</v>
      </c>
      <c r="L12" s="247">
        <f t="shared" si="0"/>
        <v>260</v>
      </c>
      <c r="M12">
        <f t="shared" si="1"/>
        <v>0</v>
      </c>
    </row>
    <row r="13" spans="1:13" x14ac:dyDescent="0.25">
      <c r="A13" s="5" t="s">
        <v>324</v>
      </c>
      <c r="B13" s="241" t="s">
        <v>339</v>
      </c>
      <c r="C13" s="3" t="s">
        <v>340</v>
      </c>
      <c r="E13" s="3" t="s">
        <v>269</v>
      </c>
      <c r="H13" s="7">
        <v>180</v>
      </c>
      <c r="J13" s="7">
        <v>45</v>
      </c>
      <c r="K13" s="7">
        <f t="shared" si="2"/>
        <v>225</v>
      </c>
      <c r="L13" s="247">
        <f t="shared" si="0"/>
        <v>260</v>
      </c>
      <c r="M13">
        <f t="shared" si="1"/>
        <v>58500</v>
      </c>
    </row>
    <row r="14" spans="1:13" x14ac:dyDescent="0.25">
      <c r="B14" s="241" t="s">
        <v>341</v>
      </c>
      <c r="C14" s="3" t="s">
        <v>342</v>
      </c>
      <c r="E14" s="3" t="s">
        <v>297</v>
      </c>
      <c r="G14" s="7">
        <v>27</v>
      </c>
      <c r="K14" s="7">
        <f t="shared" si="2"/>
        <v>27</v>
      </c>
      <c r="L14" s="247">
        <f t="shared" si="0"/>
        <v>0</v>
      </c>
      <c r="M14">
        <f t="shared" si="1"/>
        <v>0</v>
      </c>
    </row>
    <row r="15" spans="1:13" x14ac:dyDescent="0.25">
      <c r="B15" s="241" t="s">
        <v>343</v>
      </c>
      <c r="C15" s="3" t="s">
        <v>344</v>
      </c>
      <c r="E15" s="3" t="s">
        <v>289</v>
      </c>
      <c r="F15" s="7">
        <v>37</v>
      </c>
      <c r="K15" s="7">
        <f t="shared" si="2"/>
        <v>37</v>
      </c>
      <c r="L15" s="247">
        <f t="shared" si="0"/>
        <v>104</v>
      </c>
      <c r="M15">
        <f t="shared" si="1"/>
        <v>3848</v>
      </c>
    </row>
    <row r="16" spans="1:13" x14ac:dyDescent="0.25">
      <c r="B16" s="241" t="s">
        <v>345</v>
      </c>
      <c r="C16" s="3" t="s">
        <v>344</v>
      </c>
      <c r="E16" s="3" t="s">
        <v>289</v>
      </c>
      <c r="F16" s="7">
        <v>27</v>
      </c>
      <c r="K16" s="7">
        <f t="shared" si="2"/>
        <v>27</v>
      </c>
      <c r="L16" s="247">
        <f t="shared" si="0"/>
        <v>104</v>
      </c>
      <c r="M16">
        <f t="shared" si="1"/>
        <v>2808</v>
      </c>
    </row>
    <row r="17" spans="1:13" x14ac:dyDescent="0.25">
      <c r="A17" s="5" t="s">
        <v>324</v>
      </c>
      <c r="B17" s="241" t="s">
        <v>346</v>
      </c>
      <c r="C17" s="3" t="s">
        <v>347</v>
      </c>
      <c r="E17" s="3" t="s">
        <v>269</v>
      </c>
      <c r="J17" s="7">
        <v>14</v>
      </c>
      <c r="K17" s="7">
        <f t="shared" si="2"/>
        <v>14</v>
      </c>
      <c r="L17" s="247">
        <f t="shared" si="0"/>
        <v>260</v>
      </c>
      <c r="M17">
        <f t="shared" si="1"/>
        <v>3640</v>
      </c>
    </row>
    <row r="18" spans="1:13" x14ac:dyDescent="0.25">
      <c r="B18" s="241" t="s">
        <v>348</v>
      </c>
      <c r="C18" s="3" t="s">
        <v>349</v>
      </c>
      <c r="E18" s="3" t="s">
        <v>297</v>
      </c>
      <c r="J18" s="7">
        <v>4</v>
      </c>
      <c r="K18" s="7">
        <f t="shared" si="2"/>
        <v>4</v>
      </c>
      <c r="L18" s="247">
        <f t="shared" si="0"/>
        <v>0</v>
      </c>
      <c r="M18">
        <f t="shared" si="1"/>
        <v>0</v>
      </c>
    </row>
    <row r="19" spans="1:13" x14ac:dyDescent="0.25">
      <c r="B19" s="241" t="s">
        <v>350</v>
      </c>
      <c r="C19" s="3" t="s">
        <v>276</v>
      </c>
      <c r="E19" s="3" t="s">
        <v>291</v>
      </c>
      <c r="F19" s="7">
        <v>17</v>
      </c>
      <c r="K19" s="7">
        <f t="shared" si="2"/>
        <v>17</v>
      </c>
      <c r="L19" s="247">
        <f t="shared" si="0"/>
        <v>260</v>
      </c>
      <c r="M19">
        <f t="shared" si="1"/>
        <v>4420</v>
      </c>
    </row>
    <row r="20" spans="1:13" x14ac:dyDescent="0.25">
      <c r="B20" s="241" t="s">
        <v>351</v>
      </c>
      <c r="C20" s="3" t="s">
        <v>352</v>
      </c>
      <c r="E20" s="3" t="s">
        <v>291</v>
      </c>
      <c r="F20" s="7">
        <v>7</v>
      </c>
      <c r="K20" s="7">
        <f t="shared" si="2"/>
        <v>7</v>
      </c>
      <c r="L20" s="247">
        <f t="shared" si="0"/>
        <v>260</v>
      </c>
      <c r="M20">
        <f t="shared" si="1"/>
        <v>1820</v>
      </c>
    </row>
    <row r="21" spans="1:13" x14ac:dyDescent="0.25">
      <c r="B21" s="241"/>
      <c r="C21" s="3" t="s">
        <v>353</v>
      </c>
      <c r="E21" s="3" t="s">
        <v>291</v>
      </c>
      <c r="K21" s="7">
        <f t="shared" si="2"/>
        <v>0</v>
      </c>
      <c r="L21" s="247">
        <f t="shared" si="0"/>
        <v>260</v>
      </c>
      <c r="M21">
        <f t="shared" si="1"/>
        <v>0</v>
      </c>
    </row>
    <row r="22" spans="1:13" x14ac:dyDescent="0.25">
      <c r="B22" s="241" t="s">
        <v>354</v>
      </c>
      <c r="C22" s="3" t="s">
        <v>355</v>
      </c>
      <c r="E22" s="3" t="s">
        <v>289</v>
      </c>
      <c r="F22" s="7">
        <v>20</v>
      </c>
      <c r="K22" s="7">
        <f t="shared" si="2"/>
        <v>20</v>
      </c>
      <c r="L22" s="247">
        <f t="shared" si="0"/>
        <v>104</v>
      </c>
      <c r="M22">
        <f t="shared" si="1"/>
        <v>2080</v>
      </c>
    </row>
    <row r="23" spans="1:13" x14ac:dyDescent="0.25">
      <c r="B23" s="241" t="s">
        <v>356</v>
      </c>
      <c r="C23" s="3" t="s">
        <v>357</v>
      </c>
      <c r="E23" s="3" t="s">
        <v>289</v>
      </c>
      <c r="F23" s="7">
        <v>25</v>
      </c>
      <c r="K23" s="7">
        <f t="shared" si="2"/>
        <v>25</v>
      </c>
      <c r="L23" s="247">
        <f t="shared" si="0"/>
        <v>104</v>
      </c>
      <c r="M23">
        <f t="shared" si="1"/>
        <v>2600</v>
      </c>
    </row>
    <row r="24" spans="1:13" x14ac:dyDescent="0.25">
      <c r="B24" s="241" t="s">
        <v>358</v>
      </c>
      <c r="C24" s="3" t="s">
        <v>279</v>
      </c>
      <c r="E24" s="3" t="s">
        <v>289</v>
      </c>
      <c r="F24" s="7">
        <v>22</v>
      </c>
      <c r="K24" s="7">
        <f t="shared" si="2"/>
        <v>22</v>
      </c>
      <c r="L24" s="247">
        <f t="shared" si="0"/>
        <v>104</v>
      </c>
      <c r="M24">
        <f t="shared" si="1"/>
        <v>2288</v>
      </c>
    </row>
    <row r="25" spans="1:13" x14ac:dyDescent="0.25">
      <c r="A25" s="5" t="s">
        <v>324</v>
      </c>
      <c r="B25" s="241" t="s">
        <v>359</v>
      </c>
      <c r="C25" s="3" t="s">
        <v>360</v>
      </c>
      <c r="E25" s="3" t="s">
        <v>269</v>
      </c>
      <c r="F25" s="7">
        <v>17</v>
      </c>
      <c r="K25" s="7">
        <f t="shared" si="2"/>
        <v>17</v>
      </c>
      <c r="L25" s="247">
        <f t="shared" si="0"/>
        <v>260</v>
      </c>
      <c r="M25">
        <f t="shared" si="1"/>
        <v>4420</v>
      </c>
    </row>
    <row r="26" spans="1:13" x14ac:dyDescent="0.25">
      <c r="A26" s="5" t="s">
        <v>324</v>
      </c>
      <c r="B26" s="241" t="s">
        <v>361</v>
      </c>
      <c r="C26" s="3" t="s">
        <v>362</v>
      </c>
      <c r="E26" s="3" t="s">
        <v>269</v>
      </c>
      <c r="F26" s="7">
        <v>17</v>
      </c>
      <c r="K26" s="7">
        <f t="shared" si="2"/>
        <v>17</v>
      </c>
      <c r="L26" s="247">
        <f t="shared" si="0"/>
        <v>260</v>
      </c>
      <c r="M26">
        <f t="shared" si="1"/>
        <v>4420</v>
      </c>
    </row>
    <row r="27" spans="1:13" x14ac:dyDescent="0.25">
      <c r="A27" s="5" t="s">
        <v>324</v>
      </c>
      <c r="B27" s="241" t="s">
        <v>363</v>
      </c>
      <c r="C27" s="3" t="s">
        <v>364</v>
      </c>
      <c r="E27" s="3" t="s">
        <v>269</v>
      </c>
      <c r="F27" s="7">
        <v>17</v>
      </c>
      <c r="K27" s="7">
        <f t="shared" si="2"/>
        <v>17</v>
      </c>
      <c r="L27" s="247">
        <f t="shared" si="0"/>
        <v>260</v>
      </c>
      <c r="M27">
        <f t="shared" si="1"/>
        <v>4420</v>
      </c>
    </row>
    <row r="28" spans="1:13" x14ac:dyDescent="0.25">
      <c r="A28" s="5" t="s">
        <v>324</v>
      </c>
      <c r="B28" s="241" t="s">
        <v>365</v>
      </c>
      <c r="C28" s="3" t="s">
        <v>366</v>
      </c>
      <c r="E28" s="3" t="s">
        <v>269</v>
      </c>
      <c r="F28" s="7">
        <v>17</v>
      </c>
      <c r="K28" s="7">
        <f t="shared" si="2"/>
        <v>17</v>
      </c>
      <c r="L28" s="247">
        <f t="shared" si="0"/>
        <v>260</v>
      </c>
      <c r="M28">
        <f t="shared" si="1"/>
        <v>4420</v>
      </c>
    </row>
    <row r="29" spans="1:13" x14ac:dyDescent="0.25">
      <c r="A29" s="5" t="s">
        <v>324</v>
      </c>
      <c r="B29" s="241" t="s">
        <v>367</v>
      </c>
      <c r="C29" s="3" t="s">
        <v>368</v>
      </c>
      <c r="E29" s="3" t="s">
        <v>269</v>
      </c>
      <c r="F29" s="7">
        <v>17</v>
      </c>
      <c r="K29" s="7">
        <f t="shared" si="2"/>
        <v>17</v>
      </c>
      <c r="L29" s="247">
        <f t="shared" si="0"/>
        <v>260</v>
      </c>
      <c r="M29">
        <f t="shared" si="1"/>
        <v>4420</v>
      </c>
    </row>
    <row r="30" spans="1:13" x14ac:dyDescent="0.25">
      <c r="A30" s="5" t="s">
        <v>324</v>
      </c>
      <c r="B30" s="241" t="s">
        <v>359</v>
      </c>
      <c r="C30" s="3" t="s">
        <v>276</v>
      </c>
      <c r="E30" s="3" t="s">
        <v>291</v>
      </c>
      <c r="J30" s="7">
        <v>179</v>
      </c>
      <c r="K30" s="7">
        <f t="shared" si="2"/>
        <v>179</v>
      </c>
      <c r="L30" s="247">
        <f t="shared" si="0"/>
        <v>260</v>
      </c>
      <c r="M30">
        <f t="shared" ref="M30:M68" si="3">SUM(K30*L30)</f>
        <v>46540</v>
      </c>
    </row>
    <row r="31" spans="1:13" x14ac:dyDescent="0.25">
      <c r="B31" s="241"/>
      <c r="C31" s="3" t="s">
        <v>369</v>
      </c>
      <c r="E31" s="3" t="s">
        <v>291</v>
      </c>
      <c r="I31" s="7">
        <v>16</v>
      </c>
      <c r="K31" s="7">
        <f t="shared" si="2"/>
        <v>16</v>
      </c>
      <c r="L31" s="247">
        <f t="shared" si="0"/>
        <v>260</v>
      </c>
      <c r="M31">
        <f t="shared" si="3"/>
        <v>4160</v>
      </c>
    </row>
    <row r="32" spans="1:13" x14ac:dyDescent="0.25">
      <c r="B32" s="241" t="s">
        <v>370</v>
      </c>
      <c r="C32" s="3" t="s">
        <v>371</v>
      </c>
      <c r="E32" s="3" t="s">
        <v>291</v>
      </c>
      <c r="F32" s="7">
        <v>115</v>
      </c>
      <c r="K32" s="7">
        <f t="shared" si="2"/>
        <v>115</v>
      </c>
      <c r="L32" s="247">
        <f t="shared" si="0"/>
        <v>260</v>
      </c>
      <c r="M32">
        <f t="shared" si="3"/>
        <v>29900</v>
      </c>
    </row>
    <row r="33" spans="2:18" x14ac:dyDescent="0.25">
      <c r="B33" s="241" t="s">
        <v>372</v>
      </c>
      <c r="C33" s="3" t="s">
        <v>270</v>
      </c>
      <c r="E33" s="3" t="s">
        <v>289</v>
      </c>
      <c r="F33" s="7">
        <v>26</v>
      </c>
      <c r="K33" s="7">
        <f t="shared" si="2"/>
        <v>26</v>
      </c>
      <c r="L33" s="247">
        <f t="shared" si="0"/>
        <v>104</v>
      </c>
      <c r="M33">
        <f t="shared" si="3"/>
        <v>2704</v>
      </c>
    </row>
    <row r="34" spans="2:18" x14ac:dyDescent="0.25">
      <c r="B34" s="241" t="s">
        <v>373</v>
      </c>
      <c r="C34" s="3" t="s">
        <v>270</v>
      </c>
      <c r="E34" s="3" t="s">
        <v>289</v>
      </c>
      <c r="F34" s="7">
        <v>25</v>
      </c>
      <c r="K34" s="7">
        <f t="shared" si="2"/>
        <v>25</v>
      </c>
      <c r="L34" s="247">
        <f t="shared" si="0"/>
        <v>104</v>
      </c>
      <c r="M34">
        <f t="shared" si="3"/>
        <v>2600</v>
      </c>
    </row>
    <row r="35" spans="2:18" x14ac:dyDescent="0.25">
      <c r="B35" s="241" t="s">
        <v>374</v>
      </c>
      <c r="C35" s="3" t="s">
        <v>375</v>
      </c>
      <c r="E35" s="3" t="s">
        <v>289</v>
      </c>
      <c r="F35" s="7">
        <v>33</v>
      </c>
      <c r="K35" s="7">
        <f t="shared" si="2"/>
        <v>33</v>
      </c>
      <c r="L35" s="247">
        <f t="shared" si="0"/>
        <v>104</v>
      </c>
      <c r="M35">
        <f t="shared" si="3"/>
        <v>3432</v>
      </c>
    </row>
    <row r="36" spans="2:18" x14ac:dyDescent="0.25">
      <c r="B36" s="241" t="s">
        <v>376</v>
      </c>
      <c r="C36" s="3" t="s">
        <v>377</v>
      </c>
      <c r="E36" s="3" t="s">
        <v>289</v>
      </c>
      <c r="F36" s="7">
        <v>25</v>
      </c>
      <c r="K36" s="7">
        <f t="shared" si="2"/>
        <v>25</v>
      </c>
      <c r="L36" s="247">
        <f t="shared" si="0"/>
        <v>104</v>
      </c>
      <c r="M36">
        <f t="shared" si="3"/>
        <v>2600</v>
      </c>
    </row>
    <row r="37" spans="2:18" x14ac:dyDescent="0.25">
      <c r="B37" s="241" t="s">
        <v>378</v>
      </c>
      <c r="C37" s="3" t="s">
        <v>379</v>
      </c>
      <c r="E37" s="3" t="s">
        <v>297</v>
      </c>
      <c r="G37" s="7">
        <v>24</v>
      </c>
      <c r="K37" s="7">
        <f t="shared" si="2"/>
        <v>24</v>
      </c>
      <c r="L37" s="247">
        <f t="shared" ref="L37:L68" si="4">IF(D37="X",0,IF(E37="",0,IF(E37="X",0,VLOOKUP(E37,$F$539:$G$553,2))))</f>
        <v>0</v>
      </c>
      <c r="M37">
        <f t="shared" si="3"/>
        <v>0</v>
      </c>
    </row>
    <row r="38" spans="2:18" x14ac:dyDescent="0.25">
      <c r="B38" s="241"/>
      <c r="C38" s="3" t="s">
        <v>369</v>
      </c>
      <c r="E38" s="3" t="s">
        <v>291</v>
      </c>
      <c r="G38" s="7">
        <v>10</v>
      </c>
      <c r="I38" s="7">
        <v>6.5</v>
      </c>
      <c r="K38" s="7">
        <f t="shared" si="2"/>
        <v>16.5</v>
      </c>
      <c r="L38" s="247">
        <f t="shared" si="4"/>
        <v>260</v>
      </c>
      <c r="M38">
        <f t="shared" si="3"/>
        <v>4290</v>
      </c>
    </row>
    <row r="39" spans="2:18" x14ac:dyDescent="0.25">
      <c r="B39" s="251" t="s">
        <v>380</v>
      </c>
      <c r="C39" s="135" t="s">
        <v>381</v>
      </c>
      <c r="D39" s="135"/>
      <c r="E39" s="135" t="s">
        <v>296</v>
      </c>
      <c r="F39" s="137"/>
      <c r="G39" s="137">
        <v>13</v>
      </c>
      <c r="H39" s="137"/>
      <c r="I39" s="137"/>
      <c r="J39" s="137"/>
      <c r="K39" s="137">
        <f t="shared" si="2"/>
        <v>13</v>
      </c>
      <c r="L39" s="247">
        <f t="shared" si="4"/>
        <v>12</v>
      </c>
      <c r="M39">
        <f t="shared" si="3"/>
        <v>156</v>
      </c>
      <c r="N39" s="242"/>
      <c r="O39" s="20"/>
      <c r="P39" s="20"/>
      <c r="Q39" s="20"/>
      <c r="R39" s="20"/>
    </row>
    <row r="40" spans="2:18" x14ac:dyDescent="0.25">
      <c r="B40" s="251" t="s">
        <v>382</v>
      </c>
      <c r="C40" s="135" t="s">
        <v>383</v>
      </c>
      <c r="D40" s="135"/>
      <c r="E40" s="135" t="s">
        <v>297</v>
      </c>
      <c r="F40" s="137"/>
      <c r="G40" s="137">
        <v>6</v>
      </c>
      <c r="H40" s="137"/>
      <c r="I40" s="137"/>
      <c r="J40" s="137"/>
      <c r="K40" s="137">
        <f t="shared" si="2"/>
        <v>6</v>
      </c>
      <c r="L40" s="247">
        <f t="shared" si="4"/>
        <v>0</v>
      </c>
      <c r="M40">
        <f t="shared" si="3"/>
        <v>0</v>
      </c>
      <c r="N40" s="20"/>
      <c r="O40" s="20"/>
      <c r="P40" s="20"/>
      <c r="Q40" s="20"/>
      <c r="R40" s="20"/>
    </row>
    <row r="41" spans="2:18" x14ac:dyDescent="0.25">
      <c r="B41" s="251" t="s">
        <v>335</v>
      </c>
      <c r="C41" s="135" t="s">
        <v>384</v>
      </c>
      <c r="D41" s="135"/>
      <c r="E41" s="135" t="s">
        <v>296</v>
      </c>
      <c r="F41" s="137"/>
      <c r="G41" s="137">
        <v>28</v>
      </c>
      <c r="H41" s="137"/>
      <c r="I41" s="137"/>
      <c r="J41" s="137"/>
      <c r="K41" s="137">
        <f t="shared" si="2"/>
        <v>28</v>
      </c>
      <c r="L41" s="247">
        <f t="shared" si="4"/>
        <v>12</v>
      </c>
      <c r="M41">
        <f t="shared" si="3"/>
        <v>336</v>
      </c>
      <c r="N41" s="242"/>
      <c r="O41" s="20"/>
      <c r="P41" s="20"/>
      <c r="Q41" s="20"/>
      <c r="R41" s="20"/>
    </row>
    <row r="42" spans="2:18" x14ac:dyDescent="0.25">
      <c r="B42" s="251" t="s">
        <v>385</v>
      </c>
      <c r="C42" s="135" t="s">
        <v>384</v>
      </c>
      <c r="D42" s="135"/>
      <c r="E42" s="135" t="s">
        <v>296</v>
      </c>
      <c r="F42" s="137"/>
      <c r="G42" s="137">
        <v>36</v>
      </c>
      <c r="H42" s="137"/>
      <c r="I42" s="137"/>
      <c r="J42" s="137"/>
      <c r="K42" s="137">
        <f t="shared" si="2"/>
        <v>36</v>
      </c>
      <c r="L42" s="247">
        <f t="shared" si="4"/>
        <v>12</v>
      </c>
      <c r="M42">
        <f t="shared" si="3"/>
        <v>432</v>
      </c>
      <c r="N42" s="242"/>
      <c r="O42" s="20"/>
      <c r="P42" s="20"/>
      <c r="Q42" s="20"/>
      <c r="R42" s="20"/>
    </row>
    <row r="43" spans="2:18" x14ac:dyDescent="0.25">
      <c r="B43" s="251" t="s">
        <v>386</v>
      </c>
      <c r="C43" s="135" t="s">
        <v>387</v>
      </c>
      <c r="D43" s="135"/>
      <c r="E43" s="135" t="s">
        <v>297</v>
      </c>
      <c r="F43" s="137"/>
      <c r="G43" s="137">
        <v>21</v>
      </c>
      <c r="H43" s="137"/>
      <c r="I43" s="137"/>
      <c r="J43" s="137"/>
      <c r="K43" s="137">
        <f t="shared" si="2"/>
        <v>21</v>
      </c>
      <c r="L43" s="247">
        <f t="shared" si="4"/>
        <v>0</v>
      </c>
      <c r="M43">
        <f t="shared" si="3"/>
        <v>0</v>
      </c>
      <c r="N43" s="242"/>
      <c r="O43" s="20"/>
      <c r="P43" s="243"/>
      <c r="Q43" s="243"/>
      <c r="R43" s="243"/>
    </row>
    <row r="44" spans="2:18" x14ac:dyDescent="0.25">
      <c r="B44" s="251"/>
      <c r="C44" s="135" t="s">
        <v>388</v>
      </c>
      <c r="D44" s="135"/>
      <c r="E44" s="135" t="s">
        <v>297</v>
      </c>
      <c r="F44" s="137"/>
      <c r="G44" s="137"/>
      <c r="H44" s="137"/>
      <c r="I44" s="137"/>
      <c r="J44" s="137">
        <v>12</v>
      </c>
      <c r="K44" s="137">
        <f t="shared" si="2"/>
        <v>12</v>
      </c>
      <c r="L44" s="247">
        <f t="shared" si="4"/>
        <v>0</v>
      </c>
      <c r="M44">
        <f t="shared" si="3"/>
        <v>0</v>
      </c>
      <c r="N44" s="242"/>
      <c r="O44" s="20"/>
      <c r="P44" s="243"/>
      <c r="Q44" s="243"/>
      <c r="R44" s="243"/>
    </row>
    <row r="45" spans="2:18" x14ac:dyDescent="0.25">
      <c r="B45" s="251" t="s">
        <v>389</v>
      </c>
      <c r="C45" s="135" t="s">
        <v>390</v>
      </c>
      <c r="D45" s="135"/>
      <c r="E45" s="135" t="s">
        <v>296</v>
      </c>
      <c r="F45" s="137"/>
      <c r="G45" s="137">
        <v>101</v>
      </c>
      <c r="H45" s="137"/>
      <c r="I45" s="137"/>
      <c r="J45" s="137"/>
      <c r="K45" s="137">
        <f t="shared" si="2"/>
        <v>101</v>
      </c>
      <c r="L45" s="247">
        <f t="shared" si="4"/>
        <v>12</v>
      </c>
      <c r="M45">
        <f t="shared" si="3"/>
        <v>1212</v>
      </c>
      <c r="N45" s="242"/>
      <c r="O45" s="20"/>
      <c r="P45" s="243"/>
      <c r="Q45" s="243"/>
      <c r="R45" s="243"/>
    </row>
    <row r="46" spans="2:18" x14ac:dyDescent="0.25">
      <c r="B46" s="241" t="s">
        <v>391</v>
      </c>
      <c r="C46" s="3" t="s">
        <v>276</v>
      </c>
      <c r="E46" s="3" t="s">
        <v>291</v>
      </c>
      <c r="F46" s="7">
        <v>49</v>
      </c>
      <c r="K46" s="7">
        <f t="shared" si="2"/>
        <v>49</v>
      </c>
      <c r="L46" s="247">
        <f t="shared" si="4"/>
        <v>260</v>
      </c>
      <c r="M46">
        <f t="shared" si="3"/>
        <v>12740</v>
      </c>
    </row>
    <row r="47" spans="2:18" x14ac:dyDescent="0.25">
      <c r="B47" s="241" t="s">
        <v>392</v>
      </c>
      <c r="C47" s="3" t="s">
        <v>276</v>
      </c>
      <c r="E47" s="3" t="s">
        <v>291</v>
      </c>
      <c r="F47" s="7">
        <v>182</v>
      </c>
      <c r="K47" s="7">
        <f t="shared" si="2"/>
        <v>182</v>
      </c>
      <c r="L47" s="247">
        <f t="shared" si="4"/>
        <v>260</v>
      </c>
      <c r="M47">
        <f t="shared" si="3"/>
        <v>47320</v>
      </c>
    </row>
    <row r="48" spans="2:18" x14ac:dyDescent="0.25">
      <c r="B48" s="241" t="s">
        <v>570</v>
      </c>
      <c r="C48" s="3" t="s">
        <v>571</v>
      </c>
      <c r="E48" s="3" t="s">
        <v>289</v>
      </c>
      <c r="F48" s="7">
        <v>52</v>
      </c>
      <c r="K48" s="7">
        <f t="shared" si="2"/>
        <v>52</v>
      </c>
      <c r="L48" s="247">
        <f t="shared" si="4"/>
        <v>104</v>
      </c>
      <c r="M48">
        <f t="shared" si="3"/>
        <v>5408</v>
      </c>
    </row>
    <row r="49" spans="2:13" hidden="1" x14ac:dyDescent="0.25">
      <c r="B49" s="241"/>
      <c r="K49" s="7">
        <f t="shared" si="2"/>
        <v>0</v>
      </c>
      <c r="L49" s="247">
        <f t="shared" si="4"/>
        <v>0</v>
      </c>
      <c r="M49">
        <f t="shared" si="3"/>
        <v>0</v>
      </c>
    </row>
    <row r="50" spans="2:13" x14ac:dyDescent="0.25">
      <c r="B50" s="241"/>
      <c r="C50" s="3" t="s">
        <v>369</v>
      </c>
      <c r="E50" s="3" t="s">
        <v>291</v>
      </c>
      <c r="G50" s="7">
        <v>9</v>
      </c>
      <c r="I50" s="7">
        <v>4.5</v>
      </c>
      <c r="K50" s="7">
        <f t="shared" si="2"/>
        <v>13.5</v>
      </c>
      <c r="L50" s="247">
        <f t="shared" si="4"/>
        <v>260</v>
      </c>
      <c r="M50">
        <f t="shared" si="3"/>
        <v>3510</v>
      </c>
    </row>
    <row r="51" spans="2:13" x14ac:dyDescent="0.25">
      <c r="B51" s="241" t="s">
        <v>394</v>
      </c>
      <c r="C51" s="3" t="s">
        <v>279</v>
      </c>
      <c r="E51" s="3" t="s">
        <v>289</v>
      </c>
      <c r="F51" s="7">
        <v>8</v>
      </c>
      <c r="K51" s="7">
        <f t="shared" si="2"/>
        <v>8</v>
      </c>
      <c r="L51" s="247">
        <f t="shared" si="4"/>
        <v>104</v>
      </c>
      <c r="M51">
        <f t="shared" si="3"/>
        <v>832</v>
      </c>
    </row>
    <row r="52" spans="2:13" x14ac:dyDescent="0.25">
      <c r="B52" s="241" t="s">
        <v>395</v>
      </c>
      <c r="C52" s="3" t="s">
        <v>279</v>
      </c>
      <c r="E52" s="3" t="s">
        <v>289</v>
      </c>
      <c r="F52" s="7">
        <v>8</v>
      </c>
      <c r="K52" s="7">
        <f t="shared" si="2"/>
        <v>8</v>
      </c>
      <c r="L52" s="247">
        <f t="shared" si="4"/>
        <v>104</v>
      </c>
      <c r="M52">
        <f t="shared" si="3"/>
        <v>832</v>
      </c>
    </row>
    <row r="53" spans="2:13" x14ac:dyDescent="0.25">
      <c r="B53" s="241"/>
      <c r="C53" s="3" t="s">
        <v>379</v>
      </c>
      <c r="E53" s="3" t="s">
        <v>297</v>
      </c>
      <c r="K53" s="7">
        <f t="shared" si="2"/>
        <v>0</v>
      </c>
      <c r="L53" s="247">
        <f t="shared" si="4"/>
        <v>0</v>
      </c>
      <c r="M53">
        <f t="shared" si="3"/>
        <v>0</v>
      </c>
    </row>
    <row r="54" spans="2:13" x14ac:dyDescent="0.25">
      <c r="B54" s="241"/>
      <c r="C54" s="3" t="s">
        <v>396</v>
      </c>
      <c r="E54" s="3" t="s">
        <v>293</v>
      </c>
      <c r="J54" s="7">
        <v>6</v>
      </c>
      <c r="K54" s="7">
        <f t="shared" si="2"/>
        <v>6</v>
      </c>
      <c r="L54" s="247">
        <f t="shared" si="4"/>
        <v>260</v>
      </c>
      <c r="M54">
        <f t="shared" si="3"/>
        <v>1560</v>
      </c>
    </row>
    <row r="55" spans="2:13" x14ac:dyDescent="0.25">
      <c r="B55" s="241" t="s">
        <v>397</v>
      </c>
      <c r="C55" s="3" t="s">
        <v>279</v>
      </c>
      <c r="E55" s="3" t="s">
        <v>289</v>
      </c>
      <c r="F55" s="7">
        <v>17</v>
      </c>
      <c r="K55" s="7">
        <f t="shared" si="2"/>
        <v>17</v>
      </c>
      <c r="L55" s="247">
        <f t="shared" si="4"/>
        <v>104</v>
      </c>
      <c r="M55">
        <f t="shared" si="3"/>
        <v>1768</v>
      </c>
    </row>
    <row r="56" spans="2:13" x14ac:dyDescent="0.25">
      <c r="B56" s="241"/>
      <c r="C56" s="3" t="s">
        <v>284</v>
      </c>
      <c r="E56" s="3" t="s">
        <v>297</v>
      </c>
      <c r="J56" s="7">
        <v>3</v>
      </c>
      <c r="K56" s="7">
        <f t="shared" si="2"/>
        <v>3</v>
      </c>
      <c r="L56" s="247">
        <f t="shared" si="4"/>
        <v>0</v>
      </c>
      <c r="M56">
        <f t="shared" si="3"/>
        <v>0</v>
      </c>
    </row>
    <row r="57" spans="2:13" x14ac:dyDescent="0.25">
      <c r="B57" s="241" t="s">
        <v>398</v>
      </c>
      <c r="C57" s="3" t="s">
        <v>276</v>
      </c>
      <c r="E57" s="3" t="s">
        <v>291</v>
      </c>
      <c r="F57" s="7">
        <v>50</v>
      </c>
      <c r="K57" s="7">
        <f t="shared" si="2"/>
        <v>50</v>
      </c>
      <c r="L57" s="247">
        <f t="shared" si="4"/>
        <v>260</v>
      </c>
      <c r="M57">
        <f t="shared" si="3"/>
        <v>13000</v>
      </c>
    </row>
    <row r="58" spans="2:13" x14ac:dyDescent="0.25">
      <c r="B58" s="241" t="s">
        <v>399</v>
      </c>
      <c r="C58" s="3" t="s">
        <v>279</v>
      </c>
      <c r="E58" s="3" t="s">
        <v>269</v>
      </c>
      <c r="F58" s="7">
        <v>109</v>
      </c>
      <c r="K58" s="7">
        <f t="shared" si="2"/>
        <v>109</v>
      </c>
      <c r="L58" s="247">
        <f t="shared" si="4"/>
        <v>260</v>
      </c>
      <c r="M58">
        <f t="shared" si="3"/>
        <v>28340</v>
      </c>
    </row>
    <row r="59" spans="2:13" x14ac:dyDescent="0.25">
      <c r="B59" s="241" t="s">
        <v>400</v>
      </c>
      <c r="C59" s="3" t="s">
        <v>276</v>
      </c>
      <c r="E59" s="3" t="s">
        <v>291</v>
      </c>
      <c r="F59" s="7">
        <v>17</v>
      </c>
      <c r="K59" s="7">
        <f t="shared" si="2"/>
        <v>17</v>
      </c>
      <c r="L59" s="247">
        <f t="shared" si="4"/>
        <v>260</v>
      </c>
      <c r="M59">
        <f t="shared" si="3"/>
        <v>4420</v>
      </c>
    </row>
    <row r="60" spans="2:13" x14ac:dyDescent="0.25">
      <c r="B60" s="241" t="s">
        <v>401</v>
      </c>
      <c r="C60" s="3" t="s">
        <v>279</v>
      </c>
      <c r="E60" s="3" t="s">
        <v>289</v>
      </c>
      <c r="F60" s="7">
        <v>23</v>
      </c>
      <c r="K60" s="7">
        <f t="shared" si="2"/>
        <v>23</v>
      </c>
      <c r="L60" s="247">
        <f t="shared" si="4"/>
        <v>104</v>
      </c>
      <c r="M60">
        <f t="shared" si="3"/>
        <v>2392</v>
      </c>
    </row>
    <row r="61" spans="2:13" x14ac:dyDescent="0.25">
      <c r="B61" s="241" t="s">
        <v>402</v>
      </c>
      <c r="C61" s="3" t="s">
        <v>403</v>
      </c>
      <c r="E61" s="3" t="s">
        <v>289</v>
      </c>
      <c r="F61" s="7">
        <v>51</v>
      </c>
      <c r="K61" s="7">
        <f t="shared" si="2"/>
        <v>51</v>
      </c>
      <c r="L61" s="247">
        <f t="shared" si="4"/>
        <v>104</v>
      </c>
      <c r="M61">
        <f t="shared" si="3"/>
        <v>5304</v>
      </c>
    </row>
    <row r="62" spans="2:13" x14ac:dyDescent="0.25">
      <c r="B62" s="241" t="s">
        <v>404</v>
      </c>
      <c r="C62" s="3" t="s">
        <v>352</v>
      </c>
      <c r="E62" s="3" t="s">
        <v>291</v>
      </c>
      <c r="F62" s="7">
        <v>15</v>
      </c>
      <c r="K62" s="7">
        <f t="shared" si="2"/>
        <v>15</v>
      </c>
      <c r="L62" s="247">
        <f t="shared" si="4"/>
        <v>260</v>
      </c>
      <c r="M62">
        <f t="shared" si="3"/>
        <v>3900</v>
      </c>
    </row>
    <row r="63" spans="2:13" x14ac:dyDescent="0.25">
      <c r="B63" s="241"/>
      <c r="C63" s="3" t="s">
        <v>405</v>
      </c>
      <c r="E63" s="3" t="s">
        <v>291</v>
      </c>
      <c r="I63" s="7">
        <v>6</v>
      </c>
      <c r="K63" s="7">
        <f t="shared" si="2"/>
        <v>6</v>
      </c>
      <c r="L63" s="247">
        <f t="shared" si="4"/>
        <v>260</v>
      </c>
      <c r="M63">
        <f t="shared" si="3"/>
        <v>1560</v>
      </c>
    </row>
    <row r="64" spans="2:13" x14ac:dyDescent="0.25">
      <c r="B64" s="241" t="s">
        <v>406</v>
      </c>
      <c r="C64" s="3" t="s">
        <v>344</v>
      </c>
      <c r="E64" s="3" t="s">
        <v>289</v>
      </c>
      <c r="F64" s="7">
        <v>64</v>
      </c>
      <c r="K64" s="7">
        <f t="shared" si="2"/>
        <v>64</v>
      </c>
      <c r="L64" s="247">
        <f t="shared" si="4"/>
        <v>104</v>
      </c>
      <c r="M64">
        <f t="shared" si="3"/>
        <v>6656</v>
      </c>
    </row>
    <row r="65" spans="1:13" x14ac:dyDescent="0.25">
      <c r="B65" s="241" t="s">
        <v>407</v>
      </c>
      <c r="C65" s="3" t="s">
        <v>279</v>
      </c>
      <c r="E65" s="3" t="s">
        <v>289</v>
      </c>
      <c r="F65" s="7">
        <v>9</v>
      </c>
      <c r="K65" s="7">
        <f t="shared" si="2"/>
        <v>9</v>
      </c>
      <c r="L65" s="247">
        <f t="shared" si="4"/>
        <v>104</v>
      </c>
      <c r="M65">
        <f t="shared" si="3"/>
        <v>936</v>
      </c>
    </row>
    <row r="66" spans="1:13" x14ac:dyDescent="0.25">
      <c r="B66" s="241" t="s">
        <v>408</v>
      </c>
      <c r="C66" s="3" t="s">
        <v>279</v>
      </c>
      <c r="E66" s="3" t="s">
        <v>289</v>
      </c>
      <c r="F66" s="7">
        <v>7</v>
      </c>
      <c r="K66" s="7">
        <f t="shared" si="2"/>
        <v>7</v>
      </c>
      <c r="L66" s="247">
        <f t="shared" si="4"/>
        <v>104</v>
      </c>
      <c r="M66">
        <f t="shared" si="3"/>
        <v>728</v>
      </c>
    </row>
    <row r="67" spans="1:13" x14ac:dyDescent="0.25">
      <c r="B67" s="241" t="s">
        <v>409</v>
      </c>
      <c r="C67" s="3" t="s">
        <v>279</v>
      </c>
      <c r="E67" s="3" t="s">
        <v>289</v>
      </c>
      <c r="F67" s="7">
        <v>54</v>
      </c>
      <c r="K67" s="7">
        <f t="shared" si="2"/>
        <v>54</v>
      </c>
      <c r="L67" s="247">
        <f t="shared" si="4"/>
        <v>104</v>
      </c>
      <c r="M67">
        <f t="shared" si="3"/>
        <v>5616</v>
      </c>
    </row>
    <row r="68" spans="1:13" x14ac:dyDescent="0.25">
      <c r="B68" s="241" t="s">
        <v>410</v>
      </c>
      <c r="C68" s="3" t="s">
        <v>411</v>
      </c>
      <c r="E68" s="3" t="s">
        <v>297</v>
      </c>
      <c r="F68" s="7">
        <v>14</v>
      </c>
      <c r="K68" s="7">
        <f t="shared" si="2"/>
        <v>14</v>
      </c>
      <c r="L68" s="247">
        <f t="shared" si="4"/>
        <v>0</v>
      </c>
      <c r="M68">
        <f t="shared" si="3"/>
        <v>0</v>
      </c>
    </row>
    <row r="69" spans="1:13" x14ac:dyDescent="0.25">
      <c r="B69" s="241" t="s">
        <v>412</v>
      </c>
      <c r="C69" s="3" t="s">
        <v>413</v>
      </c>
      <c r="E69" s="3" t="s">
        <v>293</v>
      </c>
      <c r="J69" s="7">
        <v>11</v>
      </c>
      <c r="K69" s="7">
        <f t="shared" si="2"/>
        <v>11</v>
      </c>
      <c r="L69" s="247">
        <f t="shared" ref="L69:L94" si="5">IF(D69="X",0,IF(E69="",0,IF(E69="X",0,VLOOKUP(E69,$F$539:$G$553,2))))</f>
        <v>260</v>
      </c>
      <c r="M69">
        <f t="shared" ref="M69:M132" si="6">SUM(K69*L69)</f>
        <v>2860</v>
      </c>
    </row>
    <row r="70" spans="1:13" x14ac:dyDescent="0.25">
      <c r="B70" s="241" t="s">
        <v>402</v>
      </c>
      <c r="C70" s="3" t="s">
        <v>284</v>
      </c>
      <c r="E70" s="3" t="s">
        <v>297</v>
      </c>
      <c r="J70" s="7">
        <v>2.5</v>
      </c>
      <c r="K70" s="7">
        <f t="shared" si="2"/>
        <v>2.5</v>
      </c>
      <c r="L70" s="247">
        <f t="shared" si="5"/>
        <v>0</v>
      </c>
      <c r="M70">
        <f t="shared" si="6"/>
        <v>0</v>
      </c>
    </row>
    <row r="71" spans="1:13" x14ac:dyDescent="0.25">
      <c r="B71" s="241" t="s">
        <v>414</v>
      </c>
      <c r="C71" s="3" t="s">
        <v>415</v>
      </c>
      <c r="E71" s="3" t="s">
        <v>293</v>
      </c>
      <c r="J71" s="7">
        <v>13</v>
      </c>
      <c r="K71" s="7">
        <f t="shared" ref="K71:K135" si="7">SUM(F71:J71)</f>
        <v>13</v>
      </c>
      <c r="L71" s="247">
        <f t="shared" si="5"/>
        <v>260</v>
      </c>
      <c r="M71">
        <f t="shared" si="6"/>
        <v>3380</v>
      </c>
    </row>
    <row r="72" spans="1:13" x14ac:dyDescent="0.25">
      <c r="B72" s="241" t="s">
        <v>416</v>
      </c>
      <c r="C72" s="3" t="s">
        <v>417</v>
      </c>
      <c r="E72" s="3" t="s">
        <v>291</v>
      </c>
      <c r="J72" s="7">
        <v>2.2999999999999998</v>
      </c>
      <c r="K72" s="7">
        <f t="shared" si="7"/>
        <v>2.2999999999999998</v>
      </c>
      <c r="L72" s="247">
        <f t="shared" si="5"/>
        <v>260</v>
      </c>
      <c r="M72">
        <f t="shared" si="6"/>
        <v>598</v>
      </c>
    </row>
    <row r="73" spans="1:13" x14ac:dyDescent="0.25">
      <c r="A73" s="5" t="s">
        <v>324</v>
      </c>
      <c r="B73" s="241" t="s">
        <v>418</v>
      </c>
      <c r="C73" s="3" t="s">
        <v>419</v>
      </c>
      <c r="E73" s="3" t="s">
        <v>269</v>
      </c>
      <c r="F73" s="7">
        <v>85</v>
      </c>
      <c r="K73" s="7">
        <f t="shared" si="7"/>
        <v>85</v>
      </c>
      <c r="L73" s="247">
        <f t="shared" si="5"/>
        <v>260</v>
      </c>
      <c r="M73">
        <f t="shared" si="6"/>
        <v>22100</v>
      </c>
    </row>
    <row r="74" spans="1:13" x14ac:dyDescent="0.25">
      <c r="B74" s="241" t="s">
        <v>420</v>
      </c>
      <c r="C74" s="3" t="s">
        <v>421</v>
      </c>
      <c r="E74" s="3" t="s">
        <v>289</v>
      </c>
      <c r="F74" s="7">
        <v>97</v>
      </c>
      <c r="K74" s="7">
        <f t="shared" si="7"/>
        <v>97</v>
      </c>
      <c r="L74" s="247">
        <f t="shared" si="5"/>
        <v>104</v>
      </c>
      <c r="M74">
        <f t="shared" si="6"/>
        <v>10088</v>
      </c>
    </row>
    <row r="75" spans="1:13" x14ac:dyDescent="0.25">
      <c r="B75" s="241" t="s">
        <v>422</v>
      </c>
      <c r="C75" s="3" t="s">
        <v>276</v>
      </c>
      <c r="E75" s="3" t="s">
        <v>291</v>
      </c>
      <c r="F75" s="7">
        <v>55</v>
      </c>
      <c r="K75" s="7">
        <f t="shared" si="7"/>
        <v>55</v>
      </c>
      <c r="L75" s="247">
        <f t="shared" si="5"/>
        <v>260</v>
      </c>
      <c r="M75">
        <f t="shared" si="6"/>
        <v>14300</v>
      </c>
    </row>
    <row r="76" spans="1:13" x14ac:dyDescent="0.25">
      <c r="B76" s="241"/>
      <c r="C76" s="3" t="s">
        <v>423</v>
      </c>
      <c r="E76" s="3" t="s">
        <v>291</v>
      </c>
      <c r="F76" s="7">
        <v>10</v>
      </c>
      <c r="K76" s="7">
        <f t="shared" si="7"/>
        <v>10</v>
      </c>
      <c r="L76" s="247">
        <f t="shared" si="5"/>
        <v>260</v>
      </c>
      <c r="M76">
        <f t="shared" si="6"/>
        <v>2600</v>
      </c>
    </row>
    <row r="77" spans="1:13" x14ac:dyDescent="0.25">
      <c r="B77" s="241"/>
      <c r="C77" s="3" t="s">
        <v>279</v>
      </c>
      <c r="E77" s="3" t="s">
        <v>289</v>
      </c>
      <c r="F77" s="7">
        <v>16</v>
      </c>
      <c r="K77" s="7">
        <f t="shared" si="7"/>
        <v>16</v>
      </c>
      <c r="L77" s="247">
        <f t="shared" si="5"/>
        <v>104</v>
      </c>
      <c r="M77">
        <f t="shared" si="6"/>
        <v>1664</v>
      </c>
    </row>
    <row r="78" spans="1:13" x14ac:dyDescent="0.25">
      <c r="B78" s="241"/>
      <c r="C78" s="3" t="s">
        <v>424</v>
      </c>
      <c r="E78" s="3" t="s">
        <v>293</v>
      </c>
      <c r="J78" s="7">
        <v>7</v>
      </c>
      <c r="K78" s="7">
        <f t="shared" si="7"/>
        <v>7</v>
      </c>
      <c r="L78" s="247">
        <f t="shared" si="5"/>
        <v>260</v>
      </c>
      <c r="M78">
        <f t="shared" si="6"/>
        <v>1820</v>
      </c>
    </row>
    <row r="79" spans="1:13" x14ac:dyDescent="0.25">
      <c r="B79" s="241"/>
      <c r="C79" s="3" t="s">
        <v>424</v>
      </c>
      <c r="E79" s="3" t="s">
        <v>293</v>
      </c>
      <c r="J79" s="7">
        <v>7</v>
      </c>
      <c r="K79" s="7">
        <f t="shared" si="7"/>
        <v>7</v>
      </c>
      <c r="L79" s="247">
        <f t="shared" si="5"/>
        <v>260</v>
      </c>
      <c r="M79">
        <f t="shared" si="6"/>
        <v>1820</v>
      </c>
    </row>
    <row r="80" spans="1:13" x14ac:dyDescent="0.25">
      <c r="B80" s="241"/>
      <c r="C80" s="3" t="s">
        <v>425</v>
      </c>
      <c r="E80" s="3" t="s">
        <v>291</v>
      </c>
      <c r="I80" s="7">
        <v>4</v>
      </c>
      <c r="K80" s="7">
        <f t="shared" si="7"/>
        <v>4</v>
      </c>
      <c r="L80" s="247">
        <f t="shared" si="5"/>
        <v>260</v>
      </c>
      <c r="M80">
        <f t="shared" si="6"/>
        <v>1040</v>
      </c>
    </row>
    <row r="81" spans="2:13" x14ac:dyDescent="0.25">
      <c r="B81" s="241"/>
      <c r="C81" s="3" t="s">
        <v>276</v>
      </c>
      <c r="E81" s="3" t="s">
        <v>291</v>
      </c>
      <c r="F81" s="7">
        <v>7</v>
      </c>
      <c r="K81" s="7">
        <f t="shared" si="7"/>
        <v>7</v>
      </c>
      <c r="L81" s="247">
        <f t="shared" si="5"/>
        <v>260</v>
      </c>
      <c r="M81">
        <f t="shared" si="6"/>
        <v>1820</v>
      </c>
    </row>
    <row r="82" spans="2:13" x14ac:dyDescent="0.25">
      <c r="B82" s="241" t="s">
        <v>367</v>
      </c>
      <c r="C82" s="3" t="s">
        <v>426</v>
      </c>
      <c r="E82" s="3" t="s">
        <v>289</v>
      </c>
      <c r="J82" s="7">
        <v>4</v>
      </c>
      <c r="K82" s="7">
        <f t="shared" si="7"/>
        <v>4</v>
      </c>
      <c r="L82" s="247">
        <f t="shared" si="5"/>
        <v>104</v>
      </c>
      <c r="M82">
        <f t="shared" si="6"/>
        <v>416</v>
      </c>
    </row>
    <row r="83" spans="2:13" x14ac:dyDescent="0.25">
      <c r="B83" s="241" t="s">
        <v>365</v>
      </c>
      <c r="C83" s="3" t="s">
        <v>417</v>
      </c>
      <c r="E83" s="3" t="s">
        <v>291</v>
      </c>
      <c r="J83" s="7">
        <v>1.2</v>
      </c>
      <c r="K83" s="7">
        <f t="shared" si="7"/>
        <v>1.2</v>
      </c>
      <c r="L83" s="247">
        <f t="shared" si="5"/>
        <v>260</v>
      </c>
      <c r="M83">
        <f t="shared" si="6"/>
        <v>312</v>
      </c>
    </row>
    <row r="84" spans="2:13" x14ac:dyDescent="0.25">
      <c r="B84" s="241" t="s">
        <v>325</v>
      </c>
      <c r="C84" s="3" t="s">
        <v>276</v>
      </c>
      <c r="E84" s="3" t="s">
        <v>291</v>
      </c>
      <c r="F84" s="7">
        <v>14</v>
      </c>
      <c r="J84" s="7">
        <v>12</v>
      </c>
      <c r="K84" s="7">
        <f t="shared" si="7"/>
        <v>26</v>
      </c>
      <c r="L84" s="247">
        <f t="shared" si="5"/>
        <v>260</v>
      </c>
      <c r="M84">
        <f t="shared" si="6"/>
        <v>6760</v>
      </c>
    </row>
    <row r="85" spans="2:13" x14ac:dyDescent="0.25">
      <c r="B85" s="241"/>
      <c r="C85" s="3" t="s">
        <v>283</v>
      </c>
      <c r="E85" s="3" t="s">
        <v>291</v>
      </c>
      <c r="I85" s="7">
        <v>4.5999999999999996</v>
      </c>
      <c r="K85" s="7">
        <f t="shared" si="7"/>
        <v>4.5999999999999996</v>
      </c>
      <c r="L85" s="247">
        <f t="shared" si="5"/>
        <v>260</v>
      </c>
      <c r="M85">
        <f t="shared" si="6"/>
        <v>1196</v>
      </c>
    </row>
    <row r="86" spans="2:13" x14ac:dyDescent="0.25">
      <c r="B86" s="241"/>
      <c r="C86" s="3" t="s">
        <v>284</v>
      </c>
      <c r="E86" s="3" t="s">
        <v>297</v>
      </c>
      <c r="J86" s="7">
        <v>3</v>
      </c>
      <c r="K86" s="7">
        <f>SUM(F86:J86)</f>
        <v>3</v>
      </c>
      <c r="L86" s="247">
        <f t="shared" si="5"/>
        <v>0</v>
      </c>
      <c r="M86">
        <f t="shared" si="6"/>
        <v>0</v>
      </c>
    </row>
    <row r="87" spans="2:13" x14ac:dyDescent="0.25">
      <c r="B87" s="241" t="s">
        <v>359</v>
      </c>
      <c r="C87" s="3" t="s">
        <v>427</v>
      </c>
      <c r="E87" s="3" t="s">
        <v>289</v>
      </c>
      <c r="F87" s="7">
        <v>61</v>
      </c>
      <c r="K87" s="7">
        <f t="shared" si="7"/>
        <v>61</v>
      </c>
      <c r="L87" s="247">
        <f t="shared" si="5"/>
        <v>104</v>
      </c>
      <c r="M87">
        <f t="shared" si="6"/>
        <v>6344</v>
      </c>
    </row>
    <row r="88" spans="2:13" x14ac:dyDescent="0.25">
      <c r="B88" s="241"/>
      <c r="C88" s="3" t="s">
        <v>268</v>
      </c>
      <c r="E88" s="3" t="s">
        <v>291</v>
      </c>
      <c r="F88" s="7">
        <v>6</v>
      </c>
      <c r="K88" s="7">
        <f t="shared" si="7"/>
        <v>6</v>
      </c>
      <c r="L88" s="247">
        <f t="shared" si="5"/>
        <v>260</v>
      </c>
      <c r="M88">
        <f t="shared" si="6"/>
        <v>1560</v>
      </c>
    </row>
    <row r="89" spans="2:13" x14ac:dyDescent="0.25">
      <c r="B89" s="241" t="s">
        <v>428</v>
      </c>
      <c r="C89" s="3" t="s">
        <v>429</v>
      </c>
      <c r="E89" s="3" t="s">
        <v>289</v>
      </c>
      <c r="F89" s="7">
        <v>42</v>
      </c>
      <c r="K89" s="7">
        <f t="shared" si="7"/>
        <v>42</v>
      </c>
      <c r="L89" s="247">
        <f t="shared" si="5"/>
        <v>104</v>
      </c>
      <c r="M89">
        <f t="shared" si="6"/>
        <v>4368</v>
      </c>
    </row>
    <row r="90" spans="2:13" x14ac:dyDescent="0.25">
      <c r="B90" s="241" t="s">
        <v>430</v>
      </c>
      <c r="C90" s="3" t="s">
        <v>431</v>
      </c>
      <c r="E90" s="3" t="s">
        <v>289</v>
      </c>
      <c r="F90" s="7">
        <v>23</v>
      </c>
      <c r="K90" s="7">
        <f t="shared" si="7"/>
        <v>23</v>
      </c>
      <c r="L90" s="247">
        <f t="shared" si="5"/>
        <v>104</v>
      </c>
      <c r="M90">
        <f t="shared" si="6"/>
        <v>2392</v>
      </c>
    </row>
    <row r="91" spans="2:13" x14ac:dyDescent="0.25">
      <c r="B91" s="241"/>
      <c r="C91" s="3" t="s">
        <v>432</v>
      </c>
      <c r="E91" s="3" t="s">
        <v>297</v>
      </c>
      <c r="J91" s="7">
        <v>28</v>
      </c>
      <c r="K91" s="7">
        <f t="shared" si="7"/>
        <v>28</v>
      </c>
      <c r="L91" s="247">
        <f t="shared" si="5"/>
        <v>0</v>
      </c>
      <c r="M91">
        <f t="shared" si="6"/>
        <v>0</v>
      </c>
    </row>
    <row r="92" spans="2:13" x14ac:dyDescent="0.25">
      <c r="B92" s="241"/>
      <c r="C92" s="3" t="s">
        <v>433</v>
      </c>
      <c r="E92" s="3" t="s">
        <v>297</v>
      </c>
      <c r="J92" s="7">
        <v>20</v>
      </c>
      <c r="K92" s="7">
        <f t="shared" si="7"/>
        <v>20</v>
      </c>
      <c r="L92" s="247">
        <f t="shared" si="5"/>
        <v>0</v>
      </c>
      <c r="M92">
        <f t="shared" si="6"/>
        <v>0</v>
      </c>
    </row>
    <row r="93" spans="2:13" x14ac:dyDescent="0.25">
      <c r="B93" s="241"/>
      <c r="C93" s="3" t="s">
        <v>434</v>
      </c>
      <c r="E93" s="3" t="s">
        <v>297</v>
      </c>
      <c r="J93" s="7">
        <v>10</v>
      </c>
      <c r="K93" s="7">
        <f t="shared" si="7"/>
        <v>10</v>
      </c>
      <c r="L93" s="247">
        <f t="shared" si="5"/>
        <v>0</v>
      </c>
      <c r="M93">
        <f t="shared" si="6"/>
        <v>0</v>
      </c>
    </row>
    <row r="94" spans="2:13" x14ac:dyDescent="0.25">
      <c r="B94" s="241"/>
      <c r="C94" s="3" t="s">
        <v>435</v>
      </c>
      <c r="E94" s="3" t="s">
        <v>297</v>
      </c>
      <c r="J94" s="7">
        <v>20</v>
      </c>
      <c r="K94" s="7">
        <f t="shared" si="7"/>
        <v>20</v>
      </c>
      <c r="L94" s="247">
        <f t="shared" si="5"/>
        <v>0</v>
      </c>
      <c r="M94">
        <f t="shared" si="6"/>
        <v>0</v>
      </c>
    </row>
    <row r="95" spans="2:13" ht="15.75" thickBot="1" x14ac:dyDescent="0.3">
      <c r="B95" s="241"/>
      <c r="C95" s="223" t="s">
        <v>548</v>
      </c>
      <c r="D95" s="223"/>
      <c r="E95" s="223"/>
      <c r="F95" s="225">
        <f>SUM(F5:F94)</f>
        <v>1635</v>
      </c>
      <c r="G95" s="225">
        <f>SUM(G5:G94)</f>
        <v>275</v>
      </c>
      <c r="H95" s="225">
        <f>SUM(H5:H94)</f>
        <v>180</v>
      </c>
      <c r="I95" s="225">
        <f>SUM(I5:I94)</f>
        <v>41.6</v>
      </c>
      <c r="J95" s="225">
        <f>SUM(J5:J94)</f>
        <v>763.5</v>
      </c>
      <c r="K95" s="225">
        <f>SUM(F95:J95)</f>
        <v>2895.1</v>
      </c>
      <c r="L95" s="247"/>
    </row>
    <row r="96" spans="2:13" ht="15.75" thickTop="1" x14ac:dyDescent="0.25">
      <c r="B96" s="241"/>
      <c r="F96"/>
      <c r="G96"/>
      <c r="H96"/>
      <c r="I96"/>
      <c r="J96"/>
      <c r="L96" s="247"/>
    </row>
    <row r="97" spans="1:13" x14ac:dyDescent="0.25">
      <c r="B97" s="241"/>
      <c r="C97" s="237" t="s">
        <v>301</v>
      </c>
      <c r="F97"/>
      <c r="G97"/>
      <c r="H97"/>
      <c r="I97"/>
      <c r="J97"/>
      <c r="L97" s="247"/>
    </row>
    <row r="98" spans="1:13" x14ac:dyDescent="0.25">
      <c r="B98" s="241"/>
      <c r="C98" s="3" t="s">
        <v>436</v>
      </c>
      <c r="E98" s="3" t="s">
        <v>291</v>
      </c>
      <c r="J98" s="7">
        <v>9</v>
      </c>
      <c r="K98" s="7">
        <f t="shared" si="7"/>
        <v>9</v>
      </c>
      <c r="L98" s="247">
        <f t="shared" ref="L98:L129" si="8">IF(D98="X",0,IF(E98="",0,IF(E98="H",0,VLOOKUP(E98,$F$539:$G$553,2))))</f>
        <v>260</v>
      </c>
      <c r="M98">
        <f t="shared" si="6"/>
        <v>2340</v>
      </c>
    </row>
    <row r="99" spans="1:13" x14ac:dyDescent="0.25">
      <c r="B99" s="241" t="s">
        <v>437</v>
      </c>
      <c r="C99" s="3" t="s">
        <v>329</v>
      </c>
      <c r="E99" s="3" t="s">
        <v>291</v>
      </c>
      <c r="F99" s="7">
        <v>160</v>
      </c>
      <c r="K99" s="7">
        <f>SUM(F99:J99)</f>
        <v>160</v>
      </c>
      <c r="L99" s="247">
        <f t="shared" si="8"/>
        <v>260</v>
      </c>
      <c r="M99">
        <f t="shared" si="6"/>
        <v>41600</v>
      </c>
    </row>
    <row r="100" spans="1:13" x14ac:dyDescent="0.25">
      <c r="A100" s="5" t="s">
        <v>324</v>
      </c>
      <c r="B100" s="241" t="s">
        <v>438</v>
      </c>
      <c r="C100" s="3" t="s">
        <v>439</v>
      </c>
      <c r="E100" s="3" t="s">
        <v>291</v>
      </c>
      <c r="F100" s="7">
        <v>105</v>
      </c>
      <c r="K100" s="7">
        <f t="shared" si="7"/>
        <v>105</v>
      </c>
      <c r="L100" s="247">
        <f t="shared" si="8"/>
        <v>260</v>
      </c>
      <c r="M100">
        <f t="shared" si="6"/>
        <v>27300</v>
      </c>
    </row>
    <row r="101" spans="1:13" x14ac:dyDescent="0.25">
      <c r="A101" s="5" t="s">
        <v>324</v>
      </c>
      <c r="B101" s="241" t="s">
        <v>440</v>
      </c>
      <c r="C101" s="3" t="s">
        <v>276</v>
      </c>
      <c r="E101" s="3" t="s">
        <v>291</v>
      </c>
      <c r="F101" s="7">
        <v>17</v>
      </c>
      <c r="K101" s="7">
        <f t="shared" si="7"/>
        <v>17</v>
      </c>
      <c r="L101" s="247">
        <f t="shared" si="8"/>
        <v>260</v>
      </c>
      <c r="M101">
        <f t="shared" si="6"/>
        <v>4420</v>
      </c>
    </row>
    <row r="102" spans="1:13" x14ac:dyDescent="0.25">
      <c r="A102" s="5" t="s">
        <v>324</v>
      </c>
      <c r="B102" s="241"/>
      <c r="C102" s="3" t="s">
        <v>369</v>
      </c>
      <c r="E102" s="3" t="s">
        <v>291</v>
      </c>
      <c r="I102" s="7">
        <v>19</v>
      </c>
      <c r="K102" s="7">
        <f t="shared" si="7"/>
        <v>19</v>
      </c>
      <c r="L102" s="247">
        <f t="shared" si="8"/>
        <v>260</v>
      </c>
      <c r="M102">
        <f t="shared" si="6"/>
        <v>4940</v>
      </c>
    </row>
    <row r="103" spans="1:13" x14ac:dyDescent="0.25">
      <c r="A103" s="5" t="s">
        <v>324</v>
      </c>
      <c r="B103" s="241" t="s">
        <v>440</v>
      </c>
      <c r="C103" s="3" t="s">
        <v>276</v>
      </c>
      <c r="E103" s="3" t="s">
        <v>291</v>
      </c>
      <c r="F103" s="7">
        <v>38</v>
      </c>
      <c r="K103" s="7">
        <f t="shared" si="7"/>
        <v>38</v>
      </c>
      <c r="L103" s="247">
        <f t="shared" si="8"/>
        <v>260</v>
      </c>
      <c r="M103">
        <f t="shared" si="6"/>
        <v>9880</v>
      </c>
    </row>
    <row r="104" spans="1:13" x14ac:dyDescent="0.25">
      <c r="A104" s="5" t="s">
        <v>324</v>
      </c>
      <c r="B104" s="241" t="s">
        <v>441</v>
      </c>
      <c r="C104" s="3" t="s">
        <v>442</v>
      </c>
      <c r="E104" s="3" t="s">
        <v>293</v>
      </c>
      <c r="J104" s="7">
        <v>2.4</v>
      </c>
      <c r="K104" s="7">
        <f t="shared" si="7"/>
        <v>2.4</v>
      </c>
      <c r="L104" s="247">
        <f t="shared" si="8"/>
        <v>260</v>
      </c>
      <c r="M104">
        <f t="shared" si="6"/>
        <v>624</v>
      </c>
    </row>
    <row r="105" spans="1:13" x14ac:dyDescent="0.25">
      <c r="A105" s="5" t="s">
        <v>324</v>
      </c>
      <c r="B105" s="241"/>
      <c r="C105" s="3" t="s">
        <v>443</v>
      </c>
      <c r="E105" s="3" t="s">
        <v>293</v>
      </c>
      <c r="J105" s="7">
        <v>1.3</v>
      </c>
      <c r="K105" s="7">
        <f t="shared" si="7"/>
        <v>1.3</v>
      </c>
      <c r="L105" s="247">
        <f t="shared" si="8"/>
        <v>260</v>
      </c>
      <c r="M105">
        <f t="shared" si="6"/>
        <v>338</v>
      </c>
    </row>
    <row r="106" spans="1:13" x14ac:dyDescent="0.25">
      <c r="A106" s="5" t="s">
        <v>324</v>
      </c>
      <c r="B106" s="241"/>
      <c r="C106" s="3" t="s">
        <v>444</v>
      </c>
      <c r="E106" s="3" t="s">
        <v>293</v>
      </c>
      <c r="J106" s="7">
        <v>1.3</v>
      </c>
      <c r="K106" s="7">
        <f t="shared" si="7"/>
        <v>1.3</v>
      </c>
      <c r="L106" s="247">
        <f t="shared" si="8"/>
        <v>260</v>
      </c>
      <c r="M106">
        <f t="shared" si="6"/>
        <v>338</v>
      </c>
    </row>
    <row r="107" spans="1:13" x14ac:dyDescent="0.25">
      <c r="A107" s="5" t="s">
        <v>324</v>
      </c>
      <c r="B107" s="241" t="s">
        <v>445</v>
      </c>
      <c r="C107" s="3" t="s">
        <v>344</v>
      </c>
      <c r="E107" s="3" t="s">
        <v>269</v>
      </c>
      <c r="F107" s="7">
        <v>13</v>
      </c>
      <c r="K107" s="7">
        <f t="shared" si="7"/>
        <v>13</v>
      </c>
      <c r="L107" s="247">
        <f t="shared" si="8"/>
        <v>260</v>
      </c>
      <c r="M107">
        <f t="shared" si="6"/>
        <v>3380</v>
      </c>
    </row>
    <row r="108" spans="1:13" x14ac:dyDescent="0.25">
      <c r="A108" s="5" t="s">
        <v>324</v>
      </c>
      <c r="B108" s="241" t="s">
        <v>446</v>
      </c>
      <c r="C108" s="3" t="s">
        <v>344</v>
      </c>
      <c r="E108" s="3" t="s">
        <v>269</v>
      </c>
      <c r="F108" s="7">
        <v>13</v>
      </c>
      <c r="K108" s="7">
        <f t="shared" si="7"/>
        <v>13</v>
      </c>
      <c r="L108" s="247">
        <f t="shared" si="8"/>
        <v>260</v>
      </c>
      <c r="M108">
        <f t="shared" si="6"/>
        <v>3380</v>
      </c>
    </row>
    <row r="109" spans="1:13" x14ac:dyDescent="0.25">
      <c r="B109" s="241"/>
      <c r="C109" s="3" t="s">
        <v>552</v>
      </c>
      <c r="E109" s="3" t="s">
        <v>297</v>
      </c>
      <c r="J109" s="7">
        <v>60</v>
      </c>
      <c r="K109" s="7">
        <f t="shared" si="7"/>
        <v>60</v>
      </c>
      <c r="L109" s="247">
        <f t="shared" si="8"/>
        <v>0</v>
      </c>
      <c r="M109">
        <f t="shared" si="6"/>
        <v>0</v>
      </c>
    </row>
    <row r="110" spans="1:13" x14ac:dyDescent="0.25">
      <c r="B110" s="241" t="s">
        <v>447</v>
      </c>
      <c r="C110" s="3" t="s">
        <v>276</v>
      </c>
      <c r="E110" s="3" t="s">
        <v>291</v>
      </c>
      <c r="F110" s="7">
        <v>41</v>
      </c>
      <c r="K110" s="7">
        <f t="shared" si="7"/>
        <v>41</v>
      </c>
      <c r="L110" s="247">
        <f t="shared" si="8"/>
        <v>260</v>
      </c>
      <c r="M110">
        <f t="shared" si="6"/>
        <v>10660</v>
      </c>
    </row>
    <row r="111" spans="1:13" x14ac:dyDescent="0.25">
      <c r="B111" s="241" t="s">
        <v>448</v>
      </c>
      <c r="C111" s="3" t="s">
        <v>449</v>
      </c>
      <c r="E111" s="3" t="s">
        <v>289</v>
      </c>
      <c r="F111" s="7">
        <v>24</v>
      </c>
      <c r="K111" s="7">
        <f t="shared" si="7"/>
        <v>24</v>
      </c>
      <c r="L111" s="247">
        <f t="shared" si="8"/>
        <v>104</v>
      </c>
      <c r="M111">
        <f t="shared" si="6"/>
        <v>2496</v>
      </c>
    </row>
    <row r="112" spans="1:13" x14ac:dyDescent="0.25">
      <c r="B112" s="241" t="s">
        <v>450</v>
      </c>
      <c r="C112" s="3" t="s">
        <v>451</v>
      </c>
      <c r="E112" s="3" t="s">
        <v>289</v>
      </c>
      <c r="F112" s="7">
        <v>22</v>
      </c>
      <c r="K112" s="7">
        <f t="shared" si="7"/>
        <v>22</v>
      </c>
      <c r="L112" s="247">
        <f t="shared" si="8"/>
        <v>104</v>
      </c>
      <c r="M112">
        <f t="shared" si="6"/>
        <v>2288</v>
      </c>
    </row>
    <row r="113" spans="2:13" x14ac:dyDescent="0.25">
      <c r="B113" s="241" t="s">
        <v>452</v>
      </c>
      <c r="C113" s="3" t="s">
        <v>449</v>
      </c>
      <c r="E113" s="3" t="s">
        <v>289</v>
      </c>
      <c r="F113" s="7">
        <v>25</v>
      </c>
      <c r="K113" s="7">
        <f t="shared" si="7"/>
        <v>25</v>
      </c>
      <c r="L113" s="247">
        <f t="shared" si="8"/>
        <v>104</v>
      </c>
      <c r="M113">
        <f t="shared" si="6"/>
        <v>2600</v>
      </c>
    </row>
    <row r="114" spans="2:13" x14ac:dyDescent="0.25">
      <c r="B114" s="241" t="s">
        <v>453</v>
      </c>
      <c r="C114" s="3" t="s">
        <v>454</v>
      </c>
      <c r="E114" s="3" t="s">
        <v>289</v>
      </c>
      <c r="F114" s="7">
        <v>35</v>
      </c>
      <c r="K114" s="7">
        <f t="shared" si="7"/>
        <v>35</v>
      </c>
      <c r="L114" s="247">
        <f t="shared" si="8"/>
        <v>104</v>
      </c>
      <c r="M114">
        <f t="shared" si="6"/>
        <v>3640</v>
      </c>
    </row>
    <row r="115" spans="2:13" x14ac:dyDescent="0.25">
      <c r="B115" s="241"/>
      <c r="C115" s="3" t="s">
        <v>369</v>
      </c>
      <c r="E115" s="3" t="s">
        <v>291</v>
      </c>
      <c r="F115" s="7">
        <v>4.5</v>
      </c>
      <c r="I115" s="7">
        <v>4.2</v>
      </c>
      <c r="K115" s="7">
        <f t="shared" si="7"/>
        <v>8.6999999999999993</v>
      </c>
      <c r="L115" s="247">
        <f t="shared" si="8"/>
        <v>260</v>
      </c>
      <c r="M115">
        <f t="shared" si="6"/>
        <v>2262</v>
      </c>
    </row>
    <row r="116" spans="2:13" x14ac:dyDescent="0.25">
      <c r="B116" s="241" t="s">
        <v>455</v>
      </c>
      <c r="C116" s="3" t="s">
        <v>456</v>
      </c>
      <c r="E116" s="3" t="s">
        <v>289</v>
      </c>
      <c r="F116" s="7">
        <v>25</v>
      </c>
      <c r="K116" s="7">
        <f t="shared" si="7"/>
        <v>25</v>
      </c>
      <c r="L116" s="247">
        <f t="shared" si="8"/>
        <v>104</v>
      </c>
      <c r="M116">
        <f t="shared" si="6"/>
        <v>2600</v>
      </c>
    </row>
    <row r="117" spans="2:13" x14ac:dyDescent="0.25">
      <c r="B117" s="241" t="s">
        <v>457</v>
      </c>
      <c r="C117" s="3" t="s">
        <v>458</v>
      </c>
      <c r="E117" s="3" t="s">
        <v>289</v>
      </c>
      <c r="F117" s="7">
        <v>24</v>
      </c>
      <c r="K117" s="7">
        <f t="shared" si="7"/>
        <v>24</v>
      </c>
      <c r="L117" s="247">
        <f t="shared" si="8"/>
        <v>104</v>
      </c>
      <c r="M117">
        <f t="shared" si="6"/>
        <v>2496</v>
      </c>
    </row>
    <row r="118" spans="2:13" x14ac:dyDescent="0.25">
      <c r="B118" s="241" t="s">
        <v>459</v>
      </c>
      <c r="C118" s="3" t="s">
        <v>460</v>
      </c>
      <c r="E118" s="3" t="s">
        <v>289</v>
      </c>
      <c r="F118" s="7">
        <v>30</v>
      </c>
      <c r="K118" s="7">
        <f t="shared" si="7"/>
        <v>30</v>
      </c>
      <c r="L118" s="247">
        <f t="shared" si="8"/>
        <v>104</v>
      </c>
      <c r="M118">
        <f t="shared" si="6"/>
        <v>3120</v>
      </c>
    </row>
    <row r="119" spans="2:13" x14ac:dyDescent="0.25">
      <c r="B119" s="241" t="s">
        <v>572</v>
      </c>
      <c r="C119" s="3" t="s">
        <v>451</v>
      </c>
      <c r="E119" s="3" t="s">
        <v>289</v>
      </c>
      <c r="F119" s="7">
        <v>20</v>
      </c>
      <c r="K119" s="7">
        <f t="shared" si="7"/>
        <v>20</v>
      </c>
      <c r="L119" s="247">
        <f t="shared" si="8"/>
        <v>104</v>
      </c>
      <c r="M119">
        <f t="shared" si="6"/>
        <v>2080</v>
      </c>
    </row>
    <row r="120" spans="2:13" x14ac:dyDescent="0.25">
      <c r="B120" s="241" t="s">
        <v>461</v>
      </c>
      <c r="C120" s="3" t="s">
        <v>279</v>
      </c>
      <c r="E120" s="3" t="s">
        <v>289</v>
      </c>
      <c r="F120" s="7">
        <v>27</v>
      </c>
      <c r="K120" s="7">
        <f t="shared" si="7"/>
        <v>27</v>
      </c>
      <c r="L120" s="247">
        <f t="shared" si="8"/>
        <v>104</v>
      </c>
      <c r="M120">
        <f t="shared" si="6"/>
        <v>2808</v>
      </c>
    </row>
    <row r="121" spans="2:13" x14ac:dyDescent="0.25">
      <c r="B121" s="241" t="s">
        <v>462</v>
      </c>
      <c r="C121" s="3" t="s">
        <v>344</v>
      </c>
      <c r="E121" s="3" t="s">
        <v>289</v>
      </c>
      <c r="F121" s="7">
        <v>193</v>
      </c>
      <c r="K121" s="7">
        <f t="shared" si="7"/>
        <v>193</v>
      </c>
      <c r="L121" s="247">
        <f t="shared" si="8"/>
        <v>104</v>
      </c>
      <c r="M121">
        <f t="shared" si="6"/>
        <v>20072</v>
      </c>
    </row>
    <row r="122" spans="2:13" x14ac:dyDescent="0.25">
      <c r="B122" s="241"/>
      <c r="C122" s="3" t="s">
        <v>369</v>
      </c>
      <c r="E122" s="3" t="s">
        <v>291</v>
      </c>
      <c r="F122" s="7">
        <v>4.5</v>
      </c>
      <c r="I122" s="7">
        <v>4.2</v>
      </c>
      <c r="K122" s="7">
        <f t="shared" si="7"/>
        <v>8.6999999999999993</v>
      </c>
      <c r="L122" s="247">
        <f t="shared" si="8"/>
        <v>260</v>
      </c>
      <c r="M122">
        <f t="shared" si="6"/>
        <v>2262</v>
      </c>
    </row>
    <row r="123" spans="2:13" x14ac:dyDescent="0.25">
      <c r="B123" s="241" t="s">
        <v>463</v>
      </c>
      <c r="C123" s="3" t="s">
        <v>279</v>
      </c>
      <c r="E123" s="3" t="s">
        <v>289</v>
      </c>
      <c r="F123" s="7">
        <v>20</v>
      </c>
      <c r="K123" s="7">
        <f t="shared" si="7"/>
        <v>20</v>
      </c>
      <c r="L123" s="247">
        <f t="shared" si="8"/>
        <v>104</v>
      </c>
      <c r="M123">
        <f t="shared" si="6"/>
        <v>2080</v>
      </c>
    </row>
    <row r="124" spans="2:13" x14ac:dyDescent="0.25">
      <c r="B124" s="241" t="s">
        <v>573</v>
      </c>
      <c r="C124" s="3" t="s">
        <v>279</v>
      </c>
      <c r="E124" s="3" t="s">
        <v>289</v>
      </c>
      <c r="F124" s="7">
        <v>13</v>
      </c>
      <c r="K124" s="7">
        <f t="shared" si="7"/>
        <v>13</v>
      </c>
      <c r="L124" s="247">
        <f t="shared" si="8"/>
        <v>104</v>
      </c>
      <c r="M124">
        <f t="shared" si="6"/>
        <v>1352</v>
      </c>
    </row>
    <row r="125" spans="2:13" x14ac:dyDescent="0.25">
      <c r="B125" s="241" t="s">
        <v>464</v>
      </c>
      <c r="C125" s="3" t="s">
        <v>465</v>
      </c>
      <c r="E125" s="3" t="s">
        <v>291</v>
      </c>
      <c r="F125" s="7">
        <v>15</v>
      </c>
      <c r="K125" s="7">
        <f t="shared" si="7"/>
        <v>15</v>
      </c>
      <c r="L125" s="247">
        <f t="shared" si="8"/>
        <v>260</v>
      </c>
      <c r="M125">
        <f t="shared" si="6"/>
        <v>3900</v>
      </c>
    </row>
    <row r="126" spans="2:13" x14ac:dyDescent="0.25">
      <c r="B126" s="241" t="s">
        <v>466</v>
      </c>
      <c r="C126" s="3" t="s">
        <v>467</v>
      </c>
      <c r="E126" s="3" t="s">
        <v>289</v>
      </c>
      <c r="F126" s="7">
        <v>27</v>
      </c>
      <c r="K126" s="7">
        <f t="shared" si="7"/>
        <v>27</v>
      </c>
      <c r="L126" s="247">
        <f t="shared" si="8"/>
        <v>104</v>
      </c>
      <c r="M126">
        <f t="shared" si="6"/>
        <v>2808</v>
      </c>
    </row>
    <row r="127" spans="2:13" x14ac:dyDescent="0.25">
      <c r="B127" s="241" t="s">
        <v>468</v>
      </c>
      <c r="C127" s="3" t="s">
        <v>467</v>
      </c>
      <c r="E127" s="3" t="s">
        <v>289</v>
      </c>
      <c r="F127" s="7">
        <v>22</v>
      </c>
      <c r="K127" s="7">
        <f t="shared" si="7"/>
        <v>22</v>
      </c>
      <c r="L127" s="247">
        <f t="shared" si="8"/>
        <v>104</v>
      </c>
      <c r="M127">
        <f t="shared" si="6"/>
        <v>2288</v>
      </c>
    </row>
    <row r="128" spans="2:13" x14ac:dyDescent="0.25">
      <c r="B128" s="241" t="s">
        <v>469</v>
      </c>
      <c r="C128" s="3" t="s">
        <v>276</v>
      </c>
      <c r="E128" s="3" t="s">
        <v>291</v>
      </c>
      <c r="F128" s="7">
        <v>45</v>
      </c>
      <c r="K128" s="7">
        <f t="shared" si="7"/>
        <v>45</v>
      </c>
      <c r="L128" s="247">
        <f t="shared" si="8"/>
        <v>260</v>
      </c>
      <c r="M128">
        <f t="shared" si="6"/>
        <v>11700</v>
      </c>
    </row>
    <row r="129" spans="1:13" x14ac:dyDescent="0.25">
      <c r="B129" s="241" t="s">
        <v>470</v>
      </c>
      <c r="C129" s="3" t="s">
        <v>279</v>
      </c>
      <c r="E129" s="3" t="s">
        <v>289</v>
      </c>
      <c r="F129" s="7">
        <v>45</v>
      </c>
      <c r="K129" s="7">
        <f t="shared" si="7"/>
        <v>45</v>
      </c>
      <c r="L129" s="247">
        <f t="shared" si="8"/>
        <v>104</v>
      </c>
      <c r="M129">
        <f t="shared" si="6"/>
        <v>4680</v>
      </c>
    </row>
    <row r="130" spans="1:13" x14ac:dyDescent="0.25">
      <c r="B130" s="241" t="s">
        <v>472</v>
      </c>
      <c r="C130" s="3" t="s">
        <v>270</v>
      </c>
      <c r="E130" s="3" t="s">
        <v>289</v>
      </c>
      <c r="F130" s="7">
        <v>22</v>
      </c>
      <c r="K130" s="7">
        <f t="shared" si="7"/>
        <v>22</v>
      </c>
      <c r="L130" s="247">
        <f t="shared" ref="L130:L164" si="9">IF(D130="X",0,IF(E130="",0,IF(E130="H",0,VLOOKUP(E130,$F$539:$G$553,2))))</f>
        <v>104</v>
      </c>
      <c r="M130">
        <f t="shared" si="6"/>
        <v>2288</v>
      </c>
    </row>
    <row r="131" spans="1:13" x14ac:dyDescent="0.25">
      <c r="B131" s="241" t="s">
        <v>473</v>
      </c>
      <c r="C131" s="3" t="s">
        <v>279</v>
      </c>
      <c r="E131" s="3" t="s">
        <v>289</v>
      </c>
      <c r="F131" s="7">
        <v>44</v>
      </c>
      <c r="K131" s="7">
        <f t="shared" si="7"/>
        <v>44</v>
      </c>
      <c r="L131" s="247">
        <f t="shared" si="9"/>
        <v>104</v>
      </c>
      <c r="M131">
        <f t="shared" si="6"/>
        <v>4576</v>
      </c>
    </row>
    <row r="132" spans="1:13" x14ac:dyDescent="0.25">
      <c r="B132" s="241"/>
      <c r="C132" s="3" t="s">
        <v>369</v>
      </c>
      <c r="E132" s="3" t="s">
        <v>291</v>
      </c>
      <c r="F132" s="7">
        <v>4.5</v>
      </c>
      <c r="I132" s="7">
        <v>4.5</v>
      </c>
      <c r="K132" s="7">
        <f t="shared" si="7"/>
        <v>9</v>
      </c>
      <c r="L132" s="247">
        <f t="shared" si="9"/>
        <v>260</v>
      </c>
      <c r="M132">
        <f t="shared" si="6"/>
        <v>2340</v>
      </c>
    </row>
    <row r="133" spans="1:13" x14ac:dyDescent="0.25">
      <c r="B133" s="241" t="s">
        <v>474</v>
      </c>
      <c r="C133" s="3" t="s">
        <v>352</v>
      </c>
      <c r="E133" s="3" t="s">
        <v>291</v>
      </c>
      <c r="J133" s="7">
        <v>14</v>
      </c>
      <c r="K133" s="7">
        <f t="shared" si="7"/>
        <v>14</v>
      </c>
      <c r="L133" s="247">
        <f t="shared" si="9"/>
        <v>260</v>
      </c>
      <c r="M133">
        <f t="shared" ref="M133:M199" si="10">SUM(K133*L133)</f>
        <v>3640</v>
      </c>
    </row>
    <row r="134" spans="1:13" x14ac:dyDescent="0.25">
      <c r="B134" s="241" t="s">
        <v>475</v>
      </c>
      <c r="C134" s="3" t="s">
        <v>471</v>
      </c>
      <c r="E134" s="3" t="s">
        <v>289</v>
      </c>
      <c r="F134" s="7">
        <v>92</v>
      </c>
      <c r="K134" s="7">
        <f t="shared" si="7"/>
        <v>92</v>
      </c>
      <c r="L134" s="247">
        <f t="shared" si="9"/>
        <v>104</v>
      </c>
      <c r="M134">
        <f t="shared" si="10"/>
        <v>9568</v>
      </c>
    </row>
    <row r="135" spans="1:13" x14ac:dyDescent="0.25">
      <c r="B135" s="241" t="s">
        <v>574</v>
      </c>
      <c r="C135" s="3" t="s">
        <v>476</v>
      </c>
      <c r="E135" s="3" t="s">
        <v>289</v>
      </c>
      <c r="F135" s="7">
        <v>12</v>
      </c>
      <c r="K135" s="7">
        <f t="shared" si="7"/>
        <v>12</v>
      </c>
      <c r="L135" s="247">
        <f t="shared" si="9"/>
        <v>104</v>
      </c>
      <c r="M135">
        <f t="shared" si="10"/>
        <v>1248</v>
      </c>
    </row>
    <row r="136" spans="1:13" x14ac:dyDescent="0.25">
      <c r="B136" s="241" t="s">
        <v>477</v>
      </c>
      <c r="C136" s="3" t="s">
        <v>279</v>
      </c>
      <c r="E136" s="3" t="s">
        <v>289</v>
      </c>
      <c r="F136" s="7">
        <v>97</v>
      </c>
      <c r="K136" s="7">
        <f t="shared" ref="K136:K202" si="11">SUM(F136:J136)</f>
        <v>97</v>
      </c>
      <c r="L136" s="247">
        <f t="shared" si="9"/>
        <v>104</v>
      </c>
      <c r="M136">
        <f t="shared" si="10"/>
        <v>10088</v>
      </c>
    </row>
    <row r="137" spans="1:13" x14ac:dyDescent="0.25">
      <c r="B137" s="241"/>
      <c r="C137" s="3" t="s">
        <v>417</v>
      </c>
      <c r="E137" s="3" t="s">
        <v>297</v>
      </c>
      <c r="K137" s="7">
        <f t="shared" si="11"/>
        <v>0</v>
      </c>
      <c r="L137" s="247">
        <f t="shared" si="9"/>
        <v>0</v>
      </c>
      <c r="M137">
        <f t="shared" si="10"/>
        <v>0</v>
      </c>
    </row>
    <row r="138" spans="1:13" x14ac:dyDescent="0.25">
      <c r="B138" s="241" t="s">
        <v>478</v>
      </c>
      <c r="C138" s="3" t="s">
        <v>369</v>
      </c>
      <c r="E138" s="3" t="s">
        <v>291</v>
      </c>
      <c r="F138" s="7">
        <v>2</v>
      </c>
      <c r="I138" s="7">
        <v>3</v>
      </c>
      <c r="K138" s="7">
        <f t="shared" si="11"/>
        <v>5</v>
      </c>
      <c r="L138" s="247">
        <f t="shared" si="9"/>
        <v>260</v>
      </c>
      <c r="M138">
        <f t="shared" si="10"/>
        <v>1300</v>
      </c>
    </row>
    <row r="139" spans="1:13" x14ac:dyDescent="0.25">
      <c r="B139" s="241" t="s">
        <v>479</v>
      </c>
      <c r="C139" s="3" t="s">
        <v>279</v>
      </c>
      <c r="E139" s="3" t="s">
        <v>289</v>
      </c>
      <c r="F139" s="7">
        <v>97</v>
      </c>
      <c r="K139" s="7">
        <f t="shared" si="11"/>
        <v>97</v>
      </c>
      <c r="L139" s="247">
        <f t="shared" si="9"/>
        <v>104</v>
      </c>
      <c r="M139">
        <f t="shared" si="10"/>
        <v>10088</v>
      </c>
    </row>
    <row r="140" spans="1:13" x14ac:dyDescent="0.25">
      <c r="B140" s="241" t="s">
        <v>480</v>
      </c>
      <c r="C140" s="3" t="s">
        <v>270</v>
      </c>
      <c r="E140" s="3" t="s">
        <v>289</v>
      </c>
      <c r="F140" s="7">
        <v>22</v>
      </c>
      <c r="K140" s="7">
        <f t="shared" si="11"/>
        <v>22</v>
      </c>
      <c r="L140" s="247">
        <f t="shared" si="9"/>
        <v>104</v>
      </c>
      <c r="M140">
        <f t="shared" si="10"/>
        <v>2288</v>
      </c>
    </row>
    <row r="141" spans="1:13" x14ac:dyDescent="0.25">
      <c r="B141" s="241" t="s">
        <v>481</v>
      </c>
      <c r="C141" s="3" t="s">
        <v>279</v>
      </c>
      <c r="E141" s="3" t="s">
        <v>289</v>
      </c>
      <c r="F141" s="7">
        <v>98</v>
      </c>
      <c r="K141" s="7">
        <f t="shared" si="11"/>
        <v>98</v>
      </c>
      <c r="L141" s="247">
        <f t="shared" si="9"/>
        <v>104</v>
      </c>
      <c r="M141">
        <f t="shared" si="10"/>
        <v>10192</v>
      </c>
    </row>
    <row r="142" spans="1:13" x14ac:dyDescent="0.25">
      <c r="B142" s="241" t="s">
        <v>482</v>
      </c>
      <c r="C142" s="3" t="s">
        <v>369</v>
      </c>
      <c r="E142" s="3" t="s">
        <v>291</v>
      </c>
      <c r="F142" s="7">
        <v>15</v>
      </c>
      <c r="I142" s="7">
        <v>5</v>
      </c>
      <c r="K142" s="7">
        <f t="shared" si="11"/>
        <v>20</v>
      </c>
      <c r="L142" s="247">
        <f t="shared" si="9"/>
        <v>260</v>
      </c>
      <c r="M142">
        <f t="shared" si="10"/>
        <v>5200</v>
      </c>
    </row>
    <row r="143" spans="1:13" x14ac:dyDescent="0.25">
      <c r="B143" s="241" t="s">
        <v>483</v>
      </c>
      <c r="C143" s="3" t="s">
        <v>484</v>
      </c>
      <c r="E143" s="3" t="s">
        <v>291</v>
      </c>
      <c r="F143" s="7">
        <v>14</v>
      </c>
      <c r="K143" s="7">
        <f t="shared" si="11"/>
        <v>14</v>
      </c>
      <c r="L143" s="247">
        <f t="shared" si="9"/>
        <v>260</v>
      </c>
      <c r="M143">
        <f t="shared" si="10"/>
        <v>3640</v>
      </c>
    </row>
    <row r="144" spans="1:13" x14ac:dyDescent="0.25">
      <c r="A144" s="5" t="s">
        <v>324</v>
      </c>
      <c r="B144" s="241" t="s">
        <v>485</v>
      </c>
      <c r="C144" s="3" t="s">
        <v>275</v>
      </c>
      <c r="E144" s="3" t="s">
        <v>250</v>
      </c>
      <c r="H144" s="7">
        <v>69</v>
      </c>
      <c r="K144" s="7">
        <f t="shared" si="11"/>
        <v>69</v>
      </c>
      <c r="L144" s="247">
        <f t="shared" si="9"/>
        <v>260</v>
      </c>
      <c r="M144">
        <f t="shared" si="10"/>
        <v>17940</v>
      </c>
    </row>
    <row r="145" spans="1:17" x14ac:dyDescent="0.25">
      <c r="B145" s="241"/>
      <c r="C145" s="3" t="s">
        <v>276</v>
      </c>
      <c r="E145" s="3" t="s">
        <v>291</v>
      </c>
      <c r="F145" s="7">
        <v>8</v>
      </c>
      <c r="K145" s="7">
        <f t="shared" si="11"/>
        <v>8</v>
      </c>
      <c r="L145" s="247">
        <f t="shared" si="9"/>
        <v>260</v>
      </c>
      <c r="M145">
        <f t="shared" si="10"/>
        <v>2080</v>
      </c>
    </row>
    <row r="146" spans="1:17" x14ac:dyDescent="0.25">
      <c r="B146" s="241" t="s">
        <v>486</v>
      </c>
      <c r="C146" s="3" t="s">
        <v>487</v>
      </c>
      <c r="E146" s="3" t="s">
        <v>293</v>
      </c>
      <c r="J146" s="7">
        <v>7.3</v>
      </c>
      <c r="K146" s="7">
        <f t="shared" si="11"/>
        <v>7.3</v>
      </c>
      <c r="L146" s="247">
        <f t="shared" si="9"/>
        <v>260</v>
      </c>
      <c r="M146">
        <f t="shared" si="10"/>
        <v>1898</v>
      </c>
    </row>
    <row r="147" spans="1:17" x14ac:dyDescent="0.25">
      <c r="A147" s="247"/>
      <c r="B147" s="244"/>
      <c r="C147" s="245" t="s">
        <v>417</v>
      </c>
      <c r="D147" s="245"/>
      <c r="E147" s="245" t="s">
        <v>297</v>
      </c>
      <c r="F147" s="246"/>
      <c r="G147" s="246"/>
      <c r="H147" s="246"/>
      <c r="I147" s="246"/>
      <c r="J147" s="246"/>
      <c r="K147" s="246">
        <f t="shared" si="11"/>
        <v>0</v>
      </c>
      <c r="L147" s="247">
        <f t="shared" si="9"/>
        <v>0</v>
      </c>
      <c r="M147" s="20">
        <f t="shared" si="10"/>
        <v>0</v>
      </c>
    </row>
    <row r="148" spans="1:17" x14ac:dyDescent="0.25">
      <c r="B148" s="241" t="s">
        <v>486</v>
      </c>
      <c r="C148" s="3" t="s">
        <v>487</v>
      </c>
      <c r="E148" s="3" t="s">
        <v>293</v>
      </c>
      <c r="J148" s="7">
        <v>1.5</v>
      </c>
      <c r="K148" s="7">
        <f t="shared" si="11"/>
        <v>1.5</v>
      </c>
      <c r="L148" s="247">
        <f t="shared" si="9"/>
        <v>260</v>
      </c>
      <c r="M148">
        <f t="shared" si="10"/>
        <v>390</v>
      </c>
    </row>
    <row r="149" spans="1:17" x14ac:dyDescent="0.25">
      <c r="B149" s="241" t="s">
        <v>488</v>
      </c>
      <c r="C149" s="3" t="s">
        <v>276</v>
      </c>
      <c r="E149" s="3" t="s">
        <v>291</v>
      </c>
      <c r="F149" s="7">
        <v>11</v>
      </c>
      <c r="J149" s="7">
        <v>12</v>
      </c>
      <c r="K149" s="7">
        <f t="shared" si="11"/>
        <v>23</v>
      </c>
      <c r="L149" s="247">
        <f t="shared" si="9"/>
        <v>260</v>
      </c>
      <c r="M149">
        <f t="shared" si="10"/>
        <v>5980</v>
      </c>
    </row>
    <row r="150" spans="1:17" x14ac:dyDescent="0.25">
      <c r="B150" s="241" t="s">
        <v>489</v>
      </c>
      <c r="C150" s="3" t="s">
        <v>575</v>
      </c>
      <c r="E150" s="3" t="s">
        <v>289</v>
      </c>
      <c r="I150" s="7">
        <v>26</v>
      </c>
      <c r="K150" s="7">
        <f t="shared" si="11"/>
        <v>26</v>
      </c>
      <c r="L150" s="247">
        <f t="shared" si="9"/>
        <v>104</v>
      </c>
      <c r="M150">
        <f t="shared" si="10"/>
        <v>2704</v>
      </c>
    </row>
    <row r="151" spans="1:17" x14ac:dyDescent="0.25">
      <c r="B151" s="241" t="s">
        <v>490</v>
      </c>
      <c r="C151" s="3" t="s">
        <v>576</v>
      </c>
      <c r="E151" s="3" t="s">
        <v>289</v>
      </c>
      <c r="I151" s="7">
        <v>31</v>
      </c>
      <c r="K151" s="7">
        <f t="shared" si="11"/>
        <v>31</v>
      </c>
      <c r="L151" s="247">
        <f t="shared" si="9"/>
        <v>104</v>
      </c>
      <c r="M151">
        <f t="shared" si="10"/>
        <v>3224</v>
      </c>
    </row>
    <row r="152" spans="1:17" x14ac:dyDescent="0.25">
      <c r="B152" s="241" t="s">
        <v>577</v>
      </c>
      <c r="C152" s="3" t="s">
        <v>578</v>
      </c>
      <c r="E152" s="3" t="s">
        <v>291</v>
      </c>
      <c r="J152" s="7">
        <v>11</v>
      </c>
      <c r="K152" s="7">
        <f t="shared" si="11"/>
        <v>11</v>
      </c>
      <c r="L152" s="247">
        <f t="shared" si="9"/>
        <v>260</v>
      </c>
      <c r="M152">
        <f t="shared" si="10"/>
        <v>2860</v>
      </c>
    </row>
    <row r="153" spans="1:17" x14ac:dyDescent="0.25">
      <c r="B153" s="251" t="s">
        <v>491</v>
      </c>
      <c r="C153" s="135" t="s">
        <v>492</v>
      </c>
      <c r="D153" s="135"/>
      <c r="E153" s="249" t="s">
        <v>289</v>
      </c>
      <c r="F153" s="137"/>
      <c r="G153" s="137"/>
      <c r="H153" s="137"/>
      <c r="I153" s="137">
        <v>63</v>
      </c>
      <c r="J153" s="137"/>
      <c r="K153" s="137">
        <f t="shared" si="11"/>
        <v>63</v>
      </c>
      <c r="L153" s="247">
        <f t="shared" si="9"/>
        <v>104</v>
      </c>
      <c r="M153">
        <f t="shared" si="10"/>
        <v>6552</v>
      </c>
      <c r="N153" s="242"/>
      <c r="O153" s="20"/>
      <c r="P153" s="20"/>
      <c r="Q153" s="20"/>
    </row>
    <row r="154" spans="1:17" x14ac:dyDescent="0.25">
      <c r="B154" s="241" t="s">
        <v>493</v>
      </c>
      <c r="C154" s="3" t="s">
        <v>494</v>
      </c>
      <c r="E154" s="3" t="s">
        <v>293</v>
      </c>
      <c r="J154" s="7">
        <v>6.5</v>
      </c>
      <c r="K154" s="7">
        <f t="shared" si="11"/>
        <v>6.5</v>
      </c>
      <c r="L154" s="247">
        <f t="shared" si="9"/>
        <v>260</v>
      </c>
      <c r="M154">
        <f t="shared" si="10"/>
        <v>1690</v>
      </c>
    </row>
    <row r="155" spans="1:17" x14ac:dyDescent="0.25">
      <c r="A155" s="5" t="s">
        <v>324</v>
      </c>
      <c r="B155" s="241" t="s">
        <v>495</v>
      </c>
      <c r="C155" s="3" t="s">
        <v>579</v>
      </c>
      <c r="E155" s="3" t="s">
        <v>250</v>
      </c>
      <c r="H155" s="7">
        <v>155</v>
      </c>
      <c r="K155" s="7">
        <f t="shared" si="11"/>
        <v>155</v>
      </c>
      <c r="L155" s="247">
        <f t="shared" si="9"/>
        <v>260</v>
      </c>
      <c r="M155">
        <f t="shared" si="10"/>
        <v>40300</v>
      </c>
    </row>
    <row r="156" spans="1:17" x14ac:dyDescent="0.25">
      <c r="B156" s="244" t="s">
        <v>496</v>
      </c>
      <c r="C156" s="245" t="s">
        <v>497</v>
      </c>
      <c r="D156" s="245" t="s">
        <v>551</v>
      </c>
      <c r="E156" s="245" t="s">
        <v>290</v>
      </c>
      <c r="F156" s="246"/>
      <c r="G156" s="246"/>
      <c r="H156" s="246"/>
      <c r="I156" s="246"/>
      <c r="J156" s="246">
        <v>26</v>
      </c>
      <c r="K156" s="246">
        <f t="shared" si="11"/>
        <v>26</v>
      </c>
      <c r="L156" s="247">
        <f t="shared" si="9"/>
        <v>0</v>
      </c>
      <c r="M156">
        <f t="shared" si="10"/>
        <v>0</v>
      </c>
    </row>
    <row r="157" spans="1:17" x14ac:dyDescent="0.25">
      <c r="B157" s="241" t="s">
        <v>498</v>
      </c>
      <c r="C157" s="3" t="s">
        <v>499</v>
      </c>
      <c r="E157" s="3" t="s">
        <v>297</v>
      </c>
      <c r="G157" s="7">
        <v>14</v>
      </c>
      <c r="K157" s="7">
        <f t="shared" si="11"/>
        <v>14</v>
      </c>
      <c r="L157" s="247">
        <f t="shared" si="9"/>
        <v>0</v>
      </c>
      <c r="M157">
        <f t="shared" si="10"/>
        <v>0</v>
      </c>
    </row>
    <row r="158" spans="1:17" x14ac:dyDescent="0.25">
      <c r="B158" s="241" t="s">
        <v>500</v>
      </c>
      <c r="C158" s="3" t="s">
        <v>279</v>
      </c>
      <c r="E158" s="3" t="s">
        <v>289</v>
      </c>
      <c r="F158" s="7">
        <v>47</v>
      </c>
      <c r="K158" s="7">
        <f t="shared" si="11"/>
        <v>47</v>
      </c>
      <c r="L158" s="247">
        <f t="shared" si="9"/>
        <v>104</v>
      </c>
      <c r="M158">
        <f t="shared" si="10"/>
        <v>4888</v>
      </c>
    </row>
    <row r="159" spans="1:17" x14ac:dyDescent="0.25">
      <c r="B159" s="241" t="s">
        <v>501</v>
      </c>
      <c r="C159" s="3" t="s">
        <v>502</v>
      </c>
      <c r="E159" s="3" t="s">
        <v>289</v>
      </c>
      <c r="F159" s="7">
        <v>10</v>
      </c>
      <c r="K159" s="7">
        <f t="shared" si="11"/>
        <v>10</v>
      </c>
      <c r="L159" s="247">
        <f t="shared" si="9"/>
        <v>104</v>
      </c>
      <c r="M159">
        <f t="shared" si="10"/>
        <v>1040</v>
      </c>
    </row>
    <row r="160" spans="1:17" x14ac:dyDescent="0.25">
      <c r="B160" s="241" t="s">
        <v>503</v>
      </c>
      <c r="C160" s="3" t="s">
        <v>504</v>
      </c>
      <c r="E160" s="3" t="s">
        <v>289</v>
      </c>
      <c r="F160" s="7">
        <v>10</v>
      </c>
      <c r="K160" s="7">
        <f t="shared" si="11"/>
        <v>10</v>
      </c>
      <c r="L160" s="247">
        <f t="shared" si="9"/>
        <v>104</v>
      </c>
      <c r="M160">
        <f t="shared" si="10"/>
        <v>1040</v>
      </c>
    </row>
    <row r="161" spans="2:13" x14ac:dyDescent="0.25">
      <c r="B161" s="241" t="s">
        <v>505</v>
      </c>
      <c r="C161" s="3" t="s">
        <v>279</v>
      </c>
      <c r="E161" s="3" t="s">
        <v>289</v>
      </c>
      <c r="F161" s="7">
        <v>41</v>
      </c>
      <c r="K161" s="7">
        <f t="shared" si="11"/>
        <v>41</v>
      </c>
      <c r="L161" s="247">
        <f t="shared" si="9"/>
        <v>104</v>
      </c>
      <c r="M161">
        <f t="shared" si="10"/>
        <v>4264</v>
      </c>
    </row>
    <row r="162" spans="2:13" x14ac:dyDescent="0.25">
      <c r="B162" s="241" t="s">
        <v>506</v>
      </c>
      <c r="C162" s="3" t="s">
        <v>507</v>
      </c>
      <c r="E162" s="3" t="s">
        <v>293</v>
      </c>
      <c r="J162" s="7">
        <v>15.5</v>
      </c>
      <c r="K162" s="7">
        <f t="shared" si="11"/>
        <v>15.5</v>
      </c>
      <c r="L162" s="247">
        <f t="shared" si="9"/>
        <v>260</v>
      </c>
      <c r="M162">
        <f t="shared" si="10"/>
        <v>4030</v>
      </c>
    </row>
    <row r="163" spans="2:13" x14ac:dyDescent="0.25">
      <c r="B163" s="241" t="s">
        <v>508</v>
      </c>
      <c r="C163" s="3" t="s">
        <v>509</v>
      </c>
      <c r="E163" s="3" t="s">
        <v>293</v>
      </c>
      <c r="J163" s="7">
        <v>3.3</v>
      </c>
      <c r="K163" s="7">
        <f t="shared" si="11"/>
        <v>3.3</v>
      </c>
      <c r="L163" s="247">
        <f t="shared" si="9"/>
        <v>260</v>
      </c>
      <c r="M163">
        <f t="shared" si="10"/>
        <v>858</v>
      </c>
    </row>
    <row r="164" spans="2:13" x14ac:dyDescent="0.25">
      <c r="B164" s="241" t="s">
        <v>510</v>
      </c>
      <c r="C164" s="3" t="s">
        <v>511</v>
      </c>
      <c r="E164" s="3" t="s">
        <v>293</v>
      </c>
      <c r="J164" s="7">
        <v>12</v>
      </c>
      <c r="K164" s="7">
        <f t="shared" si="11"/>
        <v>12</v>
      </c>
      <c r="L164" s="247">
        <f t="shared" si="9"/>
        <v>260</v>
      </c>
      <c r="M164">
        <f t="shared" si="10"/>
        <v>3120</v>
      </c>
    </row>
    <row r="165" spans="2:13" ht="15.75" thickBot="1" x14ac:dyDescent="0.3">
      <c r="B165" s="241"/>
      <c r="C165" s="223" t="s">
        <v>549</v>
      </c>
      <c r="D165" s="223"/>
      <c r="E165" s="223"/>
      <c r="F165" s="225">
        <f t="shared" ref="F165:K165" si="12">SUM(F98:F164)</f>
        <v>1654.5</v>
      </c>
      <c r="G165" s="225">
        <f t="shared" si="12"/>
        <v>14</v>
      </c>
      <c r="H165" s="225">
        <f t="shared" si="12"/>
        <v>224</v>
      </c>
      <c r="I165" s="225">
        <f t="shared" si="12"/>
        <v>159.9</v>
      </c>
      <c r="J165" s="225">
        <f t="shared" si="12"/>
        <v>183.10000000000002</v>
      </c>
      <c r="K165" s="224">
        <f t="shared" si="12"/>
        <v>2235.5</v>
      </c>
      <c r="L165" s="247"/>
    </row>
    <row r="166" spans="2:13" ht="15.75" thickTop="1" x14ac:dyDescent="0.25">
      <c r="B166" s="241"/>
      <c r="F166"/>
      <c r="G166"/>
      <c r="H166"/>
      <c r="I166"/>
      <c r="J166"/>
      <c r="L166" s="247"/>
    </row>
    <row r="167" spans="2:13" x14ac:dyDescent="0.25">
      <c r="B167" s="241"/>
      <c r="C167" s="237" t="s">
        <v>512</v>
      </c>
      <c r="F167"/>
      <c r="G167"/>
      <c r="H167"/>
      <c r="I167"/>
      <c r="J167"/>
      <c r="L167" s="247"/>
    </row>
    <row r="168" spans="2:13" x14ac:dyDescent="0.25">
      <c r="B168" s="241" t="s">
        <v>513</v>
      </c>
      <c r="C168" s="3" t="s">
        <v>514</v>
      </c>
      <c r="E168" s="3" t="s">
        <v>291</v>
      </c>
      <c r="F168" s="7">
        <v>98</v>
      </c>
      <c r="K168" s="7">
        <f t="shared" si="11"/>
        <v>98</v>
      </c>
      <c r="L168" s="247">
        <f>IF(D168="X",0,IF(E168="",0,IF(E168="H",0,VLOOKUP(E168,$F$539:$G$553,2))))</f>
        <v>260</v>
      </c>
      <c r="M168">
        <f t="shared" si="10"/>
        <v>25480</v>
      </c>
    </row>
    <row r="169" spans="2:13" x14ac:dyDescent="0.25">
      <c r="B169" s="241" t="s">
        <v>515</v>
      </c>
      <c r="C169" s="3" t="s">
        <v>279</v>
      </c>
      <c r="E169" s="3" t="s">
        <v>289</v>
      </c>
      <c r="F169" s="7">
        <v>172</v>
      </c>
      <c r="K169" s="7">
        <f t="shared" si="11"/>
        <v>172</v>
      </c>
      <c r="L169" s="247">
        <f>IF(D169="X",0,IF(E169="",0,IF(E169="H",0,VLOOKUP(E169,$F$539:$G$553,2))))</f>
        <v>104</v>
      </c>
      <c r="M169">
        <f t="shared" si="10"/>
        <v>17888</v>
      </c>
    </row>
    <row r="170" spans="2:13" x14ac:dyDescent="0.25">
      <c r="B170" s="241" t="s">
        <v>580</v>
      </c>
      <c r="C170" s="3" t="s">
        <v>279</v>
      </c>
      <c r="E170" s="3" t="s">
        <v>289</v>
      </c>
      <c r="F170" s="7">
        <v>39</v>
      </c>
      <c r="K170" s="7">
        <f t="shared" si="11"/>
        <v>39</v>
      </c>
      <c r="L170" s="247">
        <v>104</v>
      </c>
      <c r="M170">
        <f t="shared" si="10"/>
        <v>4056</v>
      </c>
    </row>
    <row r="171" spans="2:13" x14ac:dyDescent="0.25">
      <c r="B171" s="241"/>
      <c r="C171" s="3" t="s">
        <v>583</v>
      </c>
      <c r="E171" s="3" t="s">
        <v>289</v>
      </c>
      <c r="F171" s="7">
        <v>10</v>
      </c>
      <c r="K171" s="7">
        <f t="shared" ref="K171" si="13">SUM(F171:J171)</f>
        <v>10</v>
      </c>
      <c r="L171" s="247">
        <v>104</v>
      </c>
      <c r="M171">
        <f t="shared" ref="M171" si="14">SUM(K171*L171)</f>
        <v>1040</v>
      </c>
    </row>
    <row r="172" spans="2:13" x14ac:dyDescent="0.25">
      <c r="B172" s="241" t="s">
        <v>516</v>
      </c>
      <c r="C172" s="3" t="s">
        <v>344</v>
      </c>
      <c r="E172" s="3" t="s">
        <v>289</v>
      </c>
      <c r="F172" s="7">
        <v>17</v>
      </c>
      <c r="K172" s="7">
        <f t="shared" si="11"/>
        <v>17</v>
      </c>
      <c r="L172" s="247">
        <f t="shared" ref="L172:L206" si="15">IF(D172="X",0,IF(E172="",0,IF(E172="H",0,VLOOKUP(E172,$F$539:$G$553,2))))</f>
        <v>104</v>
      </c>
      <c r="M172">
        <f t="shared" si="10"/>
        <v>1768</v>
      </c>
    </row>
    <row r="173" spans="2:13" x14ac:dyDescent="0.25">
      <c r="B173" s="241" t="s">
        <v>517</v>
      </c>
      <c r="C173" s="3" t="s">
        <v>279</v>
      </c>
      <c r="E173" s="3" t="s">
        <v>289</v>
      </c>
      <c r="F173" s="7">
        <v>10</v>
      </c>
      <c r="K173" s="7">
        <f t="shared" si="11"/>
        <v>10</v>
      </c>
      <c r="L173" s="247">
        <f t="shared" si="15"/>
        <v>104</v>
      </c>
      <c r="M173">
        <f t="shared" si="10"/>
        <v>1040</v>
      </c>
    </row>
    <row r="174" spans="2:13" x14ac:dyDescent="0.25">
      <c r="B174" s="241" t="s">
        <v>518</v>
      </c>
      <c r="C174" s="3" t="s">
        <v>279</v>
      </c>
      <c r="E174" s="3" t="s">
        <v>289</v>
      </c>
      <c r="F174" s="7">
        <v>10</v>
      </c>
      <c r="K174" s="7">
        <f t="shared" si="11"/>
        <v>10</v>
      </c>
      <c r="L174" s="247">
        <f t="shared" si="15"/>
        <v>104</v>
      </c>
      <c r="M174">
        <f t="shared" si="10"/>
        <v>1040</v>
      </c>
    </row>
    <row r="175" spans="2:13" x14ac:dyDescent="0.25">
      <c r="B175" s="241"/>
      <c r="C175" s="3" t="s">
        <v>369</v>
      </c>
      <c r="E175" s="3" t="s">
        <v>291</v>
      </c>
      <c r="F175" s="7">
        <v>5</v>
      </c>
      <c r="I175" s="7">
        <v>4.2</v>
      </c>
      <c r="K175" s="7">
        <f t="shared" si="11"/>
        <v>9.1999999999999993</v>
      </c>
      <c r="L175" s="247">
        <f t="shared" si="15"/>
        <v>260</v>
      </c>
      <c r="M175">
        <f t="shared" si="10"/>
        <v>2392</v>
      </c>
    </row>
    <row r="176" spans="2:13" x14ac:dyDescent="0.25">
      <c r="B176" s="241" t="s">
        <v>519</v>
      </c>
      <c r="C176" s="3" t="s">
        <v>279</v>
      </c>
      <c r="E176" s="3" t="s">
        <v>289</v>
      </c>
      <c r="F176" s="7">
        <v>7</v>
      </c>
      <c r="K176" s="7">
        <f t="shared" si="11"/>
        <v>7</v>
      </c>
      <c r="L176" s="247">
        <f t="shared" si="15"/>
        <v>104</v>
      </c>
      <c r="M176">
        <f t="shared" si="10"/>
        <v>728</v>
      </c>
    </row>
    <row r="177" spans="1:18" x14ac:dyDescent="0.25">
      <c r="B177" s="241" t="s">
        <v>581</v>
      </c>
      <c r="C177" s="3" t="s">
        <v>279</v>
      </c>
      <c r="E177" s="3" t="s">
        <v>289</v>
      </c>
      <c r="F177" s="7">
        <v>7</v>
      </c>
      <c r="K177" s="7">
        <f t="shared" si="11"/>
        <v>7</v>
      </c>
      <c r="L177" s="247">
        <f t="shared" si="15"/>
        <v>104</v>
      </c>
      <c r="M177">
        <f t="shared" si="10"/>
        <v>728</v>
      </c>
    </row>
    <row r="178" spans="1:18" x14ac:dyDescent="0.25">
      <c r="B178" s="241" t="s">
        <v>520</v>
      </c>
      <c r="C178" s="3" t="s">
        <v>521</v>
      </c>
      <c r="E178" s="3" t="s">
        <v>289</v>
      </c>
      <c r="F178" s="7">
        <v>36</v>
      </c>
      <c r="K178" s="7">
        <f t="shared" si="11"/>
        <v>36</v>
      </c>
      <c r="L178" s="247">
        <f t="shared" si="15"/>
        <v>104</v>
      </c>
      <c r="M178">
        <f t="shared" si="10"/>
        <v>3744</v>
      </c>
    </row>
    <row r="179" spans="1:18" x14ac:dyDescent="0.25">
      <c r="B179" s="241" t="s">
        <v>522</v>
      </c>
      <c r="C179" s="3" t="s">
        <v>523</v>
      </c>
      <c r="E179" s="3" t="s">
        <v>297</v>
      </c>
      <c r="G179" s="7">
        <v>31</v>
      </c>
      <c r="K179" s="7">
        <f t="shared" si="11"/>
        <v>31</v>
      </c>
      <c r="L179" s="247">
        <f t="shared" si="15"/>
        <v>0</v>
      </c>
      <c r="M179">
        <f t="shared" si="10"/>
        <v>0</v>
      </c>
    </row>
    <row r="180" spans="1:18" x14ac:dyDescent="0.25">
      <c r="B180" s="241" t="s">
        <v>524</v>
      </c>
      <c r="C180" s="3" t="s">
        <v>276</v>
      </c>
      <c r="E180" s="3" t="s">
        <v>291</v>
      </c>
      <c r="F180" s="7">
        <v>52</v>
      </c>
      <c r="K180" s="7">
        <f t="shared" si="11"/>
        <v>52</v>
      </c>
      <c r="L180" s="247">
        <f t="shared" si="15"/>
        <v>260</v>
      </c>
      <c r="M180">
        <f t="shared" si="10"/>
        <v>13520</v>
      </c>
    </row>
    <row r="181" spans="1:18" x14ac:dyDescent="0.25">
      <c r="B181" s="241" t="s">
        <v>525</v>
      </c>
      <c r="C181" s="3" t="s">
        <v>279</v>
      </c>
      <c r="E181" s="3" t="s">
        <v>289</v>
      </c>
      <c r="F181" s="7">
        <v>84</v>
      </c>
      <c r="K181" s="7">
        <f t="shared" si="11"/>
        <v>84</v>
      </c>
      <c r="L181" s="247">
        <f t="shared" si="15"/>
        <v>104</v>
      </c>
      <c r="M181">
        <f t="shared" si="10"/>
        <v>8736</v>
      </c>
    </row>
    <row r="182" spans="1:18" x14ac:dyDescent="0.25">
      <c r="B182" s="241" t="s">
        <v>526</v>
      </c>
      <c r="C182" s="3" t="s">
        <v>279</v>
      </c>
      <c r="E182" s="3" t="s">
        <v>289</v>
      </c>
      <c r="F182" s="7">
        <v>43</v>
      </c>
      <c r="K182" s="7">
        <f t="shared" si="11"/>
        <v>43</v>
      </c>
      <c r="L182" s="247">
        <f t="shared" si="15"/>
        <v>104</v>
      </c>
      <c r="M182">
        <f t="shared" si="10"/>
        <v>4472</v>
      </c>
    </row>
    <row r="183" spans="1:18" x14ac:dyDescent="0.25">
      <c r="B183" s="241" t="s">
        <v>527</v>
      </c>
      <c r="C183" s="3" t="s">
        <v>279</v>
      </c>
      <c r="E183" s="3" t="s">
        <v>289</v>
      </c>
      <c r="F183" s="7">
        <v>17</v>
      </c>
      <c r="K183" s="7">
        <f t="shared" si="11"/>
        <v>17</v>
      </c>
      <c r="L183" s="247">
        <f t="shared" si="15"/>
        <v>104</v>
      </c>
      <c r="M183">
        <f t="shared" si="10"/>
        <v>1768</v>
      </c>
    </row>
    <row r="184" spans="1:18" x14ac:dyDescent="0.25">
      <c r="B184" s="241" t="s">
        <v>528</v>
      </c>
      <c r="C184" s="3" t="s">
        <v>344</v>
      </c>
      <c r="E184" s="3" t="s">
        <v>289</v>
      </c>
      <c r="F184" s="7">
        <v>20</v>
      </c>
      <c r="K184" s="7">
        <f t="shared" si="11"/>
        <v>20</v>
      </c>
      <c r="L184" s="247">
        <f t="shared" si="15"/>
        <v>104</v>
      </c>
      <c r="M184">
        <f t="shared" si="10"/>
        <v>2080</v>
      </c>
    </row>
    <row r="185" spans="1:18" x14ac:dyDescent="0.25">
      <c r="B185" s="241"/>
      <c r="C185" s="3" t="s">
        <v>369</v>
      </c>
      <c r="E185" s="3" t="s">
        <v>291</v>
      </c>
      <c r="F185" s="7">
        <v>4.5</v>
      </c>
      <c r="I185" s="7">
        <v>4.5</v>
      </c>
      <c r="K185" s="7">
        <f t="shared" si="11"/>
        <v>9</v>
      </c>
      <c r="L185" s="247">
        <f t="shared" si="15"/>
        <v>260</v>
      </c>
      <c r="M185">
        <f t="shared" si="10"/>
        <v>2340</v>
      </c>
    </row>
    <row r="186" spans="1:18" x14ac:dyDescent="0.25">
      <c r="B186" s="241" t="s">
        <v>529</v>
      </c>
      <c r="C186" s="3" t="s">
        <v>279</v>
      </c>
      <c r="E186" s="3" t="s">
        <v>289</v>
      </c>
      <c r="F186" s="7">
        <v>78</v>
      </c>
      <c r="K186" s="7">
        <f t="shared" si="11"/>
        <v>78</v>
      </c>
      <c r="L186" s="247">
        <f t="shared" si="15"/>
        <v>104</v>
      </c>
      <c r="M186">
        <f t="shared" si="10"/>
        <v>8112</v>
      </c>
    </row>
    <row r="187" spans="1:18" x14ac:dyDescent="0.25">
      <c r="B187" s="241" t="s">
        <v>530</v>
      </c>
      <c r="C187" s="3" t="s">
        <v>279</v>
      </c>
      <c r="E187" s="3" t="s">
        <v>289</v>
      </c>
      <c r="F187" s="7">
        <v>24</v>
      </c>
      <c r="K187" s="7">
        <f t="shared" si="11"/>
        <v>24</v>
      </c>
      <c r="L187" s="247">
        <f t="shared" si="15"/>
        <v>104</v>
      </c>
      <c r="M187">
        <f t="shared" si="10"/>
        <v>2496</v>
      </c>
    </row>
    <row r="188" spans="1:18" x14ac:dyDescent="0.25">
      <c r="B188" s="241" t="s">
        <v>531</v>
      </c>
      <c r="C188" s="3" t="s">
        <v>279</v>
      </c>
      <c r="E188" s="3" t="s">
        <v>289</v>
      </c>
      <c r="F188" s="7">
        <v>50</v>
      </c>
      <c r="K188" s="7">
        <f t="shared" si="11"/>
        <v>50</v>
      </c>
      <c r="L188" s="247">
        <f t="shared" si="15"/>
        <v>104</v>
      </c>
      <c r="M188">
        <f t="shared" si="10"/>
        <v>5200</v>
      </c>
    </row>
    <row r="189" spans="1:18" x14ac:dyDescent="0.25">
      <c r="B189" s="241" t="s">
        <v>532</v>
      </c>
      <c r="C189" s="3" t="s">
        <v>279</v>
      </c>
      <c r="E189" s="3" t="s">
        <v>289</v>
      </c>
      <c r="F189" s="7">
        <v>43</v>
      </c>
      <c r="K189" s="7">
        <f t="shared" si="11"/>
        <v>43</v>
      </c>
      <c r="L189" s="247">
        <f t="shared" si="15"/>
        <v>104</v>
      </c>
      <c r="M189">
        <f t="shared" si="10"/>
        <v>4472</v>
      </c>
    </row>
    <row r="190" spans="1:18" x14ac:dyDescent="0.25">
      <c r="B190" s="241"/>
      <c r="C190" s="3" t="s">
        <v>417</v>
      </c>
      <c r="E190" s="3" t="s">
        <v>297</v>
      </c>
      <c r="K190" s="7">
        <f t="shared" si="11"/>
        <v>0</v>
      </c>
      <c r="L190" s="247">
        <f t="shared" si="15"/>
        <v>0</v>
      </c>
      <c r="M190">
        <f t="shared" si="10"/>
        <v>0</v>
      </c>
    </row>
    <row r="191" spans="1:18" x14ac:dyDescent="0.25">
      <c r="A191" s="247"/>
      <c r="B191" s="248" t="s">
        <v>533</v>
      </c>
      <c r="C191" s="249" t="s">
        <v>393</v>
      </c>
      <c r="D191" s="249"/>
      <c r="E191" s="249" t="s">
        <v>291</v>
      </c>
      <c r="F191" s="250">
        <v>12</v>
      </c>
      <c r="G191" s="250"/>
      <c r="H191" s="250"/>
      <c r="I191" s="250"/>
      <c r="J191" s="250"/>
      <c r="K191" s="250">
        <f t="shared" si="11"/>
        <v>12</v>
      </c>
      <c r="L191" s="247">
        <f t="shared" si="15"/>
        <v>260</v>
      </c>
      <c r="M191" s="20">
        <f t="shared" si="10"/>
        <v>3120</v>
      </c>
      <c r="N191" s="242"/>
      <c r="O191" s="20"/>
      <c r="P191" s="20"/>
      <c r="Q191" s="20"/>
      <c r="R191" s="20"/>
    </row>
    <row r="192" spans="1:18" x14ac:dyDescent="0.25">
      <c r="B192" s="241" t="s">
        <v>534</v>
      </c>
      <c r="C192" s="3" t="s">
        <v>535</v>
      </c>
      <c r="E192" s="3" t="s">
        <v>297</v>
      </c>
      <c r="J192" s="7">
        <v>7</v>
      </c>
      <c r="K192" s="7">
        <f t="shared" si="11"/>
        <v>7</v>
      </c>
      <c r="L192" s="247">
        <f t="shared" si="15"/>
        <v>0</v>
      </c>
      <c r="M192">
        <f t="shared" si="10"/>
        <v>0</v>
      </c>
    </row>
    <row r="193" spans="2:13" x14ac:dyDescent="0.25">
      <c r="B193" s="241" t="s">
        <v>536</v>
      </c>
      <c r="C193" s="3" t="s">
        <v>582</v>
      </c>
      <c r="E193" s="3" t="s">
        <v>297</v>
      </c>
      <c r="F193" s="7">
        <v>17</v>
      </c>
      <c r="K193" s="7">
        <f t="shared" si="11"/>
        <v>17</v>
      </c>
      <c r="L193" s="247">
        <f t="shared" si="15"/>
        <v>0</v>
      </c>
      <c r="M193">
        <f t="shared" si="10"/>
        <v>0</v>
      </c>
    </row>
    <row r="194" spans="2:13" x14ac:dyDescent="0.25">
      <c r="B194" s="241" t="s">
        <v>537</v>
      </c>
      <c r="C194" s="3" t="s">
        <v>276</v>
      </c>
      <c r="E194" s="3" t="s">
        <v>291</v>
      </c>
      <c r="F194" s="7">
        <v>49</v>
      </c>
      <c r="K194" s="7">
        <f t="shared" si="11"/>
        <v>49</v>
      </c>
      <c r="L194" s="247">
        <f t="shared" si="15"/>
        <v>260</v>
      </c>
      <c r="M194">
        <f t="shared" si="10"/>
        <v>12740</v>
      </c>
    </row>
    <row r="195" spans="2:13" x14ac:dyDescent="0.25">
      <c r="B195" s="241" t="s">
        <v>536</v>
      </c>
      <c r="C195" s="3" t="s">
        <v>279</v>
      </c>
      <c r="E195" s="3" t="s">
        <v>289</v>
      </c>
      <c r="F195" s="7">
        <v>105</v>
      </c>
      <c r="K195" s="7">
        <f t="shared" si="11"/>
        <v>105</v>
      </c>
      <c r="L195" s="247">
        <f t="shared" si="15"/>
        <v>104</v>
      </c>
      <c r="M195">
        <f t="shared" si="10"/>
        <v>10920</v>
      </c>
    </row>
    <row r="196" spans="2:13" x14ac:dyDescent="0.25">
      <c r="B196" s="241" t="s">
        <v>538</v>
      </c>
      <c r="C196" s="3" t="s">
        <v>279</v>
      </c>
      <c r="E196" s="3" t="s">
        <v>289</v>
      </c>
      <c r="F196" s="7">
        <v>22</v>
      </c>
      <c r="K196" s="7">
        <f t="shared" si="11"/>
        <v>22</v>
      </c>
      <c r="L196" s="247">
        <f t="shared" si="15"/>
        <v>104</v>
      </c>
      <c r="M196">
        <f t="shared" si="10"/>
        <v>2288</v>
      </c>
    </row>
    <row r="197" spans="2:13" x14ac:dyDescent="0.25">
      <c r="B197" s="241" t="s">
        <v>539</v>
      </c>
      <c r="C197" s="3" t="s">
        <v>279</v>
      </c>
      <c r="E197" s="3" t="s">
        <v>289</v>
      </c>
      <c r="F197" s="7">
        <v>21</v>
      </c>
      <c r="K197" s="7">
        <f t="shared" si="11"/>
        <v>21</v>
      </c>
      <c r="L197" s="247">
        <f t="shared" si="15"/>
        <v>104</v>
      </c>
      <c r="M197">
        <f t="shared" si="10"/>
        <v>2184</v>
      </c>
    </row>
    <row r="198" spans="2:13" x14ac:dyDescent="0.25">
      <c r="B198" s="241" t="s">
        <v>540</v>
      </c>
      <c r="C198" s="3" t="s">
        <v>279</v>
      </c>
      <c r="E198" s="3" t="s">
        <v>289</v>
      </c>
      <c r="F198" s="7">
        <v>6</v>
      </c>
      <c r="K198" s="7">
        <f t="shared" si="11"/>
        <v>6</v>
      </c>
      <c r="L198" s="247">
        <f t="shared" si="15"/>
        <v>104</v>
      </c>
      <c r="M198">
        <f t="shared" si="10"/>
        <v>624</v>
      </c>
    </row>
    <row r="199" spans="2:13" x14ac:dyDescent="0.25">
      <c r="B199" s="241" t="s">
        <v>541</v>
      </c>
      <c r="C199" s="3" t="s">
        <v>369</v>
      </c>
      <c r="E199" s="3" t="s">
        <v>291</v>
      </c>
      <c r="F199" s="7">
        <v>3</v>
      </c>
      <c r="I199" s="7">
        <v>3</v>
      </c>
      <c r="K199" s="7">
        <f t="shared" si="11"/>
        <v>6</v>
      </c>
      <c r="L199" s="247">
        <f t="shared" si="15"/>
        <v>260</v>
      </c>
      <c r="M199">
        <f t="shared" si="10"/>
        <v>1560</v>
      </c>
    </row>
    <row r="200" spans="2:13" x14ac:dyDescent="0.25">
      <c r="B200" s="241" t="s">
        <v>542</v>
      </c>
      <c r="C200" s="3" t="s">
        <v>279</v>
      </c>
      <c r="E200" s="3" t="s">
        <v>289</v>
      </c>
      <c r="F200" s="7">
        <v>69</v>
      </c>
      <c r="K200" s="7">
        <f t="shared" si="11"/>
        <v>69</v>
      </c>
      <c r="L200" s="247">
        <f t="shared" si="15"/>
        <v>104</v>
      </c>
      <c r="M200">
        <f t="shared" ref="M200:M263" si="16">SUM(K200*L200)</f>
        <v>7176</v>
      </c>
    </row>
    <row r="201" spans="2:13" x14ac:dyDescent="0.25">
      <c r="B201" s="241" t="s">
        <v>543</v>
      </c>
      <c r="C201" s="3" t="s">
        <v>279</v>
      </c>
      <c r="E201" s="3" t="s">
        <v>289</v>
      </c>
      <c r="F201" s="7">
        <v>50</v>
      </c>
      <c r="K201" s="7">
        <f t="shared" si="11"/>
        <v>50</v>
      </c>
      <c r="L201" s="247">
        <f t="shared" si="15"/>
        <v>104</v>
      </c>
      <c r="M201">
        <f t="shared" si="16"/>
        <v>5200</v>
      </c>
    </row>
    <row r="202" spans="2:13" x14ac:dyDescent="0.25">
      <c r="B202" s="241" t="s">
        <v>544</v>
      </c>
      <c r="C202" s="3" t="s">
        <v>279</v>
      </c>
      <c r="E202" s="3" t="s">
        <v>289</v>
      </c>
      <c r="F202" s="7">
        <v>24</v>
      </c>
      <c r="K202" s="7">
        <f t="shared" si="11"/>
        <v>24</v>
      </c>
      <c r="L202" s="247">
        <f t="shared" si="15"/>
        <v>104</v>
      </c>
      <c r="M202">
        <f t="shared" si="16"/>
        <v>2496</v>
      </c>
    </row>
    <row r="203" spans="2:13" x14ac:dyDescent="0.25">
      <c r="B203" s="241" t="s">
        <v>545</v>
      </c>
      <c r="C203" s="3" t="s">
        <v>546</v>
      </c>
      <c r="E203" s="3" t="s">
        <v>293</v>
      </c>
      <c r="J203" s="7">
        <v>14</v>
      </c>
      <c r="K203" s="7">
        <f>SUM(F203:J203)</f>
        <v>14</v>
      </c>
      <c r="L203" s="5">
        <f t="shared" si="15"/>
        <v>260</v>
      </c>
      <c r="M203">
        <f t="shared" si="16"/>
        <v>3640</v>
      </c>
    </row>
    <row r="204" spans="2:13" x14ac:dyDescent="0.25">
      <c r="B204" s="241" t="s">
        <v>547</v>
      </c>
      <c r="C204" s="3" t="s">
        <v>511</v>
      </c>
      <c r="E204" s="3" t="s">
        <v>293</v>
      </c>
      <c r="J204" s="7">
        <v>7.5</v>
      </c>
      <c r="K204" s="7">
        <f>SUM(F204:J204)</f>
        <v>7.5</v>
      </c>
      <c r="L204" s="5">
        <f t="shared" si="15"/>
        <v>260</v>
      </c>
      <c r="M204">
        <f t="shared" si="16"/>
        <v>1950</v>
      </c>
    </row>
    <row r="205" spans="2:13" x14ac:dyDescent="0.25">
      <c r="B205" s="241"/>
      <c r="C205" s="3" t="s">
        <v>284</v>
      </c>
      <c r="E205" s="3" t="s">
        <v>297</v>
      </c>
      <c r="J205" s="7">
        <v>1.5</v>
      </c>
      <c r="K205" s="7">
        <f>SUM(F205:J205)</f>
        <v>1.5</v>
      </c>
      <c r="L205" s="5">
        <f t="shared" si="15"/>
        <v>0</v>
      </c>
      <c r="M205">
        <f t="shared" si="16"/>
        <v>0</v>
      </c>
    </row>
    <row r="206" spans="2:13" x14ac:dyDescent="0.25">
      <c r="B206" s="241" t="s">
        <v>536</v>
      </c>
      <c r="C206" s="3" t="s">
        <v>417</v>
      </c>
      <c r="E206" s="3" t="s">
        <v>297</v>
      </c>
      <c r="K206" s="7">
        <f>SUM(F206:J206)</f>
        <v>0</v>
      </c>
      <c r="L206" s="5">
        <f t="shared" si="15"/>
        <v>0</v>
      </c>
      <c r="M206">
        <f t="shared" si="16"/>
        <v>0</v>
      </c>
    </row>
    <row r="207" spans="2:13" ht="15.75" thickBot="1" x14ac:dyDescent="0.3">
      <c r="B207" s="241"/>
      <c r="C207" s="223" t="s">
        <v>550</v>
      </c>
      <c r="D207" s="223"/>
      <c r="E207" s="223"/>
      <c r="F207" s="225">
        <f>SUM(F168:F206)</f>
        <v>1204.5</v>
      </c>
      <c r="G207" s="225">
        <f>SUM(G168:G206)</f>
        <v>31</v>
      </c>
      <c r="H207" s="225">
        <f>SUM(H168:H206)</f>
        <v>0</v>
      </c>
      <c r="I207" s="225">
        <f>SUM(I168:I206)</f>
        <v>11.7</v>
      </c>
      <c r="J207" s="225">
        <f>SUM(J168:J206)</f>
        <v>30</v>
      </c>
      <c r="K207" s="225">
        <f>SUM(F207:J207)</f>
        <v>1277.2</v>
      </c>
    </row>
    <row r="208" spans="2:13" ht="15.75" thickTop="1" x14ac:dyDescent="0.25"/>
    <row r="209" spans="11:13" hidden="1" x14ac:dyDescent="0.25">
      <c r="K209" s="7">
        <f t="shared" ref="K209:K263" si="17">SUM(F209:J209)</f>
        <v>0</v>
      </c>
      <c r="L209" s="5">
        <f t="shared" ref="L209:L272" si="18">IF(D209="X",0,IF(E209="",0,IF(E209="H",0,VLOOKUP(E209,$F$539:$G$553,2))))</f>
        <v>0</v>
      </c>
      <c r="M209">
        <f t="shared" si="16"/>
        <v>0</v>
      </c>
    </row>
    <row r="210" spans="11:13" hidden="1" x14ac:dyDescent="0.25">
      <c r="K210" s="7">
        <f t="shared" si="17"/>
        <v>0</v>
      </c>
      <c r="L210" s="5">
        <f t="shared" si="18"/>
        <v>0</v>
      </c>
      <c r="M210">
        <f t="shared" si="16"/>
        <v>0</v>
      </c>
    </row>
    <row r="211" spans="11:13" hidden="1" x14ac:dyDescent="0.25">
      <c r="K211" s="7">
        <f t="shared" si="17"/>
        <v>0</v>
      </c>
      <c r="L211" s="5">
        <f t="shared" si="18"/>
        <v>0</v>
      </c>
      <c r="M211">
        <f t="shared" si="16"/>
        <v>0</v>
      </c>
    </row>
    <row r="212" spans="11:13" hidden="1" x14ac:dyDescent="0.25">
      <c r="K212" s="7">
        <f t="shared" si="17"/>
        <v>0</v>
      </c>
      <c r="L212" s="5">
        <f t="shared" si="18"/>
        <v>0</v>
      </c>
      <c r="M212">
        <f t="shared" si="16"/>
        <v>0</v>
      </c>
    </row>
    <row r="213" spans="11:13" hidden="1" x14ac:dyDescent="0.25">
      <c r="K213" s="7">
        <f t="shared" si="17"/>
        <v>0</v>
      </c>
      <c r="L213" s="5">
        <f t="shared" si="18"/>
        <v>0</v>
      </c>
      <c r="M213">
        <f t="shared" si="16"/>
        <v>0</v>
      </c>
    </row>
    <row r="214" spans="11:13" hidden="1" x14ac:dyDescent="0.25">
      <c r="K214" s="7">
        <f t="shared" si="17"/>
        <v>0</v>
      </c>
      <c r="L214" s="5">
        <f t="shared" si="18"/>
        <v>0</v>
      </c>
      <c r="M214">
        <f t="shared" si="16"/>
        <v>0</v>
      </c>
    </row>
    <row r="215" spans="11:13" hidden="1" x14ac:dyDescent="0.25">
      <c r="K215" s="7">
        <f t="shared" si="17"/>
        <v>0</v>
      </c>
      <c r="L215" s="5">
        <f t="shared" si="18"/>
        <v>0</v>
      </c>
      <c r="M215">
        <f t="shared" si="16"/>
        <v>0</v>
      </c>
    </row>
    <row r="216" spans="11:13" hidden="1" x14ac:dyDescent="0.25">
      <c r="K216" s="7">
        <f t="shared" si="17"/>
        <v>0</v>
      </c>
      <c r="L216" s="5">
        <f t="shared" si="18"/>
        <v>0</v>
      </c>
      <c r="M216">
        <f t="shared" si="16"/>
        <v>0</v>
      </c>
    </row>
    <row r="217" spans="11:13" hidden="1" x14ac:dyDescent="0.25">
      <c r="K217" s="7">
        <f t="shared" si="17"/>
        <v>0</v>
      </c>
      <c r="L217" s="5">
        <f t="shared" si="18"/>
        <v>0</v>
      </c>
      <c r="M217">
        <f t="shared" si="16"/>
        <v>0</v>
      </c>
    </row>
    <row r="218" spans="11:13" hidden="1" x14ac:dyDescent="0.25">
      <c r="K218" s="7">
        <f t="shared" si="17"/>
        <v>0</v>
      </c>
      <c r="L218" s="5">
        <f t="shared" si="18"/>
        <v>0</v>
      </c>
      <c r="M218">
        <f t="shared" si="16"/>
        <v>0</v>
      </c>
    </row>
    <row r="219" spans="11:13" hidden="1" x14ac:dyDescent="0.25">
      <c r="K219" s="7">
        <f t="shared" si="17"/>
        <v>0</v>
      </c>
      <c r="L219" s="5">
        <f t="shared" si="18"/>
        <v>0</v>
      </c>
      <c r="M219">
        <f t="shared" si="16"/>
        <v>0</v>
      </c>
    </row>
    <row r="220" spans="11:13" hidden="1" x14ac:dyDescent="0.25">
      <c r="K220" s="7">
        <f t="shared" si="17"/>
        <v>0</v>
      </c>
      <c r="L220" s="5">
        <f t="shared" si="18"/>
        <v>0</v>
      </c>
      <c r="M220">
        <f t="shared" si="16"/>
        <v>0</v>
      </c>
    </row>
    <row r="221" spans="11:13" hidden="1" x14ac:dyDescent="0.25">
      <c r="K221" s="7">
        <f t="shared" si="17"/>
        <v>0</v>
      </c>
      <c r="L221" s="5">
        <f t="shared" si="18"/>
        <v>0</v>
      </c>
      <c r="M221">
        <f t="shared" si="16"/>
        <v>0</v>
      </c>
    </row>
    <row r="222" spans="11:13" hidden="1" x14ac:dyDescent="0.25">
      <c r="K222" s="7">
        <f t="shared" si="17"/>
        <v>0</v>
      </c>
      <c r="L222" s="5">
        <f t="shared" si="18"/>
        <v>0</v>
      </c>
      <c r="M222">
        <f t="shared" si="16"/>
        <v>0</v>
      </c>
    </row>
    <row r="223" spans="11:13" hidden="1" x14ac:dyDescent="0.25">
      <c r="K223" s="7">
        <f t="shared" si="17"/>
        <v>0</v>
      </c>
      <c r="L223" s="5">
        <f t="shared" si="18"/>
        <v>0</v>
      </c>
      <c r="M223">
        <f t="shared" si="16"/>
        <v>0</v>
      </c>
    </row>
    <row r="224" spans="11:13" hidden="1" x14ac:dyDescent="0.25">
      <c r="K224" s="7">
        <f t="shared" si="17"/>
        <v>0</v>
      </c>
      <c r="L224" s="5">
        <f t="shared" si="18"/>
        <v>0</v>
      </c>
      <c r="M224">
        <f t="shared" si="16"/>
        <v>0</v>
      </c>
    </row>
    <row r="225" spans="11:13" hidden="1" x14ac:dyDescent="0.25">
      <c r="K225" s="7">
        <f t="shared" si="17"/>
        <v>0</v>
      </c>
      <c r="L225" s="5">
        <f t="shared" si="18"/>
        <v>0</v>
      </c>
      <c r="M225">
        <f t="shared" si="16"/>
        <v>0</v>
      </c>
    </row>
    <row r="226" spans="11:13" hidden="1" x14ac:dyDescent="0.25">
      <c r="K226" s="7">
        <f t="shared" si="17"/>
        <v>0</v>
      </c>
      <c r="L226" s="5">
        <f t="shared" si="18"/>
        <v>0</v>
      </c>
      <c r="M226">
        <f t="shared" si="16"/>
        <v>0</v>
      </c>
    </row>
    <row r="227" spans="11:13" hidden="1" x14ac:dyDescent="0.25">
      <c r="K227" s="7">
        <f t="shared" si="17"/>
        <v>0</v>
      </c>
      <c r="L227" s="5">
        <f t="shared" si="18"/>
        <v>0</v>
      </c>
      <c r="M227">
        <f t="shared" si="16"/>
        <v>0</v>
      </c>
    </row>
    <row r="228" spans="11:13" hidden="1" x14ac:dyDescent="0.25">
      <c r="K228" s="7">
        <f t="shared" si="17"/>
        <v>0</v>
      </c>
      <c r="L228" s="5">
        <f t="shared" si="18"/>
        <v>0</v>
      </c>
      <c r="M228">
        <f t="shared" si="16"/>
        <v>0</v>
      </c>
    </row>
    <row r="229" spans="11:13" hidden="1" x14ac:dyDescent="0.25">
      <c r="K229" s="7">
        <f t="shared" si="17"/>
        <v>0</v>
      </c>
      <c r="L229" s="5">
        <f t="shared" si="18"/>
        <v>0</v>
      </c>
      <c r="M229">
        <f t="shared" si="16"/>
        <v>0</v>
      </c>
    </row>
    <row r="230" spans="11:13" hidden="1" x14ac:dyDescent="0.25">
      <c r="K230" s="7">
        <f t="shared" si="17"/>
        <v>0</v>
      </c>
      <c r="L230" s="5">
        <f t="shared" si="18"/>
        <v>0</v>
      </c>
      <c r="M230">
        <f t="shared" si="16"/>
        <v>0</v>
      </c>
    </row>
    <row r="231" spans="11:13" hidden="1" x14ac:dyDescent="0.25">
      <c r="K231" s="7">
        <f t="shared" si="17"/>
        <v>0</v>
      </c>
      <c r="L231" s="5">
        <f t="shared" si="18"/>
        <v>0</v>
      </c>
      <c r="M231">
        <f t="shared" si="16"/>
        <v>0</v>
      </c>
    </row>
    <row r="232" spans="11:13" hidden="1" x14ac:dyDescent="0.25">
      <c r="K232" s="7">
        <f t="shared" si="17"/>
        <v>0</v>
      </c>
      <c r="L232" s="5">
        <f t="shared" si="18"/>
        <v>0</v>
      </c>
      <c r="M232">
        <f t="shared" si="16"/>
        <v>0</v>
      </c>
    </row>
    <row r="233" spans="11:13" hidden="1" x14ac:dyDescent="0.25">
      <c r="K233" s="7">
        <f t="shared" si="17"/>
        <v>0</v>
      </c>
      <c r="L233" s="5">
        <f t="shared" si="18"/>
        <v>0</v>
      </c>
      <c r="M233">
        <f t="shared" si="16"/>
        <v>0</v>
      </c>
    </row>
    <row r="234" spans="11:13" hidden="1" x14ac:dyDescent="0.25">
      <c r="K234" s="7">
        <f t="shared" si="17"/>
        <v>0</v>
      </c>
      <c r="L234" s="5">
        <f t="shared" si="18"/>
        <v>0</v>
      </c>
      <c r="M234">
        <f t="shared" si="16"/>
        <v>0</v>
      </c>
    </row>
    <row r="235" spans="11:13" hidden="1" x14ac:dyDescent="0.25">
      <c r="K235" s="7">
        <f t="shared" si="17"/>
        <v>0</v>
      </c>
      <c r="L235" s="5">
        <f t="shared" si="18"/>
        <v>0</v>
      </c>
      <c r="M235">
        <f t="shared" si="16"/>
        <v>0</v>
      </c>
    </row>
    <row r="236" spans="11:13" hidden="1" x14ac:dyDescent="0.25">
      <c r="K236" s="7">
        <f t="shared" si="17"/>
        <v>0</v>
      </c>
      <c r="L236" s="5">
        <f t="shared" si="18"/>
        <v>0</v>
      </c>
      <c r="M236">
        <f t="shared" si="16"/>
        <v>0</v>
      </c>
    </row>
    <row r="237" spans="11:13" hidden="1" x14ac:dyDescent="0.25">
      <c r="K237" s="7">
        <f t="shared" si="17"/>
        <v>0</v>
      </c>
      <c r="L237" s="5">
        <f t="shared" si="18"/>
        <v>0</v>
      </c>
      <c r="M237">
        <f t="shared" si="16"/>
        <v>0</v>
      </c>
    </row>
    <row r="238" spans="11:13" hidden="1" x14ac:dyDescent="0.25">
      <c r="K238" s="7">
        <f t="shared" si="17"/>
        <v>0</v>
      </c>
      <c r="L238" s="5">
        <f t="shared" si="18"/>
        <v>0</v>
      </c>
      <c r="M238">
        <f t="shared" si="16"/>
        <v>0</v>
      </c>
    </row>
    <row r="239" spans="11:13" hidden="1" x14ac:dyDescent="0.25">
      <c r="K239" s="7">
        <f t="shared" si="17"/>
        <v>0</v>
      </c>
      <c r="L239" s="5">
        <f t="shared" si="18"/>
        <v>0</v>
      </c>
      <c r="M239">
        <f t="shared" si="16"/>
        <v>0</v>
      </c>
    </row>
    <row r="240" spans="11:13" hidden="1" x14ac:dyDescent="0.25">
      <c r="K240" s="7">
        <f t="shared" si="17"/>
        <v>0</v>
      </c>
      <c r="L240" s="5">
        <f t="shared" si="18"/>
        <v>0</v>
      </c>
      <c r="M240">
        <f t="shared" si="16"/>
        <v>0</v>
      </c>
    </row>
    <row r="241" spans="11:13" hidden="1" x14ac:dyDescent="0.25">
      <c r="K241" s="7">
        <f t="shared" si="17"/>
        <v>0</v>
      </c>
      <c r="L241" s="5">
        <f t="shared" si="18"/>
        <v>0</v>
      </c>
      <c r="M241">
        <f t="shared" si="16"/>
        <v>0</v>
      </c>
    </row>
    <row r="242" spans="11:13" hidden="1" x14ac:dyDescent="0.25">
      <c r="K242" s="7">
        <f t="shared" si="17"/>
        <v>0</v>
      </c>
      <c r="L242" s="5">
        <f t="shared" si="18"/>
        <v>0</v>
      </c>
      <c r="M242">
        <f t="shared" si="16"/>
        <v>0</v>
      </c>
    </row>
    <row r="243" spans="11:13" hidden="1" x14ac:dyDescent="0.25">
      <c r="K243" s="7">
        <f t="shared" si="17"/>
        <v>0</v>
      </c>
      <c r="L243" s="5">
        <f t="shared" si="18"/>
        <v>0</v>
      </c>
      <c r="M243">
        <f t="shared" si="16"/>
        <v>0</v>
      </c>
    </row>
    <row r="244" spans="11:13" hidden="1" x14ac:dyDescent="0.25">
      <c r="K244" s="7">
        <f t="shared" si="17"/>
        <v>0</v>
      </c>
      <c r="L244" s="5">
        <f t="shared" si="18"/>
        <v>0</v>
      </c>
      <c r="M244">
        <f t="shared" si="16"/>
        <v>0</v>
      </c>
    </row>
    <row r="245" spans="11:13" hidden="1" x14ac:dyDescent="0.25">
      <c r="K245" s="7">
        <f t="shared" si="17"/>
        <v>0</v>
      </c>
      <c r="L245" s="5">
        <f t="shared" si="18"/>
        <v>0</v>
      </c>
      <c r="M245">
        <f t="shared" si="16"/>
        <v>0</v>
      </c>
    </row>
    <row r="246" spans="11:13" hidden="1" x14ac:dyDescent="0.25">
      <c r="K246" s="7">
        <f t="shared" si="17"/>
        <v>0</v>
      </c>
      <c r="L246" s="5">
        <f t="shared" si="18"/>
        <v>0</v>
      </c>
      <c r="M246">
        <f t="shared" si="16"/>
        <v>0</v>
      </c>
    </row>
    <row r="247" spans="11:13" hidden="1" x14ac:dyDescent="0.25">
      <c r="K247" s="7">
        <f t="shared" si="17"/>
        <v>0</v>
      </c>
      <c r="L247" s="5">
        <f t="shared" si="18"/>
        <v>0</v>
      </c>
      <c r="M247">
        <f t="shared" si="16"/>
        <v>0</v>
      </c>
    </row>
    <row r="248" spans="11:13" hidden="1" x14ac:dyDescent="0.25">
      <c r="K248" s="7">
        <f t="shared" si="17"/>
        <v>0</v>
      </c>
      <c r="L248" s="5">
        <f t="shared" si="18"/>
        <v>0</v>
      </c>
      <c r="M248">
        <f t="shared" si="16"/>
        <v>0</v>
      </c>
    </row>
    <row r="249" spans="11:13" hidden="1" x14ac:dyDescent="0.25">
      <c r="K249" s="7">
        <f t="shared" si="17"/>
        <v>0</v>
      </c>
      <c r="L249" s="5">
        <f t="shared" si="18"/>
        <v>0</v>
      </c>
      <c r="M249">
        <f t="shared" si="16"/>
        <v>0</v>
      </c>
    </row>
    <row r="250" spans="11:13" hidden="1" x14ac:dyDescent="0.25">
      <c r="K250" s="7">
        <f t="shared" si="17"/>
        <v>0</v>
      </c>
      <c r="L250" s="5">
        <f t="shared" si="18"/>
        <v>0</v>
      </c>
      <c r="M250">
        <f t="shared" si="16"/>
        <v>0</v>
      </c>
    </row>
    <row r="251" spans="11:13" hidden="1" x14ac:dyDescent="0.25">
      <c r="K251" s="7">
        <f t="shared" si="17"/>
        <v>0</v>
      </c>
      <c r="L251" s="5">
        <f t="shared" si="18"/>
        <v>0</v>
      </c>
      <c r="M251">
        <f t="shared" si="16"/>
        <v>0</v>
      </c>
    </row>
    <row r="252" spans="11:13" hidden="1" x14ac:dyDescent="0.25">
      <c r="K252" s="7">
        <f t="shared" si="17"/>
        <v>0</v>
      </c>
      <c r="L252" s="5">
        <f t="shared" si="18"/>
        <v>0</v>
      </c>
      <c r="M252">
        <f t="shared" si="16"/>
        <v>0</v>
      </c>
    </row>
    <row r="253" spans="11:13" hidden="1" x14ac:dyDescent="0.25">
      <c r="K253" s="7">
        <f t="shared" si="17"/>
        <v>0</v>
      </c>
      <c r="L253" s="5">
        <f t="shared" si="18"/>
        <v>0</v>
      </c>
      <c r="M253">
        <f t="shared" si="16"/>
        <v>0</v>
      </c>
    </row>
    <row r="254" spans="11:13" hidden="1" x14ac:dyDescent="0.25">
      <c r="K254" s="7">
        <f t="shared" si="17"/>
        <v>0</v>
      </c>
      <c r="L254" s="5">
        <f t="shared" si="18"/>
        <v>0</v>
      </c>
      <c r="M254">
        <f t="shared" si="16"/>
        <v>0</v>
      </c>
    </row>
    <row r="255" spans="11:13" hidden="1" x14ac:dyDescent="0.25">
      <c r="K255" s="7">
        <f t="shared" si="17"/>
        <v>0</v>
      </c>
      <c r="L255" s="5">
        <f t="shared" si="18"/>
        <v>0</v>
      </c>
      <c r="M255">
        <f t="shared" si="16"/>
        <v>0</v>
      </c>
    </row>
    <row r="256" spans="11:13" hidden="1" x14ac:dyDescent="0.25">
      <c r="K256" s="7">
        <f t="shared" si="17"/>
        <v>0</v>
      </c>
      <c r="L256" s="5">
        <f t="shared" si="18"/>
        <v>0</v>
      </c>
      <c r="M256">
        <f t="shared" si="16"/>
        <v>0</v>
      </c>
    </row>
    <row r="257" spans="11:13" hidden="1" x14ac:dyDescent="0.25">
      <c r="K257" s="7">
        <f t="shared" si="17"/>
        <v>0</v>
      </c>
      <c r="L257" s="5">
        <f t="shared" si="18"/>
        <v>0</v>
      </c>
      <c r="M257">
        <f t="shared" si="16"/>
        <v>0</v>
      </c>
    </row>
    <row r="258" spans="11:13" hidden="1" x14ac:dyDescent="0.25">
      <c r="K258" s="7">
        <f t="shared" si="17"/>
        <v>0</v>
      </c>
      <c r="L258" s="5">
        <f t="shared" si="18"/>
        <v>0</v>
      </c>
      <c r="M258">
        <f t="shared" si="16"/>
        <v>0</v>
      </c>
    </row>
    <row r="259" spans="11:13" hidden="1" x14ac:dyDescent="0.25">
      <c r="K259" s="7">
        <f t="shared" si="17"/>
        <v>0</v>
      </c>
      <c r="L259" s="5">
        <f t="shared" si="18"/>
        <v>0</v>
      </c>
      <c r="M259">
        <f t="shared" si="16"/>
        <v>0</v>
      </c>
    </row>
    <row r="260" spans="11:13" hidden="1" x14ac:dyDescent="0.25">
      <c r="K260" s="7">
        <f t="shared" si="17"/>
        <v>0</v>
      </c>
      <c r="L260" s="5">
        <f t="shared" si="18"/>
        <v>0</v>
      </c>
      <c r="M260">
        <f t="shared" si="16"/>
        <v>0</v>
      </c>
    </row>
    <row r="261" spans="11:13" hidden="1" x14ac:dyDescent="0.25">
      <c r="K261" s="7">
        <f t="shared" si="17"/>
        <v>0</v>
      </c>
      <c r="L261" s="5">
        <f t="shared" si="18"/>
        <v>0</v>
      </c>
      <c r="M261">
        <f t="shared" si="16"/>
        <v>0</v>
      </c>
    </row>
    <row r="262" spans="11:13" hidden="1" x14ac:dyDescent="0.25">
      <c r="K262" s="7">
        <f t="shared" si="17"/>
        <v>0</v>
      </c>
      <c r="L262" s="5">
        <f t="shared" si="18"/>
        <v>0</v>
      </c>
      <c r="M262">
        <f t="shared" si="16"/>
        <v>0</v>
      </c>
    </row>
    <row r="263" spans="11:13" hidden="1" x14ac:dyDescent="0.25">
      <c r="K263" s="7">
        <f t="shared" si="17"/>
        <v>0</v>
      </c>
      <c r="L263" s="5">
        <f t="shared" si="18"/>
        <v>0</v>
      </c>
      <c r="M263">
        <f t="shared" si="16"/>
        <v>0</v>
      </c>
    </row>
    <row r="264" spans="11:13" hidden="1" x14ac:dyDescent="0.25">
      <c r="K264" s="7">
        <f t="shared" ref="K264:K327" si="19">SUM(F264:J264)</f>
        <v>0</v>
      </c>
      <c r="L264" s="5">
        <f t="shared" si="18"/>
        <v>0</v>
      </c>
      <c r="M264">
        <f t="shared" ref="M264:M327" si="20">SUM(K264*L264)</f>
        <v>0</v>
      </c>
    </row>
    <row r="265" spans="11:13" hidden="1" x14ac:dyDescent="0.25">
      <c r="K265" s="7">
        <f t="shared" si="19"/>
        <v>0</v>
      </c>
      <c r="L265" s="5">
        <f t="shared" si="18"/>
        <v>0</v>
      </c>
      <c r="M265">
        <f t="shared" si="20"/>
        <v>0</v>
      </c>
    </row>
    <row r="266" spans="11:13" hidden="1" x14ac:dyDescent="0.25">
      <c r="K266" s="7">
        <f t="shared" si="19"/>
        <v>0</v>
      </c>
      <c r="L266" s="5">
        <f t="shared" si="18"/>
        <v>0</v>
      </c>
      <c r="M266">
        <f t="shared" si="20"/>
        <v>0</v>
      </c>
    </row>
    <row r="267" spans="11:13" hidden="1" x14ac:dyDescent="0.25">
      <c r="K267" s="7">
        <f t="shared" si="19"/>
        <v>0</v>
      </c>
      <c r="L267" s="5">
        <f t="shared" si="18"/>
        <v>0</v>
      </c>
      <c r="M267">
        <f t="shared" si="20"/>
        <v>0</v>
      </c>
    </row>
    <row r="268" spans="11:13" hidden="1" x14ac:dyDescent="0.25">
      <c r="K268" s="7">
        <f t="shared" si="19"/>
        <v>0</v>
      </c>
      <c r="L268" s="5">
        <f t="shared" si="18"/>
        <v>0</v>
      </c>
      <c r="M268">
        <f t="shared" si="20"/>
        <v>0</v>
      </c>
    </row>
    <row r="269" spans="11:13" hidden="1" x14ac:dyDescent="0.25">
      <c r="K269" s="7">
        <f t="shared" si="19"/>
        <v>0</v>
      </c>
      <c r="L269" s="5">
        <f t="shared" si="18"/>
        <v>0</v>
      </c>
      <c r="M269">
        <f t="shared" si="20"/>
        <v>0</v>
      </c>
    </row>
    <row r="270" spans="11:13" hidden="1" x14ac:dyDescent="0.25">
      <c r="K270" s="7">
        <f t="shared" si="19"/>
        <v>0</v>
      </c>
      <c r="L270" s="5">
        <f t="shared" si="18"/>
        <v>0</v>
      </c>
      <c r="M270">
        <f t="shared" si="20"/>
        <v>0</v>
      </c>
    </row>
    <row r="271" spans="11:13" hidden="1" x14ac:dyDescent="0.25">
      <c r="K271" s="7">
        <f t="shared" si="19"/>
        <v>0</v>
      </c>
      <c r="L271" s="5">
        <f t="shared" si="18"/>
        <v>0</v>
      </c>
      <c r="M271">
        <f t="shared" si="20"/>
        <v>0</v>
      </c>
    </row>
    <row r="272" spans="11:13" hidden="1" x14ac:dyDescent="0.25">
      <c r="K272" s="7">
        <f t="shared" si="19"/>
        <v>0</v>
      </c>
      <c r="L272" s="5">
        <f t="shared" si="18"/>
        <v>0</v>
      </c>
      <c r="M272">
        <f t="shared" si="20"/>
        <v>0</v>
      </c>
    </row>
    <row r="273" spans="11:13" hidden="1" x14ac:dyDescent="0.25">
      <c r="K273" s="7">
        <f t="shared" si="19"/>
        <v>0</v>
      </c>
      <c r="L273" s="5">
        <f t="shared" ref="L273:L336" si="21">IF(D273="X",0,IF(E273="",0,IF(E273="H",0,VLOOKUP(E273,$F$539:$G$553,2))))</f>
        <v>0</v>
      </c>
      <c r="M273">
        <f t="shared" si="20"/>
        <v>0</v>
      </c>
    </row>
    <row r="274" spans="11:13" hidden="1" x14ac:dyDescent="0.25">
      <c r="K274" s="7">
        <f t="shared" si="19"/>
        <v>0</v>
      </c>
      <c r="L274" s="5">
        <f t="shared" si="21"/>
        <v>0</v>
      </c>
      <c r="M274">
        <f t="shared" si="20"/>
        <v>0</v>
      </c>
    </row>
    <row r="275" spans="11:13" hidden="1" x14ac:dyDescent="0.25">
      <c r="K275" s="7">
        <f t="shared" si="19"/>
        <v>0</v>
      </c>
      <c r="L275" s="5">
        <f t="shared" si="21"/>
        <v>0</v>
      </c>
      <c r="M275">
        <f t="shared" si="20"/>
        <v>0</v>
      </c>
    </row>
    <row r="276" spans="11:13" hidden="1" x14ac:dyDescent="0.25">
      <c r="K276" s="7">
        <f t="shared" si="19"/>
        <v>0</v>
      </c>
      <c r="L276" s="5">
        <f t="shared" si="21"/>
        <v>0</v>
      </c>
      <c r="M276">
        <f t="shared" si="20"/>
        <v>0</v>
      </c>
    </row>
    <row r="277" spans="11:13" hidden="1" x14ac:dyDescent="0.25">
      <c r="K277" s="7">
        <f t="shared" si="19"/>
        <v>0</v>
      </c>
      <c r="L277" s="5">
        <f t="shared" si="21"/>
        <v>0</v>
      </c>
      <c r="M277">
        <f t="shared" si="20"/>
        <v>0</v>
      </c>
    </row>
    <row r="278" spans="11:13" hidden="1" x14ac:dyDescent="0.25">
      <c r="K278" s="7">
        <f t="shared" si="19"/>
        <v>0</v>
      </c>
      <c r="L278" s="5">
        <f t="shared" si="21"/>
        <v>0</v>
      </c>
      <c r="M278">
        <f t="shared" si="20"/>
        <v>0</v>
      </c>
    </row>
    <row r="279" spans="11:13" hidden="1" x14ac:dyDescent="0.25">
      <c r="K279" s="7">
        <f t="shared" si="19"/>
        <v>0</v>
      </c>
      <c r="L279" s="5">
        <f t="shared" si="21"/>
        <v>0</v>
      </c>
      <c r="M279">
        <f t="shared" si="20"/>
        <v>0</v>
      </c>
    </row>
    <row r="280" spans="11:13" hidden="1" x14ac:dyDescent="0.25">
      <c r="K280" s="7">
        <f t="shared" si="19"/>
        <v>0</v>
      </c>
      <c r="L280" s="5">
        <f t="shared" si="21"/>
        <v>0</v>
      </c>
      <c r="M280">
        <f t="shared" si="20"/>
        <v>0</v>
      </c>
    </row>
    <row r="281" spans="11:13" hidden="1" x14ac:dyDescent="0.25">
      <c r="K281" s="7">
        <f t="shared" si="19"/>
        <v>0</v>
      </c>
      <c r="L281" s="5">
        <f t="shared" si="21"/>
        <v>0</v>
      </c>
      <c r="M281">
        <f t="shared" si="20"/>
        <v>0</v>
      </c>
    </row>
    <row r="282" spans="11:13" hidden="1" x14ac:dyDescent="0.25">
      <c r="K282" s="7">
        <f t="shared" si="19"/>
        <v>0</v>
      </c>
      <c r="L282" s="5">
        <f t="shared" si="21"/>
        <v>0</v>
      </c>
      <c r="M282">
        <f t="shared" si="20"/>
        <v>0</v>
      </c>
    </row>
    <row r="283" spans="11:13" hidden="1" x14ac:dyDescent="0.25">
      <c r="K283" s="7">
        <f t="shared" si="19"/>
        <v>0</v>
      </c>
      <c r="L283" s="5">
        <f t="shared" si="21"/>
        <v>0</v>
      </c>
      <c r="M283">
        <f t="shared" si="20"/>
        <v>0</v>
      </c>
    </row>
    <row r="284" spans="11:13" hidden="1" x14ac:dyDescent="0.25">
      <c r="K284" s="7">
        <f t="shared" si="19"/>
        <v>0</v>
      </c>
      <c r="L284" s="5">
        <f t="shared" si="21"/>
        <v>0</v>
      </c>
      <c r="M284">
        <f t="shared" si="20"/>
        <v>0</v>
      </c>
    </row>
    <row r="285" spans="11:13" hidden="1" x14ac:dyDescent="0.25">
      <c r="K285" s="7">
        <f t="shared" si="19"/>
        <v>0</v>
      </c>
      <c r="L285" s="5">
        <f t="shared" si="21"/>
        <v>0</v>
      </c>
      <c r="M285">
        <f t="shared" si="20"/>
        <v>0</v>
      </c>
    </row>
    <row r="286" spans="11:13" hidden="1" x14ac:dyDescent="0.25">
      <c r="K286" s="7">
        <f t="shared" si="19"/>
        <v>0</v>
      </c>
      <c r="L286" s="5">
        <f t="shared" si="21"/>
        <v>0</v>
      </c>
      <c r="M286">
        <f t="shared" si="20"/>
        <v>0</v>
      </c>
    </row>
    <row r="287" spans="11:13" hidden="1" x14ac:dyDescent="0.25">
      <c r="K287" s="7">
        <f t="shared" si="19"/>
        <v>0</v>
      </c>
      <c r="L287" s="5">
        <f t="shared" si="21"/>
        <v>0</v>
      </c>
      <c r="M287">
        <f t="shared" si="20"/>
        <v>0</v>
      </c>
    </row>
    <row r="288" spans="11:13" hidden="1" x14ac:dyDescent="0.25">
      <c r="K288" s="7">
        <f t="shared" si="19"/>
        <v>0</v>
      </c>
      <c r="L288" s="5">
        <f t="shared" si="21"/>
        <v>0</v>
      </c>
      <c r="M288">
        <f t="shared" si="20"/>
        <v>0</v>
      </c>
    </row>
    <row r="289" spans="11:13" hidden="1" x14ac:dyDescent="0.25">
      <c r="K289" s="7">
        <f t="shared" si="19"/>
        <v>0</v>
      </c>
      <c r="L289" s="5">
        <f t="shared" si="21"/>
        <v>0</v>
      </c>
      <c r="M289">
        <f t="shared" si="20"/>
        <v>0</v>
      </c>
    </row>
    <row r="290" spans="11:13" hidden="1" x14ac:dyDescent="0.25">
      <c r="K290" s="7">
        <f t="shared" si="19"/>
        <v>0</v>
      </c>
      <c r="L290" s="5">
        <f t="shared" si="21"/>
        <v>0</v>
      </c>
      <c r="M290">
        <f t="shared" si="20"/>
        <v>0</v>
      </c>
    </row>
    <row r="291" spans="11:13" hidden="1" x14ac:dyDescent="0.25">
      <c r="K291" s="7">
        <f t="shared" si="19"/>
        <v>0</v>
      </c>
      <c r="L291" s="5">
        <f t="shared" si="21"/>
        <v>0</v>
      </c>
      <c r="M291">
        <f t="shared" si="20"/>
        <v>0</v>
      </c>
    </row>
    <row r="292" spans="11:13" hidden="1" x14ac:dyDescent="0.25">
      <c r="K292" s="7">
        <f t="shared" si="19"/>
        <v>0</v>
      </c>
      <c r="L292" s="5">
        <f t="shared" si="21"/>
        <v>0</v>
      </c>
      <c r="M292">
        <f t="shared" si="20"/>
        <v>0</v>
      </c>
    </row>
    <row r="293" spans="11:13" hidden="1" x14ac:dyDescent="0.25">
      <c r="K293" s="7">
        <f t="shared" si="19"/>
        <v>0</v>
      </c>
      <c r="L293" s="5">
        <f t="shared" si="21"/>
        <v>0</v>
      </c>
      <c r="M293">
        <f t="shared" si="20"/>
        <v>0</v>
      </c>
    </row>
    <row r="294" spans="11:13" hidden="1" x14ac:dyDescent="0.25">
      <c r="K294" s="7">
        <f t="shared" si="19"/>
        <v>0</v>
      </c>
      <c r="L294" s="5">
        <f t="shared" si="21"/>
        <v>0</v>
      </c>
      <c r="M294">
        <f t="shared" si="20"/>
        <v>0</v>
      </c>
    </row>
    <row r="295" spans="11:13" hidden="1" x14ac:dyDescent="0.25">
      <c r="K295" s="7">
        <f t="shared" si="19"/>
        <v>0</v>
      </c>
      <c r="L295" s="5">
        <f t="shared" si="21"/>
        <v>0</v>
      </c>
      <c r="M295">
        <f t="shared" si="20"/>
        <v>0</v>
      </c>
    </row>
    <row r="296" spans="11:13" hidden="1" x14ac:dyDescent="0.25">
      <c r="K296" s="7">
        <f t="shared" si="19"/>
        <v>0</v>
      </c>
      <c r="L296" s="5">
        <f t="shared" si="21"/>
        <v>0</v>
      </c>
      <c r="M296">
        <f t="shared" si="20"/>
        <v>0</v>
      </c>
    </row>
    <row r="297" spans="11:13" hidden="1" x14ac:dyDescent="0.25">
      <c r="K297" s="7">
        <f t="shared" si="19"/>
        <v>0</v>
      </c>
      <c r="L297" s="5">
        <f t="shared" si="21"/>
        <v>0</v>
      </c>
      <c r="M297">
        <f t="shared" si="20"/>
        <v>0</v>
      </c>
    </row>
    <row r="298" spans="11:13" hidden="1" x14ac:dyDescent="0.25">
      <c r="K298" s="7">
        <f t="shared" si="19"/>
        <v>0</v>
      </c>
      <c r="L298" s="5">
        <f t="shared" si="21"/>
        <v>0</v>
      </c>
      <c r="M298">
        <f t="shared" si="20"/>
        <v>0</v>
      </c>
    </row>
    <row r="299" spans="11:13" hidden="1" x14ac:dyDescent="0.25">
      <c r="K299" s="7">
        <f t="shared" si="19"/>
        <v>0</v>
      </c>
      <c r="L299" s="5">
        <f t="shared" si="21"/>
        <v>0</v>
      </c>
      <c r="M299">
        <f t="shared" si="20"/>
        <v>0</v>
      </c>
    </row>
    <row r="300" spans="11:13" hidden="1" x14ac:dyDescent="0.25">
      <c r="K300" s="7">
        <f t="shared" si="19"/>
        <v>0</v>
      </c>
      <c r="L300" s="5">
        <f t="shared" si="21"/>
        <v>0</v>
      </c>
      <c r="M300">
        <f t="shared" si="20"/>
        <v>0</v>
      </c>
    </row>
    <row r="301" spans="11:13" hidden="1" x14ac:dyDescent="0.25">
      <c r="K301" s="7">
        <f t="shared" si="19"/>
        <v>0</v>
      </c>
      <c r="L301" s="5">
        <f t="shared" si="21"/>
        <v>0</v>
      </c>
      <c r="M301">
        <f t="shared" si="20"/>
        <v>0</v>
      </c>
    </row>
    <row r="302" spans="11:13" hidden="1" x14ac:dyDescent="0.25">
      <c r="K302" s="7">
        <f t="shared" si="19"/>
        <v>0</v>
      </c>
      <c r="L302" s="5">
        <f t="shared" si="21"/>
        <v>0</v>
      </c>
      <c r="M302">
        <f t="shared" si="20"/>
        <v>0</v>
      </c>
    </row>
    <row r="303" spans="11:13" hidden="1" x14ac:dyDescent="0.25">
      <c r="K303" s="7">
        <f t="shared" si="19"/>
        <v>0</v>
      </c>
      <c r="L303" s="5">
        <f t="shared" si="21"/>
        <v>0</v>
      </c>
      <c r="M303">
        <f t="shared" si="20"/>
        <v>0</v>
      </c>
    </row>
    <row r="304" spans="11:13" hidden="1" x14ac:dyDescent="0.25">
      <c r="K304" s="7">
        <f t="shared" si="19"/>
        <v>0</v>
      </c>
      <c r="L304" s="5">
        <f t="shared" si="21"/>
        <v>0</v>
      </c>
      <c r="M304">
        <f t="shared" si="20"/>
        <v>0</v>
      </c>
    </row>
    <row r="305" spans="11:13" hidden="1" x14ac:dyDescent="0.25">
      <c r="K305" s="7">
        <f t="shared" si="19"/>
        <v>0</v>
      </c>
      <c r="L305" s="5">
        <f t="shared" si="21"/>
        <v>0</v>
      </c>
      <c r="M305">
        <f t="shared" si="20"/>
        <v>0</v>
      </c>
    </row>
    <row r="306" spans="11:13" hidden="1" x14ac:dyDescent="0.25">
      <c r="K306" s="7">
        <f t="shared" si="19"/>
        <v>0</v>
      </c>
      <c r="L306" s="5">
        <f t="shared" si="21"/>
        <v>0</v>
      </c>
      <c r="M306">
        <f t="shared" si="20"/>
        <v>0</v>
      </c>
    </row>
    <row r="307" spans="11:13" hidden="1" x14ac:dyDescent="0.25">
      <c r="K307" s="7">
        <f t="shared" si="19"/>
        <v>0</v>
      </c>
      <c r="L307" s="5">
        <f t="shared" si="21"/>
        <v>0</v>
      </c>
      <c r="M307">
        <f t="shared" si="20"/>
        <v>0</v>
      </c>
    </row>
    <row r="308" spans="11:13" hidden="1" x14ac:dyDescent="0.25">
      <c r="K308" s="7">
        <f t="shared" si="19"/>
        <v>0</v>
      </c>
      <c r="L308" s="5">
        <f t="shared" si="21"/>
        <v>0</v>
      </c>
      <c r="M308">
        <f t="shared" si="20"/>
        <v>0</v>
      </c>
    </row>
    <row r="309" spans="11:13" hidden="1" x14ac:dyDescent="0.25">
      <c r="K309" s="7">
        <f t="shared" si="19"/>
        <v>0</v>
      </c>
      <c r="L309" s="5">
        <f t="shared" si="21"/>
        <v>0</v>
      </c>
      <c r="M309">
        <f t="shared" si="20"/>
        <v>0</v>
      </c>
    </row>
    <row r="310" spans="11:13" hidden="1" x14ac:dyDescent="0.25">
      <c r="K310" s="7">
        <f t="shared" si="19"/>
        <v>0</v>
      </c>
      <c r="L310" s="5">
        <f t="shared" si="21"/>
        <v>0</v>
      </c>
      <c r="M310">
        <f t="shared" si="20"/>
        <v>0</v>
      </c>
    </row>
    <row r="311" spans="11:13" hidden="1" x14ac:dyDescent="0.25">
      <c r="K311" s="7">
        <f t="shared" si="19"/>
        <v>0</v>
      </c>
      <c r="L311" s="5">
        <f t="shared" si="21"/>
        <v>0</v>
      </c>
      <c r="M311">
        <f t="shared" si="20"/>
        <v>0</v>
      </c>
    </row>
    <row r="312" spans="11:13" hidden="1" x14ac:dyDescent="0.25">
      <c r="K312" s="7">
        <f t="shared" si="19"/>
        <v>0</v>
      </c>
      <c r="L312" s="5">
        <f t="shared" si="21"/>
        <v>0</v>
      </c>
      <c r="M312">
        <f t="shared" si="20"/>
        <v>0</v>
      </c>
    </row>
    <row r="313" spans="11:13" hidden="1" x14ac:dyDescent="0.25">
      <c r="K313" s="7">
        <f t="shared" si="19"/>
        <v>0</v>
      </c>
      <c r="L313" s="5">
        <f t="shared" si="21"/>
        <v>0</v>
      </c>
      <c r="M313">
        <f t="shared" si="20"/>
        <v>0</v>
      </c>
    </row>
    <row r="314" spans="11:13" hidden="1" x14ac:dyDescent="0.25">
      <c r="K314" s="7">
        <f t="shared" si="19"/>
        <v>0</v>
      </c>
      <c r="L314" s="5">
        <f t="shared" si="21"/>
        <v>0</v>
      </c>
      <c r="M314">
        <f t="shared" si="20"/>
        <v>0</v>
      </c>
    </row>
    <row r="315" spans="11:13" hidden="1" x14ac:dyDescent="0.25">
      <c r="K315" s="7">
        <f t="shared" si="19"/>
        <v>0</v>
      </c>
      <c r="L315" s="5">
        <f t="shared" si="21"/>
        <v>0</v>
      </c>
      <c r="M315">
        <f t="shared" si="20"/>
        <v>0</v>
      </c>
    </row>
    <row r="316" spans="11:13" hidden="1" x14ac:dyDescent="0.25">
      <c r="K316" s="7">
        <f t="shared" si="19"/>
        <v>0</v>
      </c>
      <c r="L316" s="5">
        <f t="shared" si="21"/>
        <v>0</v>
      </c>
      <c r="M316">
        <f t="shared" si="20"/>
        <v>0</v>
      </c>
    </row>
    <row r="317" spans="11:13" hidden="1" x14ac:dyDescent="0.25">
      <c r="K317" s="7">
        <f t="shared" si="19"/>
        <v>0</v>
      </c>
      <c r="L317" s="5">
        <f t="shared" si="21"/>
        <v>0</v>
      </c>
      <c r="M317">
        <f t="shared" si="20"/>
        <v>0</v>
      </c>
    </row>
    <row r="318" spans="11:13" hidden="1" x14ac:dyDescent="0.25">
      <c r="K318" s="7">
        <f t="shared" si="19"/>
        <v>0</v>
      </c>
      <c r="L318" s="5">
        <f t="shared" si="21"/>
        <v>0</v>
      </c>
      <c r="M318">
        <f t="shared" si="20"/>
        <v>0</v>
      </c>
    </row>
    <row r="319" spans="11:13" hidden="1" x14ac:dyDescent="0.25">
      <c r="K319" s="7">
        <f t="shared" si="19"/>
        <v>0</v>
      </c>
      <c r="L319" s="5">
        <f t="shared" si="21"/>
        <v>0</v>
      </c>
      <c r="M319">
        <f t="shared" si="20"/>
        <v>0</v>
      </c>
    </row>
    <row r="320" spans="11:13" hidden="1" x14ac:dyDescent="0.25">
      <c r="K320" s="7">
        <f t="shared" si="19"/>
        <v>0</v>
      </c>
      <c r="L320" s="5">
        <f t="shared" si="21"/>
        <v>0</v>
      </c>
      <c r="M320">
        <f t="shared" si="20"/>
        <v>0</v>
      </c>
    </row>
    <row r="321" spans="11:13" hidden="1" x14ac:dyDescent="0.25">
      <c r="K321" s="7">
        <f t="shared" si="19"/>
        <v>0</v>
      </c>
      <c r="L321" s="5">
        <f t="shared" si="21"/>
        <v>0</v>
      </c>
      <c r="M321">
        <f t="shared" si="20"/>
        <v>0</v>
      </c>
    </row>
    <row r="322" spans="11:13" hidden="1" x14ac:dyDescent="0.25">
      <c r="K322" s="7">
        <f t="shared" si="19"/>
        <v>0</v>
      </c>
      <c r="L322" s="5">
        <f t="shared" si="21"/>
        <v>0</v>
      </c>
      <c r="M322">
        <f t="shared" si="20"/>
        <v>0</v>
      </c>
    </row>
    <row r="323" spans="11:13" hidden="1" x14ac:dyDescent="0.25">
      <c r="K323" s="7">
        <f t="shared" si="19"/>
        <v>0</v>
      </c>
      <c r="L323" s="5">
        <f t="shared" si="21"/>
        <v>0</v>
      </c>
      <c r="M323">
        <f t="shared" si="20"/>
        <v>0</v>
      </c>
    </row>
    <row r="324" spans="11:13" hidden="1" x14ac:dyDescent="0.25">
      <c r="K324" s="7">
        <f t="shared" si="19"/>
        <v>0</v>
      </c>
      <c r="L324" s="5">
        <f t="shared" si="21"/>
        <v>0</v>
      </c>
      <c r="M324">
        <f t="shared" si="20"/>
        <v>0</v>
      </c>
    </row>
    <row r="325" spans="11:13" hidden="1" x14ac:dyDescent="0.25">
      <c r="K325" s="7">
        <f t="shared" si="19"/>
        <v>0</v>
      </c>
      <c r="L325" s="5">
        <f t="shared" si="21"/>
        <v>0</v>
      </c>
      <c r="M325">
        <f t="shared" si="20"/>
        <v>0</v>
      </c>
    </row>
    <row r="326" spans="11:13" hidden="1" x14ac:dyDescent="0.25">
      <c r="K326" s="7">
        <f t="shared" si="19"/>
        <v>0</v>
      </c>
      <c r="L326" s="5">
        <f t="shared" si="21"/>
        <v>0</v>
      </c>
      <c r="M326">
        <f t="shared" si="20"/>
        <v>0</v>
      </c>
    </row>
    <row r="327" spans="11:13" hidden="1" x14ac:dyDescent="0.25">
      <c r="K327" s="7">
        <f t="shared" si="19"/>
        <v>0</v>
      </c>
      <c r="L327" s="5">
        <f t="shared" si="21"/>
        <v>0</v>
      </c>
      <c r="M327">
        <f t="shared" si="20"/>
        <v>0</v>
      </c>
    </row>
    <row r="328" spans="11:13" hidden="1" x14ac:dyDescent="0.25">
      <c r="K328" s="7">
        <f t="shared" ref="K328:K391" si="22">SUM(F328:J328)</f>
        <v>0</v>
      </c>
      <c r="L328" s="5">
        <f t="shared" si="21"/>
        <v>0</v>
      </c>
      <c r="M328">
        <f t="shared" ref="M328:M391" si="23">SUM(K328*L328)</f>
        <v>0</v>
      </c>
    </row>
    <row r="329" spans="11:13" hidden="1" x14ac:dyDescent="0.25">
      <c r="K329" s="7">
        <f t="shared" si="22"/>
        <v>0</v>
      </c>
      <c r="L329" s="5">
        <f t="shared" si="21"/>
        <v>0</v>
      </c>
      <c r="M329">
        <f t="shared" si="23"/>
        <v>0</v>
      </c>
    </row>
    <row r="330" spans="11:13" hidden="1" x14ac:dyDescent="0.25">
      <c r="K330" s="7">
        <f t="shared" si="22"/>
        <v>0</v>
      </c>
      <c r="L330" s="5">
        <f t="shared" si="21"/>
        <v>0</v>
      </c>
      <c r="M330">
        <f t="shared" si="23"/>
        <v>0</v>
      </c>
    </row>
    <row r="331" spans="11:13" hidden="1" x14ac:dyDescent="0.25">
      <c r="K331" s="7">
        <f t="shared" si="22"/>
        <v>0</v>
      </c>
      <c r="L331" s="5">
        <f t="shared" si="21"/>
        <v>0</v>
      </c>
      <c r="M331">
        <f t="shared" si="23"/>
        <v>0</v>
      </c>
    </row>
    <row r="332" spans="11:13" hidden="1" x14ac:dyDescent="0.25">
      <c r="K332" s="7">
        <f t="shared" si="22"/>
        <v>0</v>
      </c>
      <c r="L332" s="5">
        <f t="shared" si="21"/>
        <v>0</v>
      </c>
      <c r="M332">
        <f t="shared" si="23"/>
        <v>0</v>
      </c>
    </row>
    <row r="333" spans="11:13" hidden="1" x14ac:dyDescent="0.25">
      <c r="K333" s="7">
        <f t="shared" si="22"/>
        <v>0</v>
      </c>
      <c r="L333" s="5">
        <f t="shared" si="21"/>
        <v>0</v>
      </c>
      <c r="M333">
        <f t="shared" si="23"/>
        <v>0</v>
      </c>
    </row>
    <row r="334" spans="11:13" hidden="1" x14ac:dyDescent="0.25">
      <c r="K334" s="7">
        <f t="shared" si="22"/>
        <v>0</v>
      </c>
      <c r="L334" s="5">
        <f t="shared" si="21"/>
        <v>0</v>
      </c>
      <c r="M334">
        <f t="shared" si="23"/>
        <v>0</v>
      </c>
    </row>
    <row r="335" spans="11:13" hidden="1" x14ac:dyDescent="0.25">
      <c r="K335" s="7">
        <f t="shared" si="22"/>
        <v>0</v>
      </c>
      <c r="L335" s="5">
        <f t="shared" si="21"/>
        <v>0</v>
      </c>
      <c r="M335">
        <f t="shared" si="23"/>
        <v>0</v>
      </c>
    </row>
    <row r="336" spans="11:13" hidden="1" x14ac:dyDescent="0.25">
      <c r="K336" s="7">
        <f t="shared" si="22"/>
        <v>0</v>
      </c>
      <c r="L336" s="5">
        <f t="shared" si="21"/>
        <v>0</v>
      </c>
      <c r="M336">
        <f t="shared" si="23"/>
        <v>0</v>
      </c>
    </row>
    <row r="337" spans="11:13" hidden="1" x14ac:dyDescent="0.25">
      <c r="K337" s="7">
        <f t="shared" si="22"/>
        <v>0</v>
      </c>
      <c r="L337" s="5">
        <f t="shared" ref="L337:L400" si="24">IF(D337="X",0,IF(E337="",0,IF(E337="H",0,VLOOKUP(E337,$F$539:$G$553,2))))</f>
        <v>0</v>
      </c>
      <c r="M337">
        <f t="shared" si="23"/>
        <v>0</v>
      </c>
    </row>
    <row r="338" spans="11:13" hidden="1" x14ac:dyDescent="0.25">
      <c r="K338" s="7">
        <f t="shared" si="22"/>
        <v>0</v>
      </c>
      <c r="L338" s="5">
        <f t="shared" si="24"/>
        <v>0</v>
      </c>
      <c r="M338">
        <f t="shared" si="23"/>
        <v>0</v>
      </c>
    </row>
    <row r="339" spans="11:13" hidden="1" x14ac:dyDescent="0.25">
      <c r="K339" s="7">
        <f t="shared" si="22"/>
        <v>0</v>
      </c>
      <c r="L339" s="5">
        <f t="shared" si="24"/>
        <v>0</v>
      </c>
      <c r="M339">
        <f t="shared" si="23"/>
        <v>0</v>
      </c>
    </row>
    <row r="340" spans="11:13" hidden="1" x14ac:dyDescent="0.25">
      <c r="K340" s="7">
        <f t="shared" si="22"/>
        <v>0</v>
      </c>
      <c r="L340" s="5">
        <f t="shared" si="24"/>
        <v>0</v>
      </c>
      <c r="M340">
        <f t="shared" si="23"/>
        <v>0</v>
      </c>
    </row>
    <row r="341" spans="11:13" hidden="1" x14ac:dyDescent="0.25">
      <c r="K341" s="7">
        <f t="shared" si="22"/>
        <v>0</v>
      </c>
      <c r="L341" s="5">
        <f t="shared" si="24"/>
        <v>0</v>
      </c>
      <c r="M341">
        <f t="shared" si="23"/>
        <v>0</v>
      </c>
    </row>
    <row r="342" spans="11:13" hidden="1" x14ac:dyDescent="0.25">
      <c r="K342" s="7">
        <f t="shared" si="22"/>
        <v>0</v>
      </c>
      <c r="L342" s="5">
        <f t="shared" si="24"/>
        <v>0</v>
      </c>
      <c r="M342">
        <f t="shared" si="23"/>
        <v>0</v>
      </c>
    </row>
    <row r="343" spans="11:13" hidden="1" x14ac:dyDescent="0.25">
      <c r="K343" s="7">
        <f t="shared" si="22"/>
        <v>0</v>
      </c>
      <c r="L343" s="5">
        <f t="shared" si="24"/>
        <v>0</v>
      </c>
      <c r="M343">
        <f t="shared" si="23"/>
        <v>0</v>
      </c>
    </row>
    <row r="344" spans="11:13" hidden="1" x14ac:dyDescent="0.25">
      <c r="K344" s="7">
        <f t="shared" si="22"/>
        <v>0</v>
      </c>
      <c r="L344" s="5">
        <f t="shared" si="24"/>
        <v>0</v>
      </c>
      <c r="M344">
        <f t="shared" si="23"/>
        <v>0</v>
      </c>
    </row>
    <row r="345" spans="11:13" hidden="1" x14ac:dyDescent="0.25">
      <c r="K345" s="7">
        <f t="shared" si="22"/>
        <v>0</v>
      </c>
      <c r="L345" s="5">
        <f t="shared" si="24"/>
        <v>0</v>
      </c>
      <c r="M345">
        <f t="shared" si="23"/>
        <v>0</v>
      </c>
    </row>
    <row r="346" spans="11:13" hidden="1" x14ac:dyDescent="0.25">
      <c r="K346" s="7">
        <f t="shared" si="22"/>
        <v>0</v>
      </c>
      <c r="L346" s="5">
        <f t="shared" si="24"/>
        <v>0</v>
      </c>
      <c r="M346">
        <f t="shared" si="23"/>
        <v>0</v>
      </c>
    </row>
    <row r="347" spans="11:13" hidden="1" x14ac:dyDescent="0.25">
      <c r="K347" s="7">
        <f t="shared" si="22"/>
        <v>0</v>
      </c>
      <c r="L347" s="5">
        <f t="shared" si="24"/>
        <v>0</v>
      </c>
      <c r="M347">
        <f t="shared" si="23"/>
        <v>0</v>
      </c>
    </row>
    <row r="348" spans="11:13" hidden="1" x14ac:dyDescent="0.25">
      <c r="K348" s="7">
        <f t="shared" si="22"/>
        <v>0</v>
      </c>
      <c r="L348" s="5">
        <f t="shared" si="24"/>
        <v>0</v>
      </c>
      <c r="M348">
        <f t="shared" si="23"/>
        <v>0</v>
      </c>
    </row>
    <row r="349" spans="11:13" hidden="1" x14ac:dyDescent="0.25">
      <c r="K349" s="7">
        <f t="shared" si="22"/>
        <v>0</v>
      </c>
      <c r="L349" s="5">
        <f t="shared" si="24"/>
        <v>0</v>
      </c>
      <c r="M349">
        <f t="shared" si="23"/>
        <v>0</v>
      </c>
    </row>
    <row r="350" spans="11:13" hidden="1" x14ac:dyDescent="0.25">
      <c r="K350" s="7">
        <f t="shared" si="22"/>
        <v>0</v>
      </c>
      <c r="L350" s="5">
        <f t="shared" si="24"/>
        <v>0</v>
      </c>
      <c r="M350">
        <f t="shared" si="23"/>
        <v>0</v>
      </c>
    </row>
    <row r="351" spans="11:13" hidden="1" x14ac:dyDescent="0.25">
      <c r="K351" s="7">
        <f t="shared" si="22"/>
        <v>0</v>
      </c>
      <c r="L351" s="5">
        <f t="shared" si="24"/>
        <v>0</v>
      </c>
      <c r="M351">
        <f t="shared" si="23"/>
        <v>0</v>
      </c>
    </row>
    <row r="352" spans="11:13" hidden="1" x14ac:dyDescent="0.25">
      <c r="K352" s="7">
        <f t="shared" si="22"/>
        <v>0</v>
      </c>
      <c r="L352" s="5">
        <f t="shared" si="24"/>
        <v>0</v>
      </c>
      <c r="M352">
        <f t="shared" si="23"/>
        <v>0</v>
      </c>
    </row>
    <row r="353" spans="11:13" hidden="1" x14ac:dyDescent="0.25">
      <c r="K353" s="7">
        <f t="shared" si="22"/>
        <v>0</v>
      </c>
      <c r="L353" s="5">
        <f t="shared" si="24"/>
        <v>0</v>
      </c>
      <c r="M353">
        <f t="shared" si="23"/>
        <v>0</v>
      </c>
    </row>
    <row r="354" spans="11:13" hidden="1" x14ac:dyDescent="0.25">
      <c r="K354" s="7">
        <f t="shared" si="22"/>
        <v>0</v>
      </c>
      <c r="L354" s="5">
        <f t="shared" si="24"/>
        <v>0</v>
      </c>
      <c r="M354">
        <f t="shared" si="23"/>
        <v>0</v>
      </c>
    </row>
    <row r="355" spans="11:13" hidden="1" x14ac:dyDescent="0.25">
      <c r="K355" s="7">
        <f t="shared" si="22"/>
        <v>0</v>
      </c>
      <c r="L355" s="5">
        <f t="shared" si="24"/>
        <v>0</v>
      </c>
      <c r="M355">
        <f t="shared" si="23"/>
        <v>0</v>
      </c>
    </row>
    <row r="356" spans="11:13" hidden="1" x14ac:dyDescent="0.25">
      <c r="K356" s="7">
        <f t="shared" si="22"/>
        <v>0</v>
      </c>
      <c r="L356" s="5">
        <f t="shared" si="24"/>
        <v>0</v>
      </c>
      <c r="M356">
        <f t="shared" si="23"/>
        <v>0</v>
      </c>
    </row>
    <row r="357" spans="11:13" hidden="1" x14ac:dyDescent="0.25">
      <c r="K357" s="7">
        <f t="shared" si="22"/>
        <v>0</v>
      </c>
      <c r="L357" s="5">
        <f t="shared" si="24"/>
        <v>0</v>
      </c>
      <c r="M357">
        <f t="shared" si="23"/>
        <v>0</v>
      </c>
    </row>
    <row r="358" spans="11:13" hidden="1" x14ac:dyDescent="0.25">
      <c r="K358" s="7">
        <f t="shared" si="22"/>
        <v>0</v>
      </c>
      <c r="L358" s="5">
        <f t="shared" si="24"/>
        <v>0</v>
      </c>
      <c r="M358">
        <f t="shared" si="23"/>
        <v>0</v>
      </c>
    </row>
    <row r="359" spans="11:13" hidden="1" x14ac:dyDescent="0.25">
      <c r="K359" s="7">
        <f t="shared" si="22"/>
        <v>0</v>
      </c>
      <c r="L359" s="5">
        <f t="shared" si="24"/>
        <v>0</v>
      </c>
      <c r="M359">
        <f t="shared" si="23"/>
        <v>0</v>
      </c>
    </row>
    <row r="360" spans="11:13" hidden="1" x14ac:dyDescent="0.25">
      <c r="K360" s="7">
        <f t="shared" si="22"/>
        <v>0</v>
      </c>
      <c r="L360" s="5">
        <f t="shared" si="24"/>
        <v>0</v>
      </c>
      <c r="M360">
        <f t="shared" si="23"/>
        <v>0</v>
      </c>
    </row>
    <row r="361" spans="11:13" hidden="1" x14ac:dyDescent="0.25">
      <c r="K361" s="7">
        <f t="shared" si="22"/>
        <v>0</v>
      </c>
      <c r="L361" s="5">
        <f t="shared" si="24"/>
        <v>0</v>
      </c>
      <c r="M361">
        <f t="shared" si="23"/>
        <v>0</v>
      </c>
    </row>
    <row r="362" spans="11:13" hidden="1" x14ac:dyDescent="0.25">
      <c r="K362" s="7">
        <f t="shared" si="22"/>
        <v>0</v>
      </c>
      <c r="L362" s="5">
        <f t="shared" si="24"/>
        <v>0</v>
      </c>
      <c r="M362">
        <f t="shared" si="23"/>
        <v>0</v>
      </c>
    </row>
    <row r="363" spans="11:13" hidden="1" x14ac:dyDescent="0.25">
      <c r="K363" s="7">
        <f t="shared" si="22"/>
        <v>0</v>
      </c>
      <c r="L363" s="5">
        <f t="shared" si="24"/>
        <v>0</v>
      </c>
      <c r="M363">
        <f t="shared" si="23"/>
        <v>0</v>
      </c>
    </row>
    <row r="364" spans="11:13" hidden="1" x14ac:dyDescent="0.25">
      <c r="K364" s="7">
        <f t="shared" si="22"/>
        <v>0</v>
      </c>
      <c r="L364" s="5">
        <f t="shared" si="24"/>
        <v>0</v>
      </c>
      <c r="M364">
        <f t="shared" si="23"/>
        <v>0</v>
      </c>
    </row>
    <row r="365" spans="11:13" hidden="1" x14ac:dyDescent="0.25">
      <c r="K365" s="7">
        <f t="shared" si="22"/>
        <v>0</v>
      </c>
      <c r="L365" s="5">
        <f t="shared" si="24"/>
        <v>0</v>
      </c>
      <c r="M365">
        <f t="shared" si="23"/>
        <v>0</v>
      </c>
    </row>
    <row r="366" spans="11:13" hidden="1" x14ac:dyDescent="0.25">
      <c r="K366" s="7">
        <f t="shared" si="22"/>
        <v>0</v>
      </c>
      <c r="L366" s="5">
        <f t="shared" si="24"/>
        <v>0</v>
      </c>
      <c r="M366">
        <f t="shared" si="23"/>
        <v>0</v>
      </c>
    </row>
    <row r="367" spans="11:13" hidden="1" x14ac:dyDescent="0.25">
      <c r="K367" s="7">
        <f t="shared" si="22"/>
        <v>0</v>
      </c>
      <c r="L367" s="5">
        <f t="shared" si="24"/>
        <v>0</v>
      </c>
      <c r="M367">
        <f t="shared" si="23"/>
        <v>0</v>
      </c>
    </row>
    <row r="368" spans="11:13" hidden="1" x14ac:dyDescent="0.25">
      <c r="K368" s="7">
        <f t="shared" si="22"/>
        <v>0</v>
      </c>
      <c r="L368" s="5">
        <f t="shared" si="24"/>
        <v>0</v>
      </c>
      <c r="M368">
        <f t="shared" si="23"/>
        <v>0</v>
      </c>
    </row>
    <row r="369" spans="11:13" hidden="1" x14ac:dyDescent="0.25">
      <c r="K369" s="7">
        <f t="shared" si="22"/>
        <v>0</v>
      </c>
      <c r="L369" s="5">
        <f t="shared" si="24"/>
        <v>0</v>
      </c>
      <c r="M369">
        <f t="shared" si="23"/>
        <v>0</v>
      </c>
    </row>
    <row r="370" spans="11:13" hidden="1" x14ac:dyDescent="0.25">
      <c r="K370" s="7">
        <f t="shared" si="22"/>
        <v>0</v>
      </c>
      <c r="L370" s="5">
        <f t="shared" si="24"/>
        <v>0</v>
      </c>
      <c r="M370">
        <f t="shared" si="23"/>
        <v>0</v>
      </c>
    </row>
    <row r="371" spans="11:13" hidden="1" x14ac:dyDescent="0.25">
      <c r="K371" s="7">
        <f t="shared" si="22"/>
        <v>0</v>
      </c>
      <c r="L371" s="5">
        <f t="shared" si="24"/>
        <v>0</v>
      </c>
      <c r="M371">
        <f t="shared" si="23"/>
        <v>0</v>
      </c>
    </row>
    <row r="372" spans="11:13" hidden="1" x14ac:dyDescent="0.25">
      <c r="K372" s="7">
        <f t="shared" si="22"/>
        <v>0</v>
      </c>
      <c r="L372" s="5">
        <f t="shared" si="24"/>
        <v>0</v>
      </c>
      <c r="M372">
        <f t="shared" si="23"/>
        <v>0</v>
      </c>
    </row>
    <row r="373" spans="11:13" hidden="1" x14ac:dyDescent="0.25">
      <c r="K373" s="7">
        <f t="shared" si="22"/>
        <v>0</v>
      </c>
      <c r="L373" s="5">
        <f t="shared" si="24"/>
        <v>0</v>
      </c>
      <c r="M373">
        <f t="shared" si="23"/>
        <v>0</v>
      </c>
    </row>
    <row r="374" spans="11:13" hidden="1" x14ac:dyDescent="0.25">
      <c r="K374" s="7">
        <f t="shared" si="22"/>
        <v>0</v>
      </c>
      <c r="L374" s="5">
        <f t="shared" si="24"/>
        <v>0</v>
      </c>
      <c r="M374">
        <f t="shared" si="23"/>
        <v>0</v>
      </c>
    </row>
    <row r="375" spans="11:13" hidden="1" x14ac:dyDescent="0.25">
      <c r="K375" s="7">
        <f t="shared" si="22"/>
        <v>0</v>
      </c>
      <c r="L375" s="5">
        <f t="shared" si="24"/>
        <v>0</v>
      </c>
      <c r="M375">
        <f t="shared" si="23"/>
        <v>0</v>
      </c>
    </row>
    <row r="376" spans="11:13" hidden="1" x14ac:dyDescent="0.25">
      <c r="K376" s="7">
        <f t="shared" si="22"/>
        <v>0</v>
      </c>
      <c r="L376" s="5">
        <f t="shared" si="24"/>
        <v>0</v>
      </c>
      <c r="M376">
        <f t="shared" si="23"/>
        <v>0</v>
      </c>
    </row>
    <row r="377" spans="11:13" hidden="1" x14ac:dyDescent="0.25">
      <c r="K377" s="7">
        <f t="shared" si="22"/>
        <v>0</v>
      </c>
      <c r="L377" s="5">
        <f t="shared" si="24"/>
        <v>0</v>
      </c>
      <c r="M377">
        <f t="shared" si="23"/>
        <v>0</v>
      </c>
    </row>
    <row r="378" spans="11:13" hidden="1" x14ac:dyDescent="0.25">
      <c r="K378" s="7">
        <f t="shared" si="22"/>
        <v>0</v>
      </c>
      <c r="L378" s="5">
        <f t="shared" si="24"/>
        <v>0</v>
      </c>
      <c r="M378">
        <f t="shared" si="23"/>
        <v>0</v>
      </c>
    </row>
    <row r="379" spans="11:13" hidden="1" x14ac:dyDescent="0.25">
      <c r="K379" s="7">
        <f t="shared" si="22"/>
        <v>0</v>
      </c>
      <c r="L379" s="5">
        <f t="shared" si="24"/>
        <v>0</v>
      </c>
      <c r="M379">
        <f t="shared" si="23"/>
        <v>0</v>
      </c>
    </row>
    <row r="380" spans="11:13" hidden="1" x14ac:dyDescent="0.25">
      <c r="K380" s="7">
        <f t="shared" si="22"/>
        <v>0</v>
      </c>
      <c r="L380" s="5">
        <f t="shared" si="24"/>
        <v>0</v>
      </c>
      <c r="M380">
        <f t="shared" si="23"/>
        <v>0</v>
      </c>
    </row>
    <row r="381" spans="11:13" hidden="1" x14ac:dyDescent="0.25">
      <c r="K381" s="7">
        <f t="shared" si="22"/>
        <v>0</v>
      </c>
      <c r="L381" s="5">
        <f t="shared" si="24"/>
        <v>0</v>
      </c>
      <c r="M381">
        <f t="shared" si="23"/>
        <v>0</v>
      </c>
    </row>
    <row r="382" spans="11:13" hidden="1" x14ac:dyDescent="0.25">
      <c r="K382" s="7">
        <f t="shared" si="22"/>
        <v>0</v>
      </c>
      <c r="L382" s="5">
        <f t="shared" si="24"/>
        <v>0</v>
      </c>
      <c r="M382">
        <f t="shared" si="23"/>
        <v>0</v>
      </c>
    </row>
    <row r="383" spans="11:13" hidden="1" x14ac:dyDescent="0.25">
      <c r="K383" s="7">
        <f t="shared" si="22"/>
        <v>0</v>
      </c>
      <c r="L383" s="5">
        <f t="shared" si="24"/>
        <v>0</v>
      </c>
      <c r="M383">
        <f t="shared" si="23"/>
        <v>0</v>
      </c>
    </row>
    <row r="384" spans="11:13" hidden="1" x14ac:dyDescent="0.25">
      <c r="K384" s="7">
        <f t="shared" si="22"/>
        <v>0</v>
      </c>
      <c r="L384" s="5">
        <f t="shared" si="24"/>
        <v>0</v>
      </c>
      <c r="M384">
        <f t="shared" si="23"/>
        <v>0</v>
      </c>
    </row>
    <row r="385" spans="11:13" hidden="1" x14ac:dyDescent="0.25">
      <c r="K385" s="7">
        <f t="shared" si="22"/>
        <v>0</v>
      </c>
      <c r="L385" s="5">
        <f t="shared" si="24"/>
        <v>0</v>
      </c>
      <c r="M385">
        <f t="shared" si="23"/>
        <v>0</v>
      </c>
    </row>
    <row r="386" spans="11:13" hidden="1" x14ac:dyDescent="0.25">
      <c r="K386" s="7">
        <f t="shared" si="22"/>
        <v>0</v>
      </c>
      <c r="L386" s="5">
        <f t="shared" si="24"/>
        <v>0</v>
      </c>
      <c r="M386">
        <f t="shared" si="23"/>
        <v>0</v>
      </c>
    </row>
    <row r="387" spans="11:13" hidden="1" x14ac:dyDescent="0.25">
      <c r="K387" s="7">
        <f t="shared" si="22"/>
        <v>0</v>
      </c>
      <c r="L387" s="5">
        <f t="shared" si="24"/>
        <v>0</v>
      </c>
      <c r="M387">
        <f t="shared" si="23"/>
        <v>0</v>
      </c>
    </row>
    <row r="388" spans="11:13" hidden="1" x14ac:dyDescent="0.25">
      <c r="K388" s="7">
        <f t="shared" si="22"/>
        <v>0</v>
      </c>
      <c r="L388" s="5">
        <f t="shared" si="24"/>
        <v>0</v>
      </c>
      <c r="M388">
        <f t="shared" si="23"/>
        <v>0</v>
      </c>
    </row>
    <row r="389" spans="11:13" hidden="1" x14ac:dyDescent="0.25">
      <c r="K389" s="7">
        <f t="shared" si="22"/>
        <v>0</v>
      </c>
      <c r="L389" s="5">
        <f t="shared" si="24"/>
        <v>0</v>
      </c>
      <c r="M389">
        <f t="shared" si="23"/>
        <v>0</v>
      </c>
    </row>
    <row r="390" spans="11:13" hidden="1" x14ac:dyDescent="0.25">
      <c r="K390" s="7">
        <f t="shared" si="22"/>
        <v>0</v>
      </c>
      <c r="L390" s="5">
        <f t="shared" si="24"/>
        <v>0</v>
      </c>
      <c r="M390">
        <f t="shared" si="23"/>
        <v>0</v>
      </c>
    </row>
    <row r="391" spans="11:13" hidden="1" x14ac:dyDescent="0.25">
      <c r="K391" s="7">
        <f t="shared" si="22"/>
        <v>0</v>
      </c>
      <c r="L391" s="5">
        <f t="shared" si="24"/>
        <v>0</v>
      </c>
      <c r="M391">
        <f t="shared" si="23"/>
        <v>0</v>
      </c>
    </row>
    <row r="392" spans="11:13" hidden="1" x14ac:dyDescent="0.25">
      <c r="K392" s="7">
        <f t="shared" ref="K392:K455" si="25">SUM(F392:J392)</f>
        <v>0</v>
      </c>
      <c r="L392" s="5">
        <f t="shared" si="24"/>
        <v>0</v>
      </c>
      <c r="M392">
        <f t="shared" ref="M392:M455" si="26">SUM(K392*L392)</f>
        <v>0</v>
      </c>
    </row>
    <row r="393" spans="11:13" hidden="1" x14ac:dyDescent="0.25">
      <c r="K393" s="7">
        <f t="shared" si="25"/>
        <v>0</v>
      </c>
      <c r="L393" s="5">
        <f t="shared" si="24"/>
        <v>0</v>
      </c>
      <c r="M393">
        <f t="shared" si="26"/>
        <v>0</v>
      </c>
    </row>
    <row r="394" spans="11:13" hidden="1" x14ac:dyDescent="0.25">
      <c r="K394" s="7">
        <f t="shared" si="25"/>
        <v>0</v>
      </c>
      <c r="L394" s="5">
        <f t="shared" si="24"/>
        <v>0</v>
      </c>
      <c r="M394">
        <f t="shared" si="26"/>
        <v>0</v>
      </c>
    </row>
    <row r="395" spans="11:13" hidden="1" x14ac:dyDescent="0.25">
      <c r="K395" s="7">
        <f t="shared" si="25"/>
        <v>0</v>
      </c>
      <c r="L395" s="5">
        <f t="shared" si="24"/>
        <v>0</v>
      </c>
      <c r="M395">
        <f t="shared" si="26"/>
        <v>0</v>
      </c>
    </row>
    <row r="396" spans="11:13" hidden="1" x14ac:dyDescent="0.25">
      <c r="K396" s="7">
        <f t="shared" si="25"/>
        <v>0</v>
      </c>
      <c r="L396" s="5">
        <f t="shared" si="24"/>
        <v>0</v>
      </c>
      <c r="M396">
        <f t="shared" si="26"/>
        <v>0</v>
      </c>
    </row>
    <row r="397" spans="11:13" hidden="1" x14ac:dyDescent="0.25">
      <c r="K397" s="7">
        <f t="shared" si="25"/>
        <v>0</v>
      </c>
      <c r="L397" s="5">
        <f t="shared" si="24"/>
        <v>0</v>
      </c>
      <c r="M397">
        <f t="shared" si="26"/>
        <v>0</v>
      </c>
    </row>
    <row r="398" spans="11:13" hidden="1" x14ac:dyDescent="0.25">
      <c r="K398" s="7">
        <f t="shared" si="25"/>
        <v>0</v>
      </c>
      <c r="L398" s="5">
        <f t="shared" si="24"/>
        <v>0</v>
      </c>
      <c r="M398">
        <f t="shared" si="26"/>
        <v>0</v>
      </c>
    </row>
    <row r="399" spans="11:13" hidden="1" x14ac:dyDescent="0.25">
      <c r="K399" s="7">
        <f t="shared" si="25"/>
        <v>0</v>
      </c>
      <c r="L399" s="5">
        <f t="shared" si="24"/>
        <v>0</v>
      </c>
      <c r="M399">
        <f t="shared" si="26"/>
        <v>0</v>
      </c>
    </row>
    <row r="400" spans="11:13" hidden="1" x14ac:dyDescent="0.25">
      <c r="K400" s="7">
        <f t="shared" si="25"/>
        <v>0</v>
      </c>
      <c r="L400" s="5">
        <f t="shared" si="24"/>
        <v>0</v>
      </c>
      <c r="M400">
        <f t="shared" si="26"/>
        <v>0</v>
      </c>
    </row>
    <row r="401" spans="11:13" hidden="1" x14ac:dyDescent="0.25">
      <c r="K401" s="7">
        <f t="shared" si="25"/>
        <v>0</v>
      </c>
      <c r="L401" s="5">
        <f t="shared" ref="L401:L464" si="27">IF(D401="X",0,IF(E401="",0,IF(E401="H",0,VLOOKUP(E401,$F$539:$G$553,2))))</f>
        <v>0</v>
      </c>
      <c r="M401">
        <f t="shared" si="26"/>
        <v>0</v>
      </c>
    </row>
    <row r="402" spans="11:13" hidden="1" x14ac:dyDescent="0.25">
      <c r="K402" s="7">
        <f t="shared" si="25"/>
        <v>0</v>
      </c>
      <c r="L402" s="5">
        <f t="shared" si="27"/>
        <v>0</v>
      </c>
      <c r="M402">
        <f t="shared" si="26"/>
        <v>0</v>
      </c>
    </row>
    <row r="403" spans="11:13" hidden="1" x14ac:dyDescent="0.25">
      <c r="K403" s="7">
        <f t="shared" si="25"/>
        <v>0</v>
      </c>
      <c r="L403" s="5">
        <f t="shared" si="27"/>
        <v>0</v>
      </c>
      <c r="M403">
        <f t="shared" si="26"/>
        <v>0</v>
      </c>
    </row>
    <row r="404" spans="11:13" hidden="1" x14ac:dyDescent="0.25">
      <c r="K404" s="7">
        <f t="shared" si="25"/>
        <v>0</v>
      </c>
      <c r="L404" s="5">
        <f t="shared" si="27"/>
        <v>0</v>
      </c>
      <c r="M404">
        <f t="shared" si="26"/>
        <v>0</v>
      </c>
    </row>
    <row r="405" spans="11:13" hidden="1" x14ac:dyDescent="0.25">
      <c r="K405" s="7">
        <f t="shared" si="25"/>
        <v>0</v>
      </c>
      <c r="L405" s="5">
        <f t="shared" si="27"/>
        <v>0</v>
      </c>
      <c r="M405">
        <f t="shared" si="26"/>
        <v>0</v>
      </c>
    </row>
    <row r="406" spans="11:13" hidden="1" x14ac:dyDescent="0.25">
      <c r="K406" s="7">
        <f t="shared" si="25"/>
        <v>0</v>
      </c>
      <c r="L406" s="5">
        <f t="shared" si="27"/>
        <v>0</v>
      </c>
      <c r="M406">
        <f t="shared" si="26"/>
        <v>0</v>
      </c>
    </row>
    <row r="407" spans="11:13" hidden="1" x14ac:dyDescent="0.25">
      <c r="K407" s="7">
        <f t="shared" si="25"/>
        <v>0</v>
      </c>
      <c r="L407" s="5">
        <f t="shared" si="27"/>
        <v>0</v>
      </c>
      <c r="M407">
        <f t="shared" si="26"/>
        <v>0</v>
      </c>
    </row>
    <row r="408" spans="11:13" hidden="1" x14ac:dyDescent="0.25">
      <c r="K408" s="7">
        <f t="shared" si="25"/>
        <v>0</v>
      </c>
      <c r="L408" s="5">
        <f t="shared" si="27"/>
        <v>0</v>
      </c>
      <c r="M408">
        <f t="shared" si="26"/>
        <v>0</v>
      </c>
    </row>
    <row r="409" spans="11:13" hidden="1" x14ac:dyDescent="0.25">
      <c r="K409" s="7">
        <f t="shared" si="25"/>
        <v>0</v>
      </c>
      <c r="L409" s="5">
        <f t="shared" si="27"/>
        <v>0</v>
      </c>
      <c r="M409">
        <f t="shared" si="26"/>
        <v>0</v>
      </c>
    </row>
    <row r="410" spans="11:13" hidden="1" x14ac:dyDescent="0.25">
      <c r="K410" s="7">
        <f t="shared" si="25"/>
        <v>0</v>
      </c>
      <c r="L410" s="5">
        <f t="shared" si="27"/>
        <v>0</v>
      </c>
      <c r="M410">
        <f t="shared" si="26"/>
        <v>0</v>
      </c>
    </row>
    <row r="411" spans="11:13" hidden="1" x14ac:dyDescent="0.25">
      <c r="K411" s="7">
        <f t="shared" si="25"/>
        <v>0</v>
      </c>
      <c r="L411" s="5">
        <f t="shared" si="27"/>
        <v>0</v>
      </c>
      <c r="M411">
        <f t="shared" si="26"/>
        <v>0</v>
      </c>
    </row>
    <row r="412" spans="11:13" hidden="1" x14ac:dyDescent="0.25">
      <c r="K412" s="7">
        <f t="shared" si="25"/>
        <v>0</v>
      </c>
      <c r="L412" s="5">
        <f t="shared" si="27"/>
        <v>0</v>
      </c>
      <c r="M412">
        <f t="shared" si="26"/>
        <v>0</v>
      </c>
    </row>
    <row r="413" spans="11:13" hidden="1" x14ac:dyDescent="0.25">
      <c r="K413" s="7">
        <f t="shared" si="25"/>
        <v>0</v>
      </c>
      <c r="L413" s="5">
        <f t="shared" si="27"/>
        <v>0</v>
      </c>
      <c r="M413">
        <f t="shared" si="26"/>
        <v>0</v>
      </c>
    </row>
    <row r="414" spans="11:13" hidden="1" x14ac:dyDescent="0.25">
      <c r="K414" s="7">
        <f t="shared" si="25"/>
        <v>0</v>
      </c>
      <c r="L414" s="5">
        <f t="shared" si="27"/>
        <v>0</v>
      </c>
      <c r="M414">
        <f t="shared" si="26"/>
        <v>0</v>
      </c>
    </row>
    <row r="415" spans="11:13" hidden="1" x14ac:dyDescent="0.25">
      <c r="K415" s="7">
        <f t="shared" si="25"/>
        <v>0</v>
      </c>
      <c r="L415" s="5">
        <f t="shared" si="27"/>
        <v>0</v>
      </c>
      <c r="M415">
        <f t="shared" si="26"/>
        <v>0</v>
      </c>
    </row>
    <row r="416" spans="11:13" hidden="1" x14ac:dyDescent="0.25">
      <c r="K416" s="7">
        <f t="shared" si="25"/>
        <v>0</v>
      </c>
      <c r="L416" s="5">
        <f t="shared" si="27"/>
        <v>0</v>
      </c>
      <c r="M416">
        <f t="shared" si="26"/>
        <v>0</v>
      </c>
    </row>
    <row r="417" spans="11:13" hidden="1" x14ac:dyDescent="0.25">
      <c r="K417" s="7">
        <f t="shared" si="25"/>
        <v>0</v>
      </c>
      <c r="L417" s="5">
        <f t="shared" si="27"/>
        <v>0</v>
      </c>
      <c r="M417">
        <f t="shared" si="26"/>
        <v>0</v>
      </c>
    </row>
    <row r="418" spans="11:13" hidden="1" x14ac:dyDescent="0.25">
      <c r="K418" s="7">
        <f t="shared" si="25"/>
        <v>0</v>
      </c>
      <c r="L418" s="5">
        <f t="shared" si="27"/>
        <v>0</v>
      </c>
      <c r="M418">
        <f t="shared" si="26"/>
        <v>0</v>
      </c>
    </row>
    <row r="419" spans="11:13" hidden="1" x14ac:dyDescent="0.25">
      <c r="K419" s="7">
        <f t="shared" si="25"/>
        <v>0</v>
      </c>
      <c r="L419" s="5">
        <f t="shared" si="27"/>
        <v>0</v>
      </c>
      <c r="M419">
        <f t="shared" si="26"/>
        <v>0</v>
      </c>
    </row>
    <row r="420" spans="11:13" hidden="1" x14ac:dyDescent="0.25">
      <c r="K420" s="7">
        <f t="shared" si="25"/>
        <v>0</v>
      </c>
      <c r="L420" s="5">
        <f t="shared" si="27"/>
        <v>0</v>
      </c>
      <c r="M420">
        <f t="shared" si="26"/>
        <v>0</v>
      </c>
    </row>
    <row r="421" spans="11:13" hidden="1" x14ac:dyDescent="0.25">
      <c r="K421" s="7">
        <f t="shared" si="25"/>
        <v>0</v>
      </c>
      <c r="L421" s="5">
        <f t="shared" si="27"/>
        <v>0</v>
      </c>
      <c r="M421">
        <f t="shared" si="26"/>
        <v>0</v>
      </c>
    </row>
    <row r="422" spans="11:13" hidden="1" x14ac:dyDescent="0.25">
      <c r="K422" s="7">
        <f t="shared" si="25"/>
        <v>0</v>
      </c>
      <c r="L422" s="5">
        <f t="shared" si="27"/>
        <v>0</v>
      </c>
      <c r="M422">
        <f t="shared" si="26"/>
        <v>0</v>
      </c>
    </row>
    <row r="423" spans="11:13" hidden="1" x14ac:dyDescent="0.25">
      <c r="K423" s="7">
        <f t="shared" si="25"/>
        <v>0</v>
      </c>
      <c r="L423" s="5">
        <f t="shared" si="27"/>
        <v>0</v>
      </c>
      <c r="M423">
        <f t="shared" si="26"/>
        <v>0</v>
      </c>
    </row>
    <row r="424" spans="11:13" hidden="1" x14ac:dyDescent="0.25">
      <c r="K424" s="7">
        <f t="shared" si="25"/>
        <v>0</v>
      </c>
      <c r="L424" s="5">
        <f t="shared" si="27"/>
        <v>0</v>
      </c>
      <c r="M424">
        <f t="shared" si="26"/>
        <v>0</v>
      </c>
    </row>
    <row r="425" spans="11:13" hidden="1" x14ac:dyDescent="0.25">
      <c r="K425" s="7">
        <f t="shared" si="25"/>
        <v>0</v>
      </c>
      <c r="L425" s="5">
        <f t="shared" si="27"/>
        <v>0</v>
      </c>
      <c r="M425">
        <f t="shared" si="26"/>
        <v>0</v>
      </c>
    </row>
    <row r="426" spans="11:13" hidden="1" x14ac:dyDescent="0.25">
      <c r="K426" s="7">
        <f t="shared" si="25"/>
        <v>0</v>
      </c>
      <c r="L426" s="5">
        <f t="shared" si="27"/>
        <v>0</v>
      </c>
      <c r="M426">
        <f t="shared" si="26"/>
        <v>0</v>
      </c>
    </row>
    <row r="427" spans="11:13" hidden="1" x14ac:dyDescent="0.25">
      <c r="K427" s="7">
        <f t="shared" si="25"/>
        <v>0</v>
      </c>
      <c r="L427" s="5">
        <f t="shared" si="27"/>
        <v>0</v>
      </c>
      <c r="M427">
        <f t="shared" si="26"/>
        <v>0</v>
      </c>
    </row>
    <row r="428" spans="11:13" hidden="1" x14ac:dyDescent="0.25">
      <c r="K428" s="7">
        <f t="shared" si="25"/>
        <v>0</v>
      </c>
      <c r="L428" s="5">
        <f t="shared" si="27"/>
        <v>0</v>
      </c>
      <c r="M428">
        <f t="shared" si="26"/>
        <v>0</v>
      </c>
    </row>
    <row r="429" spans="11:13" hidden="1" x14ac:dyDescent="0.25">
      <c r="K429" s="7">
        <f t="shared" si="25"/>
        <v>0</v>
      </c>
      <c r="L429" s="5">
        <f t="shared" si="27"/>
        <v>0</v>
      </c>
      <c r="M429">
        <f t="shared" si="26"/>
        <v>0</v>
      </c>
    </row>
    <row r="430" spans="11:13" hidden="1" x14ac:dyDescent="0.25">
      <c r="K430" s="7">
        <f t="shared" si="25"/>
        <v>0</v>
      </c>
      <c r="L430" s="5">
        <f t="shared" si="27"/>
        <v>0</v>
      </c>
      <c r="M430">
        <f t="shared" si="26"/>
        <v>0</v>
      </c>
    </row>
    <row r="431" spans="11:13" hidden="1" x14ac:dyDescent="0.25">
      <c r="K431" s="7">
        <f t="shared" si="25"/>
        <v>0</v>
      </c>
      <c r="L431" s="5">
        <f t="shared" si="27"/>
        <v>0</v>
      </c>
      <c r="M431">
        <f t="shared" si="26"/>
        <v>0</v>
      </c>
    </row>
    <row r="432" spans="11:13" hidden="1" x14ac:dyDescent="0.25">
      <c r="K432" s="7">
        <f t="shared" si="25"/>
        <v>0</v>
      </c>
      <c r="L432" s="5">
        <f t="shared" si="27"/>
        <v>0</v>
      </c>
      <c r="M432">
        <f t="shared" si="26"/>
        <v>0</v>
      </c>
    </row>
    <row r="433" spans="11:13" hidden="1" x14ac:dyDescent="0.25">
      <c r="K433" s="7">
        <f t="shared" si="25"/>
        <v>0</v>
      </c>
      <c r="L433" s="5">
        <f t="shared" si="27"/>
        <v>0</v>
      </c>
      <c r="M433">
        <f t="shared" si="26"/>
        <v>0</v>
      </c>
    </row>
    <row r="434" spans="11:13" hidden="1" x14ac:dyDescent="0.25">
      <c r="K434" s="7">
        <f t="shared" si="25"/>
        <v>0</v>
      </c>
      <c r="L434" s="5">
        <f t="shared" si="27"/>
        <v>0</v>
      </c>
      <c r="M434">
        <f t="shared" si="26"/>
        <v>0</v>
      </c>
    </row>
    <row r="435" spans="11:13" hidden="1" x14ac:dyDescent="0.25">
      <c r="K435" s="7">
        <f t="shared" si="25"/>
        <v>0</v>
      </c>
      <c r="L435" s="5">
        <f t="shared" si="27"/>
        <v>0</v>
      </c>
      <c r="M435">
        <f t="shared" si="26"/>
        <v>0</v>
      </c>
    </row>
    <row r="436" spans="11:13" hidden="1" x14ac:dyDescent="0.25">
      <c r="K436" s="7">
        <f t="shared" si="25"/>
        <v>0</v>
      </c>
      <c r="L436" s="5">
        <f t="shared" si="27"/>
        <v>0</v>
      </c>
      <c r="M436">
        <f t="shared" si="26"/>
        <v>0</v>
      </c>
    </row>
    <row r="437" spans="11:13" hidden="1" x14ac:dyDescent="0.25">
      <c r="K437" s="7">
        <f t="shared" si="25"/>
        <v>0</v>
      </c>
      <c r="L437" s="5">
        <f t="shared" si="27"/>
        <v>0</v>
      </c>
      <c r="M437">
        <f t="shared" si="26"/>
        <v>0</v>
      </c>
    </row>
    <row r="438" spans="11:13" hidden="1" x14ac:dyDescent="0.25">
      <c r="K438" s="7">
        <f t="shared" si="25"/>
        <v>0</v>
      </c>
      <c r="L438" s="5">
        <f t="shared" si="27"/>
        <v>0</v>
      </c>
      <c r="M438">
        <f t="shared" si="26"/>
        <v>0</v>
      </c>
    </row>
    <row r="439" spans="11:13" hidden="1" x14ac:dyDescent="0.25">
      <c r="K439" s="7">
        <f t="shared" si="25"/>
        <v>0</v>
      </c>
      <c r="L439" s="5">
        <f t="shared" si="27"/>
        <v>0</v>
      </c>
      <c r="M439">
        <f t="shared" si="26"/>
        <v>0</v>
      </c>
    </row>
    <row r="440" spans="11:13" hidden="1" x14ac:dyDescent="0.25">
      <c r="K440" s="7">
        <f t="shared" si="25"/>
        <v>0</v>
      </c>
      <c r="L440" s="5">
        <f t="shared" si="27"/>
        <v>0</v>
      </c>
      <c r="M440">
        <f t="shared" si="26"/>
        <v>0</v>
      </c>
    </row>
    <row r="441" spans="11:13" hidden="1" x14ac:dyDescent="0.25">
      <c r="K441" s="7">
        <f t="shared" si="25"/>
        <v>0</v>
      </c>
      <c r="L441" s="5">
        <f t="shared" si="27"/>
        <v>0</v>
      </c>
      <c r="M441">
        <f t="shared" si="26"/>
        <v>0</v>
      </c>
    </row>
    <row r="442" spans="11:13" hidden="1" x14ac:dyDescent="0.25">
      <c r="K442" s="7">
        <f t="shared" si="25"/>
        <v>0</v>
      </c>
      <c r="L442" s="5">
        <f t="shared" si="27"/>
        <v>0</v>
      </c>
      <c r="M442">
        <f t="shared" si="26"/>
        <v>0</v>
      </c>
    </row>
    <row r="443" spans="11:13" hidden="1" x14ac:dyDescent="0.25">
      <c r="K443" s="7">
        <f t="shared" si="25"/>
        <v>0</v>
      </c>
      <c r="L443" s="5">
        <f t="shared" si="27"/>
        <v>0</v>
      </c>
      <c r="M443">
        <f t="shared" si="26"/>
        <v>0</v>
      </c>
    </row>
    <row r="444" spans="11:13" hidden="1" x14ac:dyDescent="0.25">
      <c r="K444" s="7">
        <f t="shared" si="25"/>
        <v>0</v>
      </c>
      <c r="L444" s="5">
        <f t="shared" si="27"/>
        <v>0</v>
      </c>
      <c r="M444">
        <f t="shared" si="26"/>
        <v>0</v>
      </c>
    </row>
    <row r="445" spans="11:13" hidden="1" x14ac:dyDescent="0.25">
      <c r="K445" s="7">
        <f t="shared" si="25"/>
        <v>0</v>
      </c>
      <c r="L445" s="5">
        <f t="shared" si="27"/>
        <v>0</v>
      </c>
      <c r="M445">
        <f t="shared" si="26"/>
        <v>0</v>
      </c>
    </row>
    <row r="446" spans="11:13" hidden="1" x14ac:dyDescent="0.25">
      <c r="K446" s="7">
        <f t="shared" si="25"/>
        <v>0</v>
      </c>
      <c r="L446" s="5">
        <f t="shared" si="27"/>
        <v>0</v>
      </c>
      <c r="M446">
        <f t="shared" si="26"/>
        <v>0</v>
      </c>
    </row>
    <row r="447" spans="11:13" hidden="1" x14ac:dyDescent="0.25">
      <c r="K447" s="7">
        <f t="shared" si="25"/>
        <v>0</v>
      </c>
      <c r="L447" s="5">
        <f t="shared" si="27"/>
        <v>0</v>
      </c>
      <c r="M447">
        <f t="shared" si="26"/>
        <v>0</v>
      </c>
    </row>
    <row r="448" spans="11:13" hidden="1" x14ac:dyDescent="0.25">
      <c r="K448" s="7">
        <f t="shared" si="25"/>
        <v>0</v>
      </c>
      <c r="L448" s="5">
        <f t="shared" si="27"/>
        <v>0</v>
      </c>
      <c r="M448">
        <f t="shared" si="26"/>
        <v>0</v>
      </c>
    </row>
    <row r="449" spans="11:13" hidden="1" x14ac:dyDescent="0.25">
      <c r="K449" s="7">
        <f t="shared" si="25"/>
        <v>0</v>
      </c>
      <c r="L449" s="5">
        <f t="shared" si="27"/>
        <v>0</v>
      </c>
      <c r="M449">
        <f t="shared" si="26"/>
        <v>0</v>
      </c>
    </row>
    <row r="450" spans="11:13" hidden="1" x14ac:dyDescent="0.25">
      <c r="K450" s="7">
        <f t="shared" si="25"/>
        <v>0</v>
      </c>
      <c r="L450" s="5">
        <f t="shared" si="27"/>
        <v>0</v>
      </c>
      <c r="M450">
        <f t="shared" si="26"/>
        <v>0</v>
      </c>
    </row>
    <row r="451" spans="11:13" hidden="1" x14ac:dyDescent="0.25">
      <c r="K451" s="7">
        <f t="shared" si="25"/>
        <v>0</v>
      </c>
      <c r="L451" s="5">
        <f t="shared" si="27"/>
        <v>0</v>
      </c>
      <c r="M451">
        <f t="shared" si="26"/>
        <v>0</v>
      </c>
    </row>
    <row r="452" spans="11:13" hidden="1" x14ac:dyDescent="0.25">
      <c r="K452" s="7">
        <f t="shared" si="25"/>
        <v>0</v>
      </c>
      <c r="L452" s="5">
        <f t="shared" si="27"/>
        <v>0</v>
      </c>
      <c r="M452">
        <f t="shared" si="26"/>
        <v>0</v>
      </c>
    </row>
    <row r="453" spans="11:13" hidden="1" x14ac:dyDescent="0.25">
      <c r="K453" s="7">
        <f t="shared" si="25"/>
        <v>0</v>
      </c>
      <c r="L453" s="5">
        <f t="shared" si="27"/>
        <v>0</v>
      </c>
      <c r="M453">
        <f t="shared" si="26"/>
        <v>0</v>
      </c>
    </row>
    <row r="454" spans="11:13" hidden="1" x14ac:dyDescent="0.25">
      <c r="K454" s="7">
        <f t="shared" si="25"/>
        <v>0</v>
      </c>
      <c r="L454" s="5">
        <f t="shared" si="27"/>
        <v>0</v>
      </c>
      <c r="M454">
        <f t="shared" si="26"/>
        <v>0</v>
      </c>
    </row>
    <row r="455" spans="11:13" hidden="1" x14ac:dyDescent="0.25">
      <c r="K455" s="7">
        <f t="shared" si="25"/>
        <v>0</v>
      </c>
      <c r="L455" s="5">
        <f t="shared" si="27"/>
        <v>0</v>
      </c>
      <c r="M455">
        <f t="shared" si="26"/>
        <v>0</v>
      </c>
    </row>
    <row r="456" spans="11:13" hidden="1" x14ac:dyDescent="0.25">
      <c r="K456" s="7">
        <f t="shared" ref="K456:K498" si="28">SUM(F456:J456)</f>
        <v>0</v>
      </c>
      <c r="L456" s="5">
        <f t="shared" si="27"/>
        <v>0</v>
      </c>
      <c r="M456">
        <f t="shared" ref="M456:M498" si="29">SUM(K456*L456)</f>
        <v>0</v>
      </c>
    </row>
    <row r="457" spans="11:13" hidden="1" x14ac:dyDescent="0.25">
      <c r="K457" s="7">
        <f t="shared" si="28"/>
        <v>0</v>
      </c>
      <c r="L457" s="5">
        <f t="shared" si="27"/>
        <v>0</v>
      </c>
      <c r="M457">
        <f t="shared" si="29"/>
        <v>0</v>
      </c>
    </row>
    <row r="458" spans="11:13" hidden="1" x14ac:dyDescent="0.25">
      <c r="K458" s="7">
        <f t="shared" si="28"/>
        <v>0</v>
      </c>
      <c r="L458" s="5">
        <f t="shared" si="27"/>
        <v>0</v>
      </c>
      <c r="M458">
        <f t="shared" si="29"/>
        <v>0</v>
      </c>
    </row>
    <row r="459" spans="11:13" hidden="1" x14ac:dyDescent="0.25">
      <c r="K459" s="7">
        <f t="shared" si="28"/>
        <v>0</v>
      </c>
      <c r="L459" s="5">
        <f t="shared" si="27"/>
        <v>0</v>
      </c>
      <c r="M459">
        <f t="shared" si="29"/>
        <v>0</v>
      </c>
    </row>
    <row r="460" spans="11:13" hidden="1" x14ac:dyDescent="0.25">
      <c r="K460" s="7">
        <f t="shared" si="28"/>
        <v>0</v>
      </c>
      <c r="L460" s="5">
        <f t="shared" si="27"/>
        <v>0</v>
      </c>
      <c r="M460">
        <f t="shared" si="29"/>
        <v>0</v>
      </c>
    </row>
    <row r="461" spans="11:13" hidden="1" x14ac:dyDescent="0.25">
      <c r="K461" s="7">
        <f t="shared" si="28"/>
        <v>0</v>
      </c>
      <c r="L461" s="5">
        <f t="shared" si="27"/>
        <v>0</v>
      </c>
      <c r="M461">
        <f t="shared" si="29"/>
        <v>0</v>
      </c>
    </row>
    <row r="462" spans="11:13" hidden="1" x14ac:dyDescent="0.25">
      <c r="K462" s="7">
        <f t="shared" si="28"/>
        <v>0</v>
      </c>
      <c r="L462" s="5">
        <f t="shared" si="27"/>
        <v>0</v>
      </c>
      <c r="M462">
        <f t="shared" si="29"/>
        <v>0</v>
      </c>
    </row>
    <row r="463" spans="11:13" hidden="1" x14ac:dyDescent="0.25">
      <c r="K463" s="7">
        <f t="shared" si="28"/>
        <v>0</v>
      </c>
      <c r="L463" s="5">
        <f t="shared" si="27"/>
        <v>0</v>
      </c>
      <c r="M463">
        <f t="shared" si="29"/>
        <v>0</v>
      </c>
    </row>
    <row r="464" spans="11:13" hidden="1" x14ac:dyDescent="0.25">
      <c r="K464" s="7">
        <f t="shared" si="28"/>
        <v>0</v>
      </c>
      <c r="L464" s="5">
        <f t="shared" si="27"/>
        <v>0</v>
      </c>
      <c r="M464">
        <f t="shared" si="29"/>
        <v>0</v>
      </c>
    </row>
    <row r="465" spans="11:13" hidden="1" x14ac:dyDescent="0.25">
      <c r="K465" s="7">
        <f t="shared" si="28"/>
        <v>0</v>
      </c>
      <c r="L465" s="5">
        <f t="shared" ref="L465:L498" si="30">IF(D465="X",0,IF(E465="",0,IF(E465="H",0,VLOOKUP(E465,$F$539:$G$553,2))))</f>
        <v>0</v>
      </c>
      <c r="M465">
        <f t="shared" si="29"/>
        <v>0</v>
      </c>
    </row>
    <row r="466" spans="11:13" hidden="1" x14ac:dyDescent="0.25">
      <c r="K466" s="7">
        <f t="shared" si="28"/>
        <v>0</v>
      </c>
      <c r="L466" s="5">
        <f t="shared" si="30"/>
        <v>0</v>
      </c>
      <c r="M466">
        <f t="shared" si="29"/>
        <v>0</v>
      </c>
    </row>
    <row r="467" spans="11:13" hidden="1" x14ac:dyDescent="0.25">
      <c r="K467" s="7">
        <f t="shared" si="28"/>
        <v>0</v>
      </c>
      <c r="L467" s="5">
        <f t="shared" si="30"/>
        <v>0</v>
      </c>
      <c r="M467">
        <f t="shared" si="29"/>
        <v>0</v>
      </c>
    </row>
    <row r="468" spans="11:13" hidden="1" x14ac:dyDescent="0.25">
      <c r="K468" s="7">
        <f t="shared" si="28"/>
        <v>0</v>
      </c>
      <c r="L468" s="5">
        <f t="shared" si="30"/>
        <v>0</v>
      </c>
      <c r="M468">
        <f t="shared" si="29"/>
        <v>0</v>
      </c>
    </row>
    <row r="469" spans="11:13" hidden="1" x14ac:dyDescent="0.25">
      <c r="K469" s="7">
        <f t="shared" si="28"/>
        <v>0</v>
      </c>
      <c r="L469" s="5">
        <f t="shared" si="30"/>
        <v>0</v>
      </c>
      <c r="M469">
        <f t="shared" si="29"/>
        <v>0</v>
      </c>
    </row>
    <row r="470" spans="11:13" hidden="1" x14ac:dyDescent="0.25">
      <c r="K470" s="7">
        <f t="shared" si="28"/>
        <v>0</v>
      </c>
      <c r="L470" s="5">
        <f t="shared" si="30"/>
        <v>0</v>
      </c>
      <c r="M470">
        <f t="shared" si="29"/>
        <v>0</v>
      </c>
    </row>
    <row r="471" spans="11:13" hidden="1" x14ac:dyDescent="0.25">
      <c r="K471" s="7">
        <f t="shared" si="28"/>
        <v>0</v>
      </c>
      <c r="L471" s="5">
        <f t="shared" si="30"/>
        <v>0</v>
      </c>
      <c r="M471">
        <f t="shared" si="29"/>
        <v>0</v>
      </c>
    </row>
    <row r="472" spans="11:13" hidden="1" x14ac:dyDescent="0.25">
      <c r="K472" s="7">
        <f t="shared" si="28"/>
        <v>0</v>
      </c>
      <c r="L472" s="5">
        <f t="shared" si="30"/>
        <v>0</v>
      </c>
      <c r="M472">
        <f t="shared" si="29"/>
        <v>0</v>
      </c>
    </row>
    <row r="473" spans="11:13" hidden="1" x14ac:dyDescent="0.25">
      <c r="K473" s="7">
        <f t="shared" si="28"/>
        <v>0</v>
      </c>
      <c r="L473" s="5">
        <f t="shared" si="30"/>
        <v>0</v>
      </c>
      <c r="M473">
        <f t="shared" si="29"/>
        <v>0</v>
      </c>
    </row>
    <row r="474" spans="11:13" hidden="1" x14ac:dyDescent="0.25">
      <c r="K474" s="7">
        <f t="shared" si="28"/>
        <v>0</v>
      </c>
      <c r="L474" s="5">
        <f t="shared" si="30"/>
        <v>0</v>
      </c>
      <c r="M474">
        <f t="shared" si="29"/>
        <v>0</v>
      </c>
    </row>
    <row r="475" spans="11:13" hidden="1" x14ac:dyDescent="0.25">
      <c r="K475" s="7">
        <f t="shared" si="28"/>
        <v>0</v>
      </c>
      <c r="L475" s="5">
        <f t="shared" si="30"/>
        <v>0</v>
      </c>
      <c r="M475">
        <f t="shared" si="29"/>
        <v>0</v>
      </c>
    </row>
    <row r="476" spans="11:13" hidden="1" x14ac:dyDescent="0.25">
      <c r="K476" s="7">
        <f t="shared" si="28"/>
        <v>0</v>
      </c>
      <c r="L476" s="5">
        <f t="shared" si="30"/>
        <v>0</v>
      </c>
      <c r="M476">
        <f t="shared" si="29"/>
        <v>0</v>
      </c>
    </row>
    <row r="477" spans="11:13" hidden="1" x14ac:dyDescent="0.25">
      <c r="K477" s="7">
        <f t="shared" si="28"/>
        <v>0</v>
      </c>
      <c r="L477" s="5">
        <f t="shared" si="30"/>
        <v>0</v>
      </c>
      <c r="M477">
        <f t="shared" si="29"/>
        <v>0</v>
      </c>
    </row>
    <row r="478" spans="11:13" hidden="1" x14ac:dyDescent="0.25">
      <c r="K478" s="7">
        <f t="shared" si="28"/>
        <v>0</v>
      </c>
      <c r="L478" s="5">
        <f t="shared" si="30"/>
        <v>0</v>
      </c>
      <c r="M478">
        <f t="shared" si="29"/>
        <v>0</v>
      </c>
    </row>
    <row r="479" spans="11:13" hidden="1" x14ac:dyDescent="0.25">
      <c r="K479" s="7">
        <f t="shared" ref="K479:K487" si="31">SUM(F479:J479)</f>
        <v>0</v>
      </c>
      <c r="L479" s="5">
        <f t="shared" si="30"/>
        <v>0</v>
      </c>
      <c r="M479">
        <f t="shared" ref="M479:M487" si="32">SUM(K479*L479)</f>
        <v>0</v>
      </c>
    </row>
    <row r="480" spans="11:13" hidden="1" x14ac:dyDescent="0.25">
      <c r="K480" s="7">
        <f t="shared" si="31"/>
        <v>0</v>
      </c>
      <c r="L480" s="5">
        <f t="shared" si="30"/>
        <v>0</v>
      </c>
      <c r="M480">
        <f t="shared" si="32"/>
        <v>0</v>
      </c>
    </row>
    <row r="481" spans="11:13" hidden="1" x14ac:dyDescent="0.25">
      <c r="K481" s="7">
        <f t="shared" si="31"/>
        <v>0</v>
      </c>
      <c r="L481" s="5">
        <f t="shared" si="30"/>
        <v>0</v>
      </c>
      <c r="M481">
        <f t="shared" si="32"/>
        <v>0</v>
      </c>
    </row>
    <row r="482" spans="11:13" hidden="1" x14ac:dyDescent="0.25">
      <c r="K482" s="7">
        <f t="shared" si="31"/>
        <v>0</v>
      </c>
      <c r="L482" s="5">
        <f t="shared" si="30"/>
        <v>0</v>
      </c>
      <c r="M482">
        <f t="shared" si="32"/>
        <v>0</v>
      </c>
    </row>
    <row r="483" spans="11:13" hidden="1" x14ac:dyDescent="0.25">
      <c r="K483" s="7">
        <f t="shared" si="31"/>
        <v>0</v>
      </c>
      <c r="L483" s="5">
        <f t="shared" si="30"/>
        <v>0</v>
      </c>
      <c r="M483">
        <f t="shared" si="32"/>
        <v>0</v>
      </c>
    </row>
    <row r="484" spans="11:13" hidden="1" x14ac:dyDescent="0.25">
      <c r="K484" s="7">
        <f t="shared" si="31"/>
        <v>0</v>
      </c>
      <c r="L484" s="5">
        <f t="shared" si="30"/>
        <v>0</v>
      </c>
      <c r="M484">
        <f t="shared" si="32"/>
        <v>0</v>
      </c>
    </row>
    <row r="485" spans="11:13" hidden="1" x14ac:dyDescent="0.25">
      <c r="K485" s="7">
        <f t="shared" si="31"/>
        <v>0</v>
      </c>
      <c r="L485" s="5">
        <f t="shared" si="30"/>
        <v>0</v>
      </c>
      <c r="M485">
        <f t="shared" si="32"/>
        <v>0</v>
      </c>
    </row>
    <row r="486" spans="11:13" hidden="1" x14ac:dyDescent="0.25">
      <c r="K486" s="7">
        <f t="shared" si="31"/>
        <v>0</v>
      </c>
      <c r="L486" s="5">
        <f t="shared" si="30"/>
        <v>0</v>
      </c>
      <c r="M486">
        <f t="shared" si="32"/>
        <v>0</v>
      </c>
    </row>
    <row r="487" spans="11:13" hidden="1" x14ac:dyDescent="0.25">
      <c r="K487" s="7">
        <f t="shared" si="31"/>
        <v>0</v>
      </c>
      <c r="L487" s="5">
        <f t="shared" si="30"/>
        <v>0</v>
      </c>
      <c r="M487">
        <f t="shared" si="32"/>
        <v>0</v>
      </c>
    </row>
    <row r="488" spans="11:13" hidden="1" x14ac:dyDescent="0.25">
      <c r="K488" s="7">
        <f t="shared" si="28"/>
        <v>0</v>
      </c>
      <c r="L488" s="5">
        <f t="shared" si="30"/>
        <v>0</v>
      </c>
      <c r="M488">
        <f t="shared" si="29"/>
        <v>0</v>
      </c>
    </row>
    <row r="489" spans="11:13" hidden="1" x14ac:dyDescent="0.25">
      <c r="K489" s="7">
        <f t="shared" si="28"/>
        <v>0</v>
      </c>
      <c r="L489" s="5">
        <f t="shared" si="30"/>
        <v>0</v>
      </c>
      <c r="M489">
        <f t="shared" si="29"/>
        <v>0</v>
      </c>
    </row>
    <row r="490" spans="11:13" hidden="1" x14ac:dyDescent="0.25">
      <c r="K490" s="7">
        <f t="shared" si="28"/>
        <v>0</v>
      </c>
      <c r="L490" s="5">
        <f t="shared" si="30"/>
        <v>0</v>
      </c>
      <c r="M490">
        <f t="shared" si="29"/>
        <v>0</v>
      </c>
    </row>
    <row r="491" spans="11:13" hidden="1" x14ac:dyDescent="0.25">
      <c r="K491" s="7">
        <f t="shared" si="28"/>
        <v>0</v>
      </c>
      <c r="L491" s="5">
        <f t="shared" si="30"/>
        <v>0</v>
      </c>
      <c r="M491">
        <f t="shared" si="29"/>
        <v>0</v>
      </c>
    </row>
    <row r="492" spans="11:13" hidden="1" x14ac:dyDescent="0.25">
      <c r="K492" s="7">
        <f t="shared" si="28"/>
        <v>0</v>
      </c>
      <c r="L492" s="5">
        <f t="shared" si="30"/>
        <v>0</v>
      </c>
      <c r="M492">
        <f t="shared" si="29"/>
        <v>0</v>
      </c>
    </row>
    <row r="493" spans="11:13" hidden="1" x14ac:dyDescent="0.25">
      <c r="K493" s="7">
        <f t="shared" si="28"/>
        <v>0</v>
      </c>
      <c r="L493" s="5">
        <f t="shared" si="30"/>
        <v>0</v>
      </c>
      <c r="M493">
        <f t="shared" si="29"/>
        <v>0</v>
      </c>
    </row>
    <row r="494" spans="11:13" hidden="1" x14ac:dyDescent="0.25">
      <c r="K494" s="7">
        <f t="shared" si="28"/>
        <v>0</v>
      </c>
      <c r="L494" s="5">
        <f t="shared" si="30"/>
        <v>0</v>
      </c>
      <c r="M494">
        <f t="shared" si="29"/>
        <v>0</v>
      </c>
    </row>
    <row r="495" spans="11:13" hidden="1" x14ac:dyDescent="0.25">
      <c r="K495" s="7">
        <f t="shared" si="28"/>
        <v>0</v>
      </c>
      <c r="L495" s="5">
        <f t="shared" si="30"/>
        <v>0</v>
      </c>
      <c r="M495">
        <f t="shared" si="29"/>
        <v>0</v>
      </c>
    </row>
    <row r="496" spans="11:13" hidden="1" x14ac:dyDescent="0.25">
      <c r="K496" s="7">
        <f t="shared" si="28"/>
        <v>0</v>
      </c>
      <c r="L496" s="5">
        <f t="shared" si="30"/>
        <v>0</v>
      </c>
      <c r="M496">
        <f t="shared" si="29"/>
        <v>0</v>
      </c>
    </row>
    <row r="497" spans="3:13" hidden="1" x14ac:dyDescent="0.25">
      <c r="K497" s="7">
        <f t="shared" si="28"/>
        <v>0</v>
      </c>
      <c r="L497" s="5">
        <f t="shared" si="30"/>
        <v>0</v>
      </c>
      <c r="M497">
        <f t="shared" si="29"/>
        <v>0</v>
      </c>
    </row>
    <row r="498" spans="3:13" hidden="1" x14ac:dyDescent="0.25">
      <c r="K498" s="7">
        <f t="shared" si="28"/>
        <v>0</v>
      </c>
      <c r="L498" s="5">
        <f t="shared" si="30"/>
        <v>0</v>
      </c>
      <c r="M498">
        <f t="shared" si="29"/>
        <v>0</v>
      </c>
    </row>
    <row r="499" spans="3:13" x14ac:dyDescent="0.25">
      <c r="C499" s="100" t="s">
        <v>35</v>
      </c>
      <c r="D499" s="100"/>
      <c r="E499" s="100"/>
      <c r="F499" s="119"/>
      <c r="G499" s="119"/>
      <c r="H499" s="119"/>
      <c r="I499" s="119"/>
      <c r="J499" s="119"/>
      <c r="K499" s="100"/>
      <c r="L499" s="100"/>
      <c r="M499" s="100" t="s">
        <v>34</v>
      </c>
    </row>
    <row r="500" spans="3:13" x14ac:dyDescent="0.25">
      <c r="C500" s="100" t="str">
        <f t="shared" ref="C500:C514" si="33">IF(F539="","Vrije categorie",F539)</f>
        <v>A</v>
      </c>
      <c r="D500" s="100"/>
      <c r="E500" s="100"/>
      <c r="F500" s="119">
        <f t="shared" ref="F500:F514" si="34">SUMPRODUCT(--($E$4:$E$498=C500),--($D$4:$D$498=""),$F$4:$F$498)</f>
        <v>2880</v>
      </c>
      <c r="G500" s="119">
        <f t="shared" ref="G500:G514" si="35">SUMPRODUCT(--($E$4:$E$498=C500),--($D$4:$D$498=""),$G$4:$G$498)</f>
        <v>0</v>
      </c>
      <c r="H500" s="119">
        <f t="shared" ref="H500:H514" si="36">SUMPRODUCT(--($E$4:$E$498=C500),--($D$4:$D$498=""),$H$4:$H$498)</f>
        <v>0</v>
      </c>
      <c r="I500" s="119">
        <f t="shared" ref="I500:I514" si="37">SUMPRODUCT(--($E$4:$E$498=C500),--($D$4:$D$498=""),$I$4:$I$498)</f>
        <v>120</v>
      </c>
      <c r="J500" s="119">
        <f t="shared" ref="J500:J514" si="38">SUMPRODUCT(--($E$4:$E$498=C500),--($D$4:$D$498=""),$J$4:$J$498)</f>
        <v>4</v>
      </c>
      <c r="K500" s="100">
        <f t="shared" ref="K500:K510" si="39">SUM(F500:J500)</f>
        <v>3004</v>
      </c>
      <c r="L500" s="100"/>
      <c r="M500" s="100">
        <f t="shared" ref="M500:M514" si="40">SUMPRODUCT(--($E$4:$E$498=C500),--($D$4:$D$498=""),$M$4:$M$498)</f>
        <v>312416</v>
      </c>
    </row>
    <row r="501" spans="3:13" x14ac:dyDescent="0.25">
      <c r="C501" s="100" t="str">
        <f t="shared" si="33"/>
        <v>B</v>
      </c>
      <c r="D501" s="100"/>
      <c r="E501" s="100"/>
      <c r="F501" s="119">
        <f t="shared" si="34"/>
        <v>305</v>
      </c>
      <c r="G501" s="119">
        <f t="shared" si="35"/>
        <v>0</v>
      </c>
      <c r="H501" s="119">
        <f t="shared" si="36"/>
        <v>180</v>
      </c>
      <c r="I501" s="119">
        <f t="shared" si="37"/>
        <v>0</v>
      </c>
      <c r="J501" s="119">
        <f t="shared" si="38"/>
        <v>59</v>
      </c>
      <c r="K501" s="100">
        <f t="shared" si="39"/>
        <v>544</v>
      </c>
      <c r="L501" s="100"/>
      <c r="M501" s="100">
        <f t="shared" si="40"/>
        <v>141440</v>
      </c>
    </row>
    <row r="502" spans="3:13" x14ac:dyDescent="0.25">
      <c r="C502" s="100" t="str">
        <f t="shared" si="33"/>
        <v>C</v>
      </c>
      <c r="D502" s="100"/>
      <c r="E502" s="100"/>
      <c r="F502" s="119">
        <f t="shared" si="34"/>
        <v>0</v>
      </c>
      <c r="G502" s="119">
        <f t="shared" si="35"/>
        <v>0</v>
      </c>
      <c r="H502" s="119">
        <f t="shared" si="36"/>
        <v>224</v>
      </c>
      <c r="I502" s="119">
        <f t="shared" si="37"/>
        <v>0</v>
      </c>
      <c r="J502" s="119">
        <f t="shared" si="38"/>
        <v>0</v>
      </c>
      <c r="K502" s="100">
        <f t="shared" si="39"/>
        <v>224</v>
      </c>
      <c r="L502" s="100"/>
      <c r="M502" s="100">
        <f t="shared" si="40"/>
        <v>58240</v>
      </c>
    </row>
    <row r="503" spans="3:13" x14ac:dyDescent="0.25">
      <c r="C503" s="100" t="str">
        <f t="shared" si="33"/>
        <v>D</v>
      </c>
      <c r="D503" s="100"/>
      <c r="E503" s="100"/>
      <c r="F503" s="119">
        <f t="shared" si="34"/>
        <v>0</v>
      </c>
      <c r="G503" s="119">
        <f t="shared" si="35"/>
        <v>0</v>
      </c>
      <c r="H503" s="119">
        <f t="shared" si="36"/>
        <v>0</v>
      </c>
      <c r="I503" s="119">
        <f t="shared" si="37"/>
        <v>0</v>
      </c>
      <c r="J503" s="119">
        <f t="shared" si="38"/>
        <v>0</v>
      </c>
      <c r="K503" s="100">
        <f t="shared" si="39"/>
        <v>0</v>
      </c>
      <c r="L503" s="100"/>
      <c r="M503" s="100">
        <f t="shared" si="40"/>
        <v>0</v>
      </c>
    </row>
    <row r="504" spans="3:13" x14ac:dyDescent="0.25">
      <c r="C504" s="100" t="str">
        <f t="shared" si="33"/>
        <v>E</v>
      </c>
      <c r="D504" s="100"/>
      <c r="E504" s="100"/>
      <c r="F504" s="119">
        <f t="shared" si="34"/>
        <v>1278</v>
      </c>
      <c r="G504" s="119">
        <f t="shared" si="35"/>
        <v>19</v>
      </c>
      <c r="H504" s="119">
        <f t="shared" si="36"/>
        <v>0</v>
      </c>
      <c r="I504" s="119">
        <f t="shared" si="37"/>
        <v>93.2</v>
      </c>
      <c r="J504" s="119">
        <f t="shared" si="38"/>
        <v>587.5</v>
      </c>
      <c r="K504" s="100">
        <f t="shared" si="39"/>
        <v>1977.7</v>
      </c>
      <c r="L504" s="100"/>
      <c r="M504" s="100">
        <f t="shared" si="40"/>
        <v>514202</v>
      </c>
    </row>
    <row r="505" spans="3:13" x14ac:dyDescent="0.25">
      <c r="C505" s="100" t="str">
        <f t="shared" si="33"/>
        <v>F</v>
      </c>
      <c r="D505" s="100"/>
      <c r="E505" s="100"/>
      <c r="F505" s="119">
        <f t="shared" si="34"/>
        <v>0</v>
      </c>
      <c r="G505" s="119">
        <f t="shared" si="35"/>
        <v>0</v>
      </c>
      <c r="H505" s="119">
        <f t="shared" si="36"/>
        <v>0</v>
      </c>
      <c r="I505" s="119">
        <f t="shared" si="37"/>
        <v>0</v>
      </c>
      <c r="J505" s="119">
        <f t="shared" si="38"/>
        <v>0</v>
      </c>
      <c r="K505" s="100">
        <f t="shared" si="39"/>
        <v>0</v>
      </c>
      <c r="L505" s="100"/>
      <c r="M505" s="100">
        <f t="shared" si="40"/>
        <v>0</v>
      </c>
    </row>
    <row r="506" spans="3:13" x14ac:dyDescent="0.25">
      <c r="C506" s="100" t="str">
        <f t="shared" si="33"/>
        <v>G</v>
      </c>
      <c r="D506" s="100"/>
      <c r="E506" s="100"/>
      <c r="F506" s="119">
        <f t="shared" si="34"/>
        <v>0</v>
      </c>
      <c r="G506" s="119">
        <f t="shared" si="35"/>
        <v>0</v>
      </c>
      <c r="H506" s="119">
        <f t="shared" si="36"/>
        <v>0</v>
      </c>
      <c r="I506" s="119">
        <f t="shared" si="37"/>
        <v>0</v>
      </c>
      <c r="J506" s="119">
        <f t="shared" si="38"/>
        <v>129.1</v>
      </c>
      <c r="K506" s="100">
        <f t="shared" si="39"/>
        <v>129.1</v>
      </c>
      <c r="L506" s="100"/>
      <c r="M506" s="100">
        <f t="shared" si="40"/>
        <v>33566</v>
      </c>
    </row>
    <row r="507" spans="3:13" hidden="1" x14ac:dyDescent="0.25">
      <c r="C507" s="100" t="str">
        <f t="shared" si="33"/>
        <v>H</v>
      </c>
      <c r="D507" s="100"/>
      <c r="E507" s="100"/>
      <c r="F507" s="119">
        <f t="shared" si="34"/>
        <v>0</v>
      </c>
      <c r="G507" s="119">
        <f t="shared" si="35"/>
        <v>0</v>
      </c>
      <c r="H507" s="119">
        <f t="shared" si="36"/>
        <v>0</v>
      </c>
      <c r="I507" s="119">
        <f t="shared" si="37"/>
        <v>0</v>
      </c>
      <c r="J507" s="119">
        <f t="shared" si="38"/>
        <v>0</v>
      </c>
      <c r="K507" s="100">
        <f t="shared" si="39"/>
        <v>0</v>
      </c>
      <c r="L507" s="100"/>
      <c r="M507" s="100">
        <f t="shared" si="40"/>
        <v>0</v>
      </c>
    </row>
    <row r="508" spans="3:13" hidden="1" x14ac:dyDescent="0.25">
      <c r="C508" s="100" t="str">
        <f t="shared" si="33"/>
        <v>I</v>
      </c>
      <c r="D508" s="100"/>
      <c r="E508" s="100"/>
      <c r="F508" s="119">
        <f t="shared" si="34"/>
        <v>0</v>
      </c>
      <c r="G508" s="119">
        <f t="shared" si="35"/>
        <v>0</v>
      </c>
      <c r="H508" s="119">
        <f t="shared" si="36"/>
        <v>0</v>
      </c>
      <c r="I508" s="119">
        <f t="shared" si="37"/>
        <v>0</v>
      </c>
      <c r="J508" s="119">
        <f t="shared" si="38"/>
        <v>0</v>
      </c>
      <c r="K508" s="100">
        <f t="shared" si="39"/>
        <v>0</v>
      </c>
      <c r="L508" s="100"/>
      <c r="M508" s="100">
        <f t="shared" si="40"/>
        <v>0</v>
      </c>
    </row>
    <row r="509" spans="3:13" hidden="1" x14ac:dyDescent="0.25">
      <c r="C509" s="100" t="str">
        <f t="shared" si="33"/>
        <v>J</v>
      </c>
      <c r="D509" s="100"/>
      <c r="E509" s="100"/>
      <c r="F509" s="119">
        <f t="shared" si="34"/>
        <v>0</v>
      </c>
      <c r="G509" s="119">
        <f t="shared" si="35"/>
        <v>0</v>
      </c>
      <c r="H509" s="119">
        <f t="shared" si="36"/>
        <v>0</v>
      </c>
      <c r="I509" s="119">
        <f t="shared" si="37"/>
        <v>0</v>
      </c>
      <c r="J509" s="119">
        <f t="shared" si="38"/>
        <v>0</v>
      </c>
      <c r="K509" s="100">
        <f t="shared" si="39"/>
        <v>0</v>
      </c>
      <c r="L509" s="100"/>
      <c r="M509" s="100">
        <f t="shared" si="40"/>
        <v>0</v>
      </c>
    </row>
    <row r="510" spans="3:13" x14ac:dyDescent="0.25">
      <c r="C510" s="100" t="str">
        <f t="shared" si="33"/>
        <v>K</v>
      </c>
      <c r="D510" s="100"/>
      <c r="E510" s="100"/>
      <c r="F510" s="119">
        <f t="shared" si="34"/>
        <v>0</v>
      </c>
      <c r="G510" s="119">
        <f t="shared" si="35"/>
        <v>178</v>
      </c>
      <c r="H510" s="119">
        <f t="shared" si="36"/>
        <v>0</v>
      </c>
      <c r="I510" s="119">
        <f t="shared" si="37"/>
        <v>0</v>
      </c>
      <c r="J510" s="119">
        <f t="shared" si="38"/>
        <v>0</v>
      </c>
      <c r="K510" s="100">
        <f t="shared" si="39"/>
        <v>178</v>
      </c>
      <c r="L510" s="100"/>
      <c r="M510" s="100">
        <f t="shared" si="40"/>
        <v>2136</v>
      </c>
    </row>
    <row r="511" spans="3:13" x14ac:dyDescent="0.25">
      <c r="C511" s="100" t="str">
        <f t="shared" si="33"/>
        <v>X</v>
      </c>
      <c r="D511" s="100"/>
      <c r="E511" s="100"/>
      <c r="F511" s="119">
        <f t="shared" si="34"/>
        <v>31</v>
      </c>
      <c r="G511" s="119">
        <f t="shared" si="35"/>
        <v>123</v>
      </c>
      <c r="H511" s="119">
        <f t="shared" si="36"/>
        <v>0</v>
      </c>
      <c r="I511" s="119">
        <f t="shared" si="37"/>
        <v>0</v>
      </c>
      <c r="J511" s="119">
        <f t="shared" si="38"/>
        <v>171</v>
      </c>
      <c r="K511" s="100">
        <f t="shared" ref="K511:K514" si="41">SUM(F511:J511)</f>
        <v>325</v>
      </c>
      <c r="L511" s="100"/>
      <c r="M511" s="100">
        <f t="shared" si="40"/>
        <v>0</v>
      </c>
    </row>
    <row r="512" spans="3:13" hidden="1" x14ac:dyDescent="0.25">
      <c r="C512" s="100" t="str">
        <f t="shared" si="33"/>
        <v>Vrije categorie</v>
      </c>
      <c r="D512" s="100"/>
      <c r="E512" s="100"/>
      <c r="F512" s="119">
        <f t="shared" si="34"/>
        <v>0</v>
      </c>
      <c r="G512" s="119">
        <f t="shared" si="35"/>
        <v>0</v>
      </c>
      <c r="H512" s="119">
        <f t="shared" si="36"/>
        <v>0</v>
      </c>
      <c r="I512" s="119">
        <f t="shared" si="37"/>
        <v>0</v>
      </c>
      <c r="J512" s="119">
        <f t="shared" si="38"/>
        <v>0</v>
      </c>
      <c r="K512" s="100">
        <f t="shared" si="41"/>
        <v>0</v>
      </c>
      <c r="L512" s="100"/>
      <c r="M512" s="100">
        <f t="shared" si="40"/>
        <v>0</v>
      </c>
    </row>
    <row r="513" spans="3:13" hidden="1" x14ac:dyDescent="0.25">
      <c r="C513" s="100" t="str">
        <f t="shared" si="33"/>
        <v>Vrije categorie</v>
      </c>
      <c r="D513" s="100"/>
      <c r="E513" s="100"/>
      <c r="F513" s="119">
        <f t="shared" si="34"/>
        <v>0</v>
      </c>
      <c r="G513" s="119">
        <f t="shared" si="35"/>
        <v>0</v>
      </c>
      <c r="H513" s="119">
        <f t="shared" si="36"/>
        <v>0</v>
      </c>
      <c r="I513" s="119">
        <f t="shared" si="37"/>
        <v>0</v>
      </c>
      <c r="J513" s="119">
        <f t="shared" si="38"/>
        <v>0</v>
      </c>
      <c r="K513" s="100">
        <f t="shared" si="41"/>
        <v>0</v>
      </c>
      <c r="L513" s="100"/>
      <c r="M513" s="100">
        <f t="shared" si="40"/>
        <v>0</v>
      </c>
    </row>
    <row r="514" spans="3:13" hidden="1" x14ac:dyDescent="0.25">
      <c r="C514" s="100" t="str">
        <f t="shared" si="33"/>
        <v>Vrije categorie</v>
      </c>
      <c r="D514" s="100"/>
      <c r="E514" s="100"/>
      <c r="F514" s="119">
        <f t="shared" si="34"/>
        <v>0</v>
      </c>
      <c r="G514" s="119">
        <f t="shared" si="35"/>
        <v>0</v>
      </c>
      <c r="H514" s="119">
        <f t="shared" si="36"/>
        <v>0</v>
      </c>
      <c r="I514" s="119">
        <f t="shared" si="37"/>
        <v>0</v>
      </c>
      <c r="J514" s="119">
        <f t="shared" si="38"/>
        <v>0</v>
      </c>
      <c r="K514" s="100">
        <f t="shared" si="41"/>
        <v>0</v>
      </c>
      <c r="L514" s="100"/>
      <c r="M514" s="100">
        <f t="shared" si="40"/>
        <v>0</v>
      </c>
    </row>
    <row r="515" spans="3:13" ht="15.75" thickBot="1" x14ac:dyDescent="0.3">
      <c r="C515" s="101" t="s">
        <v>38</v>
      </c>
      <c r="D515" s="101"/>
      <c r="E515" s="101"/>
      <c r="F515" s="120">
        <f t="shared" ref="F515:K515" si="42">SUM(F500:F514)</f>
        <v>4494</v>
      </c>
      <c r="G515" s="120">
        <f t="shared" si="42"/>
        <v>320</v>
      </c>
      <c r="H515" s="120">
        <f t="shared" si="42"/>
        <v>404</v>
      </c>
      <c r="I515" s="120">
        <f t="shared" si="42"/>
        <v>213.2</v>
      </c>
      <c r="J515" s="120">
        <f t="shared" si="42"/>
        <v>950.6</v>
      </c>
      <c r="K515" s="120">
        <f t="shared" si="42"/>
        <v>6381.8</v>
      </c>
      <c r="L515" s="101"/>
      <c r="M515" s="101">
        <f>SUM(M499:M514)</f>
        <v>1062000</v>
      </c>
    </row>
    <row r="516" spans="3:13" ht="15.75" thickTop="1" x14ac:dyDescent="0.25">
      <c r="C516" s="102"/>
      <c r="D516" s="102"/>
      <c r="E516" s="102"/>
      <c r="F516" s="104"/>
      <c r="G516" s="104"/>
      <c r="H516" s="104"/>
      <c r="I516" s="104"/>
      <c r="J516" s="104"/>
      <c r="K516" s="104"/>
      <c r="L516" s="105"/>
      <c r="M516" s="103"/>
    </row>
    <row r="517" spans="3:13" ht="15.75" thickBot="1" x14ac:dyDescent="0.3">
      <c r="C517" s="101" t="s">
        <v>298</v>
      </c>
      <c r="D517" s="101"/>
      <c r="E517" s="101"/>
      <c r="F517" s="120" cm="1">
        <f t="array" ref="F517">SUMPRODUCT(--($E$4:$E$498="X"),$F$4:$F$498)</f>
        <v>31</v>
      </c>
      <c r="G517" s="120" cm="1">
        <f t="array" ref="G517">SUMPRODUCT(--($E$4:$E$498="X"),G4:G498)</f>
        <v>123</v>
      </c>
      <c r="H517" s="120" cm="1">
        <f t="array" ref="H517">SUMPRODUCT(--($E$4:$E$498="X"),H4:H498)</f>
        <v>0</v>
      </c>
      <c r="I517" s="120" cm="1">
        <f t="array" ref="I517">SUMPRODUCT(--($E$4:$E$498="X"),I4:I498)</f>
        <v>0</v>
      </c>
      <c r="J517" s="120" cm="1">
        <f t="array" ref="J517">SUMPRODUCT(--($E$4:$E$498="X"),J4:J498)</f>
        <v>171</v>
      </c>
      <c r="K517" s="101">
        <f>SUM(F517:J517)</f>
        <v>325</v>
      </c>
      <c r="L517" s="106"/>
      <c r="M517" s="107"/>
    </row>
    <row r="518" spans="3:13" ht="15.75" hidden="1" thickTop="1" x14ac:dyDescent="0.25"/>
    <row r="519" spans="3:13" hidden="1" x14ac:dyDescent="0.25">
      <c r="C519" s="9" t="s">
        <v>127</v>
      </c>
      <c r="D519" s="9"/>
      <c r="E519" s="9"/>
      <c r="F519" s="121"/>
      <c r="G519" s="121"/>
      <c r="H519" s="121"/>
      <c r="I519" s="121"/>
      <c r="J519" s="121"/>
      <c r="K519" s="9"/>
    </row>
    <row r="520" spans="3:13" hidden="1" x14ac:dyDescent="0.25">
      <c r="C520" s="9" t="str">
        <f t="shared" ref="C520:C525" si="43">C500</f>
        <v>A</v>
      </c>
      <c r="D520" s="9"/>
      <c r="E520" s="9"/>
      <c r="F520" s="121">
        <f t="shared" ref="F520:F534" si="44">SUMPRODUCT(--($E$4:$E$498=C520),--($D$4:$D$498="X"),$F$4:$F$498)</f>
        <v>0</v>
      </c>
      <c r="G520" s="121">
        <f t="shared" ref="G520:G534" si="45">SUMPRODUCT(--($E$4:$E$498=C520),--($D$4:$D$498="X"),$G$4:$G$498)</f>
        <v>0</v>
      </c>
      <c r="H520" s="121">
        <f t="shared" ref="H520:H534" si="46">SUMPRODUCT(--($E$4:$E$498=C520),--($D$4:$D$498="X"),$H$4:$H$498)</f>
        <v>0</v>
      </c>
      <c r="I520" s="121">
        <f t="shared" ref="I520:I534" si="47">SUMPRODUCT(--($E$4:$E$498=C520),--($D$4:$D$498="X"),$I$4:$I$498)</f>
        <v>0</v>
      </c>
      <c r="J520" s="121">
        <f t="shared" ref="J520:J534" si="48">SUMPRODUCT(--($E$4:$E$498=C520),--($D$4:$D$498="X"),$J$4:$J$498)</f>
        <v>0</v>
      </c>
      <c r="K520" s="9">
        <f t="shared" ref="K520:K531" si="49">SUM(F520:J520)</f>
        <v>0</v>
      </c>
    </row>
    <row r="521" spans="3:13" hidden="1" x14ac:dyDescent="0.25">
      <c r="C521" s="9" t="str">
        <f t="shared" si="43"/>
        <v>B</v>
      </c>
      <c r="D521" s="9"/>
      <c r="E521" s="9"/>
      <c r="F521" s="121">
        <f t="shared" si="44"/>
        <v>0</v>
      </c>
      <c r="G521" s="121">
        <f t="shared" si="45"/>
        <v>0</v>
      </c>
      <c r="H521" s="121">
        <f t="shared" si="46"/>
        <v>0</v>
      </c>
      <c r="I521" s="121">
        <f t="shared" si="47"/>
        <v>0</v>
      </c>
      <c r="J521" s="121">
        <f t="shared" si="48"/>
        <v>0</v>
      </c>
      <c r="K521" s="9">
        <f t="shared" si="49"/>
        <v>0</v>
      </c>
    </row>
    <row r="522" spans="3:13" hidden="1" x14ac:dyDescent="0.25">
      <c r="C522" s="9" t="str">
        <f t="shared" si="43"/>
        <v>C</v>
      </c>
      <c r="D522" s="9"/>
      <c r="E522" s="9"/>
      <c r="F522" s="121">
        <f t="shared" si="44"/>
        <v>0</v>
      </c>
      <c r="G522" s="121">
        <f t="shared" si="45"/>
        <v>0</v>
      </c>
      <c r="H522" s="121">
        <f t="shared" si="46"/>
        <v>0</v>
      </c>
      <c r="I522" s="121">
        <f t="shared" si="47"/>
        <v>0</v>
      </c>
      <c r="J522" s="121">
        <f t="shared" si="48"/>
        <v>0</v>
      </c>
      <c r="K522" s="9">
        <f t="shared" si="49"/>
        <v>0</v>
      </c>
    </row>
    <row r="523" spans="3:13" hidden="1" x14ac:dyDescent="0.25">
      <c r="C523" s="9" t="str">
        <f t="shared" si="43"/>
        <v>D</v>
      </c>
      <c r="D523" s="9"/>
      <c r="E523" s="9"/>
      <c r="F523" s="121">
        <f t="shared" si="44"/>
        <v>0</v>
      </c>
      <c r="G523" s="121">
        <f t="shared" si="45"/>
        <v>0</v>
      </c>
      <c r="H523" s="121">
        <f t="shared" si="46"/>
        <v>0</v>
      </c>
      <c r="I523" s="121">
        <f t="shared" si="47"/>
        <v>0</v>
      </c>
      <c r="J523" s="121">
        <f t="shared" si="48"/>
        <v>26</v>
      </c>
      <c r="K523" s="9">
        <f t="shared" si="49"/>
        <v>26</v>
      </c>
    </row>
    <row r="524" spans="3:13" hidden="1" x14ac:dyDescent="0.25">
      <c r="C524" s="9" t="str">
        <f t="shared" si="43"/>
        <v>E</v>
      </c>
      <c r="D524" s="9"/>
      <c r="E524" s="9"/>
      <c r="F524" s="121">
        <f t="shared" si="44"/>
        <v>0</v>
      </c>
      <c r="G524" s="121">
        <f t="shared" si="45"/>
        <v>0</v>
      </c>
      <c r="H524" s="121">
        <f t="shared" si="46"/>
        <v>0</v>
      </c>
      <c r="I524" s="121">
        <f t="shared" si="47"/>
        <v>0</v>
      </c>
      <c r="J524" s="121">
        <f t="shared" si="48"/>
        <v>0</v>
      </c>
      <c r="K524" s="9">
        <f t="shared" si="49"/>
        <v>0</v>
      </c>
    </row>
    <row r="525" spans="3:13" hidden="1" x14ac:dyDescent="0.25">
      <c r="C525" s="9" t="str">
        <f t="shared" si="43"/>
        <v>F</v>
      </c>
      <c r="D525" s="9"/>
      <c r="E525" s="9"/>
      <c r="F525" s="121">
        <f t="shared" si="44"/>
        <v>0</v>
      </c>
      <c r="G525" s="121">
        <f t="shared" si="45"/>
        <v>0</v>
      </c>
      <c r="H525" s="121">
        <f t="shared" si="46"/>
        <v>0</v>
      </c>
      <c r="I525" s="121">
        <f t="shared" si="47"/>
        <v>0</v>
      </c>
      <c r="J525" s="121">
        <f t="shared" si="48"/>
        <v>0</v>
      </c>
      <c r="K525" s="9">
        <f t="shared" si="49"/>
        <v>0</v>
      </c>
    </row>
    <row r="526" spans="3:13" hidden="1" x14ac:dyDescent="0.25">
      <c r="C526" s="9" t="str">
        <f t="shared" ref="C526:C534" si="50">C506</f>
        <v>G</v>
      </c>
      <c r="D526" s="9"/>
      <c r="E526" s="9"/>
      <c r="F526" s="121">
        <f t="shared" si="44"/>
        <v>0</v>
      </c>
      <c r="G526" s="121">
        <f t="shared" si="45"/>
        <v>0</v>
      </c>
      <c r="H526" s="121">
        <f t="shared" si="46"/>
        <v>0</v>
      </c>
      <c r="I526" s="121">
        <f t="shared" si="47"/>
        <v>0</v>
      </c>
      <c r="J526" s="121">
        <f t="shared" si="48"/>
        <v>0</v>
      </c>
      <c r="K526" s="9">
        <f t="shared" si="49"/>
        <v>0</v>
      </c>
    </row>
    <row r="527" spans="3:13" hidden="1" x14ac:dyDescent="0.25">
      <c r="C527" s="9" t="str">
        <f t="shared" si="50"/>
        <v>H</v>
      </c>
      <c r="D527" s="9"/>
      <c r="E527" s="9"/>
      <c r="F527" s="121">
        <f t="shared" si="44"/>
        <v>0</v>
      </c>
      <c r="G527" s="121">
        <f t="shared" si="45"/>
        <v>0</v>
      </c>
      <c r="H527" s="121">
        <f t="shared" si="46"/>
        <v>0</v>
      </c>
      <c r="I527" s="121">
        <f t="shared" si="47"/>
        <v>0</v>
      </c>
      <c r="J527" s="121">
        <f t="shared" si="48"/>
        <v>0</v>
      </c>
      <c r="K527" s="9">
        <f t="shared" si="49"/>
        <v>0</v>
      </c>
    </row>
    <row r="528" spans="3:13" hidden="1" x14ac:dyDescent="0.25">
      <c r="C528" s="9" t="str">
        <f t="shared" si="50"/>
        <v>I</v>
      </c>
      <c r="D528" s="9"/>
      <c r="E528" s="9"/>
      <c r="F528" s="121">
        <f t="shared" si="44"/>
        <v>0</v>
      </c>
      <c r="G528" s="121">
        <f t="shared" si="45"/>
        <v>0</v>
      </c>
      <c r="H528" s="121">
        <f t="shared" si="46"/>
        <v>0</v>
      </c>
      <c r="I528" s="121">
        <f t="shared" si="47"/>
        <v>0</v>
      </c>
      <c r="J528" s="121">
        <f t="shared" si="48"/>
        <v>0</v>
      </c>
      <c r="K528" s="9">
        <f t="shared" si="49"/>
        <v>0</v>
      </c>
    </row>
    <row r="529" spans="3:11" hidden="1" x14ac:dyDescent="0.25">
      <c r="C529" s="9" t="str">
        <f t="shared" si="50"/>
        <v>J</v>
      </c>
      <c r="D529" s="9"/>
      <c r="E529" s="9"/>
      <c r="F529" s="121">
        <f t="shared" si="44"/>
        <v>0</v>
      </c>
      <c r="G529" s="121">
        <f t="shared" si="45"/>
        <v>0</v>
      </c>
      <c r="H529" s="121">
        <f t="shared" si="46"/>
        <v>0</v>
      </c>
      <c r="I529" s="121">
        <f t="shared" si="47"/>
        <v>0</v>
      </c>
      <c r="J529" s="121">
        <f t="shared" si="48"/>
        <v>0</v>
      </c>
      <c r="K529" s="9">
        <f t="shared" si="49"/>
        <v>0</v>
      </c>
    </row>
    <row r="530" spans="3:11" hidden="1" x14ac:dyDescent="0.25">
      <c r="C530" s="9" t="str">
        <f t="shared" si="50"/>
        <v>K</v>
      </c>
      <c r="D530" s="9"/>
      <c r="E530" s="9"/>
      <c r="F530" s="121">
        <f t="shared" si="44"/>
        <v>0</v>
      </c>
      <c r="G530" s="121">
        <f t="shared" si="45"/>
        <v>0</v>
      </c>
      <c r="H530" s="121">
        <f t="shared" si="46"/>
        <v>0</v>
      </c>
      <c r="I530" s="121">
        <f t="shared" si="47"/>
        <v>0</v>
      </c>
      <c r="J530" s="121">
        <f t="shared" si="48"/>
        <v>0</v>
      </c>
      <c r="K530" s="9">
        <f t="shared" si="49"/>
        <v>0</v>
      </c>
    </row>
    <row r="531" spans="3:11" hidden="1" x14ac:dyDescent="0.25">
      <c r="C531" s="9" t="str">
        <f t="shared" si="50"/>
        <v>X</v>
      </c>
      <c r="D531" s="9"/>
      <c r="E531" s="9"/>
      <c r="F531" s="121">
        <f t="shared" si="44"/>
        <v>0</v>
      </c>
      <c r="G531" s="121">
        <f t="shared" si="45"/>
        <v>0</v>
      </c>
      <c r="H531" s="121">
        <f t="shared" si="46"/>
        <v>0</v>
      </c>
      <c r="I531" s="121">
        <f t="shared" si="47"/>
        <v>0</v>
      </c>
      <c r="J531" s="121">
        <f t="shared" si="48"/>
        <v>0</v>
      </c>
      <c r="K531" s="9">
        <f t="shared" si="49"/>
        <v>0</v>
      </c>
    </row>
    <row r="532" spans="3:11" hidden="1" x14ac:dyDescent="0.25">
      <c r="C532" s="9" t="str">
        <f t="shared" si="50"/>
        <v>Vrije categorie</v>
      </c>
      <c r="D532" s="9"/>
      <c r="E532" s="9"/>
      <c r="F532" s="121">
        <f t="shared" si="44"/>
        <v>0</v>
      </c>
      <c r="G532" s="121">
        <f t="shared" si="45"/>
        <v>0</v>
      </c>
      <c r="H532" s="121">
        <f t="shared" si="46"/>
        <v>0</v>
      </c>
      <c r="I532" s="121">
        <f t="shared" si="47"/>
        <v>0</v>
      </c>
      <c r="J532" s="121">
        <f t="shared" si="48"/>
        <v>0</v>
      </c>
      <c r="K532" s="9">
        <f t="shared" ref="K532:K534" si="51">SUM(F532:J532)</f>
        <v>0</v>
      </c>
    </row>
    <row r="533" spans="3:11" hidden="1" x14ac:dyDescent="0.25">
      <c r="C533" s="9" t="str">
        <f t="shared" si="50"/>
        <v>Vrije categorie</v>
      </c>
      <c r="D533" s="9"/>
      <c r="E533" s="9"/>
      <c r="F533" s="121">
        <f t="shared" si="44"/>
        <v>0</v>
      </c>
      <c r="G533" s="121">
        <f t="shared" si="45"/>
        <v>0</v>
      </c>
      <c r="H533" s="121">
        <f t="shared" si="46"/>
        <v>0</v>
      </c>
      <c r="I533" s="121">
        <f t="shared" si="47"/>
        <v>0</v>
      </c>
      <c r="J533" s="121">
        <f t="shared" si="48"/>
        <v>0</v>
      </c>
      <c r="K533" s="9">
        <f t="shared" si="51"/>
        <v>0</v>
      </c>
    </row>
    <row r="534" spans="3:11" hidden="1" x14ac:dyDescent="0.25">
      <c r="C534" s="9" t="str">
        <f t="shared" si="50"/>
        <v>Vrije categorie</v>
      </c>
      <c r="D534" s="9"/>
      <c r="E534" s="9"/>
      <c r="F534" s="121">
        <f t="shared" si="44"/>
        <v>0</v>
      </c>
      <c r="G534" s="121">
        <f t="shared" si="45"/>
        <v>0</v>
      </c>
      <c r="H534" s="121">
        <f t="shared" si="46"/>
        <v>0</v>
      </c>
      <c r="I534" s="121">
        <f t="shared" si="47"/>
        <v>0</v>
      </c>
      <c r="J534" s="121">
        <f t="shared" si="48"/>
        <v>0</v>
      </c>
      <c r="K534" s="9">
        <f t="shared" si="51"/>
        <v>0</v>
      </c>
    </row>
    <row r="535" spans="3:11" ht="15.75" hidden="1" thickBot="1" x14ac:dyDescent="0.3">
      <c r="C535" s="10" t="s">
        <v>126</v>
      </c>
      <c r="D535" s="10"/>
      <c r="E535" s="10"/>
      <c r="F535" s="122">
        <f t="shared" ref="F535:K535" si="52">SUM(F520:F534)</f>
        <v>0</v>
      </c>
      <c r="G535" s="122">
        <f t="shared" si="52"/>
        <v>0</v>
      </c>
      <c r="H535" s="122">
        <f t="shared" si="52"/>
        <v>0</v>
      </c>
      <c r="I535" s="122">
        <f t="shared" si="52"/>
        <v>0</v>
      </c>
      <c r="J535" s="122">
        <f t="shared" si="52"/>
        <v>26</v>
      </c>
      <c r="K535" s="10">
        <f t="shared" si="52"/>
        <v>26</v>
      </c>
    </row>
    <row r="536" spans="3:11" ht="15.75" hidden="1" thickTop="1" x14ac:dyDescent="0.25">
      <c r="C536" s="18"/>
    </row>
    <row r="537" spans="3:11" ht="15.75" thickTop="1" x14ac:dyDescent="0.25">
      <c r="C537" s="18"/>
    </row>
    <row r="538" spans="3:11" x14ac:dyDescent="0.25">
      <c r="F538" s="226" t="s">
        <v>36</v>
      </c>
      <c r="G538" s="227" t="s">
        <v>37</v>
      </c>
      <c r="I538" s="507" t="s">
        <v>251</v>
      </c>
      <c r="J538" s="508"/>
      <c r="K538" s="202" t="s">
        <v>206</v>
      </c>
    </row>
    <row r="539" spans="3:11" x14ac:dyDescent="0.25">
      <c r="F539" s="228" t="s">
        <v>289</v>
      </c>
      <c r="G539" s="229">
        <v>104</v>
      </c>
      <c r="I539" s="509" t="s">
        <v>252</v>
      </c>
      <c r="J539" s="510"/>
      <c r="K539" s="203">
        <v>1892.6</v>
      </c>
    </row>
    <row r="540" spans="3:11" x14ac:dyDescent="0.25">
      <c r="C540" s="245"/>
      <c r="F540" s="228" t="s">
        <v>269</v>
      </c>
      <c r="G540" s="229">
        <v>260</v>
      </c>
      <c r="I540" s="509" t="s">
        <v>253</v>
      </c>
      <c r="J540" s="510"/>
      <c r="K540" s="203">
        <v>1892.6</v>
      </c>
    </row>
    <row r="541" spans="3:11" x14ac:dyDescent="0.25">
      <c r="F541" s="228" t="s">
        <v>250</v>
      </c>
      <c r="G541" s="229">
        <v>260</v>
      </c>
      <c r="I541" s="509" t="s">
        <v>254</v>
      </c>
      <c r="J541" s="510"/>
      <c r="K541" s="203">
        <v>1273.5</v>
      </c>
    </row>
    <row r="542" spans="3:11" x14ac:dyDescent="0.25">
      <c r="F542" s="228" t="s">
        <v>290</v>
      </c>
      <c r="G542" s="229">
        <v>260</v>
      </c>
      <c r="I542" s="509" t="s">
        <v>255</v>
      </c>
      <c r="J542" s="510"/>
      <c r="K542" s="203"/>
    </row>
    <row r="543" spans="3:11" x14ac:dyDescent="0.25">
      <c r="F543" s="228" t="s">
        <v>291</v>
      </c>
      <c r="G543" s="229">
        <v>260</v>
      </c>
      <c r="I543" s="509" t="s">
        <v>167</v>
      </c>
      <c r="J543" s="510"/>
      <c r="K543" s="252">
        <v>310</v>
      </c>
    </row>
    <row r="544" spans="3:11" x14ac:dyDescent="0.25">
      <c r="F544" s="228" t="s">
        <v>292</v>
      </c>
      <c r="G544" s="229">
        <v>260</v>
      </c>
      <c r="I544" s="505" t="s">
        <v>168</v>
      </c>
      <c r="J544" s="506"/>
      <c r="K544" s="204"/>
    </row>
    <row r="545" spans="6:7" x14ac:dyDescent="0.25">
      <c r="F545" s="228" t="s">
        <v>293</v>
      </c>
      <c r="G545" s="229">
        <v>260</v>
      </c>
    </row>
    <row r="546" spans="6:7" x14ac:dyDescent="0.25">
      <c r="F546" s="228" t="s">
        <v>272</v>
      </c>
      <c r="G546" s="229">
        <v>260</v>
      </c>
    </row>
    <row r="547" spans="6:7" x14ac:dyDescent="0.25">
      <c r="F547" s="228" t="s">
        <v>294</v>
      </c>
      <c r="G547" s="229">
        <v>260</v>
      </c>
    </row>
    <row r="548" spans="6:7" x14ac:dyDescent="0.25">
      <c r="F548" s="228" t="s">
        <v>295</v>
      </c>
      <c r="G548" s="229">
        <v>260</v>
      </c>
    </row>
    <row r="549" spans="6:7" x14ac:dyDescent="0.25">
      <c r="F549" s="228" t="s">
        <v>296</v>
      </c>
      <c r="G549" s="229">
        <v>12</v>
      </c>
    </row>
    <row r="550" spans="6:7" x14ac:dyDescent="0.25">
      <c r="F550" s="228" t="s">
        <v>297</v>
      </c>
      <c r="G550" s="229">
        <v>0</v>
      </c>
    </row>
    <row r="551" spans="6:7" hidden="1" x14ac:dyDescent="0.25">
      <c r="F551" s="228" t="s">
        <v>256</v>
      </c>
      <c r="G551" s="230"/>
    </row>
    <row r="552" spans="6:7" hidden="1" x14ac:dyDescent="0.25">
      <c r="F552" s="228" t="s">
        <v>256</v>
      </c>
      <c r="G552" s="230"/>
    </row>
    <row r="553" spans="6:7" hidden="1" x14ac:dyDescent="0.25">
      <c r="F553" s="231" t="s">
        <v>256</v>
      </c>
      <c r="G553" s="232"/>
    </row>
  </sheetData>
  <mergeCells count="7">
    <mergeCell ref="I544:J544"/>
    <mergeCell ref="I538:J538"/>
    <mergeCell ref="I539:J539"/>
    <mergeCell ref="I540:J540"/>
    <mergeCell ref="I541:J541"/>
    <mergeCell ref="I542:J542"/>
    <mergeCell ref="I543:J543"/>
  </mergeCells>
  <printOptions gridLines="1"/>
  <pageMargins left="0.70866141732283472" right="0.70866141732283472" top="0.94488188976377963" bottom="0.74803149606299213" header="0.31496062992125984" footer="0.31496062992125984"/>
  <pageSetup paperSize="9" scale="83" orientation="portrait" cellComments="asDisplayed" r:id="rId1"/>
  <headerFooter>
    <oddHeader>&amp;L&amp;G</oddHeader>
  </headerFooter>
  <legacy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6">
    <tabColor rgb="FFC2E76B"/>
  </sheetPr>
  <dimension ref="A1:O121"/>
  <sheetViews>
    <sheetView showGridLines="0" showZeros="0" zoomScaleNormal="100" workbookViewId="0">
      <selection activeCell="L25" sqref="L25"/>
    </sheetView>
  </sheetViews>
  <sheetFormatPr defaultColWidth="0" defaultRowHeight="0" customHeight="1" zeroHeight="1" x14ac:dyDescent="0.25"/>
  <cols>
    <col min="1" max="3" width="9.140625" style="274" customWidth="1"/>
    <col min="4" max="4" width="17.7109375" style="274" customWidth="1"/>
    <col min="5" max="5" width="15.7109375" style="274" customWidth="1"/>
    <col min="6" max="6" width="17.140625" style="274" customWidth="1"/>
    <col min="7" max="9" width="15.7109375" style="274" customWidth="1"/>
    <col min="10" max="10" width="12.140625" style="274" customWidth="1"/>
    <col min="11" max="11" width="15.7109375" style="274" customWidth="1"/>
    <col min="12" max="12" width="16.42578125" style="274" customWidth="1"/>
    <col min="13" max="13" width="5.85546875" style="274" customWidth="1"/>
    <col min="14" max="15" width="0" style="274" hidden="1" customWidth="1"/>
    <col min="16" max="16384" width="9.140625" style="274" hidden="1"/>
  </cols>
  <sheetData>
    <row r="1" spans="1:11" ht="15" x14ac:dyDescent="0.25"/>
    <row r="2" spans="1:11" ht="23.25" x14ac:dyDescent="0.35">
      <c r="D2" s="311" t="str">
        <f>CONCATENATE("Uitvoeringsbepaling"," ",H4,", onderdeel van ",Verzamelblad!A2," ",Verzamelblad!A3)</f>
        <v xml:space="preserve">Uitvoeringsbepaling 2, onderdeel van Bestek </v>
      </c>
      <c r="E2" s="289"/>
      <c r="F2" s="289"/>
      <c r="G2" s="289"/>
      <c r="H2" s="312"/>
    </row>
    <row r="3" spans="1:11" ht="15" x14ac:dyDescent="0.25">
      <c r="A3" s="275"/>
      <c r="B3" s="275"/>
      <c r="C3" s="275"/>
      <c r="D3" s="313"/>
      <c r="E3" s="313"/>
      <c r="F3" s="275"/>
      <c r="G3" s="275"/>
      <c r="H3" s="275"/>
    </row>
    <row r="4" spans="1:11" ht="15" customHeight="1" x14ac:dyDescent="0.25">
      <c r="A4" s="328" t="s">
        <v>7</v>
      </c>
      <c r="B4" s="485" t="str">
        <f>VLOOKUP(H4,Verzamelblad!A5:E19,3)</f>
        <v>Gemeentewerf Buitenpost</v>
      </c>
      <c r="C4" s="485"/>
      <c r="D4" s="485"/>
      <c r="E4" s="485"/>
      <c r="F4" s="511" t="s">
        <v>11</v>
      </c>
      <c r="G4" s="511"/>
      <c r="H4" s="402">
        <v>2</v>
      </c>
    </row>
    <row r="5" spans="1:11" ht="15" x14ac:dyDescent="0.25">
      <c r="A5" s="335" t="s">
        <v>6</v>
      </c>
      <c r="B5" s="482" t="str">
        <f>VLOOKUP(H4,Verzamelblad!A5:E19,4)</f>
        <v>Vaart 4</v>
      </c>
      <c r="C5" s="482"/>
      <c r="D5" s="482"/>
      <c r="E5" s="482"/>
      <c r="F5" s="512" t="s">
        <v>12</v>
      </c>
      <c r="G5" s="512"/>
      <c r="H5" s="403" t="str">
        <f>CONCATENATE(H4,"a")</f>
        <v>2a</v>
      </c>
    </row>
    <row r="6" spans="1:11" ht="15" x14ac:dyDescent="0.25">
      <c r="A6" s="344" t="s">
        <v>8</v>
      </c>
      <c r="B6" s="479" t="str">
        <f>VLOOKUP(H4,Verzamelblad!A5:E19,5)</f>
        <v>Buitenpost</v>
      </c>
      <c r="C6" s="479"/>
      <c r="D6" s="479"/>
      <c r="E6" s="479"/>
      <c r="F6" s="513" t="s">
        <v>143</v>
      </c>
      <c r="G6" s="513"/>
      <c r="H6" s="404"/>
      <c r="I6" s="275"/>
    </row>
    <row r="7" spans="1:11" ht="15" x14ac:dyDescent="0.25">
      <c r="A7" s="320"/>
      <c r="B7" s="320"/>
      <c r="C7" s="320"/>
      <c r="D7" s="320"/>
      <c r="E7" s="320"/>
      <c r="F7" s="275"/>
      <c r="G7" s="321"/>
      <c r="H7" s="322"/>
      <c r="I7" s="275"/>
    </row>
    <row r="8" spans="1:11" ht="15" x14ac:dyDescent="0.25">
      <c r="A8" s="314" t="s">
        <v>9</v>
      </c>
      <c r="B8" s="323"/>
      <c r="C8" s="323"/>
      <c r="D8" s="323"/>
      <c r="E8" s="405">
        <f>VLOOKUP($H$4,Verzamelblad!$A$5:$EK$19,14,0)</f>
        <v>0</v>
      </c>
      <c r="F8" s="324"/>
      <c r="G8" s="275"/>
      <c r="H8" s="275"/>
      <c r="I8" s="275"/>
    </row>
    <row r="9" spans="1:11" ht="15" x14ac:dyDescent="0.25">
      <c r="A9" s="318" t="s">
        <v>10</v>
      </c>
      <c r="B9" s="325"/>
      <c r="C9" s="325"/>
      <c r="D9" s="325"/>
      <c r="E9" s="406">
        <f>VLOOKUP($H$4,Verzamelblad!$A$5:$EK$19,6,0)</f>
        <v>260</v>
      </c>
      <c r="F9" s="275"/>
      <c r="G9" s="275"/>
      <c r="H9" s="275"/>
      <c r="I9" s="275"/>
    </row>
    <row r="10" spans="1:11" ht="18.75" customHeight="1" x14ac:dyDescent="0.25">
      <c r="F10" s="327" t="s">
        <v>190</v>
      </c>
      <c r="G10" s="327" t="s">
        <v>191</v>
      </c>
      <c r="H10" s="327" t="s">
        <v>74</v>
      </c>
      <c r="I10" s="327" t="s">
        <v>192</v>
      </c>
      <c r="J10" s="327" t="s">
        <v>193</v>
      </c>
      <c r="K10" s="327" t="s">
        <v>194</v>
      </c>
    </row>
    <row r="11" spans="1:11" ht="15" x14ac:dyDescent="0.25">
      <c r="A11" s="328" t="s">
        <v>18</v>
      </c>
      <c r="B11" s="329"/>
      <c r="C11" s="329"/>
      <c r="D11" s="330"/>
      <c r="E11" s="331"/>
      <c r="F11" s="407" t="str">
        <f>IFERROR(IF(SUM(I11/12)=0,"",SUM(I11/12)),"")</f>
        <v/>
      </c>
      <c r="G11" s="408" t="str">
        <f>IFERROR(SUM(J11/12),"")</f>
        <v/>
      </c>
      <c r="H11" s="334" t="str">
        <f>IFERROR(SUM(J11/E9),"")</f>
        <v/>
      </c>
      <c r="I11" s="407" t="str">
        <f>IFERROR(IF(SUM($I$14*K11)=0,"",SUM($I$14*K11)),"")</f>
        <v/>
      </c>
      <c r="J11" s="408" t="str">
        <f>IFERROR(SUM(J14*K11),"")</f>
        <v/>
      </c>
      <c r="K11" s="193"/>
    </row>
    <row r="12" spans="1:11" ht="15" x14ac:dyDescent="0.25">
      <c r="A12" s="335" t="s">
        <v>19</v>
      </c>
      <c r="B12" s="336"/>
      <c r="C12" s="336"/>
      <c r="D12" s="337"/>
      <c r="E12" s="338"/>
      <c r="F12" s="409" t="str">
        <f>IFERROR(IF(SUM(I12/3)=0,"",SUM(I12/3)),"")</f>
        <v/>
      </c>
      <c r="G12" s="410" t="str">
        <f>IFERROR(SUM(J12/3),"")</f>
        <v/>
      </c>
      <c r="H12" s="341"/>
      <c r="I12" s="411" t="str">
        <f>IFERROR(IF(SUM($I$14*K12)=0,"",SUM($I$14*K12)),"")</f>
        <v/>
      </c>
      <c r="J12" s="412" t="str">
        <f>IFERROR(SUM(J14*K12),"")</f>
        <v/>
      </c>
      <c r="K12" s="194"/>
    </row>
    <row r="13" spans="1:11" ht="15" x14ac:dyDescent="0.25">
      <c r="A13" s="344" t="s">
        <v>20</v>
      </c>
      <c r="B13" s="345"/>
      <c r="C13" s="345"/>
      <c r="D13" s="346"/>
      <c r="E13" s="347"/>
      <c r="F13" s="413" t="str">
        <f>IF(I13=0,"",I13)</f>
        <v/>
      </c>
      <c r="G13" s="414" t="str">
        <f>IFERROR(J13,"")</f>
        <v/>
      </c>
      <c r="H13" s="350"/>
      <c r="I13" s="415" t="str">
        <f>IFERROR(IF(SUM($I$14*K13)=0,"",SUM($I$14*K13)),"")</f>
        <v/>
      </c>
      <c r="J13" s="416" t="str">
        <f>IFERROR(SUM(J14*K13),"")</f>
        <v/>
      </c>
      <c r="K13" s="195"/>
    </row>
    <row r="14" spans="1:11" ht="15.75" thickBot="1" x14ac:dyDescent="0.3">
      <c r="A14" s="275" t="s">
        <v>13</v>
      </c>
      <c r="B14" s="275"/>
      <c r="C14" s="275"/>
      <c r="D14" s="275"/>
      <c r="E14" s="313"/>
      <c r="F14" s="417" t="str">
        <f>IFERROR(IF(SUM(F11:F13)=0,"",SUM(F11:F13)),"")</f>
        <v/>
      </c>
      <c r="G14" s="418">
        <f>IFERROR(SUM(G11:G13),"")</f>
        <v>0</v>
      </c>
      <c r="H14" s="355"/>
      <c r="I14" s="417" t="str">
        <f>IFERROR(IF(E100=0,"",E100),"")</f>
        <v/>
      </c>
      <c r="J14" s="418" t="str">
        <f>IFERROR(SUM(I14/offertetarief),"")</f>
        <v/>
      </c>
      <c r="K14" s="275" t="str">
        <f>IF(SUM(K11:K13)=100%,"","Geen 100%")</f>
        <v>Geen 100%</v>
      </c>
    </row>
    <row r="15" spans="1:11" ht="15.75" thickTop="1" x14ac:dyDescent="0.25">
      <c r="F15" s="327" t="s">
        <v>195</v>
      </c>
      <c r="G15" s="327" t="s">
        <v>196</v>
      </c>
    </row>
    <row r="16" spans="1:11" ht="15" x14ac:dyDescent="0.25">
      <c r="A16" s="277" t="s">
        <v>14</v>
      </c>
      <c r="B16" s="278"/>
      <c r="C16" s="278"/>
      <c r="D16" s="278"/>
      <c r="E16" s="279"/>
      <c r="F16" s="419" t="str">
        <f>IFERROR(SUM((J14*directtoezicht)/E9),"")</f>
        <v/>
      </c>
      <c r="G16" s="420" t="str">
        <f>IF(J14="","",SUM(J14*directtoezicht))</f>
        <v/>
      </c>
    </row>
    <row r="17" spans="1:12" ht="15.75" customHeight="1" x14ac:dyDescent="0.25">
      <c r="K17" s="489" t="s">
        <v>214</v>
      </c>
      <c r="L17" s="489" t="s">
        <v>215</v>
      </c>
    </row>
    <row r="18" spans="1:12" ht="15.75" customHeight="1" x14ac:dyDescent="0.25">
      <c r="A18" s="274" t="s">
        <v>75</v>
      </c>
      <c r="K18" s="490"/>
      <c r="L18" s="490"/>
    </row>
    <row r="19" spans="1:12" ht="15" x14ac:dyDescent="0.25">
      <c r="A19" s="502" t="s">
        <v>197</v>
      </c>
      <c r="B19" s="503"/>
      <c r="C19" s="504"/>
      <c r="D19" s="421">
        <f ca="1">D100</f>
        <v>61100</v>
      </c>
      <c r="E19" s="500" t="s">
        <v>198</v>
      </c>
      <c r="F19" s="501"/>
      <c r="G19" s="422">
        <f ca="1">IFERROR(D100/E9,"")</f>
        <v>235</v>
      </c>
      <c r="H19" s="361" t="s">
        <v>199</v>
      </c>
      <c r="I19" s="423" t="str">
        <f ca="1">IFERROR(SUM(D19/J14),"")</f>
        <v/>
      </c>
      <c r="K19" s="363" t="str">
        <f ca="1">IF(INDIRECT("'"&amp;$H$5&amp;"'!F539")="X","",IF(INDIRECT("'"&amp;$H$5&amp;"'!F539")="Vrije categorie","",INDIRECT("'"&amp;$H$5&amp;"'!F539")))</f>
        <v>A</v>
      </c>
      <c r="L19" s="187"/>
    </row>
    <row r="20" spans="1:12" ht="15" x14ac:dyDescent="0.25">
      <c r="K20" s="364" t="str">
        <f ca="1">IF(INDIRECT("'"&amp;$H$5&amp;"'!F540")="X","",IF(INDIRECT("'"&amp;$H$5&amp;"'!F540")="Vrije categorie","",INDIRECT("'"&amp;$H$5&amp;"'!F540")))</f>
        <v>B</v>
      </c>
      <c r="L20" s="188"/>
    </row>
    <row r="21" spans="1:12" ht="15" x14ac:dyDescent="0.25">
      <c r="A21" s="274" t="s">
        <v>15</v>
      </c>
      <c r="B21" s="283"/>
      <c r="D21" s="327" t="s">
        <v>200</v>
      </c>
      <c r="E21" s="327" t="s">
        <v>201</v>
      </c>
      <c r="F21" s="327" t="s">
        <v>202</v>
      </c>
      <c r="G21" s="327" t="s">
        <v>203</v>
      </c>
      <c r="H21" s="327" t="s">
        <v>204</v>
      </c>
      <c r="I21" s="327" t="s">
        <v>205</v>
      </c>
      <c r="K21" s="364" t="str">
        <f ca="1">IF(INDIRECT("'"&amp;$H$5&amp;"'!F541")="X","",IF(INDIRECT("'"&amp;$H$5&amp;"'!F541")="Vrije categorie","",INDIRECT("'"&amp;$H$5&amp;"'!F541")))</f>
        <v>C</v>
      </c>
      <c r="L21" s="188"/>
    </row>
    <row r="22" spans="1:12" ht="15" x14ac:dyDescent="0.25">
      <c r="A22" s="314" t="str">
        <f>VLOOKUP($H$4,Verzamelblad!$A$5:$EK$19,32,0)</f>
        <v>Dieptereiniging sanitair</v>
      </c>
      <c r="B22" s="424"/>
      <c r="C22" s="331"/>
      <c r="D22" s="365" t="str">
        <f>VLOOKUP($H$4,Verzamelblad!$A$5:$EK$19,33,0)</f>
        <v>m²</v>
      </c>
      <c r="E22" s="366">
        <f>VLOOKUP($H$4,Verzamelblad!$A$5:$DE$19,34)</f>
        <v>25</v>
      </c>
      <c r="F22" s="217"/>
      <c r="G22" s="407" t="str">
        <f>IF(IF(E22="","",SUM(E22*F22))=0,"",IF(E22="","",SUM(E22*F22)))</f>
        <v/>
      </c>
      <c r="H22" s="365">
        <f>VLOOKUP($H$4,Verzamelblad!$A$5:$EK$19,35,0)</f>
        <v>2</v>
      </c>
      <c r="I22" s="425" t="str">
        <f>IFERROR(IF(IF(H22="op afroep","",SUM(G22*H22))=0,"",IF(H22="op afroep","",SUM(G22*H22))),"")</f>
        <v/>
      </c>
      <c r="K22" s="364" t="str">
        <f ca="1">IF(INDIRECT("'"&amp;$H$5&amp;"'!F542")="X","",IF(INDIRECT("'"&amp;$H$5&amp;"'!F542")="Vrije categorie","",INDIRECT("'"&amp;$H$5&amp;"'!F542")))</f>
        <v>D</v>
      </c>
      <c r="L22" s="188"/>
    </row>
    <row r="23" spans="1:12" ht="15" x14ac:dyDescent="0.25">
      <c r="A23" s="316">
        <f>VLOOKUP($H$4,Verzamelblad!$A$5:$EK$19,36,0)</f>
        <v>0</v>
      </c>
      <c r="B23" s="368"/>
      <c r="C23" s="338"/>
      <c r="D23" s="369">
        <f>VLOOKUP($H$4,Verzamelblad!$A$5:$EK$19,37,0)</f>
        <v>0</v>
      </c>
      <c r="E23" s="369">
        <f>VLOOKUP($H$4,Verzamelblad!$A$5:$DE$19,38)</f>
        <v>0</v>
      </c>
      <c r="F23" s="218"/>
      <c r="G23" s="409" t="str">
        <f>IF(IF(E23="","",SUM(E23*F23))=0,"",IF(E23="","",SUM(E23*F23)))</f>
        <v/>
      </c>
      <c r="H23" s="369">
        <f>VLOOKUP($H$4,Verzamelblad!$A$5:$EK$19,39,0)</f>
        <v>0</v>
      </c>
      <c r="I23" s="426" t="str">
        <f>IFERROR(IF(IF(H23="op afroep","",SUM(G23*H23))=0,"",IF(H23="op afroep","",SUM(G23*H23))),"")</f>
        <v/>
      </c>
      <c r="K23" s="364" t="str">
        <f ca="1">IF(INDIRECT("'"&amp;$H$5&amp;"'!F543")="X","",IF(INDIRECT("'"&amp;$H$5&amp;"'!F543")="Vrije categorie","",INDIRECT("'"&amp;$H$5&amp;"'!F543")))</f>
        <v>E</v>
      </c>
      <c r="L23" s="188"/>
    </row>
    <row r="24" spans="1:12" ht="15" x14ac:dyDescent="0.25">
      <c r="A24" s="316">
        <f>VLOOKUP($H$4,Verzamelblad!$A$5:$EK$19,40,0)</f>
        <v>0</v>
      </c>
      <c r="B24" s="368"/>
      <c r="C24" s="338"/>
      <c r="D24" s="369">
        <f>VLOOKUP($H$4,Verzamelblad!$A$5:$EK$19,41,0)</f>
        <v>0</v>
      </c>
      <c r="E24" s="369">
        <f>VLOOKUP($H$4,Verzamelblad!$A$5:$DE$19,42)</f>
        <v>0</v>
      </c>
      <c r="F24" s="218"/>
      <c r="G24" s="409" t="str">
        <f t="shared" ref="G24:G32" si="0">IF(IF(E24="","",SUM(E24*F24))=0,"",IF(E24="","",SUM(E24*F24)))</f>
        <v/>
      </c>
      <c r="H24" s="369">
        <f>VLOOKUP($H$4,Verzamelblad!$A$5:$EK$19,43,0)</f>
        <v>0</v>
      </c>
      <c r="I24" s="426" t="str">
        <f t="shared" ref="I24:I31" si="1">IFERROR(IF(IF(H24="op afroep","",SUM(G24*H24))=0,"",IF(H24="op afroep","",SUM(G24*H24))),"")</f>
        <v/>
      </c>
      <c r="K24" s="364" t="str">
        <f ca="1">IF(INDIRECT("'"&amp;$H$5&amp;"'!F544")="X","",IF(INDIRECT("'"&amp;$H$5&amp;"'!F544")="Vrije categorie","",INDIRECT("'"&amp;$H$5&amp;"'!F544")))</f>
        <v>F</v>
      </c>
      <c r="L24" s="188"/>
    </row>
    <row r="25" spans="1:12" ht="15" x14ac:dyDescent="0.25">
      <c r="A25" s="316">
        <f>VLOOKUP($H$4,Verzamelblad!$A$5:$EK$19,44,0)</f>
        <v>0</v>
      </c>
      <c r="B25" s="368"/>
      <c r="C25" s="338"/>
      <c r="D25" s="369">
        <f>VLOOKUP($H$4,Verzamelblad!$A$5:$EK$19,45,0)</f>
        <v>0</v>
      </c>
      <c r="E25" s="369">
        <f>VLOOKUP($H$4,Verzamelblad!$A$5:$DE$19,46)</f>
        <v>0</v>
      </c>
      <c r="F25" s="218"/>
      <c r="G25" s="409" t="str">
        <f t="shared" si="0"/>
        <v/>
      </c>
      <c r="H25" s="369">
        <f>VLOOKUP($H$4,Verzamelblad!$A$5:$EK$19,47,0)</f>
        <v>0</v>
      </c>
      <c r="I25" s="426" t="str">
        <f t="shared" si="1"/>
        <v/>
      </c>
      <c r="K25" s="364" t="str">
        <f ca="1">IF(INDIRECT("'"&amp;$H$5&amp;"'!F545")="X","",IF(INDIRECT("'"&amp;$H$5&amp;"'!F545")="Vrije categorie","",INDIRECT("'"&amp;$H$5&amp;"'!F545")))</f>
        <v>G</v>
      </c>
      <c r="L25" s="188"/>
    </row>
    <row r="26" spans="1:12" ht="15" x14ac:dyDescent="0.25">
      <c r="A26" s="316">
        <f>VLOOKUP($H$4,Verzamelblad!$A$5:$EK$19,48,0)</f>
        <v>0</v>
      </c>
      <c r="B26" s="368"/>
      <c r="C26" s="338"/>
      <c r="D26" s="369">
        <f>VLOOKUP($H$4,Verzamelblad!$A$5:$EK$19,49,0)</f>
        <v>0</v>
      </c>
      <c r="E26" s="369">
        <f>VLOOKUP($H$4,Verzamelblad!$A$5:$DE$19,50)</f>
        <v>0</v>
      </c>
      <c r="F26" s="218"/>
      <c r="G26" s="409" t="str">
        <f t="shared" si="0"/>
        <v/>
      </c>
      <c r="H26" s="369">
        <f>VLOOKUP($H$4,Verzamelblad!$A$5:$EK$19,51,0)</f>
        <v>0</v>
      </c>
      <c r="I26" s="426" t="str">
        <f t="shared" si="1"/>
        <v/>
      </c>
      <c r="K26" s="364" t="str">
        <f ca="1">IF(INDIRECT("'"&amp;$H$5&amp;"'!F546")="X","",IF(INDIRECT("'"&amp;$H$5&amp;"'!F546")="Vrije categorie","",INDIRECT("'"&amp;$H$5&amp;"'!F546")))</f>
        <v>H</v>
      </c>
      <c r="L26" s="188"/>
    </row>
    <row r="27" spans="1:12" ht="15" x14ac:dyDescent="0.25">
      <c r="A27" s="316">
        <f>VLOOKUP($H$4,Verzamelblad!$A$5:$EK$19,52,0)</f>
        <v>0</v>
      </c>
      <c r="B27" s="368"/>
      <c r="C27" s="338"/>
      <c r="D27" s="369">
        <f>VLOOKUP($H$4,Verzamelblad!$A$5:$EK$19,53,0)</f>
        <v>0</v>
      </c>
      <c r="E27" s="369">
        <f>VLOOKUP($H$4,Verzamelblad!$A$5:$DE$19,54)</f>
        <v>0</v>
      </c>
      <c r="F27" s="218"/>
      <c r="G27" s="409" t="str">
        <f t="shared" si="0"/>
        <v/>
      </c>
      <c r="H27" s="369">
        <f>VLOOKUP($H$4,Verzamelblad!$A$5:$EK$19,55,0)</f>
        <v>0</v>
      </c>
      <c r="I27" s="426" t="str">
        <f t="shared" si="1"/>
        <v/>
      </c>
      <c r="K27" s="364" t="str">
        <f ca="1">IF(INDIRECT("'"&amp;$H$5&amp;"'!F547")="X","",IF(INDIRECT("'"&amp;$H$5&amp;"'!F547")="Vrije categorie","",INDIRECT("'"&amp;$H$5&amp;"'!F547")))</f>
        <v>I</v>
      </c>
      <c r="L27" s="188"/>
    </row>
    <row r="28" spans="1:12" ht="15" x14ac:dyDescent="0.25">
      <c r="A28" s="316">
        <f>VLOOKUP($H$4,Verzamelblad!$A$5:$EK$19,56,0)</f>
        <v>0</v>
      </c>
      <c r="B28" s="368"/>
      <c r="C28" s="338"/>
      <c r="D28" s="369">
        <f>VLOOKUP($H$4,Verzamelblad!$A$5:$EK$19,57,0)</f>
        <v>0</v>
      </c>
      <c r="E28" s="369">
        <f>VLOOKUP($H$4,Verzamelblad!$A$5:$DE$19,58)</f>
        <v>0</v>
      </c>
      <c r="F28" s="218"/>
      <c r="G28" s="409" t="str">
        <f t="shared" si="0"/>
        <v/>
      </c>
      <c r="H28" s="369">
        <f>VLOOKUP($H$4,Verzamelblad!$A$5:$EK$19,59,0)</f>
        <v>0</v>
      </c>
      <c r="I28" s="426" t="str">
        <f t="shared" si="1"/>
        <v/>
      </c>
      <c r="K28" s="364" t="str">
        <f ca="1">IF(INDIRECT("'"&amp;$H$5&amp;"'!F548")="X","",IF(INDIRECT("'"&amp;$H$5&amp;"'!F548")="Vrije categorie","",INDIRECT("'"&amp;$H$5&amp;"'!F548")))</f>
        <v>J</v>
      </c>
      <c r="L28" s="188"/>
    </row>
    <row r="29" spans="1:12" ht="15" x14ac:dyDescent="0.25">
      <c r="A29" s="316">
        <f>VLOOKUP($H$4,Verzamelblad!$A$5:$EK$19,60,0)</f>
        <v>0</v>
      </c>
      <c r="B29" s="368"/>
      <c r="C29" s="338"/>
      <c r="D29" s="369">
        <f>VLOOKUP($H$4,Verzamelblad!$A$5:$EK$19,61,0)</f>
        <v>0</v>
      </c>
      <c r="E29" s="369">
        <f>VLOOKUP($H$4,Verzamelblad!$A$5:$DE$19,62)</f>
        <v>0</v>
      </c>
      <c r="F29" s="218"/>
      <c r="G29" s="409" t="str">
        <f t="shared" si="0"/>
        <v/>
      </c>
      <c r="H29" s="369">
        <f>VLOOKUP($H$4,Verzamelblad!$A$5:$EK$19,63,0)</f>
        <v>0</v>
      </c>
      <c r="I29" s="426" t="str">
        <f t="shared" si="1"/>
        <v/>
      </c>
      <c r="K29" s="364" t="str">
        <f ca="1">IF(INDIRECT("'"&amp;$H$5&amp;"'!F549")="X","",IF(INDIRECT("'"&amp;$H$5&amp;"'!F549")="Vrije categorie","",INDIRECT("'"&amp;$H$5&amp;"'!F549")))</f>
        <v>K</v>
      </c>
      <c r="L29" s="188"/>
    </row>
    <row r="30" spans="1:12" ht="15" x14ac:dyDescent="0.25">
      <c r="A30" s="316">
        <f>VLOOKUP($H$4,Verzamelblad!$A$5:$EK$19,64,0)</f>
        <v>0</v>
      </c>
      <c r="B30" s="368"/>
      <c r="C30" s="338"/>
      <c r="D30" s="369">
        <f>VLOOKUP($H$4,Verzamelblad!$A$5:$EK$19,65,0)</f>
        <v>0</v>
      </c>
      <c r="E30" s="369">
        <f>VLOOKUP($H$4,Verzamelblad!$A$5:$DE$19,66)</f>
        <v>0</v>
      </c>
      <c r="F30" s="218"/>
      <c r="G30" s="409" t="str">
        <f t="shared" si="0"/>
        <v/>
      </c>
      <c r="H30" s="369">
        <f>VLOOKUP($H$4,Verzamelblad!$A$5:$EK$19,67,0)</f>
        <v>0</v>
      </c>
      <c r="I30" s="426" t="str">
        <f t="shared" si="1"/>
        <v/>
      </c>
      <c r="K30" s="364" t="str">
        <f ca="1">IF(INDIRECT("'"&amp;$H$5&amp;"'!F550")="X","",IF(INDIRECT("'"&amp;$H$5&amp;"'!F550")="Vrije categorie","",INDIRECT("'"&amp;$H$5&amp;"'!F550")))</f>
        <v/>
      </c>
      <c r="L30" s="188"/>
    </row>
    <row r="31" spans="1:12" ht="15" x14ac:dyDescent="0.25">
      <c r="A31" s="316">
        <f>VLOOKUP($H$4,Verzamelblad!$A$5:$EK$19,68,0)</f>
        <v>0</v>
      </c>
      <c r="B31" s="368"/>
      <c r="C31" s="338"/>
      <c r="D31" s="369">
        <f>VLOOKUP($H$4,Verzamelblad!$A$5:$EK$19,69,0)</f>
        <v>0</v>
      </c>
      <c r="E31" s="369">
        <f>VLOOKUP($H$4,Verzamelblad!$A$5:$DE$19,70)</f>
        <v>0</v>
      </c>
      <c r="F31" s="218"/>
      <c r="G31" s="409" t="str">
        <f t="shared" si="0"/>
        <v/>
      </c>
      <c r="H31" s="369">
        <f>VLOOKUP($H$4,Verzamelblad!$A$5:$EK$19,71,0)</f>
        <v>0</v>
      </c>
      <c r="I31" s="426" t="str">
        <f t="shared" si="1"/>
        <v/>
      </c>
      <c r="K31" s="364" t="str">
        <f ca="1">IF(INDIRECT("'"&amp;$H$5&amp;"'!F551")="X","",IF(INDIRECT("'"&amp;$H$5&amp;"'!F551")="Vrije categorie","",INDIRECT("'"&amp;$H$5&amp;"'!F551")))</f>
        <v/>
      </c>
      <c r="L31" s="188"/>
    </row>
    <row r="32" spans="1:12" ht="15" x14ac:dyDescent="0.25">
      <c r="A32" s="318">
        <f>VLOOKUP($H$4,Verzamelblad!$A$5:$EK$19,72,0)</f>
        <v>0</v>
      </c>
      <c r="B32" s="325"/>
      <c r="C32" s="347"/>
      <c r="D32" s="372">
        <f>VLOOKUP($H$4,Verzamelblad!$A$5:$EK$19,73,0)</f>
        <v>0</v>
      </c>
      <c r="E32" s="372">
        <f>VLOOKUP($H$4,Verzamelblad!$A$5:$DE$19,74)</f>
        <v>0</v>
      </c>
      <c r="F32" s="219"/>
      <c r="G32" s="427" t="str">
        <f t="shared" si="0"/>
        <v/>
      </c>
      <c r="H32" s="372">
        <f>VLOOKUP($H$4,Verzamelblad!$A$5:$EK$19,75,0)</f>
        <v>0</v>
      </c>
      <c r="I32" s="428" t="str">
        <f>IFERROR(IF(IF(H32="op afroep","",SUM(G32*H32))=0,"",IF(H32="op afroep","",SUM(G32*H32))),"")</f>
        <v/>
      </c>
      <c r="K32" s="364" t="str">
        <f ca="1">IF(INDIRECT("'"&amp;$H$5&amp;"'!F552")="X","",IF(INDIRECT("'"&amp;$H$5&amp;"'!F552")="Vrije categorie","",INDIRECT("'"&amp;$H$5&amp;"'!F552")))</f>
        <v/>
      </c>
      <c r="L32" s="188"/>
    </row>
    <row r="33" spans="1:12" ht="15.75" thickBot="1" x14ac:dyDescent="0.3">
      <c r="A33" s="275" t="s">
        <v>17</v>
      </c>
      <c r="B33" s="275"/>
      <c r="C33" s="275"/>
      <c r="D33" s="275"/>
      <c r="E33" s="275"/>
      <c r="F33" s="275"/>
      <c r="G33" s="275"/>
      <c r="H33" s="275"/>
      <c r="I33" s="429" t="str">
        <f>IF(SUM(I22:I32)=0,"",SUM(I22:I32))</f>
        <v/>
      </c>
      <c r="K33" s="376" t="str">
        <f ca="1">IF(INDIRECT("'"&amp;$H$5&amp;"'!F553")="X","",IF(INDIRECT("'"&amp;$H$5&amp;"'!F553")="Vrije categorie","",INDIRECT("'"&amp;$H$5&amp;"'!F553")))</f>
        <v/>
      </c>
      <c r="L33" s="189"/>
    </row>
    <row r="34" spans="1:12" ht="15.75" thickTop="1" x14ac:dyDescent="0.25"/>
    <row r="35" spans="1:12" ht="15" x14ac:dyDescent="0.25">
      <c r="A35" s="274" t="s">
        <v>142</v>
      </c>
      <c r="E35" s="327" t="s">
        <v>206</v>
      </c>
      <c r="F35" s="327" t="s">
        <v>207</v>
      </c>
      <c r="G35" s="327" t="s">
        <v>203</v>
      </c>
      <c r="H35" s="327" t="s">
        <v>204</v>
      </c>
      <c r="I35" s="327" t="s">
        <v>205</v>
      </c>
    </row>
    <row r="36" spans="1:12" ht="15" x14ac:dyDescent="0.25">
      <c r="A36" s="314" t="str">
        <f>VLOOKUP($H$4,Verzamelblad!$A$5:$EK$19,16,0)</f>
        <v>Schrobben epoxyvloeren</v>
      </c>
      <c r="B36" s="323"/>
      <c r="C36" s="323"/>
      <c r="D36" s="331"/>
      <c r="E36" s="408">
        <f>SUM('2a'!J9:J13)</f>
        <v>117</v>
      </c>
      <c r="F36" s="217"/>
      <c r="G36" s="407" t="str">
        <f>IF(IF(E36="","",SUM(E36*F36))=0,"",IF(E36="","",SUM(E36*F36)))</f>
        <v/>
      </c>
      <c r="H36" s="365">
        <f>VLOOKUP($H$4,Verzamelblad!$A$5:$DE$19,17)</f>
        <v>2</v>
      </c>
      <c r="I36" s="425" t="str">
        <f t="shared" ref="I36:I43" si="2">IFERROR(IF(IF(H36="op afroep","",SUM(G36*H36))=0,"",IF(H36="op afroep","",SUM(G36*H36))),"")</f>
        <v/>
      </c>
    </row>
    <row r="37" spans="1:12" ht="15" x14ac:dyDescent="0.25">
      <c r="A37" s="316">
        <f>VLOOKUP($H$4,Verzamelblad!$A$5:$EK$19,18,0)</f>
        <v>0</v>
      </c>
      <c r="B37" s="368"/>
      <c r="C37" s="368"/>
      <c r="D37" s="338"/>
      <c r="E37" s="412">
        <f>VLOOKUP($H$4,Verzamelblad!$A$5:$DE$19,106)</f>
        <v>0</v>
      </c>
      <c r="F37" s="218"/>
      <c r="G37" s="409" t="str">
        <f>IF(IF(E37="","",SUM(E37*F37))=0,"",IF(E37="","",SUM(E37*F37)))</f>
        <v/>
      </c>
      <c r="H37" s="369">
        <f>VLOOKUP($H$4,Verzamelblad!$A$5:$DE$19,19)</f>
        <v>0</v>
      </c>
      <c r="I37" s="426" t="str">
        <f t="shared" si="2"/>
        <v/>
      </c>
    </row>
    <row r="38" spans="1:12" ht="15" x14ac:dyDescent="0.25">
      <c r="A38" s="316">
        <f>VLOOKUP($H$4,Verzamelblad!$A$5:$EK$19,20,0)</f>
        <v>0</v>
      </c>
      <c r="B38" s="368"/>
      <c r="C38" s="368"/>
      <c r="D38" s="338"/>
      <c r="E38" s="412">
        <f>VLOOKUP($H$4,Verzamelblad!$A$5:$DE$19,107)</f>
        <v>0</v>
      </c>
      <c r="F38" s="218"/>
      <c r="G38" s="409" t="str">
        <f t="shared" ref="G38:G43" si="3">IF(IF(E38="","",SUM(E38*F38))=0,"",IF(E38="","",SUM(E38*F38)))</f>
        <v/>
      </c>
      <c r="H38" s="369">
        <f>VLOOKUP($H$4,Verzamelblad!$A$5:$DE$19,21)</f>
        <v>0</v>
      </c>
      <c r="I38" s="426" t="str">
        <f t="shared" si="2"/>
        <v/>
      </c>
      <c r="K38" s="275"/>
    </row>
    <row r="39" spans="1:12" ht="15" x14ac:dyDescent="0.25">
      <c r="A39" s="316">
        <f>VLOOKUP($H$4,Verzamelblad!$A$5:$EK$19,22,0)</f>
        <v>0</v>
      </c>
      <c r="B39" s="368"/>
      <c r="C39" s="368"/>
      <c r="D39" s="338"/>
      <c r="E39" s="412">
        <f>VLOOKUP($H$4,Verzamelblad!$A$5:$DE$19,108)</f>
        <v>0</v>
      </c>
      <c r="F39" s="218"/>
      <c r="G39" s="409" t="str">
        <f t="shared" si="3"/>
        <v/>
      </c>
      <c r="H39" s="369">
        <f>VLOOKUP($H$4,Verzamelblad!$A$5:$DE$19,23)</f>
        <v>0</v>
      </c>
      <c r="I39" s="426" t="str">
        <f t="shared" si="2"/>
        <v/>
      </c>
    </row>
    <row r="40" spans="1:12" ht="15" x14ac:dyDescent="0.25">
      <c r="A40" s="316">
        <f>VLOOKUP($H$4,Verzamelblad!$A$5:$EK$19,24,0)</f>
        <v>0</v>
      </c>
      <c r="B40" s="368"/>
      <c r="C40" s="368"/>
      <c r="D40" s="338"/>
      <c r="E40" s="430">
        <f>VLOOKUP($H$4,Verzamelblad!$A$5:$DE$19,109)</f>
        <v>0</v>
      </c>
      <c r="F40" s="218"/>
      <c r="G40" s="409" t="str">
        <f t="shared" si="3"/>
        <v/>
      </c>
      <c r="H40" s="369">
        <f>VLOOKUP($H$4,Verzamelblad!$A$5:$DE$19,25)</f>
        <v>0</v>
      </c>
      <c r="I40" s="426" t="str">
        <f t="shared" si="2"/>
        <v/>
      </c>
    </row>
    <row r="41" spans="1:12" ht="15" x14ac:dyDescent="0.25">
      <c r="A41" s="316">
        <f>VLOOKUP($H$4,Verzamelblad!$A$5:$EK$19,26,0)</f>
        <v>0</v>
      </c>
      <c r="B41" s="368"/>
      <c r="C41" s="368"/>
      <c r="D41" s="338"/>
      <c r="E41" s="430">
        <v>0</v>
      </c>
      <c r="F41" s="218"/>
      <c r="G41" s="409" t="str">
        <f t="shared" si="3"/>
        <v/>
      </c>
      <c r="H41" s="369">
        <f>VLOOKUP($H$4,Verzamelblad!$A$5:$DE$19,27)</f>
        <v>0</v>
      </c>
      <c r="I41" s="426" t="str">
        <f t="shared" si="2"/>
        <v/>
      </c>
    </row>
    <row r="42" spans="1:12" ht="15" x14ac:dyDescent="0.25">
      <c r="A42" s="316">
        <f>VLOOKUP($H$4,Verzamelblad!$A$5:$EK$19,28,0)</f>
        <v>0</v>
      </c>
      <c r="B42" s="368"/>
      <c r="C42" s="368"/>
      <c r="D42" s="338"/>
      <c r="E42" s="430">
        <v>0</v>
      </c>
      <c r="F42" s="218"/>
      <c r="G42" s="409" t="str">
        <f t="shared" si="3"/>
        <v/>
      </c>
      <c r="H42" s="369">
        <f>VLOOKUP($H$4,Verzamelblad!$A$5:$DE$19,29)</f>
        <v>0</v>
      </c>
      <c r="I42" s="426" t="str">
        <f t="shared" si="2"/>
        <v/>
      </c>
    </row>
    <row r="43" spans="1:12" ht="15" x14ac:dyDescent="0.25">
      <c r="A43" s="318">
        <f>VLOOKUP($H$4,Verzamelblad!$A$5:$EK$19,30,0)</f>
        <v>0</v>
      </c>
      <c r="B43" s="325"/>
      <c r="C43" s="325"/>
      <c r="D43" s="347"/>
      <c r="E43" s="431">
        <v>0</v>
      </c>
      <c r="F43" s="219"/>
      <c r="G43" s="427" t="str">
        <f t="shared" si="3"/>
        <v/>
      </c>
      <c r="H43" s="372">
        <f>VLOOKUP($H$4,Verzamelblad!$A$5:$DE$19,31)</f>
        <v>0</v>
      </c>
      <c r="I43" s="428" t="str">
        <f t="shared" si="2"/>
        <v/>
      </c>
    </row>
    <row r="44" spans="1:12" ht="15.75" thickBot="1" x14ac:dyDescent="0.3">
      <c r="A44" s="379" t="s">
        <v>17</v>
      </c>
      <c r="B44" s="313"/>
      <c r="C44" s="313"/>
      <c r="D44" s="313"/>
      <c r="E44" s="313"/>
      <c r="F44" s="313"/>
      <c r="G44" s="313"/>
      <c r="H44" s="313"/>
      <c r="I44" s="432" t="str">
        <f>IF(SUM(I36:I43)=0,"",SUM(I36:I43))</f>
        <v/>
      </c>
    </row>
    <row r="45" spans="1:12" ht="15.75" thickTop="1" x14ac:dyDescent="0.25"/>
    <row r="46" spans="1:12" ht="15" x14ac:dyDescent="0.25">
      <c r="A46" s="274" t="s">
        <v>141</v>
      </c>
      <c r="E46" s="327" t="s">
        <v>206</v>
      </c>
      <c r="F46" s="327" t="s">
        <v>207</v>
      </c>
      <c r="G46" s="327" t="s">
        <v>203</v>
      </c>
      <c r="H46" s="327" t="s">
        <v>204</v>
      </c>
      <c r="I46" s="327" t="s">
        <v>205</v>
      </c>
    </row>
    <row r="47" spans="1:12" ht="15" x14ac:dyDescent="0.25">
      <c r="A47" s="314" t="str">
        <f>VLOOKUP($H$4,Verzamelblad!$A$5:$EK$19,76,0)</f>
        <v>Gevelglas buitenzijde enkelvoudig gemeten</v>
      </c>
      <c r="B47" s="329"/>
      <c r="C47" s="329"/>
      <c r="D47" s="329"/>
      <c r="E47" s="408">
        <f ca="1">VLOOKUP($H$4,Verzamelblad!$A$5:$DE$19,100)</f>
        <v>110.22499999999999</v>
      </c>
      <c r="F47" s="217"/>
      <c r="G47" s="407" t="str">
        <f ca="1">IF(IF(E47="","",SUM(E47*F47))=0,"",IF(E47="","",SUM(E47*F47)))</f>
        <v/>
      </c>
      <c r="H47" s="381">
        <f>VLOOKUP($H$4,Verzamelblad!$A$5:$EK$19,77,0)</f>
        <v>2</v>
      </c>
      <c r="I47" s="425" t="str">
        <f t="shared" ref="I47:I56" ca="1" si="4">IFERROR(IF(IF(H47="op afroep","",SUM(G47*H47))=0,"",IF(H47="op afroep","",SUM(G47*H47))),"")</f>
        <v/>
      </c>
    </row>
    <row r="48" spans="1:12" ht="15" x14ac:dyDescent="0.25">
      <c r="A48" s="316" t="str">
        <f>VLOOKUP($H$4,Verzamelblad!$A$5:$EK$19,78,0)</f>
        <v>Gevelglas binnenzijde enkelvoudig gemeten</v>
      </c>
      <c r="B48" s="336"/>
      <c r="C48" s="336"/>
      <c r="D48" s="336"/>
      <c r="E48" s="412">
        <f ca="1">VLOOKUP($H$4,Verzamelblad!$A$5:$DE$19,99)</f>
        <v>110.22499999999999</v>
      </c>
      <c r="F48" s="218"/>
      <c r="G48" s="409" t="str">
        <f ca="1">IF(IF(E48="","",SUM(E48*F48))=0,"",IF(E48="","",SUM(E48*F48)))</f>
        <v/>
      </c>
      <c r="H48" s="382">
        <f>VLOOKUP($H$4,Verzamelblad!$A$5:$EK$19,79,0)</f>
        <v>2</v>
      </c>
      <c r="I48" s="426" t="str">
        <f t="shared" ca="1" si="4"/>
        <v/>
      </c>
    </row>
    <row r="49" spans="1:12" ht="15" x14ac:dyDescent="0.25">
      <c r="A49" s="316" t="str">
        <f>VLOOKUP($H$4,Verzamelblad!$A$5:$EK$19,80,0)</f>
        <v>Separatieglas dubbelvoudig gemeten</v>
      </c>
      <c r="B49" s="336"/>
      <c r="C49" s="336"/>
      <c r="D49" s="336"/>
      <c r="E49" s="430">
        <f ca="1">VLOOKUP($H$4,Verzamelblad!$A$5:$DE$19,101)</f>
        <v>23.95</v>
      </c>
      <c r="F49" s="218"/>
      <c r="G49" s="409" t="str">
        <f t="shared" ref="G49:G56" ca="1" si="5">IF(IF(E49="","",SUM(E49*F49))=0,"",IF(E49="","",SUM(E49*F49)))</f>
        <v/>
      </c>
      <c r="H49" s="382">
        <f>VLOOKUP($H$4,Verzamelblad!$A$5:$EK$19,81,0)</f>
        <v>2</v>
      </c>
      <c r="I49" s="426" t="str">
        <f t="shared" ca="1" si="4"/>
        <v/>
      </c>
    </row>
    <row r="50" spans="1:12" ht="15" x14ac:dyDescent="0.25">
      <c r="A50" s="316" t="str">
        <f>VLOOKUP($H$4,Verzamelblad!$A$5:$EK$19,82,0)</f>
        <v>Ramen en deuren brandweer/garages</v>
      </c>
      <c r="B50" s="336"/>
      <c r="C50" s="336"/>
      <c r="D50" s="336"/>
      <c r="E50" s="430">
        <f ca="1">VLOOKUP($H$4,Verzamelblad!$A$5:$DE$19,102)</f>
        <v>231.45</v>
      </c>
      <c r="F50" s="218"/>
      <c r="G50" s="409" t="str">
        <f t="shared" ca="1" si="5"/>
        <v/>
      </c>
      <c r="H50" s="382">
        <f>VLOOKUP($H$4,Verzamelblad!$A$5:$EK$19,83,0)</f>
        <v>2</v>
      </c>
      <c r="I50" s="426" t="str">
        <f t="shared" ca="1" si="4"/>
        <v/>
      </c>
    </row>
    <row r="51" spans="1:12" ht="15" x14ac:dyDescent="0.25">
      <c r="A51" s="316">
        <f>VLOOKUP($H$4,Verzamelblad!$A$5:$EK$19,84,0)</f>
        <v>0</v>
      </c>
      <c r="B51" s="368"/>
      <c r="C51" s="368"/>
      <c r="D51" s="338"/>
      <c r="E51" s="430">
        <f ca="1">VLOOKUP($H$4,Verzamelblad!$A$5:$DE$19,103)</f>
        <v>0</v>
      </c>
      <c r="F51" s="218"/>
      <c r="G51" s="409" t="str">
        <f t="shared" ca="1" si="5"/>
        <v/>
      </c>
      <c r="H51" s="382">
        <f>VLOOKUP($H$4,Verzamelblad!$A$5:$EK$19,85,0)</f>
        <v>0</v>
      </c>
      <c r="I51" s="426" t="str">
        <f t="shared" ca="1" si="4"/>
        <v/>
      </c>
    </row>
    <row r="52" spans="1:12" ht="15" x14ac:dyDescent="0.25">
      <c r="A52" s="316">
        <f>VLOOKUP($H$4,Verzamelblad!$A$5:$EK$19,86,0)</f>
        <v>0</v>
      </c>
      <c r="B52" s="368"/>
      <c r="C52" s="368"/>
      <c r="D52" s="338"/>
      <c r="E52" s="430">
        <f ca="1">VLOOKUP($H$4,Verzamelblad!$A$5:$DE$19,104)</f>
        <v>0</v>
      </c>
      <c r="F52" s="218"/>
      <c r="G52" s="409" t="str">
        <f t="shared" ca="1" si="5"/>
        <v/>
      </c>
      <c r="H52" s="382">
        <f>VLOOKUP($H$4,Verzamelblad!$A$5:$EK$19,87,0)</f>
        <v>0</v>
      </c>
      <c r="I52" s="426" t="str">
        <f t="shared" ca="1" si="4"/>
        <v/>
      </c>
    </row>
    <row r="53" spans="1:12" ht="15" x14ac:dyDescent="0.25">
      <c r="A53" s="316">
        <f>VLOOKUP($H$4,Verzamelblad!$A$5:$EK$19,88,0)</f>
        <v>0</v>
      </c>
      <c r="B53" s="368"/>
      <c r="C53" s="368"/>
      <c r="D53" s="338"/>
      <c r="E53" s="430"/>
      <c r="F53" s="218"/>
      <c r="G53" s="409" t="str">
        <f t="shared" si="5"/>
        <v/>
      </c>
      <c r="H53" s="382">
        <f>VLOOKUP($H$4,Verzamelblad!$A$5:$EK$19,89,0)</f>
        <v>0</v>
      </c>
      <c r="I53" s="426" t="str">
        <f t="shared" si="4"/>
        <v/>
      </c>
    </row>
    <row r="54" spans="1:12" ht="15" x14ac:dyDescent="0.25">
      <c r="A54" s="316">
        <f>VLOOKUP($H$4,Verzamelblad!$A$5:$EK$19,90,0)</f>
        <v>0</v>
      </c>
      <c r="B54" s="368"/>
      <c r="C54" s="368"/>
      <c r="D54" s="338"/>
      <c r="E54" s="430">
        <v>0</v>
      </c>
      <c r="F54" s="218"/>
      <c r="G54" s="409" t="str">
        <f t="shared" si="5"/>
        <v/>
      </c>
      <c r="H54" s="382">
        <f>VLOOKUP($H$4,Verzamelblad!$A$5:$EK$19,91,0)</f>
        <v>0</v>
      </c>
      <c r="I54" s="426" t="str">
        <f t="shared" si="4"/>
        <v/>
      </c>
    </row>
    <row r="55" spans="1:12" ht="15" x14ac:dyDescent="0.25">
      <c r="A55" s="517">
        <f>VLOOKUP($H$4,Verzamelblad!$A$5:$EK$19,92,0)</f>
        <v>0</v>
      </c>
      <c r="B55" s="518"/>
      <c r="C55" s="518"/>
      <c r="D55" s="519"/>
      <c r="E55" s="430">
        <v>0</v>
      </c>
      <c r="F55" s="218"/>
      <c r="G55" s="409" t="str">
        <f t="shared" si="5"/>
        <v/>
      </c>
      <c r="H55" s="382">
        <f>VLOOKUP($H$4,Verzamelblad!$A$5:$EK$19,93,0)</f>
        <v>0</v>
      </c>
      <c r="I55" s="426" t="str">
        <f t="shared" si="4"/>
        <v/>
      </c>
    </row>
    <row r="56" spans="1:12" ht="15" x14ac:dyDescent="0.25">
      <c r="A56" s="514">
        <f>VLOOKUP($H$4,Verzamelblad!$A$5:$EK$19,94,0)</f>
        <v>0</v>
      </c>
      <c r="B56" s="515"/>
      <c r="C56" s="515"/>
      <c r="D56" s="516"/>
      <c r="E56" s="431">
        <v>0</v>
      </c>
      <c r="F56" s="219"/>
      <c r="G56" s="427" t="str">
        <f t="shared" si="5"/>
        <v/>
      </c>
      <c r="H56" s="384">
        <f>VLOOKUP($H$4,Verzamelblad!$A$5:$EK$19,95,0)</f>
        <v>0</v>
      </c>
      <c r="I56" s="428" t="str">
        <f t="shared" si="4"/>
        <v/>
      </c>
    </row>
    <row r="57" spans="1:12" ht="15.75" thickBot="1" x14ac:dyDescent="0.3">
      <c r="A57" s="313" t="s">
        <v>17</v>
      </c>
      <c r="B57" s="313"/>
      <c r="C57" s="313"/>
      <c r="D57" s="313"/>
      <c r="E57" s="313"/>
      <c r="F57" s="313"/>
      <c r="G57" s="313"/>
      <c r="H57" s="313"/>
      <c r="I57" s="432" t="str">
        <f ca="1">IF(SUM(I47:I56)=0,"",SUM(I47:I56))</f>
        <v/>
      </c>
    </row>
    <row r="58" spans="1:12" ht="15.75" thickTop="1" x14ac:dyDescent="0.25">
      <c r="E58" s="327"/>
      <c r="F58" s="327"/>
      <c r="G58" s="327"/>
      <c r="H58" s="327"/>
      <c r="I58" s="327"/>
    </row>
    <row r="59" spans="1:12" ht="15" hidden="1" x14ac:dyDescent="0.25">
      <c r="A59" s="385" t="s">
        <v>68</v>
      </c>
      <c r="B59" s="385"/>
      <c r="C59" s="385"/>
      <c r="D59" s="385"/>
      <c r="E59" s="386" t="s">
        <v>208</v>
      </c>
      <c r="F59" s="386" t="s">
        <v>209</v>
      </c>
      <c r="G59" s="386" t="s">
        <v>201</v>
      </c>
      <c r="H59" s="386" t="s">
        <v>210</v>
      </c>
      <c r="I59" s="386" t="s">
        <v>205</v>
      </c>
      <c r="K59" s="275"/>
      <c r="L59" s="275"/>
    </row>
    <row r="60" spans="1:12" ht="15" hidden="1" x14ac:dyDescent="0.25">
      <c r="A60" s="314"/>
      <c r="B60" s="323"/>
      <c r="C60" s="323"/>
      <c r="D60" s="331"/>
      <c r="E60" s="387"/>
      <c r="F60" s="387"/>
      <c r="G60" s="365"/>
      <c r="H60" s="387"/>
      <c r="I60" s="425" t="str">
        <f t="shared" ref="I60:I65" si="6">IFERROR(IF(IF(H60="op afroep","",SUM(G60*H60))=0,"",IF(H60="op afroep","",SUM(G60*H60))),"")</f>
        <v/>
      </c>
      <c r="K60" s="275" t="s">
        <v>213</v>
      </c>
      <c r="L60" s="275"/>
    </row>
    <row r="61" spans="1:12" ht="15" hidden="1" x14ac:dyDescent="0.25">
      <c r="A61" s="316"/>
      <c r="B61" s="368"/>
      <c r="C61" s="368"/>
      <c r="D61" s="338"/>
      <c r="E61" s="388"/>
      <c r="F61" s="388"/>
      <c r="G61" s="369"/>
      <c r="H61" s="388"/>
      <c r="I61" s="426" t="str">
        <f t="shared" si="6"/>
        <v/>
      </c>
      <c r="K61" s="314" t="s">
        <v>211</v>
      </c>
      <c r="L61" s="433"/>
    </row>
    <row r="62" spans="1:12" ht="15" hidden="1" x14ac:dyDescent="0.25">
      <c r="A62" s="316"/>
      <c r="B62" s="368"/>
      <c r="C62" s="368"/>
      <c r="D62" s="338"/>
      <c r="E62" s="388"/>
      <c r="F62" s="388"/>
      <c r="G62" s="369"/>
      <c r="H62" s="388"/>
      <c r="I62" s="426" t="str">
        <f t="shared" si="6"/>
        <v/>
      </c>
      <c r="K62" s="318" t="s">
        <v>212</v>
      </c>
      <c r="L62" s="434"/>
    </row>
    <row r="63" spans="1:12" ht="15" hidden="1" x14ac:dyDescent="0.25">
      <c r="A63" s="316"/>
      <c r="B63" s="368"/>
      <c r="C63" s="368"/>
      <c r="D63" s="338"/>
      <c r="E63" s="388"/>
      <c r="F63" s="388"/>
      <c r="G63" s="369"/>
      <c r="H63" s="388"/>
      <c r="I63" s="426" t="str">
        <f t="shared" si="6"/>
        <v/>
      </c>
    </row>
    <row r="64" spans="1:12" ht="15" hidden="1" x14ac:dyDescent="0.25">
      <c r="A64" s="316"/>
      <c r="B64" s="368"/>
      <c r="C64" s="368"/>
      <c r="D64" s="338"/>
      <c r="E64" s="388"/>
      <c r="F64" s="388"/>
      <c r="G64" s="369"/>
      <c r="H64" s="388"/>
      <c r="I64" s="426" t="str">
        <f t="shared" si="6"/>
        <v/>
      </c>
    </row>
    <row r="65" spans="1:12" ht="15" hidden="1" x14ac:dyDescent="0.25">
      <c r="A65" s="318"/>
      <c r="B65" s="325"/>
      <c r="C65" s="325"/>
      <c r="D65" s="347"/>
      <c r="E65" s="391"/>
      <c r="F65" s="391"/>
      <c r="G65" s="372"/>
      <c r="H65" s="391"/>
      <c r="I65" s="428" t="str">
        <f t="shared" si="6"/>
        <v/>
      </c>
    </row>
    <row r="66" spans="1:12" ht="15.75" hidden="1" thickBot="1" x14ac:dyDescent="0.3">
      <c r="A66" s="392" t="s">
        <v>17</v>
      </c>
      <c r="B66" s="392"/>
      <c r="C66" s="392"/>
      <c r="D66" s="392"/>
      <c r="E66" s="392"/>
      <c r="F66" s="392"/>
      <c r="G66" s="393"/>
      <c r="H66" s="392"/>
      <c r="I66" s="429" t="str">
        <f>IF(SUM(I60:I65)=0,"",SUM(I60:I65))</f>
        <v/>
      </c>
    </row>
    <row r="67" spans="1:12" ht="15.75" hidden="1" thickTop="1" x14ac:dyDescent="0.25">
      <c r="B67" s="392"/>
      <c r="C67" s="392"/>
      <c r="D67" s="392"/>
      <c r="E67" s="392"/>
      <c r="F67" s="392"/>
      <c r="G67" s="393"/>
      <c r="H67" s="392"/>
      <c r="I67" s="394"/>
    </row>
    <row r="68" spans="1:12" ht="15" hidden="1" x14ac:dyDescent="0.25">
      <c r="A68" s="320" t="s">
        <v>147</v>
      </c>
      <c r="B68" s="395"/>
      <c r="C68" s="395"/>
      <c r="D68" s="395"/>
      <c r="E68" s="395"/>
      <c r="F68" s="395"/>
      <c r="G68" s="395"/>
      <c r="H68" s="395"/>
      <c r="I68" s="395"/>
    </row>
    <row r="69" spans="1:12" ht="15" hidden="1" x14ac:dyDescent="0.25">
      <c r="A69" s="471"/>
      <c r="B69" s="472"/>
      <c r="C69" s="472"/>
      <c r="D69" s="472"/>
      <c r="E69" s="472"/>
      <c r="F69" s="472"/>
      <c r="G69" s="472"/>
      <c r="H69" s="472"/>
      <c r="I69" s="473"/>
    </row>
    <row r="70" spans="1:12" ht="15" hidden="1" x14ac:dyDescent="0.25">
      <c r="A70" s="491"/>
      <c r="B70" s="492"/>
      <c r="C70" s="492"/>
      <c r="D70" s="492"/>
      <c r="E70" s="492"/>
      <c r="F70" s="492"/>
      <c r="G70" s="492"/>
      <c r="H70" s="492"/>
      <c r="I70" s="493"/>
    </row>
    <row r="71" spans="1:12" ht="15" hidden="1" x14ac:dyDescent="0.25">
      <c r="A71" s="491"/>
      <c r="B71" s="492"/>
      <c r="C71" s="492"/>
      <c r="D71" s="492"/>
      <c r="E71" s="492"/>
      <c r="F71" s="492"/>
      <c r="G71" s="492"/>
      <c r="H71" s="492"/>
      <c r="I71" s="493"/>
    </row>
    <row r="72" spans="1:12" ht="15" hidden="1" x14ac:dyDescent="0.25">
      <c r="A72" s="491"/>
      <c r="B72" s="492"/>
      <c r="C72" s="492"/>
      <c r="D72" s="492"/>
      <c r="E72" s="492"/>
      <c r="F72" s="492"/>
      <c r="G72" s="492"/>
      <c r="H72" s="492"/>
      <c r="I72" s="493"/>
    </row>
    <row r="73" spans="1:12" ht="15" hidden="1" x14ac:dyDescent="0.25">
      <c r="A73" s="494"/>
      <c r="B73" s="495"/>
      <c r="C73" s="495"/>
      <c r="D73" s="495"/>
      <c r="E73" s="495"/>
      <c r="F73" s="495"/>
      <c r="G73" s="495"/>
      <c r="H73" s="495"/>
      <c r="I73" s="496"/>
    </row>
    <row r="74" spans="1:12" ht="15" hidden="1" x14ac:dyDescent="0.25">
      <c r="A74" s="396"/>
      <c r="B74" s="396"/>
      <c r="C74" s="396"/>
      <c r="D74" s="396"/>
      <c r="E74" s="396"/>
      <c r="F74" s="396"/>
      <c r="G74" s="396"/>
      <c r="H74" s="396"/>
    </row>
    <row r="75" spans="1:12" ht="15" x14ac:dyDescent="0.25"/>
    <row r="76" spans="1:12" ht="15" x14ac:dyDescent="0.25">
      <c r="A76" s="277" t="s">
        <v>21</v>
      </c>
      <c r="B76" s="278"/>
      <c r="C76" s="278"/>
      <c r="D76" s="278"/>
      <c r="E76" s="278"/>
      <c r="F76" s="278"/>
      <c r="G76" s="278"/>
      <c r="H76" s="278"/>
      <c r="I76" s="397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ht="15" x14ac:dyDescent="0.25">
      <c r="A77" s="320"/>
      <c r="B77" s="320"/>
      <c r="C77" s="320"/>
      <c r="D77" s="320"/>
      <c r="E77" s="320"/>
      <c r="F77" s="320"/>
      <c r="G77" s="320"/>
      <c r="H77" s="320"/>
      <c r="I77" s="435"/>
    </row>
    <row r="78" spans="1:12" ht="15" x14ac:dyDescent="0.25">
      <c r="A78" s="277" t="s">
        <v>144</v>
      </c>
      <c r="B78" s="278"/>
      <c r="C78" s="278"/>
      <c r="D78" s="278"/>
      <c r="E78" s="278"/>
      <c r="F78" s="278"/>
      <c r="G78" s="278"/>
      <c r="H78" s="278"/>
      <c r="I78" s="436" t="str">
        <f>IFERROR(I11/12,"")</f>
        <v/>
      </c>
    </row>
    <row r="79" spans="1:12" ht="15" x14ac:dyDescent="0.25">
      <c r="A79" s="320"/>
      <c r="B79" s="320"/>
      <c r="C79" s="320"/>
      <c r="D79" s="320"/>
      <c r="E79" s="320"/>
      <c r="F79" s="320"/>
      <c r="G79" s="320"/>
      <c r="H79" s="320"/>
      <c r="I79" s="435"/>
      <c r="J79" s="273"/>
      <c r="K79" s="273"/>
      <c r="L79" s="273"/>
    </row>
    <row r="80" spans="1:12" ht="15" x14ac:dyDescent="0.25">
      <c r="A80" s="274" t="s">
        <v>73</v>
      </c>
      <c r="E80" s="274" t="s">
        <v>216</v>
      </c>
      <c r="F80" s="327" t="s">
        <v>201</v>
      </c>
      <c r="I80" s="274" t="s">
        <v>205</v>
      </c>
    </row>
    <row r="81" spans="1:9" ht="15.75" thickBot="1" x14ac:dyDescent="0.3">
      <c r="A81" s="280" t="str">
        <f>Verzamelblad!D3</f>
        <v>VSR</v>
      </c>
      <c r="B81" s="281"/>
      <c r="C81" s="281"/>
      <c r="D81" s="281"/>
      <c r="E81" s="432">
        <f>VLOOKUP($H$4,Verzamelblad!$A$5:$EK$19,9,0)</f>
        <v>100</v>
      </c>
      <c r="F81" s="399">
        <f>VLOOKUP($H$4,Verzamelblad!$A$5:$EK$19,10,0)</f>
        <v>3</v>
      </c>
      <c r="G81" s="281"/>
      <c r="H81" s="281"/>
      <c r="I81" s="437">
        <f>IFERROR(IF(SUM(E81*F81)=0,"",SUM(E81*F81)),"")</f>
        <v>300</v>
      </c>
    </row>
    <row r="82" spans="1:9" ht="15.75" thickTop="1" x14ac:dyDescent="0.25"/>
    <row r="83" spans="1:9" ht="15" x14ac:dyDescent="0.25"/>
    <row r="84" spans="1:9" ht="15" hidden="1" x14ac:dyDescent="0.25">
      <c r="A84" s="274" t="s">
        <v>22</v>
      </c>
      <c r="D84" s="274" t="s">
        <v>70</v>
      </c>
      <c r="E84" s="274" t="s">
        <v>71</v>
      </c>
    </row>
    <row r="85" spans="1:9" ht="15" hidden="1" x14ac:dyDescent="0.25">
      <c r="A85" s="274" t="str">
        <f t="shared" ref="A85:A99" ca="1" si="7">IF(K19=0,"",K19)</f>
        <v>A</v>
      </c>
      <c r="D85" s="274">
        <f t="shared" ref="D85:D99" ca="1" si="8">IF(A85="",0,VLOOKUP(A85,INDIRECT("'"&amp;$H$5&amp;"'!C500:M515"),11,0))</f>
        <v>0</v>
      </c>
      <c r="E85" s="274" t="str">
        <f>IF(L19=0,"",IF(L19="","",SUM(D85/L19)*Uurtariefopbouw!$F$15))</f>
        <v/>
      </c>
    </row>
    <row r="86" spans="1:9" ht="15" hidden="1" x14ac:dyDescent="0.25">
      <c r="A86" s="274" t="str">
        <f t="shared" ca="1" si="7"/>
        <v>B</v>
      </c>
      <c r="D86" s="274">
        <f t="shared" ca="1" si="8"/>
        <v>22360</v>
      </c>
      <c r="E86" s="274" t="str">
        <f>IF(L20=0,"",IF(L20="","",SUM(D86/L20)*Uurtariefopbouw!$F$15))</f>
        <v/>
      </c>
    </row>
    <row r="87" spans="1:9" ht="15" hidden="1" x14ac:dyDescent="0.25">
      <c r="A87" s="274" t="str">
        <f t="shared" ca="1" si="7"/>
        <v>C</v>
      </c>
      <c r="D87" s="274">
        <f t="shared" ca="1" si="8"/>
        <v>16640</v>
      </c>
      <c r="E87" s="274" t="str">
        <f>IF(L21=0,"",IF(L21="","",SUM(D87/L21)*Uurtariefopbouw!$F$15))</f>
        <v/>
      </c>
    </row>
    <row r="88" spans="1:9" ht="15" hidden="1" x14ac:dyDescent="0.25">
      <c r="A88" s="274" t="str">
        <f t="shared" ca="1" si="7"/>
        <v>D</v>
      </c>
      <c r="D88" s="274">
        <f t="shared" ca="1" si="8"/>
        <v>2600</v>
      </c>
      <c r="E88" s="274" t="str">
        <f>IF(L22=0,"",IF(L22="","",SUM(D88/L22)*Uurtariefopbouw!$F$15))</f>
        <v/>
      </c>
    </row>
    <row r="89" spans="1:9" ht="15" hidden="1" x14ac:dyDescent="0.25">
      <c r="A89" s="274" t="str">
        <f t="shared" ca="1" si="7"/>
        <v>E</v>
      </c>
      <c r="D89" s="274">
        <f t="shared" ca="1" si="8"/>
        <v>13000</v>
      </c>
      <c r="E89" s="274" t="str">
        <f>IF(L23=0,"",IF(L23="","",SUM(D89/L23)*Uurtariefopbouw!$F$15))</f>
        <v/>
      </c>
    </row>
    <row r="90" spans="1:9" ht="15" hidden="1" x14ac:dyDescent="0.25">
      <c r="A90" s="274" t="str">
        <f t="shared" ca="1" si="7"/>
        <v>F</v>
      </c>
      <c r="D90" s="274">
        <f t="shared" ca="1" si="8"/>
        <v>0</v>
      </c>
      <c r="E90" s="274" t="str">
        <f>IF(L24=0,"",IF(L24="","",SUM(D90/L24)*Uurtariefopbouw!$F$15))</f>
        <v/>
      </c>
    </row>
    <row r="91" spans="1:9" ht="15" hidden="1" x14ac:dyDescent="0.25">
      <c r="A91" s="274" t="str">
        <f t="shared" ca="1" si="7"/>
        <v>G</v>
      </c>
      <c r="D91" s="274">
        <f t="shared" ca="1" si="8"/>
        <v>6500</v>
      </c>
      <c r="E91" s="274" t="str">
        <f>IF(L25=0,"",IF(L25="","",SUM(D91/L25)*Uurtariefopbouw!$F$15))</f>
        <v/>
      </c>
    </row>
    <row r="92" spans="1:9" ht="15" hidden="1" x14ac:dyDescent="0.25">
      <c r="A92" s="274" t="str">
        <f t="shared" ca="1" si="7"/>
        <v>H</v>
      </c>
      <c r="D92" s="274">
        <f t="shared" ca="1" si="8"/>
        <v>0</v>
      </c>
      <c r="E92" s="274" t="str">
        <f>IF(L26=0,"",IF(L26="","",SUM(D92/L26)*Uurtariefopbouw!$F$15))</f>
        <v/>
      </c>
    </row>
    <row r="93" spans="1:9" ht="15" hidden="1" x14ac:dyDescent="0.25">
      <c r="A93" s="274" t="str">
        <f t="shared" ca="1" si="7"/>
        <v>I</v>
      </c>
      <c r="D93" s="274">
        <f t="shared" ca="1" si="8"/>
        <v>0</v>
      </c>
      <c r="E93" s="274" t="str">
        <f>IF(L27=0,"",IF(L27="","",SUM(D93/L27)*Uurtariefopbouw!$F$15))</f>
        <v/>
      </c>
    </row>
    <row r="94" spans="1:9" ht="15" hidden="1" x14ac:dyDescent="0.25">
      <c r="A94" s="274" t="str">
        <f t="shared" ca="1" si="7"/>
        <v>J</v>
      </c>
      <c r="D94" s="274">
        <f t="shared" ca="1" si="8"/>
        <v>0</v>
      </c>
      <c r="E94" s="274" t="str">
        <f>IF(L28=0,"",IF(L28="","",SUM(D94/L28)*Uurtariefopbouw!$F$15))</f>
        <v/>
      </c>
    </row>
    <row r="95" spans="1:9" ht="15" hidden="1" x14ac:dyDescent="0.25">
      <c r="A95" s="274" t="str">
        <f t="shared" ca="1" si="7"/>
        <v>K</v>
      </c>
      <c r="D95" s="274">
        <f t="shared" ca="1" si="8"/>
        <v>0</v>
      </c>
      <c r="E95" s="274" t="str">
        <f>IF(L29=0,"",IF(L29="","",SUM(D95/L29)*Uurtariefopbouw!$F$15))</f>
        <v/>
      </c>
    </row>
    <row r="96" spans="1:9" ht="15" hidden="1" x14ac:dyDescent="0.25">
      <c r="A96" s="274" t="str">
        <f t="shared" ca="1" si="7"/>
        <v/>
      </c>
      <c r="D96" s="274">
        <f t="shared" ca="1" si="8"/>
        <v>0</v>
      </c>
      <c r="E96" s="274" t="str">
        <f>IF(L30=0,"",IF(L30="","",SUM(D96/L30)*Uurtariefopbouw!$F$15))</f>
        <v/>
      </c>
    </row>
    <row r="97" spans="1:5" ht="15" hidden="1" x14ac:dyDescent="0.25">
      <c r="A97" s="274" t="str">
        <f t="shared" ca="1" si="7"/>
        <v/>
      </c>
      <c r="D97" s="274">
        <f t="shared" ca="1" si="8"/>
        <v>0</v>
      </c>
      <c r="E97" s="274" t="str">
        <f>IF(L31=0,"",IF(L31="","",SUM(D97/L31)*Uurtariefopbouw!$F$15))</f>
        <v/>
      </c>
    </row>
    <row r="98" spans="1:5" ht="15" hidden="1" x14ac:dyDescent="0.25">
      <c r="A98" s="274" t="str">
        <f t="shared" ca="1" si="7"/>
        <v/>
      </c>
      <c r="D98" s="274">
        <f t="shared" ca="1" si="8"/>
        <v>0</v>
      </c>
      <c r="E98" s="274" t="str">
        <f>IF(L32=0,"",IF(L32="","",SUM(D98/L32)*Uurtariefopbouw!$F$15))</f>
        <v/>
      </c>
    </row>
    <row r="99" spans="1:5" ht="15" hidden="1" x14ac:dyDescent="0.25">
      <c r="A99" s="274" t="str">
        <f t="shared" ca="1" si="7"/>
        <v/>
      </c>
      <c r="D99" s="274">
        <f t="shared" ca="1" si="8"/>
        <v>0</v>
      </c>
      <c r="E99" s="274" t="str">
        <f>IF(L33=0,"",IF(L33="","",SUM(D99/L33)*Uurtariefopbouw!$F$15))</f>
        <v/>
      </c>
    </row>
    <row r="100" spans="1:5" ht="15.75" hidden="1" thickBot="1" x14ac:dyDescent="0.3">
      <c r="A100" s="401" t="s">
        <v>72</v>
      </c>
      <c r="B100" s="401"/>
      <c r="C100" s="401"/>
      <c r="D100" s="401">
        <f ca="1">SUM(D85:D99)</f>
        <v>61100</v>
      </c>
      <c r="E100" s="401">
        <f>SUM(E85:E99)</f>
        <v>0</v>
      </c>
    </row>
    <row r="101" spans="1:5" ht="15.75" hidden="1" thickTop="1" x14ac:dyDescent="0.25"/>
    <row r="102" spans="1:5" ht="15" hidden="1" x14ac:dyDescent="0.25"/>
    <row r="103" spans="1:5" ht="15" hidden="1" x14ac:dyDescent="0.25"/>
    <row r="104" spans="1:5" ht="15" hidden="1" x14ac:dyDescent="0.25"/>
    <row r="105" spans="1:5" ht="15" hidden="1" x14ac:dyDescent="0.25"/>
    <row r="106" spans="1:5" ht="15" hidden="1" x14ac:dyDescent="0.25"/>
    <row r="107" spans="1:5" ht="15" hidden="1" x14ac:dyDescent="0.25"/>
    <row r="108" spans="1:5" ht="15" hidden="1" x14ac:dyDescent="0.25"/>
    <row r="109" spans="1:5" ht="15" hidden="1" x14ac:dyDescent="0.25"/>
    <row r="110" spans="1:5" ht="15" hidden="1" x14ac:dyDescent="0.25"/>
    <row r="111" spans="1:5" ht="15" hidden="1" x14ac:dyDescent="0.25"/>
    <row r="112" spans="1:5" ht="15" hidden="1" x14ac:dyDescent="0.25"/>
    <row r="113" s="274" customFormat="1" ht="15" hidden="1" x14ac:dyDescent="0.25"/>
    <row r="114" s="274" customFormat="1" ht="15" hidden="1" x14ac:dyDescent="0.25"/>
    <row r="115" s="274" customFormat="1" ht="15" hidden="1" x14ac:dyDescent="0.25"/>
    <row r="116" s="274" customFormat="1" ht="15" hidden="1" x14ac:dyDescent="0.25"/>
    <row r="117" s="274" customFormat="1" ht="15" hidden="1" x14ac:dyDescent="0.25"/>
    <row r="118" s="274" customFormat="1" ht="15" hidden="1" x14ac:dyDescent="0.25"/>
    <row r="119" s="274" customFormat="1" ht="15" hidden="1" x14ac:dyDescent="0.25"/>
    <row r="120" s="274" customFormat="1" ht="15" hidden="1" x14ac:dyDescent="0.25"/>
    <row r="121" s="274" customFormat="1" ht="15" hidden="1" x14ac:dyDescent="0.25"/>
  </sheetData>
  <mergeCells count="17">
    <mergeCell ref="K17:K18"/>
    <mergeCell ref="L17:L18"/>
    <mergeCell ref="E19:F19"/>
    <mergeCell ref="A71:I71"/>
    <mergeCell ref="A72:I72"/>
    <mergeCell ref="A73:I73"/>
    <mergeCell ref="F6:G6"/>
    <mergeCell ref="A70:I70"/>
    <mergeCell ref="A69:I69"/>
    <mergeCell ref="A56:D56"/>
    <mergeCell ref="A55:D55"/>
    <mergeCell ref="A19:C19"/>
    <mergeCell ref="F4:G4"/>
    <mergeCell ref="F5:G5"/>
    <mergeCell ref="B6:E6"/>
    <mergeCell ref="B5:E5"/>
    <mergeCell ref="B4:E4"/>
  </mergeCells>
  <conditionalFormatting sqref="G12">
    <cfRule type="containsText" dxfId="15" priority="4" operator="containsText" text="te laag">
      <formula>NOT(ISERROR(SEARCH("te laag",G12)))</formula>
    </cfRule>
  </conditionalFormatting>
  <conditionalFormatting sqref="G13">
    <cfRule type="containsText" dxfId="14" priority="3" operator="containsText" text="te laag">
      <formula>NOT(ISERROR(SEARCH("te laag",G13)))</formula>
    </cfRule>
  </conditionalFormatting>
  <conditionalFormatting sqref="K14">
    <cfRule type="cellIs" dxfId="13" priority="1" operator="equal">
      <formula>"Geen 100%"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ignoredErrors>
    <ignoredError sqref="E36" formulaRange="1"/>
  </ignoredError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" operator="containsText" id="{B90FEC93-789C-49FB-9A07-63DEE6AB1728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7">
    <tabColor rgb="FF173583"/>
  </sheetPr>
  <dimension ref="A1:M553"/>
  <sheetViews>
    <sheetView topLeftCell="A505" zoomScaleNormal="100" workbookViewId="0">
      <selection activeCell="P14" sqref="P14"/>
    </sheetView>
  </sheetViews>
  <sheetFormatPr defaultRowHeight="15" x14ac:dyDescent="0.25"/>
  <cols>
    <col min="1" max="1" width="6" style="132" customWidth="1"/>
    <col min="2" max="2" width="6.140625" style="132" customWidth="1"/>
    <col min="3" max="3" width="28" style="135" bestFit="1" customWidth="1"/>
    <col min="4" max="4" width="3" style="135" customWidth="1"/>
    <col min="5" max="5" width="3.7109375" style="135" customWidth="1"/>
    <col min="6" max="6" width="9.42578125" style="114" customWidth="1"/>
    <col min="7" max="7" width="10.5703125" style="114" customWidth="1"/>
    <col min="8" max="10" width="8.7109375" style="114" customWidth="1"/>
    <col min="11" max="11" width="10.7109375" style="137" customWidth="1"/>
    <col min="12" max="12" width="5.7109375" style="132" customWidth="1"/>
    <col min="13" max="13" width="10.7109375" style="114" customWidth="1"/>
    <col min="14" max="16384" width="9.140625" style="114"/>
  </cols>
  <sheetData>
    <row r="1" spans="1:13" x14ac:dyDescent="0.25">
      <c r="A1" s="125">
        <f>'2'!H4</f>
        <v>2</v>
      </c>
      <c r="B1" s="126" t="s">
        <v>7</v>
      </c>
      <c r="C1" s="127"/>
      <c r="D1" s="128" t="str">
        <f>IF(VLOOKUP(A1,Verzamelblad!A5:E19,3)=0,"",VLOOKUP(A1,Verzamelblad!A5:E19,3))</f>
        <v>Gemeentewerf Buitenpost</v>
      </c>
      <c r="E1" s="129"/>
      <c r="F1" s="130"/>
      <c r="G1" s="130"/>
      <c r="H1" s="130"/>
      <c r="I1" s="130"/>
      <c r="J1" s="130"/>
      <c r="K1" s="131"/>
    </row>
    <row r="2" spans="1:13" x14ac:dyDescent="0.25">
      <c r="B2" s="126" t="s">
        <v>23</v>
      </c>
      <c r="C2" s="133"/>
      <c r="D2" s="128" t="str">
        <f>IF(CONCATENATE(VLOOKUP(A1,Verzamelblad!A5:E19,4)," te ",VLOOKUP(A1,Verzamelblad!A5:E19,5))=" te ","",CONCATENATE(VLOOKUP(A1,Verzamelblad!A5:E19,4)," te ",VLOOKUP(A1,Verzamelblad!A5:E19,5)))</f>
        <v>Vaart 4 te Buitenpost</v>
      </c>
      <c r="E2" s="129"/>
      <c r="F2" s="130"/>
      <c r="G2" s="130"/>
      <c r="H2" s="130"/>
      <c r="I2" s="130"/>
      <c r="J2" s="130"/>
      <c r="K2" s="131"/>
    </row>
    <row r="3" spans="1:13" ht="30" x14ac:dyDescent="0.25">
      <c r="A3" s="134" t="s">
        <v>146</v>
      </c>
      <c r="B3" s="134" t="s">
        <v>24</v>
      </c>
      <c r="C3" s="135" t="s">
        <v>25</v>
      </c>
      <c r="D3" s="135" t="s">
        <v>26</v>
      </c>
      <c r="E3" s="135" t="s">
        <v>27</v>
      </c>
      <c r="F3" s="8" t="s">
        <v>28</v>
      </c>
      <c r="G3" s="8" t="s">
        <v>29</v>
      </c>
      <c r="H3" s="8" t="s">
        <v>30</v>
      </c>
      <c r="I3" s="8" t="s">
        <v>31</v>
      </c>
      <c r="J3" s="186" t="s">
        <v>257</v>
      </c>
      <c r="K3" s="136" t="s">
        <v>5</v>
      </c>
      <c r="L3" s="134" t="s">
        <v>32</v>
      </c>
      <c r="M3" s="135" t="s">
        <v>33</v>
      </c>
    </row>
    <row r="4" spans="1:13" x14ac:dyDescent="0.25">
      <c r="C4" s="3" t="s">
        <v>268</v>
      </c>
      <c r="D4" s="3"/>
      <c r="E4" s="3" t="s">
        <v>291</v>
      </c>
      <c r="F4" s="7">
        <v>3</v>
      </c>
      <c r="G4" s="7"/>
      <c r="H4" s="7"/>
      <c r="I4" s="7"/>
      <c r="J4" s="7">
        <v>29</v>
      </c>
      <c r="K4" s="7">
        <f>SUM(F4:J4)</f>
        <v>32</v>
      </c>
      <c r="L4" s="5">
        <f>IF(E4="",0,IF(E4="X",0,VLOOKUP(E4,$F$539:$G$553,2)))</f>
        <v>260</v>
      </c>
      <c r="M4">
        <f>SUM(K4*L4)</f>
        <v>8320</v>
      </c>
    </row>
    <row r="5" spans="1:13" x14ac:dyDescent="0.25">
      <c r="C5" s="3" t="s">
        <v>270</v>
      </c>
      <c r="D5" s="3"/>
      <c r="E5" s="3" t="s">
        <v>269</v>
      </c>
      <c r="F5" s="7">
        <v>25</v>
      </c>
      <c r="G5" s="7"/>
      <c r="H5" s="7"/>
      <c r="I5" s="7"/>
      <c r="J5" s="7"/>
      <c r="K5" s="7">
        <f t="shared" ref="K5:K26" si="0">SUM(F5:J5)</f>
        <v>25</v>
      </c>
      <c r="L5" s="5">
        <f>IF(E5="",0,IF(E5="X",0,VLOOKUP(E5,$F$539:$G$553,2)))</f>
        <v>260</v>
      </c>
      <c r="M5">
        <f t="shared" ref="M5:M25" si="1">SUM(K5*L5)</f>
        <v>6500</v>
      </c>
    </row>
    <row r="6" spans="1:13" x14ac:dyDescent="0.25">
      <c r="C6" s="3" t="s">
        <v>271</v>
      </c>
      <c r="D6" s="3"/>
      <c r="E6" s="3" t="s">
        <v>297</v>
      </c>
      <c r="F6" s="7">
        <v>11</v>
      </c>
      <c r="G6" s="7"/>
      <c r="H6" s="7"/>
      <c r="I6" s="7"/>
      <c r="J6" s="7"/>
      <c r="K6" s="7">
        <f t="shared" si="0"/>
        <v>11</v>
      </c>
      <c r="L6" s="5">
        <f t="shared" ref="L6:L25" si="2">IF(E6="",0,IF(E6="X",0,VLOOKUP(E6,$F$539:$G$553,2)))</f>
        <v>0</v>
      </c>
      <c r="M6">
        <f t="shared" si="1"/>
        <v>0</v>
      </c>
    </row>
    <row r="7" spans="1:13" x14ac:dyDescent="0.25">
      <c r="C7" s="3" t="s">
        <v>273</v>
      </c>
      <c r="D7" s="3"/>
      <c r="E7" s="3" t="s">
        <v>297</v>
      </c>
      <c r="F7" s="7"/>
      <c r="G7" s="7"/>
      <c r="H7" s="7"/>
      <c r="I7" s="7"/>
      <c r="J7" s="7">
        <v>2</v>
      </c>
      <c r="K7" s="7">
        <f t="shared" si="0"/>
        <v>2</v>
      </c>
      <c r="L7" s="5">
        <f t="shared" si="2"/>
        <v>0</v>
      </c>
      <c r="M7">
        <f t="shared" si="1"/>
        <v>0</v>
      </c>
    </row>
    <row r="8" spans="1:13" x14ac:dyDescent="0.25">
      <c r="C8" s="3" t="s">
        <v>273</v>
      </c>
      <c r="D8" s="3"/>
      <c r="E8" s="3" t="s">
        <v>297</v>
      </c>
      <c r="F8" s="7"/>
      <c r="G8" s="7"/>
      <c r="H8" s="7"/>
      <c r="I8" s="7"/>
      <c r="J8" s="7">
        <v>2</v>
      </c>
      <c r="K8" s="7">
        <f t="shared" si="0"/>
        <v>2</v>
      </c>
      <c r="L8" s="5">
        <f t="shared" si="2"/>
        <v>0</v>
      </c>
      <c r="M8">
        <f t="shared" si="1"/>
        <v>0</v>
      </c>
    </row>
    <row r="9" spans="1:13" x14ac:dyDescent="0.25">
      <c r="C9" s="3" t="s">
        <v>274</v>
      </c>
      <c r="D9" s="3"/>
      <c r="E9" s="3" t="s">
        <v>290</v>
      </c>
      <c r="F9" s="7"/>
      <c r="G9" s="7"/>
      <c r="H9" s="7"/>
      <c r="I9" s="7"/>
      <c r="J9" s="233">
        <v>10</v>
      </c>
      <c r="K9" s="7">
        <f>SUM(F9:J9)</f>
        <v>10</v>
      </c>
      <c r="L9" s="5">
        <f t="shared" si="2"/>
        <v>260</v>
      </c>
      <c r="M9">
        <f>SUM(K9*L9)</f>
        <v>2600</v>
      </c>
    </row>
    <row r="10" spans="1:13" x14ac:dyDescent="0.25">
      <c r="C10" s="3" t="s">
        <v>275</v>
      </c>
      <c r="D10" s="3"/>
      <c r="E10" s="3" t="s">
        <v>250</v>
      </c>
      <c r="F10" s="7"/>
      <c r="G10" s="7"/>
      <c r="H10" s="7"/>
      <c r="I10" s="7"/>
      <c r="J10" s="234">
        <v>64</v>
      </c>
      <c r="K10" s="7">
        <f>SUM(F10:J10)</f>
        <v>64</v>
      </c>
      <c r="L10" s="5">
        <f t="shared" si="2"/>
        <v>260</v>
      </c>
      <c r="M10">
        <f>SUM(K10*L10)</f>
        <v>16640</v>
      </c>
    </row>
    <row r="11" spans="1:13" x14ac:dyDescent="0.25">
      <c r="C11" s="3" t="s">
        <v>276</v>
      </c>
      <c r="D11" s="3"/>
      <c r="E11" s="3" t="s">
        <v>291</v>
      </c>
      <c r="F11" s="7"/>
      <c r="G11" s="7"/>
      <c r="H11" s="7"/>
      <c r="I11" s="7"/>
      <c r="J11" s="234">
        <v>18</v>
      </c>
      <c r="K11" s="7">
        <f t="shared" ref="K11:K17" si="3">SUM(F11:J11)</f>
        <v>18</v>
      </c>
      <c r="L11" s="5">
        <f t="shared" si="2"/>
        <v>260</v>
      </c>
      <c r="M11">
        <f t="shared" ref="M11:M17" si="4">SUM(K11*L11)</f>
        <v>4680</v>
      </c>
    </row>
    <row r="12" spans="1:13" x14ac:dyDescent="0.25">
      <c r="C12" s="3" t="s">
        <v>277</v>
      </c>
      <c r="D12" s="3"/>
      <c r="E12" s="3" t="s">
        <v>293</v>
      </c>
      <c r="F12" s="7"/>
      <c r="G12" s="7"/>
      <c r="H12" s="7"/>
      <c r="I12" s="7"/>
      <c r="J12" s="234">
        <v>17</v>
      </c>
      <c r="K12" s="7">
        <f t="shared" si="3"/>
        <v>17</v>
      </c>
      <c r="L12" s="5">
        <f t="shared" si="2"/>
        <v>260</v>
      </c>
      <c r="M12">
        <f t="shared" si="4"/>
        <v>4420</v>
      </c>
    </row>
    <row r="13" spans="1:13" x14ac:dyDescent="0.25">
      <c r="C13" s="3" t="s">
        <v>278</v>
      </c>
      <c r="D13" s="3"/>
      <c r="E13" s="3" t="s">
        <v>293</v>
      </c>
      <c r="F13" s="7"/>
      <c r="G13" s="7"/>
      <c r="H13" s="7"/>
      <c r="I13" s="7"/>
      <c r="J13" s="235">
        <v>8</v>
      </c>
      <c r="K13" s="7">
        <f t="shared" si="3"/>
        <v>8</v>
      </c>
      <c r="L13" s="5">
        <f t="shared" si="2"/>
        <v>260</v>
      </c>
      <c r="M13">
        <f t="shared" si="4"/>
        <v>2080</v>
      </c>
    </row>
    <row r="14" spans="1:13" x14ac:dyDescent="0.25">
      <c r="C14" s="3" t="s">
        <v>279</v>
      </c>
      <c r="D14" s="3"/>
      <c r="E14" s="3" t="s">
        <v>269</v>
      </c>
      <c r="F14" s="7"/>
      <c r="G14" s="7">
        <v>13</v>
      </c>
      <c r="H14" s="7"/>
      <c r="I14" s="7"/>
      <c r="J14" s="7"/>
      <c r="K14" s="7">
        <f t="shared" si="3"/>
        <v>13</v>
      </c>
      <c r="L14" s="5">
        <f t="shared" si="2"/>
        <v>260</v>
      </c>
      <c r="M14">
        <f t="shared" si="4"/>
        <v>3380</v>
      </c>
    </row>
    <row r="15" spans="1:13" x14ac:dyDescent="0.25">
      <c r="C15" s="3" t="s">
        <v>280</v>
      </c>
      <c r="D15" s="3"/>
      <c r="E15" s="3" t="s">
        <v>269</v>
      </c>
      <c r="F15" s="7">
        <v>24</v>
      </c>
      <c r="G15" s="7"/>
      <c r="H15" s="7"/>
      <c r="I15" s="7"/>
      <c r="J15" s="7"/>
      <c r="K15" s="7">
        <f t="shared" si="3"/>
        <v>24</v>
      </c>
      <c r="L15" s="5">
        <f t="shared" si="2"/>
        <v>260</v>
      </c>
      <c r="M15">
        <f t="shared" si="4"/>
        <v>6240</v>
      </c>
    </row>
    <row r="16" spans="1:13" x14ac:dyDescent="0.25">
      <c r="C16" s="3" t="s">
        <v>281</v>
      </c>
      <c r="D16" s="3"/>
      <c r="E16" s="3" t="s">
        <v>269</v>
      </c>
      <c r="F16" s="7">
        <v>24</v>
      </c>
      <c r="G16" s="7"/>
      <c r="H16" s="7"/>
      <c r="I16" s="7"/>
      <c r="J16" s="7"/>
      <c r="K16" s="7">
        <f t="shared" si="3"/>
        <v>24</v>
      </c>
      <c r="L16" s="5">
        <f t="shared" si="2"/>
        <v>260</v>
      </c>
      <c r="M16">
        <f t="shared" si="4"/>
        <v>6240</v>
      </c>
    </row>
    <row r="17" spans="1:13" x14ac:dyDescent="0.25">
      <c r="C17" s="3" t="s">
        <v>282</v>
      </c>
      <c r="D17" s="3"/>
      <c r="E17" s="3" t="s">
        <v>297</v>
      </c>
      <c r="F17" s="7"/>
      <c r="G17" s="7"/>
      <c r="H17" s="7"/>
      <c r="I17" s="7"/>
      <c r="J17" s="7">
        <v>125</v>
      </c>
      <c r="K17" s="7">
        <f t="shared" si="3"/>
        <v>125</v>
      </c>
      <c r="L17" s="5">
        <f t="shared" si="2"/>
        <v>0</v>
      </c>
      <c r="M17">
        <f t="shared" si="4"/>
        <v>0</v>
      </c>
    </row>
    <row r="18" spans="1:13" x14ac:dyDescent="0.25">
      <c r="C18" s="3" t="s">
        <v>271</v>
      </c>
      <c r="D18" s="3"/>
      <c r="E18" s="3" t="s">
        <v>297</v>
      </c>
      <c r="F18" s="7"/>
      <c r="G18" s="7"/>
      <c r="H18" s="7"/>
      <c r="I18" s="7"/>
      <c r="J18" s="7">
        <v>20</v>
      </c>
      <c r="K18" s="7">
        <f t="shared" si="0"/>
        <v>20</v>
      </c>
      <c r="L18" s="5">
        <f t="shared" si="2"/>
        <v>0</v>
      </c>
      <c r="M18">
        <f t="shared" si="1"/>
        <v>0</v>
      </c>
    </row>
    <row r="19" spans="1:13" x14ac:dyDescent="0.25">
      <c r="C19" s="3" t="s">
        <v>283</v>
      </c>
      <c r="D19" s="3"/>
      <c r="E19" s="3" t="s">
        <v>297</v>
      </c>
      <c r="F19" s="7"/>
      <c r="G19" s="7"/>
      <c r="H19" s="7"/>
      <c r="I19" s="7"/>
      <c r="J19" s="7">
        <v>6</v>
      </c>
      <c r="K19" s="7">
        <f t="shared" si="0"/>
        <v>6</v>
      </c>
      <c r="L19" s="5">
        <f t="shared" si="2"/>
        <v>0</v>
      </c>
      <c r="M19">
        <f t="shared" si="1"/>
        <v>0</v>
      </c>
    </row>
    <row r="20" spans="1:13" x14ac:dyDescent="0.25">
      <c r="C20" s="3" t="s">
        <v>284</v>
      </c>
      <c r="D20" s="3"/>
      <c r="E20" s="3" t="s">
        <v>297</v>
      </c>
      <c r="F20" s="7"/>
      <c r="G20" s="7"/>
      <c r="H20" s="7"/>
      <c r="I20" s="7"/>
      <c r="J20" s="7">
        <v>9</v>
      </c>
      <c r="K20" s="7">
        <f t="shared" si="0"/>
        <v>9</v>
      </c>
      <c r="L20" s="5">
        <f t="shared" si="2"/>
        <v>0</v>
      </c>
      <c r="M20">
        <f t="shared" si="1"/>
        <v>0</v>
      </c>
    </row>
    <row r="21" spans="1:13" x14ac:dyDescent="0.25">
      <c r="C21" s="3" t="s">
        <v>285</v>
      </c>
      <c r="D21" s="3"/>
      <c r="E21" s="3" t="s">
        <v>297</v>
      </c>
      <c r="F21" s="7"/>
      <c r="G21" s="7"/>
      <c r="H21" s="7"/>
      <c r="I21" s="7"/>
      <c r="J21" s="7">
        <v>86</v>
      </c>
      <c r="K21" s="7">
        <f t="shared" si="0"/>
        <v>86</v>
      </c>
      <c r="L21" s="5">
        <f t="shared" si="2"/>
        <v>0</v>
      </c>
      <c r="M21">
        <f t="shared" si="1"/>
        <v>0</v>
      </c>
    </row>
    <row r="22" spans="1:13" x14ac:dyDescent="0.25">
      <c r="C22" s="3" t="s">
        <v>271</v>
      </c>
      <c r="D22" s="3"/>
      <c r="E22" s="3" t="s">
        <v>297</v>
      </c>
      <c r="F22" s="7"/>
      <c r="G22" s="7"/>
      <c r="H22" s="7"/>
      <c r="I22" s="7"/>
      <c r="J22" s="7">
        <v>5</v>
      </c>
      <c r="K22" s="7">
        <f t="shared" si="0"/>
        <v>5</v>
      </c>
      <c r="L22" s="5">
        <f t="shared" si="2"/>
        <v>0</v>
      </c>
      <c r="M22">
        <f t="shared" si="1"/>
        <v>0</v>
      </c>
    </row>
    <row r="23" spans="1:13" x14ac:dyDescent="0.25">
      <c r="C23" s="3" t="s">
        <v>286</v>
      </c>
      <c r="D23" s="3"/>
      <c r="E23" s="3" t="s">
        <v>297</v>
      </c>
      <c r="F23" s="7"/>
      <c r="G23" s="7"/>
      <c r="H23" s="7"/>
      <c r="I23" s="7"/>
      <c r="J23" s="7">
        <v>9</v>
      </c>
      <c r="K23" s="7">
        <f t="shared" si="0"/>
        <v>9</v>
      </c>
      <c r="L23" s="5">
        <f t="shared" si="2"/>
        <v>0</v>
      </c>
      <c r="M23">
        <f t="shared" si="1"/>
        <v>0</v>
      </c>
    </row>
    <row r="24" spans="1:13" x14ac:dyDescent="0.25">
      <c r="C24" s="3" t="s">
        <v>287</v>
      </c>
      <c r="D24" s="3"/>
      <c r="E24" s="3" t="s">
        <v>297</v>
      </c>
      <c r="F24" s="7"/>
      <c r="G24" s="7"/>
      <c r="H24" s="7"/>
      <c r="I24" s="7"/>
      <c r="J24" s="7">
        <v>12</v>
      </c>
      <c r="K24" s="7">
        <f t="shared" si="0"/>
        <v>12</v>
      </c>
      <c r="L24" s="5">
        <f t="shared" si="2"/>
        <v>0</v>
      </c>
      <c r="M24">
        <f t="shared" si="1"/>
        <v>0</v>
      </c>
    </row>
    <row r="25" spans="1:13" x14ac:dyDescent="0.25">
      <c r="C25" s="3" t="s">
        <v>288</v>
      </c>
      <c r="D25" s="3"/>
      <c r="E25" s="3" t="s">
        <v>297</v>
      </c>
      <c r="F25" s="7"/>
      <c r="G25" s="7"/>
      <c r="H25" s="7"/>
      <c r="I25" s="7"/>
      <c r="J25" s="7">
        <v>130</v>
      </c>
      <c r="K25" s="7">
        <f t="shared" si="0"/>
        <v>130</v>
      </c>
      <c r="L25" s="5">
        <f t="shared" si="2"/>
        <v>0</v>
      </c>
      <c r="M25">
        <f t="shared" si="1"/>
        <v>0</v>
      </c>
    </row>
    <row r="26" spans="1:13" ht="15.75" thickBot="1" x14ac:dyDescent="0.3">
      <c r="C26" s="223" t="s">
        <v>72</v>
      </c>
      <c r="D26" s="223"/>
      <c r="E26" s="223"/>
      <c r="F26" s="225">
        <f>SUM(F4:F25)</f>
        <v>87</v>
      </c>
      <c r="G26" s="225">
        <f>SUM(G4:G25)</f>
        <v>13</v>
      </c>
      <c r="H26" s="225">
        <f>SUM(H4:H25)</f>
        <v>0</v>
      </c>
      <c r="I26" s="225">
        <f>SUM(I4:I25)</f>
        <v>0</v>
      </c>
      <c r="J26" s="225">
        <f>SUM(J4:J25)</f>
        <v>552</v>
      </c>
      <c r="K26" s="225">
        <f t="shared" si="0"/>
        <v>652</v>
      </c>
      <c r="L26" s="5"/>
      <c r="M26"/>
    </row>
    <row r="27" spans="1:13" ht="15.75" thickTop="1" x14ac:dyDescent="0.25"/>
    <row r="28" spans="1:13" hidden="1" x14ac:dyDescent="0.25">
      <c r="K28" s="137">
        <f t="shared" ref="K28:K67" si="5">SUM(F28:J28)</f>
        <v>0</v>
      </c>
      <c r="L28" s="132">
        <f>IF(D28="X",0,IF(E28="",0,IF(E28="X",0,VLOOKUP(E28,$F$539:$G$553,2))))</f>
        <v>0</v>
      </c>
      <c r="M28" s="114">
        <f t="shared" ref="M28:M67" si="6">SUM(K28*L28)</f>
        <v>0</v>
      </c>
    </row>
    <row r="29" spans="1:13" s="117" customFormat="1" hidden="1" x14ac:dyDescent="0.25">
      <c r="A29" s="139"/>
      <c r="B29" s="132"/>
      <c r="C29" s="135"/>
      <c r="D29" s="135"/>
      <c r="E29" s="135"/>
      <c r="F29" s="114"/>
      <c r="G29" s="114"/>
      <c r="H29" s="114"/>
      <c r="I29" s="114"/>
      <c r="J29" s="114"/>
      <c r="K29" s="137">
        <f t="shared" si="5"/>
        <v>0</v>
      </c>
      <c r="L29" s="132">
        <f>IF(D29="X",0,IF(E29="",0,IF(E29="X",0,VLOOKUP(E29,$F$539:$G$553,2))))</f>
        <v>0</v>
      </c>
      <c r="M29" s="114">
        <f t="shared" si="6"/>
        <v>0</v>
      </c>
    </row>
    <row r="30" spans="1:13" hidden="1" x14ac:dyDescent="0.25">
      <c r="K30" s="137">
        <f t="shared" si="5"/>
        <v>0</v>
      </c>
      <c r="L30" s="132">
        <f t="shared" ref="L30:L93" si="7">IF(D30="X",0,IF(E30="",0,IF(E30="X",0,VLOOKUP(E30,$F$539:$G$553,2))))</f>
        <v>0</v>
      </c>
      <c r="M30" s="114">
        <f t="shared" si="6"/>
        <v>0</v>
      </c>
    </row>
    <row r="31" spans="1:13" hidden="1" x14ac:dyDescent="0.25">
      <c r="K31" s="137">
        <f t="shared" si="5"/>
        <v>0</v>
      </c>
      <c r="L31" s="132">
        <f t="shared" si="7"/>
        <v>0</v>
      </c>
      <c r="M31" s="114">
        <f t="shared" si="6"/>
        <v>0</v>
      </c>
    </row>
    <row r="32" spans="1:13" hidden="1" x14ac:dyDescent="0.25">
      <c r="K32" s="137">
        <f t="shared" si="5"/>
        <v>0</v>
      </c>
      <c r="L32" s="132">
        <f t="shared" si="7"/>
        <v>0</v>
      </c>
      <c r="M32" s="114">
        <f t="shared" si="6"/>
        <v>0</v>
      </c>
    </row>
    <row r="33" spans="1:13" hidden="1" x14ac:dyDescent="0.25">
      <c r="K33" s="137">
        <f t="shared" si="5"/>
        <v>0</v>
      </c>
      <c r="L33" s="132">
        <f t="shared" si="7"/>
        <v>0</v>
      </c>
      <c r="M33" s="114">
        <f t="shared" si="6"/>
        <v>0</v>
      </c>
    </row>
    <row r="34" spans="1:13" hidden="1" x14ac:dyDescent="0.25">
      <c r="K34" s="137">
        <f t="shared" si="5"/>
        <v>0</v>
      </c>
      <c r="L34" s="132">
        <f t="shared" si="7"/>
        <v>0</v>
      </c>
      <c r="M34" s="114">
        <f t="shared" si="6"/>
        <v>0</v>
      </c>
    </row>
    <row r="35" spans="1:13" hidden="1" x14ac:dyDescent="0.25">
      <c r="K35" s="137">
        <f t="shared" si="5"/>
        <v>0</v>
      </c>
      <c r="L35" s="132">
        <f t="shared" si="7"/>
        <v>0</v>
      </c>
      <c r="M35" s="114">
        <f t="shared" si="6"/>
        <v>0</v>
      </c>
    </row>
    <row r="36" spans="1:13" hidden="1" x14ac:dyDescent="0.25">
      <c r="K36" s="137">
        <f t="shared" si="5"/>
        <v>0</v>
      </c>
      <c r="L36" s="132">
        <f t="shared" si="7"/>
        <v>0</v>
      </c>
      <c r="M36" s="114">
        <f t="shared" si="6"/>
        <v>0</v>
      </c>
    </row>
    <row r="37" spans="1:13" hidden="1" x14ac:dyDescent="0.25">
      <c r="K37" s="137">
        <f t="shared" si="5"/>
        <v>0</v>
      </c>
      <c r="L37" s="132">
        <f t="shared" si="7"/>
        <v>0</v>
      </c>
      <c r="M37" s="114">
        <f t="shared" si="6"/>
        <v>0</v>
      </c>
    </row>
    <row r="38" spans="1:13" hidden="1" x14ac:dyDescent="0.25">
      <c r="K38" s="137">
        <f t="shared" si="5"/>
        <v>0</v>
      </c>
      <c r="L38" s="132">
        <f t="shared" si="7"/>
        <v>0</v>
      </c>
      <c r="M38" s="114">
        <f t="shared" si="6"/>
        <v>0</v>
      </c>
    </row>
    <row r="39" spans="1:13" hidden="1" x14ac:dyDescent="0.25">
      <c r="K39" s="137">
        <f t="shared" si="5"/>
        <v>0</v>
      </c>
      <c r="L39" s="132">
        <f t="shared" si="7"/>
        <v>0</v>
      </c>
      <c r="M39" s="114">
        <f t="shared" si="6"/>
        <v>0</v>
      </c>
    </row>
    <row r="40" spans="1:13" s="117" customFormat="1" hidden="1" x14ac:dyDescent="0.25">
      <c r="A40" s="139"/>
      <c r="B40" s="132"/>
      <c r="C40" s="135"/>
      <c r="D40" s="135"/>
      <c r="E40" s="135"/>
      <c r="F40" s="114"/>
      <c r="G40" s="114"/>
      <c r="H40" s="114"/>
      <c r="I40" s="114"/>
      <c r="J40" s="114"/>
      <c r="K40" s="137">
        <f t="shared" si="5"/>
        <v>0</v>
      </c>
      <c r="L40" s="132">
        <f t="shared" si="7"/>
        <v>0</v>
      </c>
      <c r="M40" s="114">
        <f t="shared" si="6"/>
        <v>0</v>
      </c>
    </row>
    <row r="41" spans="1:13" hidden="1" x14ac:dyDescent="0.25">
      <c r="K41" s="137">
        <f t="shared" si="5"/>
        <v>0</v>
      </c>
      <c r="L41" s="132">
        <f t="shared" si="7"/>
        <v>0</v>
      </c>
      <c r="M41" s="114">
        <f t="shared" si="6"/>
        <v>0</v>
      </c>
    </row>
    <row r="42" spans="1:13" hidden="1" x14ac:dyDescent="0.25">
      <c r="K42" s="137">
        <f t="shared" si="5"/>
        <v>0</v>
      </c>
      <c r="L42" s="132">
        <f t="shared" si="7"/>
        <v>0</v>
      </c>
      <c r="M42" s="114">
        <f t="shared" si="6"/>
        <v>0</v>
      </c>
    </row>
    <row r="43" spans="1:13" hidden="1" x14ac:dyDescent="0.25">
      <c r="K43" s="137">
        <f t="shared" si="5"/>
        <v>0</v>
      </c>
      <c r="L43" s="132">
        <f t="shared" si="7"/>
        <v>0</v>
      </c>
      <c r="M43" s="114">
        <f t="shared" si="6"/>
        <v>0</v>
      </c>
    </row>
    <row r="44" spans="1:13" hidden="1" x14ac:dyDescent="0.25">
      <c r="K44" s="137">
        <f t="shared" si="5"/>
        <v>0</v>
      </c>
      <c r="L44" s="132">
        <f t="shared" si="7"/>
        <v>0</v>
      </c>
      <c r="M44" s="114">
        <f t="shared" si="6"/>
        <v>0</v>
      </c>
    </row>
    <row r="45" spans="1:13" hidden="1" x14ac:dyDescent="0.25">
      <c r="K45" s="137">
        <f t="shared" si="5"/>
        <v>0</v>
      </c>
      <c r="L45" s="132">
        <f t="shared" si="7"/>
        <v>0</v>
      </c>
      <c r="M45" s="114">
        <f t="shared" si="6"/>
        <v>0</v>
      </c>
    </row>
    <row r="46" spans="1:13" hidden="1" x14ac:dyDescent="0.25">
      <c r="K46" s="137">
        <f t="shared" si="5"/>
        <v>0</v>
      </c>
      <c r="L46" s="132">
        <f t="shared" si="7"/>
        <v>0</v>
      </c>
      <c r="M46" s="114">
        <f t="shared" si="6"/>
        <v>0</v>
      </c>
    </row>
    <row r="47" spans="1:13" hidden="1" x14ac:dyDescent="0.25">
      <c r="K47" s="137">
        <f t="shared" si="5"/>
        <v>0</v>
      </c>
      <c r="L47" s="132">
        <f t="shared" si="7"/>
        <v>0</v>
      </c>
      <c r="M47" s="114">
        <f t="shared" si="6"/>
        <v>0</v>
      </c>
    </row>
    <row r="48" spans="1:13" hidden="1" x14ac:dyDescent="0.25">
      <c r="K48" s="137">
        <f t="shared" si="5"/>
        <v>0</v>
      </c>
      <c r="L48" s="132">
        <f t="shared" si="7"/>
        <v>0</v>
      </c>
      <c r="M48" s="114">
        <f t="shared" si="6"/>
        <v>0</v>
      </c>
    </row>
    <row r="49" spans="11:13" hidden="1" x14ac:dyDescent="0.25">
      <c r="K49" s="137">
        <f t="shared" si="5"/>
        <v>0</v>
      </c>
      <c r="L49" s="132">
        <f t="shared" si="7"/>
        <v>0</v>
      </c>
      <c r="M49" s="114">
        <f t="shared" si="6"/>
        <v>0</v>
      </c>
    </row>
    <row r="50" spans="11:13" hidden="1" x14ac:dyDescent="0.25">
      <c r="K50" s="137">
        <f t="shared" si="5"/>
        <v>0</v>
      </c>
      <c r="L50" s="132">
        <f t="shared" si="7"/>
        <v>0</v>
      </c>
      <c r="M50" s="114">
        <f t="shared" si="6"/>
        <v>0</v>
      </c>
    </row>
    <row r="51" spans="11:13" hidden="1" x14ac:dyDescent="0.25">
      <c r="K51" s="137">
        <f t="shared" si="5"/>
        <v>0</v>
      </c>
      <c r="L51" s="132">
        <f t="shared" si="7"/>
        <v>0</v>
      </c>
      <c r="M51" s="114">
        <f t="shared" si="6"/>
        <v>0</v>
      </c>
    </row>
    <row r="52" spans="11:13" hidden="1" x14ac:dyDescent="0.25">
      <c r="K52" s="137">
        <f t="shared" si="5"/>
        <v>0</v>
      </c>
      <c r="L52" s="132">
        <f t="shared" si="7"/>
        <v>0</v>
      </c>
      <c r="M52" s="114">
        <f t="shared" si="6"/>
        <v>0</v>
      </c>
    </row>
    <row r="53" spans="11:13" hidden="1" x14ac:dyDescent="0.25">
      <c r="K53" s="137">
        <f t="shared" si="5"/>
        <v>0</v>
      </c>
      <c r="L53" s="132">
        <f t="shared" si="7"/>
        <v>0</v>
      </c>
      <c r="M53" s="114">
        <f t="shared" si="6"/>
        <v>0</v>
      </c>
    </row>
    <row r="54" spans="11:13" hidden="1" x14ac:dyDescent="0.25">
      <c r="K54" s="137">
        <f t="shared" si="5"/>
        <v>0</v>
      </c>
      <c r="L54" s="132">
        <f t="shared" si="7"/>
        <v>0</v>
      </c>
      <c r="M54" s="114">
        <f t="shared" si="6"/>
        <v>0</v>
      </c>
    </row>
    <row r="55" spans="11:13" hidden="1" x14ac:dyDescent="0.25">
      <c r="K55" s="137">
        <f t="shared" si="5"/>
        <v>0</v>
      </c>
      <c r="L55" s="132">
        <f t="shared" si="7"/>
        <v>0</v>
      </c>
      <c r="M55" s="114">
        <f t="shared" si="6"/>
        <v>0</v>
      </c>
    </row>
    <row r="56" spans="11:13" hidden="1" x14ac:dyDescent="0.25">
      <c r="K56" s="137">
        <f t="shared" si="5"/>
        <v>0</v>
      </c>
      <c r="L56" s="132">
        <f t="shared" si="7"/>
        <v>0</v>
      </c>
      <c r="M56" s="114">
        <f t="shared" si="6"/>
        <v>0</v>
      </c>
    </row>
    <row r="57" spans="11:13" hidden="1" x14ac:dyDescent="0.25">
      <c r="K57" s="137">
        <f t="shared" si="5"/>
        <v>0</v>
      </c>
      <c r="L57" s="132">
        <f t="shared" si="7"/>
        <v>0</v>
      </c>
      <c r="M57" s="114">
        <f t="shared" si="6"/>
        <v>0</v>
      </c>
    </row>
    <row r="58" spans="11:13" hidden="1" x14ac:dyDescent="0.25">
      <c r="K58" s="137">
        <f t="shared" si="5"/>
        <v>0</v>
      </c>
      <c r="L58" s="132">
        <f t="shared" si="7"/>
        <v>0</v>
      </c>
      <c r="M58" s="114">
        <f t="shared" si="6"/>
        <v>0</v>
      </c>
    </row>
    <row r="59" spans="11:13" hidden="1" x14ac:dyDescent="0.25">
      <c r="K59" s="137">
        <f t="shared" si="5"/>
        <v>0</v>
      </c>
      <c r="L59" s="132">
        <f t="shared" si="7"/>
        <v>0</v>
      </c>
      <c r="M59" s="114">
        <f t="shared" si="6"/>
        <v>0</v>
      </c>
    </row>
    <row r="60" spans="11:13" hidden="1" x14ac:dyDescent="0.25">
      <c r="K60" s="137">
        <f t="shared" si="5"/>
        <v>0</v>
      </c>
      <c r="L60" s="132">
        <f t="shared" si="7"/>
        <v>0</v>
      </c>
      <c r="M60" s="114">
        <f t="shared" si="6"/>
        <v>0</v>
      </c>
    </row>
    <row r="61" spans="11:13" hidden="1" x14ac:dyDescent="0.25">
      <c r="K61" s="137">
        <f t="shared" si="5"/>
        <v>0</v>
      </c>
      <c r="L61" s="132">
        <f t="shared" si="7"/>
        <v>0</v>
      </c>
      <c r="M61" s="114">
        <f t="shared" si="6"/>
        <v>0</v>
      </c>
    </row>
    <row r="62" spans="11:13" hidden="1" x14ac:dyDescent="0.25">
      <c r="K62" s="137">
        <f t="shared" si="5"/>
        <v>0</v>
      </c>
      <c r="L62" s="132">
        <f t="shared" si="7"/>
        <v>0</v>
      </c>
      <c r="M62" s="114">
        <f t="shared" si="6"/>
        <v>0</v>
      </c>
    </row>
    <row r="63" spans="11:13" hidden="1" x14ac:dyDescent="0.25">
      <c r="K63" s="137">
        <f t="shared" si="5"/>
        <v>0</v>
      </c>
      <c r="L63" s="132">
        <f t="shared" si="7"/>
        <v>0</v>
      </c>
      <c r="M63" s="114">
        <f t="shared" si="6"/>
        <v>0</v>
      </c>
    </row>
    <row r="64" spans="11:13" hidden="1" x14ac:dyDescent="0.25">
      <c r="K64" s="137">
        <f t="shared" si="5"/>
        <v>0</v>
      </c>
      <c r="L64" s="132">
        <f t="shared" si="7"/>
        <v>0</v>
      </c>
      <c r="M64" s="114">
        <f t="shared" si="6"/>
        <v>0</v>
      </c>
    </row>
    <row r="65" spans="11:13" hidden="1" x14ac:dyDescent="0.25">
      <c r="K65" s="137">
        <f t="shared" si="5"/>
        <v>0</v>
      </c>
      <c r="L65" s="132">
        <f t="shared" si="7"/>
        <v>0</v>
      </c>
      <c r="M65" s="114">
        <f t="shared" si="6"/>
        <v>0</v>
      </c>
    </row>
    <row r="66" spans="11:13" hidden="1" x14ac:dyDescent="0.25">
      <c r="K66" s="137">
        <f t="shared" si="5"/>
        <v>0</v>
      </c>
      <c r="L66" s="132">
        <f t="shared" si="7"/>
        <v>0</v>
      </c>
      <c r="M66" s="114">
        <f t="shared" si="6"/>
        <v>0</v>
      </c>
    </row>
    <row r="67" spans="11:13" hidden="1" x14ac:dyDescent="0.25">
      <c r="K67" s="137">
        <f t="shared" si="5"/>
        <v>0</v>
      </c>
      <c r="L67" s="132">
        <f t="shared" si="7"/>
        <v>0</v>
      </c>
      <c r="M67" s="114">
        <f t="shared" si="6"/>
        <v>0</v>
      </c>
    </row>
    <row r="68" spans="11:13" hidden="1" x14ac:dyDescent="0.25">
      <c r="K68" s="137">
        <f t="shared" ref="K68:K103" si="8">SUM(F68:J68)</f>
        <v>0</v>
      </c>
      <c r="L68" s="132">
        <f t="shared" si="7"/>
        <v>0</v>
      </c>
      <c r="M68" s="114">
        <f t="shared" ref="M68:M103" si="9">SUM(K68*L68)</f>
        <v>0</v>
      </c>
    </row>
    <row r="69" spans="11:13" hidden="1" x14ac:dyDescent="0.25">
      <c r="K69" s="137">
        <f t="shared" si="8"/>
        <v>0</v>
      </c>
      <c r="L69" s="132">
        <f t="shared" si="7"/>
        <v>0</v>
      </c>
      <c r="M69" s="114">
        <f t="shared" si="9"/>
        <v>0</v>
      </c>
    </row>
    <row r="70" spans="11:13" hidden="1" x14ac:dyDescent="0.25">
      <c r="K70" s="137">
        <f t="shared" si="8"/>
        <v>0</v>
      </c>
      <c r="L70" s="132">
        <f t="shared" si="7"/>
        <v>0</v>
      </c>
      <c r="M70" s="114">
        <f t="shared" si="9"/>
        <v>0</v>
      </c>
    </row>
    <row r="71" spans="11:13" hidden="1" x14ac:dyDescent="0.25">
      <c r="K71" s="137">
        <f t="shared" si="8"/>
        <v>0</v>
      </c>
      <c r="L71" s="132">
        <f t="shared" si="7"/>
        <v>0</v>
      </c>
      <c r="M71" s="114">
        <f t="shared" si="9"/>
        <v>0</v>
      </c>
    </row>
    <row r="72" spans="11:13" hidden="1" x14ac:dyDescent="0.25">
      <c r="K72" s="137">
        <f t="shared" si="8"/>
        <v>0</v>
      </c>
      <c r="L72" s="132">
        <f t="shared" si="7"/>
        <v>0</v>
      </c>
      <c r="M72" s="114">
        <f t="shared" si="9"/>
        <v>0</v>
      </c>
    </row>
    <row r="73" spans="11:13" hidden="1" x14ac:dyDescent="0.25">
      <c r="K73" s="137">
        <f t="shared" si="8"/>
        <v>0</v>
      </c>
      <c r="L73" s="132">
        <f t="shared" si="7"/>
        <v>0</v>
      </c>
      <c r="M73" s="114">
        <f t="shared" si="9"/>
        <v>0</v>
      </c>
    </row>
    <row r="74" spans="11:13" hidden="1" x14ac:dyDescent="0.25">
      <c r="K74" s="137">
        <f t="shared" si="8"/>
        <v>0</v>
      </c>
      <c r="L74" s="132">
        <f t="shared" si="7"/>
        <v>0</v>
      </c>
      <c r="M74" s="114">
        <f t="shared" si="9"/>
        <v>0</v>
      </c>
    </row>
    <row r="75" spans="11:13" hidden="1" x14ac:dyDescent="0.25">
      <c r="K75" s="137">
        <f t="shared" si="8"/>
        <v>0</v>
      </c>
      <c r="L75" s="132">
        <f t="shared" si="7"/>
        <v>0</v>
      </c>
      <c r="M75" s="114">
        <f t="shared" si="9"/>
        <v>0</v>
      </c>
    </row>
    <row r="76" spans="11:13" hidden="1" x14ac:dyDescent="0.25">
      <c r="K76" s="137">
        <f t="shared" si="8"/>
        <v>0</v>
      </c>
      <c r="L76" s="132">
        <f t="shared" si="7"/>
        <v>0</v>
      </c>
      <c r="M76" s="114">
        <f t="shared" si="9"/>
        <v>0</v>
      </c>
    </row>
    <row r="77" spans="11:13" hidden="1" x14ac:dyDescent="0.25">
      <c r="K77" s="137">
        <f t="shared" si="8"/>
        <v>0</v>
      </c>
      <c r="L77" s="132">
        <f t="shared" si="7"/>
        <v>0</v>
      </c>
      <c r="M77" s="114">
        <f t="shared" si="9"/>
        <v>0</v>
      </c>
    </row>
    <row r="78" spans="11:13" hidden="1" x14ac:dyDescent="0.25">
      <c r="K78" s="137">
        <f t="shared" si="8"/>
        <v>0</v>
      </c>
      <c r="L78" s="132">
        <f t="shared" si="7"/>
        <v>0</v>
      </c>
      <c r="M78" s="114">
        <f t="shared" si="9"/>
        <v>0</v>
      </c>
    </row>
    <row r="79" spans="11:13" hidden="1" x14ac:dyDescent="0.25">
      <c r="K79" s="137">
        <f t="shared" si="8"/>
        <v>0</v>
      </c>
      <c r="L79" s="132">
        <f t="shared" si="7"/>
        <v>0</v>
      </c>
      <c r="M79" s="114">
        <f t="shared" si="9"/>
        <v>0</v>
      </c>
    </row>
    <row r="80" spans="11:13" hidden="1" x14ac:dyDescent="0.25">
      <c r="K80" s="137">
        <f t="shared" si="8"/>
        <v>0</v>
      </c>
      <c r="L80" s="132">
        <f t="shared" si="7"/>
        <v>0</v>
      </c>
      <c r="M80" s="114">
        <f t="shared" si="9"/>
        <v>0</v>
      </c>
    </row>
    <row r="81" spans="11:13" hidden="1" x14ac:dyDescent="0.25">
      <c r="K81" s="137">
        <f t="shared" si="8"/>
        <v>0</v>
      </c>
      <c r="L81" s="132">
        <f t="shared" si="7"/>
        <v>0</v>
      </c>
      <c r="M81" s="114">
        <f t="shared" si="9"/>
        <v>0</v>
      </c>
    </row>
    <row r="82" spans="11:13" hidden="1" x14ac:dyDescent="0.25">
      <c r="K82" s="137">
        <f t="shared" si="8"/>
        <v>0</v>
      </c>
      <c r="L82" s="132">
        <f t="shared" si="7"/>
        <v>0</v>
      </c>
      <c r="M82" s="114">
        <f t="shared" si="9"/>
        <v>0</v>
      </c>
    </row>
    <row r="83" spans="11:13" hidden="1" x14ac:dyDescent="0.25">
      <c r="K83" s="137">
        <f t="shared" si="8"/>
        <v>0</v>
      </c>
      <c r="L83" s="132">
        <f t="shared" si="7"/>
        <v>0</v>
      </c>
      <c r="M83" s="114">
        <f t="shared" si="9"/>
        <v>0</v>
      </c>
    </row>
    <row r="84" spans="11:13" hidden="1" x14ac:dyDescent="0.25">
      <c r="K84" s="137">
        <f t="shared" si="8"/>
        <v>0</v>
      </c>
      <c r="L84" s="132">
        <f t="shared" si="7"/>
        <v>0</v>
      </c>
      <c r="M84" s="114">
        <f t="shared" si="9"/>
        <v>0</v>
      </c>
    </row>
    <row r="85" spans="11:13" hidden="1" x14ac:dyDescent="0.25">
      <c r="K85" s="137">
        <f t="shared" si="8"/>
        <v>0</v>
      </c>
      <c r="L85" s="132">
        <f t="shared" si="7"/>
        <v>0</v>
      </c>
      <c r="M85" s="114">
        <f t="shared" si="9"/>
        <v>0</v>
      </c>
    </row>
    <row r="86" spans="11:13" hidden="1" x14ac:dyDescent="0.25">
      <c r="K86" s="137">
        <f t="shared" si="8"/>
        <v>0</v>
      </c>
      <c r="L86" s="132">
        <f t="shared" si="7"/>
        <v>0</v>
      </c>
      <c r="M86" s="114">
        <f t="shared" si="9"/>
        <v>0</v>
      </c>
    </row>
    <row r="87" spans="11:13" hidden="1" x14ac:dyDescent="0.25">
      <c r="K87" s="137">
        <f t="shared" si="8"/>
        <v>0</v>
      </c>
      <c r="L87" s="132">
        <f t="shared" si="7"/>
        <v>0</v>
      </c>
      <c r="M87" s="114">
        <f t="shared" si="9"/>
        <v>0</v>
      </c>
    </row>
    <row r="88" spans="11:13" hidden="1" x14ac:dyDescent="0.25">
      <c r="K88" s="137">
        <f t="shared" si="8"/>
        <v>0</v>
      </c>
      <c r="L88" s="132">
        <f t="shared" si="7"/>
        <v>0</v>
      </c>
      <c r="M88" s="114">
        <f t="shared" si="9"/>
        <v>0</v>
      </c>
    </row>
    <row r="89" spans="11:13" hidden="1" x14ac:dyDescent="0.25">
      <c r="K89" s="137">
        <f t="shared" si="8"/>
        <v>0</v>
      </c>
      <c r="L89" s="132">
        <f t="shared" si="7"/>
        <v>0</v>
      </c>
      <c r="M89" s="114">
        <f t="shared" si="9"/>
        <v>0</v>
      </c>
    </row>
    <row r="90" spans="11:13" hidden="1" x14ac:dyDescent="0.25">
      <c r="K90" s="137">
        <f t="shared" si="8"/>
        <v>0</v>
      </c>
      <c r="L90" s="132">
        <f t="shared" si="7"/>
        <v>0</v>
      </c>
      <c r="M90" s="114">
        <f t="shared" si="9"/>
        <v>0</v>
      </c>
    </row>
    <row r="91" spans="11:13" hidden="1" x14ac:dyDescent="0.25">
      <c r="K91" s="137">
        <f t="shared" si="8"/>
        <v>0</v>
      </c>
      <c r="L91" s="132">
        <f t="shared" si="7"/>
        <v>0</v>
      </c>
      <c r="M91" s="114">
        <f t="shared" si="9"/>
        <v>0</v>
      </c>
    </row>
    <row r="92" spans="11:13" hidden="1" x14ac:dyDescent="0.25">
      <c r="K92" s="137">
        <f t="shared" si="8"/>
        <v>0</v>
      </c>
      <c r="L92" s="132">
        <f t="shared" si="7"/>
        <v>0</v>
      </c>
      <c r="M92" s="114">
        <f t="shared" si="9"/>
        <v>0</v>
      </c>
    </row>
    <row r="93" spans="11:13" hidden="1" x14ac:dyDescent="0.25">
      <c r="K93" s="137">
        <f t="shared" si="8"/>
        <v>0</v>
      </c>
      <c r="L93" s="132">
        <f t="shared" si="7"/>
        <v>0</v>
      </c>
      <c r="M93" s="114">
        <f t="shared" si="9"/>
        <v>0</v>
      </c>
    </row>
    <row r="94" spans="11:13" hidden="1" x14ac:dyDescent="0.25">
      <c r="K94" s="137">
        <f t="shared" si="8"/>
        <v>0</v>
      </c>
      <c r="L94" s="132">
        <f t="shared" ref="L94:L157" si="10">IF(D94="X",0,IF(E94="",0,IF(E94="X",0,VLOOKUP(E94,$F$539:$G$553,2))))</f>
        <v>0</v>
      </c>
      <c r="M94" s="114">
        <f t="shared" si="9"/>
        <v>0</v>
      </c>
    </row>
    <row r="95" spans="11:13" hidden="1" x14ac:dyDescent="0.25">
      <c r="K95" s="137">
        <f t="shared" si="8"/>
        <v>0</v>
      </c>
      <c r="L95" s="132">
        <f t="shared" si="10"/>
        <v>0</v>
      </c>
      <c r="M95" s="114">
        <f t="shared" si="9"/>
        <v>0</v>
      </c>
    </row>
    <row r="96" spans="11:13" hidden="1" x14ac:dyDescent="0.25">
      <c r="K96" s="137">
        <f t="shared" si="8"/>
        <v>0</v>
      </c>
      <c r="L96" s="132">
        <f t="shared" si="10"/>
        <v>0</v>
      </c>
      <c r="M96" s="114">
        <f t="shared" si="9"/>
        <v>0</v>
      </c>
    </row>
    <row r="97" spans="11:13" hidden="1" x14ac:dyDescent="0.25">
      <c r="K97" s="137">
        <f t="shared" si="8"/>
        <v>0</v>
      </c>
      <c r="L97" s="132">
        <f t="shared" si="10"/>
        <v>0</v>
      </c>
      <c r="M97" s="114">
        <f t="shared" si="9"/>
        <v>0</v>
      </c>
    </row>
    <row r="98" spans="11:13" hidden="1" x14ac:dyDescent="0.25">
      <c r="K98" s="137">
        <f t="shared" si="8"/>
        <v>0</v>
      </c>
      <c r="L98" s="132">
        <f t="shared" si="10"/>
        <v>0</v>
      </c>
      <c r="M98" s="114">
        <f t="shared" si="9"/>
        <v>0</v>
      </c>
    </row>
    <row r="99" spans="11:13" hidden="1" x14ac:dyDescent="0.25">
      <c r="K99" s="137">
        <f t="shared" si="8"/>
        <v>0</v>
      </c>
      <c r="L99" s="132">
        <f t="shared" si="10"/>
        <v>0</v>
      </c>
      <c r="M99" s="114">
        <f t="shared" si="9"/>
        <v>0</v>
      </c>
    </row>
    <row r="100" spans="11:13" hidden="1" x14ac:dyDescent="0.25">
      <c r="K100" s="137">
        <f t="shared" si="8"/>
        <v>0</v>
      </c>
      <c r="L100" s="132">
        <f t="shared" si="10"/>
        <v>0</v>
      </c>
      <c r="M100" s="114">
        <f t="shared" si="9"/>
        <v>0</v>
      </c>
    </row>
    <row r="101" spans="11:13" hidden="1" x14ac:dyDescent="0.25">
      <c r="K101" s="137">
        <f t="shared" si="8"/>
        <v>0</v>
      </c>
      <c r="L101" s="132">
        <f t="shared" si="10"/>
        <v>0</v>
      </c>
      <c r="M101" s="114">
        <f t="shared" si="9"/>
        <v>0</v>
      </c>
    </row>
    <row r="102" spans="11:13" hidden="1" x14ac:dyDescent="0.25">
      <c r="K102" s="137">
        <f t="shared" si="8"/>
        <v>0</v>
      </c>
      <c r="L102" s="132">
        <f t="shared" si="10"/>
        <v>0</v>
      </c>
      <c r="M102" s="114">
        <f t="shared" si="9"/>
        <v>0</v>
      </c>
    </row>
    <row r="103" spans="11:13" hidden="1" x14ac:dyDescent="0.25">
      <c r="K103" s="137">
        <f t="shared" si="8"/>
        <v>0</v>
      </c>
      <c r="L103" s="132">
        <f t="shared" si="10"/>
        <v>0</v>
      </c>
      <c r="M103" s="114">
        <f t="shared" si="9"/>
        <v>0</v>
      </c>
    </row>
    <row r="104" spans="11:13" hidden="1" x14ac:dyDescent="0.25">
      <c r="K104" s="137">
        <f t="shared" ref="K104:K132" si="11">SUM(F104:J104)</f>
        <v>0</v>
      </c>
      <c r="L104" s="132">
        <f t="shared" si="10"/>
        <v>0</v>
      </c>
      <c r="M104" s="114">
        <f t="shared" ref="M104:M132" si="12">SUM(K104*L104)</f>
        <v>0</v>
      </c>
    </row>
    <row r="105" spans="11:13" hidden="1" x14ac:dyDescent="0.25">
      <c r="K105" s="137">
        <f t="shared" si="11"/>
        <v>0</v>
      </c>
      <c r="L105" s="132">
        <f t="shared" si="10"/>
        <v>0</v>
      </c>
      <c r="M105" s="114">
        <f t="shared" si="12"/>
        <v>0</v>
      </c>
    </row>
    <row r="106" spans="11:13" hidden="1" x14ac:dyDescent="0.25">
      <c r="K106" s="137">
        <f t="shared" si="11"/>
        <v>0</v>
      </c>
      <c r="L106" s="132">
        <f t="shared" si="10"/>
        <v>0</v>
      </c>
      <c r="M106" s="114">
        <f t="shared" si="12"/>
        <v>0</v>
      </c>
    </row>
    <row r="107" spans="11:13" hidden="1" x14ac:dyDescent="0.25">
      <c r="K107" s="137">
        <f t="shared" si="11"/>
        <v>0</v>
      </c>
      <c r="L107" s="132">
        <f t="shared" si="10"/>
        <v>0</v>
      </c>
      <c r="M107" s="114">
        <f t="shared" si="12"/>
        <v>0</v>
      </c>
    </row>
    <row r="108" spans="11:13" hidden="1" x14ac:dyDescent="0.25">
      <c r="K108" s="137">
        <f t="shared" si="11"/>
        <v>0</v>
      </c>
      <c r="L108" s="132">
        <f t="shared" si="10"/>
        <v>0</v>
      </c>
      <c r="M108" s="114">
        <f t="shared" si="12"/>
        <v>0</v>
      </c>
    </row>
    <row r="109" spans="11:13" hidden="1" x14ac:dyDescent="0.25">
      <c r="K109" s="137">
        <f t="shared" si="11"/>
        <v>0</v>
      </c>
      <c r="L109" s="132">
        <f t="shared" si="10"/>
        <v>0</v>
      </c>
      <c r="M109" s="114">
        <f t="shared" si="12"/>
        <v>0</v>
      </c>
    </row>
    <row r="110" spans="11:13" hidden="1" x14ac:dyDescent="0.25">
      <c r="K110" s="137">
        <f t="shared" si="11"/>
        <v>0</v>
      </c>
      <c r="L110" s="132">
        <f t="shared" si="10"/>
        <v>0</v>
      </c>
      <c r="M110" s="114">
        <f t="shared" si="12"/>
        <v>0</v>
      </c>
    </row>
    <row r="111" spans="11:13" hidden="1" x14ac:dyDescent="0.25">
      <c r="K111" s="137">
        <f t="shared" si="11"/>
        <v>0</v>
      </c>
      <c r="L111" s="132">
        <f t="shared" si="10"/>
        <v>0</v>
      </c>
      <c r="M111" s="114">
        <f t="shared" si="12"/>
        <v>0</v>
      </c>
    </row>
    <row r="112" spans="11:13" hidden="1" x14ac:dyDescent="0.25">
      <c r="K112" s="137">
        <f t="shared" si="11"/>
        <v>0</v>
      </c>
      <c r="L112" s="132">
        <f t="shared" si="10"/>
        <v>0</v>
      </c>
      <c r="M112" s="114">
        <f t="shared" si="12"/>
        <v>0</v>
      </c>
    </row>
    <row r="113" spans="11:13" hidden="1" x14ac:dyDescent="0.25">
      <c r="K113" s="137">
        <f t="shared" si="11"/>
        <v>0</v>
      </c>
      <c r="L113" s="132">
        <f t="shared" si="10"/>
        <v>0</v>
      </c>
      <c r="M113" s="114">
        <f t="shared" si="12"/>
        <v>0</v>
      </c>
    </row>
    <row r="114" spans="11:13" hidden="1" x14ac:dyDescent="0.25">
      <c r="K114" s="137">
        <f t="shared" si="11"/>
        <v>0</v>
      </c>
      <c r="L114" s="132">
        <f t="shared" si="10"/>
        <v>0</v>
      </c>
      <c r="M114" s="114">
        <f t="shared" si="12"/>
        <v>0</v>
      </c>
    </row>
    <row r="115" spans="11:13" hidden="1" x14ac:dyDescent="0.25">
      <c r="K115" s="137">
        <f t="shared" si="11"/>
        <v>0</v>
      </c>
      <c r="L115" s="132">
        <f t="shared" si="10"/>
        <v>0</v>
      </c>
      <c r="M115" s="114">
        <f t="shared" si="12"/>
        <v>0</v>
      </c>
    </row>
    <row r="116" spans="11:13" hidden="1" x14ac:dyDescent="0.25">
      <c r="K116" s="137">
        <f t="shared" si="11"/>
        <v>0</v>
      </c>
      <c r="L116" s="132">
        <f t="shared" si="10"/>
        <v>0</v>
      </c>
      <c r="M116" s="114">
        <f t="shared" si="12"/>
        <v>0</v>
      </c>
    </row>
    <row r="117" spans="11:13" hidden="1" x14ac:dyDescent="0.25">
      <c r="K117" s="137">
        <f t="shared" si="11"/>
        <v>0</v>
      </c>
      <c r="L117" s="132">
        <f t="shared" si="10"/>
        <v>0</v>
      </c>
      <c r="M117" s="114">
        <f t="shared" si="12"/>
        <v>0</v>
      </c>
    </row>
    <row r="118" spans="11:13" hidden="1" x14ac:dyDescent="0.25">
      <c r="K118" s="137">
        <f t="shared" si="11"/>
        <v>0</v>
      </c>
      <c r="L118" s="132">
        <f t="shared" si="10"/>
        <v>0</v>
      </c>
      <c r="M118" s="114">
        <f t="shared" si="12"/>
        <v>0</v>
      </c>
    </row>
    <row r="119" spans="11:13" hidden="1" x14ac:dyDescent="0.25">
      <c r="K119" s="137">
        <f t="shared" si="11"/>
        <v>0</v>
      </c>
      <c r="L119" s="132">
        <f t="shared" si="10"/>
        <v>0</v>
      </c>
      <c r="M119" s="114">
        <f t="shared" si="12"/>
        <v>0</v>
      </c>
    </row>
    <row r="120" spans="11:13" hidden="1" x14ac:dyDescent="0.25">
      <c r="K120" s="137">
        <f t="shared" si="11"/>
        <v>0</v>
      </c>
      <c r="L120" s="132">
        <f t="shared" si="10"/>
        <v>0</v>
      </c>
      <c r="M120" s="114">
        <f t="shared" si="12"/>
        <v>0</v>
      </c>
    </row>
    <row r="121" spans="11:13" hidden="1" x14ac:dyDescent="0.25">
      <c r="K121" s="137">
        <f t="shared" si="11"/>
        <v>0</v>
      </c>
      <c r="L121" s="132">
        <f t="shared" si="10"/>
        <v>0</v>
      </c>
      <c r="M121" s="114">
        <f t="shared" si="12"/>
        <v>0</v>
      </c>
    </row>
    <row r="122" spans="11:13" hidden="1" x14ac:dyDescent="0.25">
      <c r="K122" s="137">
        <f t="shared" si="11"/>
        <v>0</v>
      </c>
      <c r="L122" s="132">
        <f t="shared" si="10"/>
        <v>0</v>
      </c>
      <c r="M122" s="114">
        <f t="shared" si="12"/>
        <v>0</v>
      </c>
    </row>
    <row r="123" spans="11:13" hidden="1" x14ac:dyDescent="0.25">
      <c r="K123" s="137">
        <f t="shared" si="11"/>
        <v>0</v>
      </c>
      <c r="L123" s="132">
        <f t="shared" si="10"/>
        <v>0</v>
      </c>
      <c r="M123" s="114">
        <f t="shared" si="12"/>
        <v>0</v>
      </c>
    </row>
    <row r="124" spans="11:13" hidden="1" x14ac:dyDescent="0.25">
      <c r="K124" s="137">
        <f t="shared" si="11"/>
        <v>0</v>
      </c>
      <c r="L124" s="132">
        <f t="shared" si="10"/>
        <v>0</v>
      </c>
      <c r="M124" s="114">
        <f t="shared" si="12"/>
        <v>0</v>
      </c>
    </row>
    <row r="125" spans="11:13" hidden="1" x14ac:dyDescent="0.25">
      <c r="K125" s="137">
        <f t="shared" si="11"/>
        <v>0</v>
      </c>
      <c r="L125" s="132">
        <f t="shared" si="10"/>
        <v>0</v>
      </c>
      <c r="M125" s="114">
        <f t="shared" si="12"/>
        <v>0</v>
      </c>
    </row>
    <row r="126" spans="11:13" hidden="1" x14ac:dyDescent="0.25">
      <c r="K126" s="137">
        <f t="shared" si="11"/>
        <v>0</v>
      </c>
      <c r="L126" s="132">
        <f t="shared" si="10"/>
        <v>0</v>
      </c>
      <c r="M126" s="114">
        <f t="shared" si="12"/>
        <v>0</v>
      </c>
    </row>
    <row r="127" spans="11:13" hidden="1" x14ac:dyDescent="0.25">
      <c r="K127" s="137">
        <f t="shared" si="11"/>
        <v>0</v>
      </c>
      <c r="L127" s="132">
        <f t="shared" si="10"/>
        <v>0</v>
      </c>
      <c r="M127" s="114">
        <f t="shared" si="12"/>
        <v>0</v>
      </c>
    </row>
    <row r="128" spans="11:13" hidden="1" x14ac:dyDescent="0.25">
      <c r="K128" s="137">
        <f t="shared" si="11"/>
        <v>0</v>
      </c>
      <c r="L128" s="132">
        <f t="shared" si="10"/>
        <v>0</v>
      </c>
      <c r="M128" s="114">
        <f t="shared" si="12"/>
        <v>0</v>
      </c>
    </row>
    <row r="129" spans="11:13" hidden="1" x14ac:dyDescent="0.25">
      <c r="K129" s="137">
        <f t="shared" si="11"/>
        <v>0</v>
      </c>
      <c r="L129" s="132">
        <f t="shared" si="10"/>
        <v>0</v>
      </c>
      <c r="M129" s="114">
        <f t="shared" si="12"/>
        <v>0</v>
      </c>
    </row>
    <row r="130" spans="11:13" hidden="1" x14ac:dyDescent="0.25">
      <c r="K130" s="137">
        <f t="shared" si="11"/>
        <v>0</v>
      </c>
      <c r="L130" s="132">
        <f t="shared" si="10"/>
        <v>0</v>
      </c>
      <c r="M130" s="114">
        <f t="shared" si="12"/>
        <v>0</v>
      </c>
    </row>
    <row r="131" spans="11:13" hidden="1" x14ac:dyDescent="0.25">
      <c r="K131" s="137">
        <f t="shared" si="11"/>
        <v>0</v>
      </c>
      <c r="L131" s="132">
        <f t="shared" si="10"/>
        <v>0</v>
      </c>
      <c r="M131" s="114">
        <f t="shared" si="12"/>
        <v>0</v>
      </c>
    </row>
    <row r="132" spans="11:13" hidden="1" x14ac:dyDescent="0.25">
      <c r="K132" s="137">
        <f t="shared" si="11"/>
        <v>0</v>
      </c>
      <c r="L132" s="132">
        <f t="shared" si="10"/>
        <v>0</v>
      </c>
      <c r="M132" s="114">
        <f t="shared" si="12"/>
        <v>0</v>
      </c>
    </row>
    <row r="133" spans="11:13" hidden="1" x14ac:dyDescent="0.25">
      <c r="K133" s="137">
        <f t="shared" ref="K133:K196" si="13">SUM(F133:J133)</f>
        <v>0</v>
      </c>
      <c r="L133" s="132">
        <f t="shared" si="10"/>
        <v>0</v>
      </c>
      <c r="M133" s="114">
        <f t="shared" ref="M133:M196" si="14">SUM(K133*L133)</f>
        <v>0</v>
      </c>
    </row>
    <row r="134" spans="11:13" hidden="1" x14ac:dyDescent="0.25">
      <c r="K134" s="137">
        <f t="shared" si="13"/>
        <v>0</v>
      </c>
      <c r="L134" s="132">
        <f t="shared" si="10"/>
        <v>0</v>
      </c>
      <c r="M134" s="114">
        <f t="shared" si="14"/>
        <v>0</v>
      </c>
    </row>
    <row r="135" spans="11:13" hidden="1" x14ac:dyDescent="0.25">
      <c r="K135" s="137">
        <f t="shared" si="13"/>
        <v>0</v>
      </c>
      <c r="L135" s="132">
        <f t="shared" si="10"/>
        <v>0</v>
      </c>
      <c r="M135" s="114">
        <f t="shared" si="14"/>
        <v>0</v>
      </c>
    </row>
    <row r="136" spans="11:13" hidden="1" x14ac:dyDescent="0.25">
      <c r="K136" s="137">
        <f t="shared" si="13"/>
        <v>0</v>
      </c>
      <c r="L136" s="132">
        <f t="shared" si="10"/>
        <v>0</v>
      </c>
      <c r="M136" s="114">
        <f t="shared" si="14"/>
        <v>0</v>
      </c>
    </row>
    <row r="137" spans="11:13" hidden="1" x14ac:dyDescent="0.25">
      <c r="K137" s="137">
        <f t="shared" si="13"/>
        <v>0</v>
      </c>
      <c r="L137" s="132">
        <f t="shared" si="10"/>
        <v>0</v>
      </c>
      <c r="M137" s="114">
        <f t="shared" si="14"/>
        <v>0</v>
      </c>
    </row>
    <row r="138" spans="11:13" hidden="1" x14ac:dyDescent="0.25">
      <c r="K138" s="137">
        <f t="shared" si="13"/>
        <v>0</v>
      </c>
      <c r="L138" s="132">
        <f t="shared" si="10"/>
        <v>0</v>
      </c>
      <c r="M138" s="114">
        <f t="shared" si="14"/>
        <v>0</v>
      </c>
    </row>
    <row r="139" spans="11:13" hidden="1" x14ac:dyDescent="0.25">
      <c r="K139" s="137">
        <f t="shared" si="13"/>
        <v>0</v>
      </c>
      <c r="L139" s="132">
        <f t="shared" si="10"/>
        <v>0</v>
      </c>
      <c r="M139" s="114">
        <f t="shared" si="14"/>
        <v>0</v>
      </c>
    </row>
    <row r="140" spans="11:13" hidden="1" x14ac:dyDescent="0.25">
      <c r="K140" s="137">
        <f t="shared" si="13"/>
        <v>0</v>
      </c>
      <c r="L140" s="132">
        <f t="shared" si="10"/>
        <v>0</v>
      </c>
      <c r="M140" s="114">
        <f t="shared" si="14"/>
        <v>0</v>
      </c>
    </row>
    <row r="141" spans="11:13" hidden="1" x14ac:dyDescent="0.25">
      <c r="K141" s="137">
        <f t="shared" si="13"/>
        <v>0</v>
      </c>
      <c r="L141" s="132">
        <f t="shared" si="10"/>
        <v>0</v>
      </c>
      <c r="M141" s="114">
        <f t="shared" si="14"/>
        <v>0</v>
      </c>
    </row>
    <row r="142" spans="11:13" hidden="1" x14ac:dyDescent="0.25">
      <c r="K142" s="137">
        <f t="shared" si="13"/>
        <v>0</v>
      </c>
      <c r="L142" s="132">
        <f t="shared" si="10"/>
        <v>0</v>
      </c>
      <c r="M142" s="114">
        <f t="shared" si="14"/>
        <v>0</v>
      </c>
    </row>
    <row r="143" spans="11:13" hidden="1" x14ac:dyDescent="0.25">
      <c r="K143" s="137">
        <f t="shared" si="13"/>
        <v>0</v>
      </c>
      <c r="L143" s="132">
        <f t="shared" si="10"/>
        <v>0</v>
      </c>
      <c r="M143" s="114">
        <f t="shared" si="14"/>
        <v>0</v>
      </c>
    </row>
    <row r="144" spans="11:13" hidden="1" x14ac:dyDescent="0.25">
      <c r="K144" s="137">
        <f t="shared" ref="K144:K154" si="15">SUM(F144:J144)</f>
        <v>0</v>
      </c>
      <c r="L144" s="132">
        <f t="shared" si="10"/>
        <v>0</v>
      </c>
      <c r="M144" s="114">
        <f t="shared" ref="M144:M154" si="16">SUM(K144*L144)</f>
        <v>0</v>
      </c>
    </row>
    <row r="145" spans="11:13" hidden="1" x14ac:dyDescent="0.25">
      <c r="K145" s="137">
        <f t="shared" si="15"/>
        <v>0</v>
      </c>
      <c r="L145" s="132">
        <f t="shared" si="10"/>
        <v>0</v>
      </c>
      <c r="M145" s="114">
        <f t="shared" si="16"/>
        <v>0</v>
      </c>
    </row>
    <row r="146" spans="11:13" hidden="1" x14ac:dyDescent="0.25">
      <c r="K146" s="137">
        <f t="shared" si="15"/>
        <v>0</v>
      </c>
      <c r="L146" s="132">
        <f t="shared" si="10"/>
        <v>0</v>
      </c>
      <c r="M146" s="114">
        <f t="shared" si="16"/>
        <v>0</v>
      </c>
    </row>
    <row r="147" spans="11:13" hidden="1" x14ac:dyDescent="0.25">
      <c r="K147" s="137">
        <f t="shared" si="15"/>
        <v>0</v>
      </c>
      <c r="L147" s="132">
        <f t="shared" si="10"/>
        <v>0</v>
      </c>
      <c r="M147" s="114">
        <f t="shared" si="16"/>
        <v>0</v>
      </c>
    </row>
    <row r="148" spans="11:13" hidden="1" x14ac:dyDescent="0.25">
      <c r="K148" s="137">
        <f t="shared" si="15"/>
        <v>0</v>
      </c>
      <c r="L148" s="132">
        <f t="shared" si="10"/>
        <v>0</v>
      </c>
      <c r="M148" s="114">
        <f t="shared" si="16"/>
        <v>0</v>
      </c>
    </row>
    <row r="149" spans="11:13" hidden="1" x14ac:dyDescent="0.25">
      <c r="K149" s="137">
        <f t="shared" si="15"/>
        <v>0</v>
      </c>
      <c r="L149" s="132">
        <f t="shared" si="10"/>
        <v>0</v>
      </c>
      <c r="M149" s="114">
        <f t="shared" si="16"/>
        <v>0</v>
      </c>
    </row>
    <row r="150" spans="11:13" hidden="1" x14ac:dyDescent="0.25">
      <c r="K150" s="137">
        <f t="shared" si="15"/>
        <v>0</v>
      </c>
      <c r="L150" s="132">
        <f t="shared" si="10"/>
        <v>0</v>
      </c>
      <c r="M150" s="114">
        <f t="shared" si="16"/>
        <v>0</v>
      </c>
    </row>
    <row r="151" spans="11:13" hidden="1" x14ac:dyDescent="0.25">
      <c r="K151" s="137">
        <f t="shared" si="15"/>
        <v>0</v>
      </c>
      <c r="L151" s="132">
        <f t="shared" si="10"/>
        <v>0</v>
      </c>
      <c r="M151" s="114">
        <f t="shared" si="16"/>
        <v>0</v>
      </c>
    </row>
    <row r="152" spans="11:13" hidden="1" x14ac:dyDescent="0.25">
      <c r="K152" s="137">
        <f t="shared" si="15"/>
        <v>0</v>
      </c>
      <c r="L152" s="132">
        <f t="shared" si="10"/>
        <v>0</v>
      </c>
      <c r="M152" s="114">
        <f t="shared" si="16"/>
        <v>0</v>
      </c>
    </row>
    <row r="153" spans="11:13" hidden="1" x14ac:dyDescent="0.25">
      <c r="K153" s="137">
        <f t="shared" si="15"/>
        <v>0</v>
      </c>
      <c r="L153" s="132">
        <f t="shared" si="10"/>
        <v>0</v>
      </c>
      <c r="M153" s="114">
        <f t="shared" si="16"/>
        <v>0</v>
      </c>
    </row>
    <row r="154" spans="11:13" hidden="1" x14ac:dyDescent="0.25">
      <c r="K154" s="137">
        <f t="shared" si="15"/>
        <v>0</v>
      </c>
      <c r="L154" s="132">
        <f t="shared" si="10"/>
        <v>0</v>
      </c>
      <c r="M154" s="114">
        <f t="shared" si="16"/>
        <v>0</v>
      </c>
    </row>
    <row r="155" spans="11:13" hidden="1" x14ac:dyDescent="0.25">
      <c r="K155" s="137">
        <f t="shared" si="13"/>
        <v>0</v>
      </c>
      <c r="L155" s="132">
        <f t="shared" si="10"/>
        <v>0</v>
      </c>
      <c r="M155" s="114">
        <f t="shared" si="14"/>
        <v>0</v>
      </c>
    </row>
    <row r="156" spans="11:13" hidden="1" x14ac:dyDescent="0.25">
      <c r="K156" s="137">
        <f t="shared" si="13"/>
        <v>0</v>
      </c>
      <c r="L156" s="132">
        <f t="shared" si="10"/>
        <v>0</v>
      </c>
      <c r="M156" s="114">
        <f t="shared" si="14"/>
        <v>0</v>
      </c>
    </row>
    <row r="157" spans="11:13" hidden="1" x14ac:dyDescent="0.25">
      <c r="K157" s="137">
        <f t="shared" si="13"/>
        <v>0</v>
      </c>
      <c r="L157" s="132">
        <f t="shared" si="10"/>
        <v>0</v>
      </c>
      <c r="M157" s="114">
        <f t="shared" si="14"/>
        <v>0</v>
      </c>
    </row>
    <row r="158" spans="11:13" hidden="1" x14ac:dyDescent="0.25">
      <c r="K158" s="137">
        <f t="shared" si="13"/>
        <v>0</v>
      </c>
      <c r="L158" s="132">
        <f t="shared" ref="L158:L221" si="17">IF(D158="X",0,IF(E158="",0,IF(E158="X",0,VLOOKUP(E158,$F$539:$G$553,2))))</f>
        <v>0</v>
      </c>
      <c r="M158" s="114">
        <f t="shared" si="14"/>
        <v>0</v>
      </c>
    </row>
    <row r="159" spans="11:13" hidden="1" x14ac:dyDescent="0.25">
      <c r="K159" s="137">
        <f t="shared" si="13"/>
        <v>0</v>
      </c>
      <c r="L159" s="132">
        <f t="shared" si="17"/>
        <v>0</v>
      </c>
      <c r="M159" s="114">
        <f t="shared" si="14"/>
        <v>0</v>
      </c>
    </row>
    <row r="160" spans="11:13" hidden="1" x14ac:dyDescent="0.25">
      <c r="K160" s="137">
        <f t="shared" si="13"/>
        <v>0</v>
      </c>
      <c r="L160" s="132">
        <f t="shared" si="17"/>
        <v>0</v>
      </c>
      <c r="M160" s="114">
        <f t="shared" si="14"/>
        <v>0</v>
      </c>
    </row>
    <row r="161" spans="11:13" hidden="1" x14ac:dyDescent="0.25">
      <c r="K161" s="137">
        <f t="shared" si="13"/>
        <v>0</v>
      </c>
      <c r="L161" s="132">
        <f t="shared" si="17"/>
        <v>0</v>
      </c>
      <c r="M161" s="114">
        <f t="shared" si="14"/>
        <v>0</v>
      </c>
    </row>
    <row r="162" spans="11:13" hidden="1" x14ac:dyDescent="0.25">
      <c r="K162" s="137">
        <f t="shared" si="13"/>
        <v>0</v>
      </c>
      <c r="L162" s="132">
        <f t="shared" si="17"/>
        <v>0</v>
      </c>
      <c r="M162" s="114">
        <f t="shared" si="14"/>
        <v>0</v>
      </c>
    </row>
    <row r="163" spans="11:13" hidden="1" x14ac:dyDescent="0.25">
      <c r="K163" s="137">
        <f t="shared" si="13"/>
        <v>0</v>
      </c>
      <c r="L163" s="132">
        <f t="shared" si="17"/>
        <v>0</v>
      </c>
      <c r="M163" s="114">
        <f t="shared" si="14"/>
        <v>0</v>
      </c>
    </row>
    <row r="164" spans="11:13" hidden="1" x14ac:dyDescent="0.25">
      <c r="K164" s="137">
        <f t="shared" si="13"/>
        <v>0</v>
      </c>
      <c r="L164" s="132">
        <f t="shared" si="17"/>
        <v>0</v>
      </c>
      <c r="M164" s="114">
        <f t="shared" si="14"/>
        <v>0</v>
      </c>
    </row>
    <row r="165" spans="11:13" hidden="1" x14ac:dyDescent="0.25">
      <c r="K165" s="137">
        <f t="shared" si="13"/>
        <v>0</v>
      </c>
      <c r="L165" s="132">
        <f t="shared" si="17"/>
        <v>0</v>
      </c>
      <c r="M165" s="114">
        <f t="shared" si="14"/>
        <v>0</v>
      </c>
    </row>
    <row r="166" spans="11:13" hidden="1" x14ac:dyDescent="0.25">
      <c r="K166" s="137">
        <f t="shared" si="13"/>
        <v>0</v>
      </c>
      <c r="L166" s="132">
        <f t="shared" si="17"/>
        <v>0</v>
      </c>
      <c r="M166" s="114">
        <f t="shared" si="14"/>
        <v>0</v>
      </c>
    </row>
    <row r="167" spans="11:13" hidden="1" x14ac:dyDescent="0.25">
      <c r="K167" s="137">
        <f t="shared" si="13"/>
        <v>0</v>
      </c>
      <c r="L167" s="132">
        <f t="shared" si="17"/>
        <v>0</v>
      </c>
      <c r="M167" s="114">
        <f t="shared" si="14"/>
        <v>0</v>
      </c>
    </row>
    <row r="168" spans="11:13" hidden="1" x14ac:dyDescent="0.25">
      <c r="K168" s="137">
        <f t="shared" si="13"/>
        <v>0</v>
      </c>
      <c r="L168" s="132">
        <f t="shared" si="17"/>
        <v>0</v>
      </c>
      <c r="M168" s="114">
        <f t="shared" si="14"/>
        <v>0</v>
      </c>
    </row>
    <row r="169" spans="11:13" hidden="1" x14ac:dyDescent="0.25">
      <c r="K169" s="137">
        <f t="shared" si="13"/>
        <v>0</v>
      </c>
      <c r="L169" s="132">
        <f t="shared" si="17"/>
        <v>0</v>
      </c>
      <c r="M169" s="114">
        <f t="shared" si="14"/>
        <v>0</v>
      </c>
    </row>
    <row r="170" spans="11:13" hidden="1" x14ac:dyDescent="0.25">
      <c r="K170" s="137">
        <f t="shared" si="13"/>
        <v>0</v>
      </c>
      <c r="L170" s="132">
        <f t="shared" si="17"/>
        <v>0</v>
      </c>
      <c r="M170" s="114">
        <f t="shared" si="14"/>
        <v>0</v>
      </c>
    </row>
    <row r="171" spans="11:13" hidden="1" x14ac:dyDescent="0.25">
      <c r="K171" s="137">
        <f t="shared" si="13"/>
        <v>0</v>
      </c>
      <c r="L171" s="132">
        <f t="shared" si="17"/>
        <v>0</v>
      </c>
      <c r="M171" s="114">
        <f t="shared" si="14"/>
        <v>0</v>
      </c>
    </row>
    <row r="172" spans="11:13" hidden="1" x14ac:dyDescent="0.25">
      <c r="K172" s="137">
        <f t="shared" si="13"/>
        <v>0</v>
      </c>
      <c r="L172" s="132">
        <f t="shared" si="17"/>
        <v>0</v>
      </c>
      <c r="M172" s="114">
        <f t="shared" si="14"/>
        <v>0</v>
      </c>
    </row>
    <row r="173" spans="11:13" hidden="1" x14ac:dyDescent="0.25">
      <c r="K173" s="137">
        <f t="shared" si="13"/>
        <v>0</v>
      </c>
      <c r="L173" s="132">
        <f t="shared" si="17"/>
        <v>0</v>
      </c>
      <c r="M173" s="114">
        <f t="shared" si="14"/>
        <v>0</v>
      </c>
    </row>
    <row r="174" spans="11:13" hidden="1" x14ac:dyDescent="0.25">
      <c r="K174" s="137">
        <f t="shared" si="13"/>
        <v>0</v>
      </c>
      <c r="L174" s="132">
        <f t="shared" si="17"/>
        <v>0</v>
      </c>
      <c r="M174" s="114">
        <f t="shared" si="14"/>
        <v>0</v>
      </c>
    </row>
    <row r="175" spans="11:13" hidden="1" x14ac:dyDescent="0.25">
      <c r="K175" s="137">
        <f t="shared" si="13"/>
        <v>0</v>
      </c>
      <c r="L175" s="132">
        <f t="shared" si="17"/>
        <v>0</v>
      </c>
      <c r="M175" s="114">
        <f t="shared" si="14"/>
        <v>0</v>
      </c>
    </row>
    <row r="176" spans="11:13" hidden="1" x14ac:dyDescent="0.25">
      <c r="K176" s="137">
        <f t="shared" si="13"/>
        <v>0</v>
      </c>
      <c r="L176" s="132">
        <f t="shared" si="17"/>
        <v>0</v>
      </c>
      <c r="M176" s="114">
        <f t="shared" si="14"/>
        <v>0</v>
      </c>
    </row>
    <row r="177" spans="11:13" hidden="1" x14ac:dyDescent="0.25">
      <c r="K177" s="137">
        <f t="shared" si="13"/>
        <v>0</v>
      </c>
      <c r="L177" s="132">
        <f t="shared" si="17"/>
        <v>0</v>
      </c>
      <c r="M177" s="114">
        <f t="shared" si="14"/>
        <v>0</v>
      </c>
    </row>
    <row r="178" spans="11:13" hidden="1" x14ac:dyDescent="0.25">
      <c r="K178" s="137">
        <f t="shared" si="13"/>
        <v>0</v>
      </c>
      <c r="L178" s="132">
        <f t="shared" si="17"/>
        <v>0</v>
      </c>
      <c r="M178" s="114">
        <f t="shared" si="14"/>
        <v>0</v>
      </c>
    </row>
    <row r="179" spans="11:13" hidden="1" x14ac:dyDescent="0.25">
      <c r="K179" s="137">
        <f t="shared" si="13"/>
        <v>0</v>
      </c>
      <c r="L179" s="132">
        <f t="shared" si="17"/>
        <v>0</v>
      </c>
      <c r="M179" s="114">
        <f t="shared" si="14"/>
        <v>0</v>
      </c>
    </row>
    <row r="180" spans="11:13" hidden="1" x14ac:dyDescent="0.25">
      <c r="K180" s="137">
        <f t="shared" si="13"/>
        <v>0</v>
      </c>
      <c r="L180" s="132">
        <f t="shared" si="17"/>
        <v>0</v>
      </c>
      <c r="M180" s="114">
        <f t="shared" si="14"/>
        <v>0</v>
      </c>
    </row>
    <row r="181" spans="11:13" hidden="1" x14ac:dyDescent="0.25">
      <c r="K181" s="137">
        <f t="shared" si="13"/>
        <v>0</v>
      </c>
      <c r="L181" s="132">
        <f t="shared" si="17"/>
        <v>0</v>
      </c>
      <c r="M181" s="114">
        <f t="shared" si="14"/>
        <v>0</v>
      </c>
    </row>
    <row r="182" spans="11:13" hidden="1" x14ac:dyDescent="0.25">
      <c r="K182" s="137">
        <f t="shared" si="13"/>
        <v>0</v>
      </c>
      <c r="L182" s="132">
        <f t="shared" si="17"/>
        <v>0</v>
      </c>
      <c r="M182" s="114">
        <f t="shared" si="14"/>
        <v>0</v>
      </c>
    </row>
    <row r="183" spans="11:13" hidden="1" x14ac:dyDescent="0.25">
      <c r="K183" s="137">
        <f t="shared" si="13"/>
        <v>0</v>
      </c>
      <c r="L183" s="132">
        <f t="shared" si="17"/>
        <v>0</v>
      </c>
      <c r="M183" s="114">
        <f t="shared" si="14"/>
        <v>0</v>
      </c>
    </row>
    <row r="184" spans="11:13" hidden="1" x14ac:dyDescent="0.25">
      <c r="K184" s="137">
        <f t="shared" si="13"/>
        <v>0</v>
      </c>
      <c r="L184" s="132">
        <f t="shared" si="17"/>
        <v>0</v>
      </c>
      <c r="M184" s="114">
        <f t="shared" si="14"/>
        <v>0</v>
      </c>
    </row>
    <row r="185" spans="11:13" hidden="1" x14ac:dyDescent="0.25">
      <c r="K185" s="137">
        <f t="shared" si="13"/>
        <v>0</v>
      </c>
      <c r="L185" s="132">
        <f t="shared" si="17"/>
        <v>0</v>
      </c>
      <c r="M185" s="114">
        <f t="shared" si="14"/>
        <v>0</v>
      </c>
    </row>
    <row r="186" spans="11:13" hidden="1" x14ac:dyDescent="0.25">
      <c r="K186" s="137">
        <f t="shared" si="13"/>
        <v>0</v>
      </c>
      <c r="L186" s="132">
        <f t="shared" si="17"/>
        <v>0</v>
      </c>
      <c r="M186" s="114">
        <f t="shared" si="14"/>
        <v>0</v>
      </c>
    </row>
    <row r="187" spans="11:13" hidden="1" x14ac:dyDescent="0.25">
      <c r="K187" s="137">
        <f t="shared" si="13"/>
        <v>0</v>
      </c>
      <c r="L187" s="132">
        <f t="shared" si="17"/>
        <v>0</v>
      </c>
      <c r="M187" s="114">
        <f t="shared" si="14"/>
        <v>0</v>
      </c>
    </row>
    <row r="188" spans="11:13" hidden="1" x14ac:dyDescent="0.25">
      <c r="K188" s="137">
        <f t="shared" si="13"/>
        <v>0</v>
      </c>
      <c r="L188" s="132">
        <f t="shared" si="17"/>
        <v>0</v>
      </c>
      <c r="M188" s="114">
        <f t="shared" si="14"/>
        <v>0</v>
      </c>
    </row>
    <row r="189" spans="11:13" hidden="1" x14ac:dyDescent="0.25">
      <c r="K189" s="137">
        <f t="shared" si="13"/>
        <v>0</v>
      </c>
      <c r="L189" s="132">
        <f t="shared" si="17"/>
        <v>0</v>
      </c>
      <c r="M189" s="114">
        <f t="shared" si="14"/>
        <v>0</v>
      </c>
    </row>
    <row r="190" spans="11:13" hidden="1" x14ac:dyDescent="0.25">
      <c r="K190" s="137">
        <f t="shared" si="13"/>
        <v>0</v>
      </c>
      <c r="L190" s="132">
        <f t="shared" si="17"/>
        <v>0</v>
      </c>
      <c r="M190" s="114">
        <f t="shared" si="14"/>
        <v>0</v>
      </c>
    </row>
    <row r="191" spans="11:13" hidden="1" x14ac:dyDescent="0.25">
      <c r="K191" s="137">
        <f t="shared" si="13"/>
        <v>0</v>
      </c>
      <c r="L191" s="132">
        <f t="shared" si="17"/>
        <v>0</v>
      </c>
      <c r="M191" s="114">
        <f t="shared" si="14"/>
        <v>0</v>
      </c>
    </row>
    <row r="192" spans="11:13" hidden="1" x14ac:dyDescent="0.25">
      <c r="K192" s="137">
        <f t="shared" si="13"/>
        <v>0</v>
      </c>
      <c r="L192" s="132">
        <f t="shared" si="17"/>
        <v>0</v>
      </c>
      <c r="M192" s="114">
        <f t="shared" si="14"/>
        <v>0</v>
      </c>
    </row>
    <row r="193" spans="11:13" hidden="1" x14ac:dyDescent="0.25">
      <c r="K193" s="137">
        <f t="shared" si="13"/>
        <v>0</v>
      </c>
      <c r="L193" s="132">
        <f t="shared" si="17"/>
        <v>0</v>
      </c>
      <c r="M193" s="114">
        <f t="shared" si="14"/>
        <v>0</v>
      </c>
    </row>
    <row r="194" spans="11:13" hidden="1" x14ac:dyDescent="0.25">
      <c r="K194" s="137">
        <f t="shared" si="13"/>
        <v>0</v>
      </c>
      <c r="L194" s="132">
        <f t="shared" si="17"/>
        <v>0</v>
      </c>
      <c r="M194" s="114">
        <f t="shared" si="14"/>
        <v>0</v>
      </c>
    </row>
    <row r="195" spans="11:13" hidden="1" x14ac:dyDescent="0.25">
      <c r="K195" s="137">
        <f t="shared" si="13"/>
        <v>0</v>
      </c>
      <c r="L195" s="132">
        <f t="shared" si="17"/>
        <v>0</v>
      </c>
      <c r="M195" s="114">
        <f t="shared" si="14"/>
        <v>0</v>
      </c>
    </row>
    <row r="196" spans="11:13" hidden="1" x14ac:dyDescent="0.25">
      <c r="K196" s="137">
        <f t="shared" si="13"/>
        <v>0</v>
      </c>
      <c r="L196" s="132">
        <f t="shared" si="17"/>
        <v>0</v>
      </c>
      <c r="M196" s="114">
        <f t="shared" si="14"/>
        <v>0</v>
      </c>
    </row>
    <row r="197" spans="11:13" hidden="1" x14ac:dyDescent="0.25">
      <c r="K197" s="137">
        <f t="shared" ref="K197:K260" si="18">SUM(F197:J197)</f>
        <v>0</v>
      </c>
      <c r="L197" s="132">
        <f t="shared" si="17"/>
        <v>0</v>
      </c>
      <c r="M197" s="114">
        <f t="shared" ref="M197:M260" si="19">SUM(K197*L197)</f>
        <v>0</v>
      </c>
    </row>
    <row r="198" spans="11:13" hidden="1" x14ac:dyDescent="0.25">
      <c r="K198" s="137">
        <f t="shared" si="18"/>
        <v>0</v>
      </c>
      <c r="L198" s="132">
        <f t="shared" si="17"/>
        <v>0</v>
      </c>
      <c r="M198" s="114">
        <f t="shared" si="19"/>
        <v>0</v>
      </c>
    </row>
    <row r="199" spans="11:13" hidden="1" x14ac:dyDescent="0.25">
      <c r="K199" s="137">
        <f t="shared" si="18"/>
        <v>0</v>
      </c>
      <c r="L199" s="132">
        <f t="shared" si="17"/>
        <v>0</v>
      </c>
      <c r="M199" s="114">
        <f t="shared" si="19"/>
        <v>0</v>
      </c>
    </row>
    <row r="200" spans="11:13" hidden="1" x14ac:dyDescent="0.25">
      <c r="K200" s="137">
        <f t="shared" si="18"/>
        <v>0</v>
      </c>
      <c r="L200" s="132">
        <f t="shared" si="17"/>
        <v>0</v>
      </c>
      <c r="M200" s="114">
        <f t="shared" si="19"/>
        <v>0</v>
      </c>
    </row>
    <row r="201" spans="11:13" hidden="1" x14ac:dyDescent="0.25">
      <c r="K201" s="137">
        <f t="shared" si="18"/>
        <v>0</v>
      </c>
      <c r="L201" s="132">
        <f t="shared" si="17"/>
        <v>0</v>
      </c>
      <c r="M201" s="114">
        <f t="shared" si="19"/>
        <v>0</v>
      </c>
    </row>
    <row r="202" spans="11:13" hidden="1" x14ac:dyDescent="0.25">
      <c r="K202" s="137">
        <f t="shared" si="18"/>
        <v>0</v>
      </c>
      <c r="L202" s="132">
        <f t="shared" si="17"/>
        <v>0</v>
      </c>
      <c r="M202" s="114">
        <f t="shared" si="19"/>
        <v>0</v>
      </c>
    </row>
    <row r="203" spans="11:13" hidden="1" x14ac:dyDescent="0.25">
      <c r="K203" s="137">
        <f t="shared" si="18"/>
        <v>0</v>
      </c>
      <c r="L203" s="132">
        <f t="shared" si="17"/>
        <v>0</v>
      </c>
      <c r="M203" s="114">
        <f t="shared" si="19"/>
        <v>0</v>
      </c>
    </row>
    <row r="204" spans="11:13" hidden="1" x14ac:dyDescent="0.25">
      <c r="K204" s="137">
        <f t="shared" si="18"/>
        <v>0</v>
      </c>
      <c r="L204" s="132">
        <f t="shared" si="17"/>
        <v>0</v>
      </c>
      <c r="M204" s="114">
        <f t="shared" si="19"/>
        <v>0</v>
      </c>
    </row>
    <row r="205" spans="11:13" hidden="1" x14ac:dyDescent="0.25">
      <c r="K205" s="137">
        <f t="shared" si="18"/>
        <v>0</v>
      </c>
      <c r="L205" s="132">
        <f t="shared" si="17"/>
        <v>0</v>
      </c>
      <c r="M205" s="114">
        <f t="shared" si="19"/>
        <v>0</v>
      </c>
    </row>
    <row r="206" spans="11:13" hidden="1" x14ac:dyDescent="0.25">
      <c r="K206" s="137">
        <f t="shared" si="18"/>
        <v>0</v>
      </c>
      <c r="L206" s="132">
        <f t="shared" si="17"/>
        <v>0</v>
      </c>
      <c r="M206" s="114">
        <f t="shared" si="19"/>
        <v>0</v>
      </c>
    </row>
    <row r="207" spans="11:13" hidden="1" x14ac:dyDescent="0.25">
      <c r="K207" s="137">
        <f t="shared" si="18"/>
        <v>0</v>
      </c>
      <c r="L207" s="132">
        <f t="shared" si="17"/>
        <v>0</v>
      </c>
      <c r="M207" s="114">
        <f t="shared" si="19"/>
        <v>0</v>
      </c>
    </row>
    <row r="208" spans="11:13" hidden="1" x14ac:dyDescent="0.25">
      <c r="K208" s="137">
        <f t="shared" si="18"/>
        <v>0</v>
      </c>
      <c r="L208" s="132">
        <f t="shared" si="17"/>
        <v>0</v>
      </c>
      <c r="M208" s="114">
        <f t="shared" si="19"/>
        <v>0</v>
      </c>
    </row>
    <row r="209" spans="11:13" hidden="1" x14ac:dyDescent="0.25">
      <c r="K209" s="137">
        <f t="shared" si="18"/>
        <v>0</v>
      </c>
      <c r="L209" s="132">
        <f t="shared" si="17"/>
        <v>0</v>
      </c>
      <c r="M209" s="114">
        <f t="shared" si="19"/>
        <v>0</v>
      </c>
    </row>
    <row r="210" spans="11:13" hidden="1" x14ac:dyDescent="0.25">
      <c r="K210" s="137">
        <f t="shared" si="18"/>
        <v>0</v>
      </c>
      <c r="L210" s="132">
        <f t="shared" si="17"/>
        <v>0</v>
      </c>
      <c r="M210" s="114">
        <f t="shared" si="19"/>
        <v>0</v>
      </c>
    </row>
    <row r="211" spans="11:13" hidden="1" x14ac:dyDescent="0.25">
      <c r="K211" s="137">
        <f t="shared" si="18"/>
        <v>0</v>
      </c>
      <c r="L211" s="132">
        <f t="shared" si="17"/>
        <v>0</v>
      </c>
      <c r="M211" s="114">
        <f t="shared" si="19"/>
        <v>0</v>
      </c>
    </row>
    <row r="212" spans="11:13" hidden="1" x14ac:dyDescent="0.25">
      <c r="K212" s="137">
        <f t="shared" si="18"/>
        <v>0</v>
      </c>
      <c r="L212" s="132">
        <f t="shared" si="17"/>
        <v>0</v>
      </c>
      <c r="M212" s="114">
        <f t="shared" si="19"/>
        <v>0</v>
      </c>
    </row>
    <row r="213" spans="11:13" hidden="1" x14ac:dyDescent="0.25">
      <c r="K213" s="137">
        <f t="shared" si="18"/>
        <v>0</v>
      </c>
      <c r="L213" s="132">
        <f t="shared" si="17"/>
        <v>0</v>
      </c>
      <c r="M213" s="114">
        <f t="shared" si="19"/>
        <v>0</v>
      </c>
    </row>
    <row r="214" spans="11:13" hidden="1" x14ac:dyDescent="0.25">
      <c r="K214" s="137">
        <f t="shared" si="18"/>
        <v>0</v>
      </c>
      <c r="L214" s="132">
        <f t="shared" si="17"/>
        <v>0</v>
      </c>
      <c r="M214" s="114">
        <f t="shared" si="19"/>
        <v>0</v>
      </c>
    </row>
    <row r="215" spans="11:13" hidden="1" x14ac:dyDescent="0.25">
      <c r="K215" s="137">
        <f t="shared" si="18"/>
        <v>0</v>
      </c>
      <c r="L215" s="132">
        <f t="shared" si="17"/>
        <v>0</v>
      </c>
      <c r="M215" s="114">
        <f t="shared" si="19"/>
        <v>0</v>
      </c>
    </row>
    <row r="216" spans="11:13" hidden="1" x14ac:dyDescent="0.25">
      <c r="K216" s="137">
        <f t="shared" si="18"/>
        <v>0</v>
      </c>
      <c r="L216" s="132">
        <f t="shared" si="17"/>
        <v>0</v>
      </c>
      <c r="M216" s="114">
        <f t="shared" si="19"/>
        <v>0</v>
      </c>
    </row>
    <row r="217" spans="11:13" hidden="1" x14ac:dyDescent="0.25">
      <c r="K217" s="137">
        <f t="shared" si="18"/>
        <v>0</v>
      </c>
      <c r="L217" s="132">
        <f t="shared" si="17"/>
        <v>0</v>
      </c>
      <c r="M217" s="114">
        <f t="shared" si="19"/>
        <v>0</v>
      </c>
    </row>
    <row r="218" spans="11:13" hidden="1" x14ac:dyDescent="0.25">
      <c r="K218" s="137">
        <f t="shared" si="18"/>
        <v>0</v>
      </c>
      <c r="L218" s="132">
        <f t="shared" si="17"/>
        <v>0</v>
      </c>
      <c r="M218" s="114">
        <f t="shared" si="19"/>
        <v>0</v>
      </c>
    </row>
    <row r="219" spans="11:13" hidden="1" x14ac:dyDescent="0.25">
      <c r="K219" s="137">
        <f t="shared" si="18"/>
        <v>0</v>
      </c>
      <c r="L219" s="132">
        <f t="shared" si="17"/>
        <v>0</v>
      </c>
      <c r="M219" s="114">
        <f t="shared" si="19"/>
        <v>0</v>
      </c>
    </row>
    <row r="220" spans="11:13" hidden="1" x14ac:dyDescent="0.25">
      <c r="K220" s="137">
        <f t="shared" si="18"/>
        <v>0</v>
      </c>
      <c r="L220" s="132">
        <f t="shared" si="17"/>
        <v>0</v>
      </c>
      <c r="M220" s="114">
        <f t="shared" si="19"/>
        <v>0</v>
      </c>
    </row>
    <row r="221" spans="11:13" hidden="1" x14ac:dyDescent="0.25">
      <c r="K221" s="137">
        <f t="shared" si="18"/>
        <v>0</v>
      </c>
      <c r="L221" s="132">
        <f t="shared" si="17"/>
        <v>0</v>
      </c>
      <c r="M221" s="114">
        <f t="shared" si="19"/>
        <v>0</v>
      </c>
    </row>
    <row r="222" spans="11:13" hidden="1" x14ac:dyDescent="0.25">
      <c r="K222" s="137">
        <f t="shared" si="18"/>
        <v>0</v>
      </c>
      <c r="L222" s="132">
        <f t="shared" ref="L222:L285" si="20">IF(D222="X",0,IF(E222="",0,IF(E222="X",0,VLOOKUP(E222,$F$539:$G$553,2))))</f>
        <v>0</v>
      </c>
      <c r="M222" s="114">
        <f t="shared" si="19"/>
        <v>0</v>
      </c>
    </row>
    <row r="223" spans="11:13" hidden="1" x14ac:dyDescent="0.25">
      <c r="K223" s="137">
        <f t="shared" si="18"/>
        <v>0</v>
      </c>
      <c r="L223" s="132">
        <f t="shared" si="20"/>
        <v>0</v>
      </c>
      <c r="M223" s="114">
        <f t="shared" si="19"/>
        <v>0</v>
      </c>
    </row>
    <row r="224" spans="11:13" hidden="1" x14ac:dyDescent="0.25">
      <c r="K224" s="137">
        <f t="shared" si="18"/>
        <v>0</v>
      </c>
      <c r="L224" s="132">
        <f t="shared" si="20"/>
        <v>0</v>
      </c>
      <c r="M224" s="114">
        <f t="shared" si="19"/>
        <v>0</v>
      </c>
    </row>
    <row r="225" spans="11:13" hidden="1" x14ac:dyDescent="0.25">
      <c r="K225" s="137">
        <f t="shared" si="18"/>
        <v>0</v>
      </c>
      <c r="L225" s="132">
        <f t="shared" si="20"/>
        <v>0</v>
      </c>
      <c r="M225" s="114">
        <f t="shared" si="19"/>
        <v>0</v>
      </c>
    </row>
    <row r="226" spans="11:13" hidden="1" x14ac:dyDescent="0.25">
      <c r="K226" s="137">
        <f t="shared" si="18"/>
        <v>0</v>
      </c>
      <c r="L226" s="132">
        <f t="shared" si="20"/>
        <v>0</v>
      </c>
      <c r="M226" s="114">
        <f t="shared" si="19"/>
        <v>0</v>
      </c>
    </row>
    <row r="227" spans="11:13" hidden="1" x14ac:dyDescent="0.25">
      <c r="K227" s="137">
        <f t="shared" si="18"/>
        <v>0</v>
      </c>
      <c r="L227" s="132">
        <f t="shared" si="20"/>
        <v>0</v>
      </c>
      <c r="M227" s="114">
        <f t="shared" si="19"/>
        <v>0</v>
      </c>
    </row>
    <row r="228" spans="11:13" hidden="1" x14ac:dyDescent="0.25">
      <c r="K228" s="137">
        <f t="shared" si="18"/>
        <v>0</v>
      </c>
      <c r="L228" s="132">
        <f t="shared" si="20"/>
        <v>0</v>
      </c>
      <c r="M228" s="114">
        <f t="shared" si="19"/>
        <v>0</v>
      </c>
    </row>
    <row r="229" spans="11:13" hidden="1" x14ac:dyDescent="0.25">
      <c r="K229" s="137">
        <f t="shared" si="18"/>
        <v>0</v>
      </c>
      <c r="L229" s="132">
        <f t="shared" si="20"/>
        <v>0</v>
      </c>
      <c r="M229" s="114">
        <f t="shared" si="19"/>
        <v>0</v>
      </c>
    </row>
    <row r="230" spans="11:13" hidden="1" x14ac:dyDescent="0.25">
      <c r="K230" s="137">
        <f t="shared" si="18"/>
        <v>0</v>
      </c>
      <c r="L230" s="132">
        <f t="shared" si="20"/>
        <v>0</v>
      </c>
      <c r="M230" s="114">
        <f t="shared" si="19"/>
        <v>0</v>
      </c>
    </row>
    <row r="231" spans="11:13" hidden="1" x14ac:dyDescent="0.25">
      <c r="K231" s="137">
        <f t="shared" si="18"/>
        <v>0</v>
      </c>
      <c r="L231" s="132">
        <f t="shared" si="20"/>
        <v>0</v>
      </c>
      <c r="M231" s="114">
        <f t="shared" si="19"/>
        <v>0</v>
      </c>
    </row>
    <row r="232" spans="11:13" hidden="1" x14ac:dyDescent="0.25">
      <c r="K232" s="137">
        <f t="shared" si="18"/>
        <v>0</v>
      </c>
      <c r="L232" s="132">
        <f t="shared" si="20"/>
        <v>0</v>
      </c>
      <c r="M232" s="114">
        <f t="shared" si="19"/>
        <v>0</v>
      </c>
    </row>
    <row r="233" spans="11:13" hidden="1" x14ac:dyDescent="0.25">
      <c r="K233" s="137">
        <f t="shared" si="18"/>
        <v>0</v>
      </c>
      <c r="L233" s="132">
        <f t="shared" si="20"/>
        <v>0</v>
      </c>
      <c r="M233" s="114">
        <f t="shared" si="19"/>
        <v>0</v>
      </c>
    </row>
    <row r="234" spans="11:13" hidden="1" x14ac:dyDescent="0.25">
      <c r="K234" s="137">
        <f t="shared" si="18"/>
        <v>0</v>
      </c>
      <c r="L234" s="132">
        <f t="shared" si="20"/>
        <v>0</v>
      </c>
      <c r="M234" s="114">
        <f t="shared" si="19"/>
        <v>0</v>
      </c>
    </row>
    <row r="235" spans="11:13" hidden="1" x14ac:dyDescent="0.25">
      <c r="K235" s="137">
        <f t="shared" si="18"/>
        <v>0</v>
      </c>
      <c r="L235" s="132">
        <f t="shared" si="20"/>
        <v>0</v>
      </c>
      <c r="M235" s="114">
        <f t="shared" si="19"/>
        <v>0</v>
      </c>
    </row>
    <row r="236" spans="11:13" hidden="1" x14ac:dyDescent="0.25">
      <c r="K236" s="137">
        <f t="shared" si="18"/>
        <v>0</v>
      </c>
      <c r="L236" s="132">
        <f t="shared" si="20"/>
        <v>0</v>
      </c>
      <c r="M236" s="114">
        <f t="shared" si="19"/>
        <v>0</v>
      </c>
    </row>
    <row r="237" spans="11:13" hidden="1" x14ac:dyDescent="0.25">
      <c r="K237" s="137">
        <f t="shared" si="18"/>
        <v>0</v>
      </c>
      <c r="L237" s="132">
        <f t="shared" si="20"/>
        <v>0</v>
      </c>
      <c r="M237" s="114">
        <f t="shared" si="19"/>
        <v>0</v>
      </c>
    </row>
    <row r="238" spans="11:13" hidden="1" x14ac:dyDescent="0.25">
      <c r="K238" s="137">
        <f t="shared" si="18"/>
        <v>0</v>
      </c>
      <c r="L238" s="132">
        <f t="shared" si="20"/>
        <v>0</v>
      </c>
      <c r="M238" s="114">
        <f t="shared" si="19"/>
        <v>0</v>
      </c>
    </row>
    <row r="239" spans="11:13" hidden="1" x14ac:dyDescent="0.25">
      <c r="K239" s="137">
        <f t="shared" si="18"/>
        <v>0</v>
      </c>
      <c r="L239" s="132">
        <f t="shared" si="20"/>
        <v>0</v>
      </c>
      <c r="M239" s="114">
        <f t="shared" si="19"/>
        <v>0</v>
      </c>
    </row>
    <row r="240" spans="11:13" hidden="1" x14ac:dyDescent="0.25">
      <c r="K240" s="137">
        <f t="shared" si="18"/>
        <v>0</v>
      </c>
      <c r="L240" s="132">
        <f t="shared" si="20"/>
        <v>0</v>
      </c>
      <c r="M240" s="114">
        <f t="shared" si="19"/>
        <v>0</v>
      </c>
    </row>
    <row r="241" spans="11:13" hidden="1" x14ac:dyDescent="0.25">
      <c r="K241" s="137">
        <f t="shared" si="18"/>
        <v>0</v>
      </c>
      <c r="L241" s="132">
        <f t="shared" si="20"/>
        <v>0</v>
      </c>
      <c r="M241" s="114">
        <f t="shared" si="19"/>
        <v>0</v>
      </c>
    </row>
    <row r="242" spans="11:13" hidden="1" x14ac:dyDescent="0.25">
      <c r="K242" s="137">
        <f t="shared" si="18"/>
        <v>0</v>
      </c>
      <c r="L242" s="132">
        <f t="shared" si="20"/>
        <v>0</v>
      </c>
      <c r="M242" s="114">
        <f t="shared" si="19"/>
        <v>0</v>
      </c>
    </row>
    <row r="243" spans="11:13" hidden="1" x14ac:dyDescent="0.25">
      <c r="K243" s="137">
        <f t="shared" si="18"/>
        <v>0</v>
      </c>
      <c r="L243" s="132">
        <f t="shared" si="20"/>
        <v>0</v>
      </c>
      <c r="M243" s="114">
        <f t="shared" si="19"/>
        <v>0</v>
      </c>
    </row>
    <row r="244" spans="11:13" hidden="1" x14ac:dyDescent="0.25">
      <c r="K244" s="137">
        <f t="shared" si="18"/>
        <v>0</v>
      </c>
      <c r="L244" s="132">
        <f t="shared" si="20"/>
        <v>0</v>
      </c>
      <c r="M244" s="114">
        <f t="shared" si="19"/>
        <v>0</v>
      </c>
    </row>
    <row r="245" spans="11:13" hidden="1" x14ac:dyDescent="0.25">
      <c r="K245" s="137">
        <f t="shared" si="18"/>
        <v>0</v>
      </c>
      <c r="L245" s="132">
        <f t="shared" si="20"/>
        <v>0</v>
      </c>
      <c r="M245" s="114">
        <f t="shared" si="19"/>
        <v>0</v>
      </c>
    </row>
    <row r="246" spans="11:13" hidden="1" x14ac:dyDescent="0.25">
      <c r="K246" s="137">
        <f t="shared" si="18"/>
        <v>0</v>
      </c>
      <c r="L246" s="132">
        <f t="shared" si="20"/>
        <v>0</v>
      </c>
      <c r="M246" s="114">
        <f t="shared" si="19"/>
        <v>0</v>
      </c>
    </row>
    <row r="247" spans="11:13" hidden="1" x14ac:dyDescent="0.25">
      <c r="K247" s="137">
        <f t="shared" si="18"/>
        <v>0</v>
      </c>
      <c r="L247" s="132">
        <f t="shared" si="20"/>
        <v>0</v>
      </c>
      <c r="M247" s="114">
        <f t="shared" si="19"/>
        <v>0</v>
      </c>
    </row>
    <row r="248" spans="11:13" hidden="1" x14ac:dyDescent="0.25">
      <c r="K248" s="137">
        <f t="shared" si="18"/>
        <v>0</v>
      </c>
      <c r="L248" s="132">
        <f t="shared" si="20"/>
        <v>0</v>
      </c>
      <c r="M248" s="114">
        <f t="shared" si="19"/>
        <v>0</v>
      </c>
    </row>
    <row r="249" spans="11:13" hidden="1" x14ac:dyDescent="0.25">
      <c r="K249" s="137">
        <f t="shared" si="18"/>
        <v>0</v>
      </c>
      <c r="L249" s="132">
        <f t="shared" si="20"/>
        <v>0</v>
      </c>
      <c r="M249" s="114">
        <f t="shared" si="19"/>
        <v>0</v>
      </c>
    </row>
    <row r="250" spans="11:13" hidden="1" x14ac:dyDescent="0.25">
      <c r="K250" s="137">
        <f t="shared" si="18"/>
        <v>0</v>
      </c>
      <c r="L250" s="132">
        <f t="shared" si="20"/>
        <v>0</v>
      </c>
      <c r="M250" s="114">
        <f t="shared" si="19"/>
        <v>0</v>
      </c>
    </row>
    <row r="251" spans="11:13" hidden="1" x14ac:dyDescent="0.25">
      <c r="K251" s="137">
        <f t="shared" si="18"/>
        <v>0</v>
      </c>
      <c r="L251" s="132">
        <f t="shared" si="20"/>
        <v>0</v>
      </c>
      <c r="M251" s="114">
        <f t="shared" si="19"/>
        <v>0</v>
      </c>
    </row>
    <row r="252" spans="11:13" hidden="1" x14ac:dyDescent="0.25">
      <c r="K252" s="137">
        <f t="shared" si="18"/>
        <v>0</v>
      </c>
      <c r="L252" s="132">
        <f t="shared" si="20"/>
        <v>0</v>
      </c>
      <c r="M252" s="114">
        <f t="shared" si="19"/>
        <v>0</v>
      </c>
    </row>
    <row r="253" spans="11:13" hidden="1" x14ac:dyDescent="0.25">
      <c r="K253" s="137">
        <f t="shared" si="18"/>
        <v>0</v>
      </c>
      <c r="L253" s="132">
        <f t="shared" si="20"/>
        <v>0</v>
      </c>
      <c r="M253" s="114">
        <f t="shared" si="19"/>
        <v>0</v>
      </c>
    </row>
    <row r="254" spans="11:13" hidden="1" x14ac:dyDescent="0.25">
      <c r="K254" s="137">
        <f t="shared" si="18"/>
        <v>0</v>
      </c>
      <c r="L254" s="132">
        <f t="shared" si="20"/>
        <v>0</v>
      </c>
      <c r="M254" s="114">
        <f t="shared" si="19"/>
        <v>0</v>
      </c>
    </row>
    <row r="255" spans="11:13" hidden="1" x14ac:dyDescent="0.25">
      <c r="K255" s="137">
        <f t="shared" si="18"/>
        <v>0</v>
      </c>
      <c r="L255" s="132">
        <f t="shared" si="20"/>
        <v>0</v>
      </c>
      <c r="M255" s="114">
        <f t="shared" si="19"/>
        <v>0</v>
      </c>
    </row>
    <row r="256" spans="11:13" hidden="1" x14ac:dyDescent="0.25">
      <c r="K256" s="137">
        <f t="shared" si="18"/>
        <v>0</v>
      </c>
      <c r="L256" s="132">
        <f t="shared" si="20"/>
        <v>0</v>
      </c>
      <c r="M256" s="114">
        <f t="shared" si="19"/>
        <v>0</v>
      </c>
    </row>
    <row r="257" spans="11:13" hidden="1" x14ac:dyDescent="0.25">
      <c r="K257" s="137">
        <f t="shared" si="18"/>
        <v>0</v>
      </c>
      <c r="L257" s="132">
        <f t="shared" si="20"/>
        <v>0</v>
      </c>
      <c r="M257" s="114">
        <f t="shared" si="19"/>
        <v>0</v>
      </c>
    </row>
    <row r="258" spans="11:13" hidden="1" x14ac:dyDescent="0.25">
      <c r="K258" s="137">
        <f t="shared" si="18"/>
        <v>0</v>
      </c>
      <c r="L258" s="132">
        <f t="shared" si="20"/>
        <v>0</v>
      </c>
      <c r="M258" s="114">
        <f t="shared" si="19"/>
        <v>0</v>
      </c>
    </row>
    <row r="259" spans="11:13" hidden="1" x14ac:dyDescent="0.25">
      <c r="K259" s="137">
        <f t="shared" si="18"/>
        <v>0</v>
      </c>
      <c r="L259" s="132">
        <f t="shared" si="20"/>
        <v>0</v>
      </c>
      <c r="M259" s="114">
        <f t="shared" si="19"/>
        <v>0</v>
      </c>
    </row>
    <row r="260" spans="11:13" hidden="1" x14ac:dyDescent="0.25">
      <c r="K260" s="137">
        <f t="shared" si="18"/>
        <v>0</v>
      </c>
      <c r="L260" s="132">
        <f t="shared" si="20"/>
        <v>0</v>
      </c>
      <c r="M260" s="114">
        <f t="shared" si="19"/>
        <v>0</v>
      </c>
    </row>
    <row r="261" spans="11:13" hidden="1" x14ac:dyDescent="0.25">
      <c r="K261" s="137">
        <f t="shared" ref="K261:K324" si="21">SUM(F261:J261)</f>
        <v>0</v>
      </c>
      <c r="L261" s="132">
        <f t="shared" si="20"/>
        <v>0</v>
      </c>
      <c r="M261" s="114">
        <f t="shared" ref="M261:M324" si="22">SUM(K261*L261)</f>
        <v>0</v>
      </c>
    </row>
    <row r="262" spans="11:13" hidden="1" x14ac:dyDescent="0.25">
      <c r="K262" s="137">
        <f t="shared" si="21"/>
        <v>0</v>
      </c>
      <c r="L262" s="132">
        <f t="shared" si="20"/>
        <v>0</v>
      </c>
      <c r="M262" s="114">
        <f t="shared" si="22"/>
        <v>0</v>
      </c>
    </row>
    <row r="263" spans="11:13" hidden="1" x14ac:dyDescent="0.25">
      <c r="K263" s="137">
        <f t="shared" si="21"/>
        <v>0</v>
      </c>
      <c r="L263" s="132">
        <f t="shared" si="20"/>
        <v>0</v>
      </c>
      <c r="M263" s="114">
        <f t="shared" si="22"/>
        <v>0</v>
      </c>
    </row>
    <row r="264" spans="11:13" hidden="1" x14ac:dyDescent="0.25">
      <c r="K264" s="137">
        <f t="shared" si="21"/>
        <v>0</v>
      </c>
      <c r="L264" s="132">
        <f t="shared" si="20"/>
        <v>0</v>
      </c>
      <c r="M264" s="114">
        <f t="shared" si="22"/>
        <v>0</v>
      </c>
    </row>
    <row r="265" spans="11:13" hidden="1" x14ac:dyDescent="0.25">
      <c r="K265" s="137">
        <f t="shared" si="21"/>
        <v>0</v>
      </c>
      <c r="L265" s="132">
        <f t="shared" si="20"/>
        <v>0</v>
      </c>
      <c r="M265" s="114">
        <f t="shared" si="22"/>
        <v>0</v>
      </c>
    </row>
    <row r="266" spans="11:13" hidden="1" x14ac:dyDescent="0.25">
      <c r="K266" s="137">
        <f t="shared" si="21"/>
        <v>0</v>
      </c>
      <c r="L266" s="132">
        <f t="shared" si="20"/>
        <v>0</v>
      </c>
      <c r="M266" s="114">
        <f t="shared" si="22"/>
        <v>0</v>
      </c>
    </row>
    <row r="267" spans="11:13" hidden="1" x14ac:dyDescent="0.25">
      <c r="K267" s="137">
        <f t="shared" si="21"/>
        <v>0</v>
      </c>
      <c r="L267" s="132">
        <f t="shared" si="20"/>
        <v>0</v>
      </c>
      <c r="M267" s="114">
        <f t="shared" si="22"/>
        <v>0</v>
      </c>
    </row>
    <row r="268" spans="11:13" hidden="1" x14ac:dyDescent="0.25">
      <c r="K268" s="137">
        <f t="shared" si="21"/>
        <v>0</v>
      </c>
      <c r="L268" s="132">
        <f t="shared" si="20"/>
        <v>0</v>
      </c>
      <c r="M268" s="114">
        <f t="shared" si="22"/>
        <v>0</v>
      </c>
    </row>
    <row r="269" spans="11:13" hidden="1" x14ac:dyDescent="0.25">
      <c r="K269" s="137">
        <f t="shared" si="21"/>
        <v>0</v>
      </c>
      <c r="L269" s="132">
        <f t="shared" si="20"/>
        <v>0</v>
      </c>
      <c r="M269" s="114">
        <f t="shared" si="22"/>
        <v>0</v>
      </c>
    </row>
    <row r="270" spans="11:13" hidden="1" x14ac:dyDescent="0.25">
      <c r="K270" s="137">
        <f t="shared" si="21"/>
        <v>0</v>
      </c>
      <c r="L270" s="132">
        <f t="shared" si="20"/>
        <v>0</v>
      </c>
      <c r="M270" s="114">
        <f t="shared" si="22"/>
        <v>0</v>
      </c>
    </row>
    <row r="271" spans="11:13" hidden="1" x14ac:dyDescent="0.25">
      <c r="K271" s="137">
        <f t="shared" si="21"/>
        <v>0</v>
      </c>
      <c r="L271" s="132">
        <f t="shared" si="20"/>
        <v>0</v>
      </c>
      <c r="M271" s="114">
        <f t="shared" si="22"/>
        <v>0</v>
      </c>
    </row>
    <row r="272" spans="11:13" hidden="1" x14ac:dyDescent="0.25">
      <c r="K272" s="137">
        <f t="shared" si="21"/>
        <v>0</v>
      </c>
      <c r="L272" s="132">
        <f t="shared" si="20"/>
        <v>0</v>
      </c>
      <c r="M272" s="114">
        <f t="shared" si="22"/>
        <v>0</v>
      </c>
    </row>
    <row r="273" spans="11:13" hidden="1" x14ac:dyDescent="0.25">
      <c r="K273" s="137">
        <f t="shared" si="21"/>
        <v>0</v>
      </c>
      <c r="L273" s="132">
        <f t="shared" si="20"/>
        <v>0</v>
      </c>
      <c r="M273" s="114">
        <f t="shared" si="22"/>
        <v>0</v>
      </c>
    </row>
    <row r="274" spans="11:13" hidden="1" x14ac:dyDescent="0.25">
      <c r="K274" s="137">
        <f t="shared" si="21"/>
        <v>0</v>
      </c>
      <c r="L274" s="132">
        <f t="shared" si="20"/>
        <v>0</v>
      </c>
      <c r="M274" s="114">
        <f t="shared" si="22"/>
        <v>0</v>
      </c>
    </row>
    <row r="275" spans="11:13" hidden="1" x14ac:dyDescent="0.25">
      <c r="K275" s="137">
        <f t="shared" si="21"/>
        <v>0</v>
      </c>
      <c r="L275" s="132">
        <f t="shared" si="20"/>
        <v>0</v>
      </c>
      <c r="M275" s="114">
        <f t="shared" si="22"/>
        <v>0</v>
      </c>
    </row>
    <row r="276" spans="11:13" hidden="1" x14ac:dyDescent="0.25">
      <c r="K276" s="137">
        <f t="shared" si="21"/>
        <v>0</v>
      </c>
      <c r="L276" s="132">
        <f t="shared" si="20"/>
        <v>0</v>
      </c>
      <c r="M276" s="114">
        <f t="shared" si="22"/>
        <v>0</v>
      </c>
    </row>
    <row r="277" spans="11:13" hidden="1" x14ac:dyDescent="0.25">
      <c r="K277" s="137">
        <f t="shared" si="21"/>
        <v>0</v>
      </c>
      <c r="L277" s="132">
        <f t="shared" si="20"/>
        <v>0</v>
      </c>
      <c r="M277" s="114">
        <f t="shared" si="22"/>
        <v>0</v>
      </c>
    </row>
    <row r="278" spans="11:13" hidden="1" x14ac:dyDescent="0.25">
      <c r="K278" s="137">
        <f t="shared" si="21"/>
        <v>0</v>
      </c>
      <c r="L278" s="132">
        <f t="shared" si="20"/>
        <v>0</v>
      </c>
      <c r="M278" s="114">
        <f t="shared" si="22"/>
        <v>0</v>
      </c>
    </row>
    <row r="279" spans="11:13" hidden="1" x14ac:dyDescent="0.25">
      <c r="K279" s="137">
        <f t="shared" si="21"/>
        <v>0</v>
      </c>
      <c r="L279" s="132">
        <f t="shared" si="20"/>
        <v>0</v>
      </c>
      <c r="M279" s="114">
        <f t="shared" si="22"/>
        <v>0</v>
      </c>
    </row>
    <row r="280" spans="11:13" hidden="1" x14ac:dyDescent="0.25">
      <c r="K280" s="137">
        <f t="shared" si="21"/>
        <v>0</v>
      </c>
      <c r="L280" s="132">
        <f t="shared" si="20"/>
        <v>0</v>
      </c>
      <c r="M280" s="114">
        <f t="shared" si="22"/>
        <v>0</v>
      </c>
    </row>
    <row r="281" spans="11:13" hidden="1" x14ac:dyDescent="0.25">
      <c r="K281" s="137">
        <f t="shared" si="21"/>
        <v>0</v>
      </c>
      <c r="L281" s="132">
        <f t="shared" si="20"/>
        <v>0</v>
      </c>
      <c r="M281" s="114">
        <f t="shared" si="22"/>
        <v>0</v>
      </c>
    </row>
    <row r="282" spans="11:13" hidden="1" x14ac:dyDescent="0.25">
      <c r="K282" s="137">
        <f t="shared" si="21"/>
        <v>0</v>
      </c>
      <c r="L282" s="132">
        <f t="shared" si="20"/>
        <v>0</v>
      </c>
      <c r="M282" s="114">
        <f t="shared" si="22"/>
        <v>0</v>
      </c>
    </row>
    <row r="283" spans="11:13" hidden="1" x14ac:dyDescent="0.25">
      <c r="K283" s="137">
        <f t="shared" si="21"/>
        <v>0</v>
      </c>
      <c r="L283" s="132">
        <f t="shared" si="20"/>
        <v>0</v>
      </c>
      <c r="M283" s="114">
        <f t="shared" si="22"/>
        <v>0</v>
      </c>
    </row>
    <row r="284" spans="11:13" hidden="1" x14ac:dyDescent="0.25">
      <c r="K284" s="137">
        <f t="shared" si="21"/>
        <v>0</v>
      </c>
      <c r="L284" s="132">
        <f t="shared" si="20"/>
        <v>0</v>
      </c>
      <c r="M284" s="114">
        <f t="shared" si="22"/>
        <v>0</v>
      </c>
    </row>
    <row r="285" spans="11:13" hidden="1" x14ac:dyDescent="0.25">
      <c r="K285" s="137">
        <f t="shared" si="21"/>
        <v>0</v>
      </c>
      <c r="L285" s="132">
        <f t="shared" si="20"/>
        <v>0</v>
      </c>
      <c r="M285" s="114">
        <f t="shared" si="22"/>
        <v>0</v>
      </c>
    </row>
    <row r="286" spans="11:13" hidden="1" x14ac:dyDescent="0.25">
      <c r="K286" s="137">
        <f t="shared" si="21"/>
        <v>0</v>
      </c>
      <c r="L286" s="132">
        <f t="shared" ref="L286:L349" si="23">IF(D286="X",0,IF(E286="",0,IF(E286="X",0,VLOOKUP(E286,$F$539:$G$553,2))))</f>
        <v>0</v>
      </c>
      <c r="M286" s="114">
        <f t="shared" si="22"/>
        <v>0</v>
      </c>
    </row>
    <row r="287" spans="11:13" hidden="1" x14ac:dyDescent="0.25">
      <c r="K287" s="137">
        <f t="shared" si="21"/>
        <v>0</v>
      </c>
      <c r="L287" s="132">
        <f t="shared" si="23"/>
        <v>0</v>
      </c>
      <c r="M287" s="114">
        <f t="shared" si="22"/>
        <v>0</v>
      </c>
    </row>
    <row r="288" spans="11:13" hidden="1" x14ac:dyDescent="0.25">
      <c r="K288" s="137">
        <f t="shared" si="21"/>
        <v>0</v>
      </c>
      <c r="L288" s="132">
        <f t="shared" si="23"/>
        <v>0</v>
      </c>
      <c r="M288" s="114">
        <f t="shared" si="22"/>
        <v>0</v>
      </c>
    </row>
    <row r="289" spans="11:13" hidden="1" x14ac:dyDescent="0.25">
      <c r="K289" s="137">
        <f t="shared" si="21"/>
        <v>0</v>
      </c>
      <c r="L289" s="132">
        <f t="shared" si="23"/>
        <v>0</v>
      </c>
      <c r="M289" s="114">
        <f t="shared" si="22"/>
        <v>0</v>
      </c>
    </row>
    <row r="290" spans="11:13" hidden="1" x14ac:dyDescent="0.25">
      <c r="K290" s="137">
        <f t="shared" si="21"/>
        <v>0</v>
      </c>
      <c r="L290" s="132">
        <f t="shared" si="23"/>
        <v>0</v>
      </c>
      <c r="M290" s="114">
        <f t="shared" si="22"/>
        <v>0</v>
      </c>
    </row>
    <row r="291" spans="11:13" hidden="1" x14ac:dyDescent="0.25">
      <c r="K291" s="137">
        <f t="shared" si="21"/>
        <v>0</v>
      </c>
      <c r="L291" s="132">
        <f t="shared" si="23"/>
        <v>0</v>
      </c>
      <c r="M291" s="114">
        <f t="shared" si="22"/>
        <v>0</v>
      </c>
    </row>
    <row r="292" spans="11:13" hidden="1" x14ac:dyDescent="0.25">
      <c r="K292" s="137">
        <f t="shared" si="21"/>
        <v>0</v>
      </c>
      <c r="L292" s="132">
        <f t="shared" si="23"/>
        <v>0</v>
      </c>
      <c r="M292" s="114">
        <f t="shared" si="22"/>
        <v>0</v>
      </c>
    </row>
    <row r="293" spans="11:13" hidden="1" x14ac:dyDescent="0.25">
      <c r="K293" s="137">
        <f t="shared" si="21"/>
        <v>0</v>
      </c>
      <c r="L293" s="132">
        <f t="shared" si="23"/>
        <v>0</v>
      </c>
      <c r="M293" s="114">
        <f t="shared" si="22"/>
        <v>0</v>
      </c>
    </row>
    <row r="294" spans="11:13" hidden="1" x14ac:dyDescent="0.25">
      <c r="K294" s="137">
        <f t="shared" si="21"/>
        <v>0</v>
      </c>
      <c r="L294" s="132">
        <f t="shared" si="23"/>
        <v>0</v>
      </c>
      <c r="M294" s="114">
        <f t="shared" si="22"/>
        <v>0</v>
      </c>
    </row>
    <row r="295" spans="11:13" hidden="1" x14ac:dyDescent="0.25">
      <c r="K295" s="137">
        <f t="shared" si="21"/>
        <v>0</v>
      </c>
      <c r="L295" s="132">
        <f t="shared" si="23"/>
        <v>0</v>
      </c>
      <c r="M295" s="114">
        <f t="shared" si="22"/>
        <v>0</v>
      </c>
    </row>
    <row r="296" spans="11:13" hidden="1" x14ac:dyDescent="0.25">
      <c r="K296" s="137">
        <f t="shared" si="21"/>
        <v>0</v>
      </c>
      <c r="L296" s="132">
        <f t="shared" si="23"/>
        <v>0</v>
      </c>
      <c r="M296" s="114">
        <f t="shared" si="22"/>
        <v>0</v>
      </c>
    </row>
    <row r="297" spans="11:13" hidden="1" x14ac:dyDescent="0.25">
      <c r="K297" s="137">
        <f t="shared" si="21"/>
        <v>0</v>
      </c>
      <c r="L297" s="132">
        <f t="shared" si="23"/>
        <v>0</v>
      </c>
      <c r="M297" s="114">
        <f t="shared" si="22"/>
        <v>0</v>
      </c>
    </row>
    <row r="298" spans="11:13" hidden="1" x14ac:dyDescent="0.25">
      <c r="K298" s="137">
        <f t="shared" si="21"/>
        <v>0</v>
      </c>
      <c r="L298" s="132">
        <f t="shared" si="23"/>
        <v>0</v>
      </c>
      <c r="M298" s="114">
        <f t="shared" si="22"/>
        <v>0</v>
      </c>
    </row>
    <row r="299" spans="11:13" hidden="1" x14ac:dyDescent="0.25">
      <c r="K299" s="137">
        <f t="shared" si="21"/>
        <v>0</v>
      </c>
      <c r="L299" s="132">
        <f t="shared" si="23"/>
        <v>0</v>
      </c>
      <c r="M299" s="114">
        <f t="shared" si="22"/>
        <v>0</v>
      </c>
    </row>
    <row r="300" spans="11:13" hidden="1" x14ac:dyDescent="0.25">
      <c r="K300" s="137">
        <f t="shared" si="21"/>
        <v>0</v>
      </c>
      <c r="L300" s="132">
        <f t="shared" si="23"/>
        <v>0</v>
      </c>
      <c r="M300" s="114">
        <f t="shared" si="22"/>
        <v>0</v>
      </c>
    </row>
    <row r="301" spans="11:13" hidden="1" x14ac:dyDescent="0.25">
      <c r="K301" s="137">
        <f t="shared" si="21"/>
        <v>0</v>
      </c>
      <c r="L301" s="132">
        <f t="shared" si="23"/>
        <v>0</v>
      </c>
      <c r="M301" s="114">
        <f t="shared" si="22"/>
        <v>0</v>
      </c>
    </row>
    <row r="302" spans="11:13" hidden="1" x14ac:dyDescent="0.25">
      <c r="K302" s="137">
        <f t="shared" si="21"/>
        <v>0</v>
      </c>
      <c r="L302" s="132">
        <f t="shared" si="23"/>
        <v>0</v>
      </c>
      <c r="M302" s="114">
        <f t="shared" si="22"/>
        <v>0</v>
      </c>
    </row>
    <row r="303" spans="11:13" hidden="1" x14ac:dyDescent="0.25">
      <c r="K303" s="137">
        <f t="shared" si="21"/>
        <v>0</v>
      </c>
      <c r="L303" s="132">
        <f t="shared" si="23"/>
        <v>0</v>
      </c>
      <c r="M303" s="114">
        <f t="shared" si="22"/>
        <v>0</v>
      </c>
    </row>
    <row r="304" spans="11:13" hidden="1" x14ac:dyDescent="0.25">
      <c r="K304" s="137">
        <f t="shared" si="21"/>
        <v>0</v>
      </c>
      <c r="L304" s="132">
        <f t="shared" si="23"/>
        <v>0</v>
      </c>
      <c r="M304" s="114">
        <f t="shared" si="22"/>
        <v>0</v>
      </c>
    </row>
    <row r="305" spans="11:13" hidden="1" x14ac:dyDescent="0.25">
      <c r="K305" s="137">
        <f t="shared" si="21"/>
        <v>0</v>
      </c>
      <c r="L305" s="132">
        <f t="shared" si="23"/>
        <v>0</v>
      </c>
      <c r="M305" s="114">
        <f t="shared" si="22"/>
        <v>0</v>
      </c>
    </row>
    <row r="306" spans="11:13" hidden="1" x14ac:dyDescent="0.25">
      <c r="K306" s="137">
        <f t="shared" si="21"/>
        <v>0</v>
      </c>
      <c r="L306" s="132">
        <f t="shared" si="23"/>
        <v>0</v>
      </c>
      <c r="M306" s="114">
        <f t="shared" si="22"/>
        <v>0</v>
      </c>
    </row>
    <row r="307" spans="11:13" hidden="1" x14ac:dyDescent="0.25">
      <c r="K307" s="137">
        <f t="shared" si="21"/>
        <v>0</v>
      </c>
      <c r="L307" s="132">
        <f t="shared" si="23"/>
        <v>0</v>
      </c>
      <c r="M307" s="114">
        <f t="shared" si="22"/>
        <v>0</v>
      </c>
    </row>
    <row r="308" spans="11:13" hidden="1" x14ac:dyDescent="0.25">
      <c r="K308" s="137">
        <f t="shared" si="21"/>
        <v>0</v>
      </c>
      <c r="L308" s="132">
        <f t="shared" si="23"/>
        <v>0</v>
      </c>
      <c r="M308" s="114">
        <f t="shared" si="22"/>
        <v>0</v>
      </c>
    </row>
    <row r="309" spans="11:13" hidden="1" x14ac:dyDescent="0.25">
      <c r="K309" s="137">
        <f t="shared" si="21"/>
        <v>0</v>
      </c>
      <c r="L309" s="132">
        <f t="shared" si="23"/>
        <v>0</v>
      </c>
      <c r="M309" s="114">
        <f t="shared" si="22"/>
        <v>0</v>
      </c>
    </row>
    <row r="310" spans="11:13" hidden="1" x14ac:dyDescent="0.25">
      <c r="K310" s="137">
        <f t="shared" si="21"/>
        <v>0</v>
      </c>
      <c r="L310" s="132">
        <f t="shared" si="23"/>
        <v>0</v>
      </c>
      <c r="M310" s="114">
        <f t="shared" si="22"/>
        <v>0</v>
      </c>
    </row>
    <row r="311" spans="11:13" hidden="1" x14ac:dyDescent="0.25">
      <c r="K311" s="137">
        <f t="shared" si="21"/>
        <v>0</v>
      </c>
      <c r="L311" s="132">
        <f t="shared" si="23"/>
        <v>0</v>
      </c>
      <c r="M311" s="114">
        <f t="shared" si="22"/>
        <v>0</v>
      </c>
    </row>
    <row r="312" spans="11:13" hidden="1" x14ac:dyDescent="0.25">
      <c r="K312" s="137">
        <f t="shared" si="21"/>
        <v>0</v>
      </c>
      <c r="L312" s="132">
        <f t="shared" si="23"/>
        <v>0</v>
      </c>
      <c r="M312" s="114">
        <f t="shared" si="22"/>
        <v>0</v>
      </c>
    </row>
    <row r="313" spans="11:13" hidden="1" x14ac:dyDescent="0.25">
      <c r="K313" s="137">
        <f t="shared" si="21"/>
        <v>0</v>
      </c>
      <c r="L313" s="132">
        <f t="shared" si="23"/>
        <v>0</v>
      </c>
      <c r="M313" s="114">
        <f t="shared" si="22"/>
        <v>0</v>
      </c>
    </row>
    <row r="314" spans="11:13" hidden="1" x14ac:dyDescent="0.25">
      <c r="K314" s="137">
        <f t="shared" si="21"/>
        <v>0</v>
      </c>
      <c r="L314" s="132">
        <f t="shared" si="23"/>
        <v>0</v>
      </c>
      <c r="M314" s="114">
        <f t="shared" si="22"/>
        <v>0</v>
      </c>
    </row>
    <row r="315" spans="11:13" hidden="1" x14ac:dyDescent="0.25">
      <c r="K315" s="137">
        <f t="shared" si="21"/>
        <v>0</v>
      </c>
      <c r="L315" s="132">
        <f t="shared" si="23"/>
        <v>0</v>
      </c>
      <c r="M315" s="114">
        <f t="shared" si="22"/>
        <v>0</v>
      </c>
    </row>
    <row r="316" spans="11:13" hidden="1" x14ac:dyDescent="0.25">
      <c r="K316" s="137">
        <f t="shared" si="21"/>
        <v>0</v>
      </c>
      <c r="L316" s="132">
        <f t="shared" si="23"/>
        <v>0</v>
      </c>
      <c r="M316" s="114">
        <f t="shared" si="22"/>
        <v>0</v>
      </c>
    </row>
    <row r="317" spans="11:13" hidden="1" x14ac:dyDescent="0.25">
      <c r="K317" s="137">
        <f t="shared" si="21"/>
        <v>0</v>
      </c>
      <c r="L317" s="132">
        <f t="shared" si="23"/>
        <v>0</v>
      </c>
      <c r="M317" s="114">
        <f t="shared" si="22"/>
        <v>0</v>
      </c>
    </row>
    <row r="318" spans="11:13" hidden="1" x14ac:dyDescent="0.25">
      <c r="K318" s="137">
        <f t="shared" si="21"/>
        <v>0</v>
      </c>
      <c r="L318" s="132">
        <f t="shared" si="23"/>
        <v>0</v>
      </c>
      <c r="M318" s="114">
        <f t="shared" si="22"/>
        <v>0</v>
      </c>
    </row>
    <row r="319" spans="11:13" hidden="1" x14ac:dyDescent="0.25">
      <c r="K319" s="137">
        <f t="shared" si="21"/>
        <v>0</v>
      </c>
      <c r="L319" s="132">
        <f t="shared" si="23"/>
        <v>0</v>
      </c>
      <c r="M319" s="114">
        <f t="shared" si="22"/>
        <v>0</v>
      </c>
    </row>
    <row r="320" spans="11:13" hidden="1" x14ac:dyDescent="0.25">
      <c r="K320" s="137">
        <f t="shared" si="21"/>
        <v>0</v>
      </c>
      <c r="L320" s="132">
        <f t="shared" si="23"/>
        <v>0</v>
      </c>
      <c r="M320" s="114">
        <f t="shared" si="22"/>
        <v>0</v>
      </c>
    </row>
    <row r="321" spans="11:13" hidden="1" x14ac:dyDescent="0.25">
      <c r="K321" s="137">
        <f t="shared" si="21"/>
        <v>0</v>
      </c>
      <c r="L321" s="132">
        <f t="shared" si="23"/>
        <v>0</v>
      </c>
      <c r="M321" s="114">
        <f t="shared" si="22"/>
        <v>0</v>
      </c>
    </row>
    <row r="322" spans="11:13" hidden="1" x14ac:dyDescent="0.25">
      <c r="K322" s="137">
        <f t="shared" si="21"/>
        <v>0</v>
      </c>
      <c r="L322" s="132">
        <f t="shared" si="23"/>
        <v>0</v>
      </c>
      <c r="M322" s="114">
        <f t="shared" si="22"/>
        <v>0</v>
      </c>
    </row>
    <row r="323" spans="11:13" hidden="1" x14ac:dyDescent="0.25">
      <c r="K323" s="137">
        <f t="shared" si="21"/>
        <v>0</v>
      </c>
      <c r="L323" s="132">
        <f t="shared" si="23"/>
        <v>0</v>
      </c>
      <c r="M323" s="114">
        <f t="shared" si="22"/>
        <v>0</v>
      </c>
    </row>
    <row r="324" spans="11:13" hidden="1" x14ac:dyDescent="0.25">
      <c r="K324" s="137">
        <f t="shared" si="21"/>
        <v>0</v>
      </c>
      <c r="L324" s="132">
        <f t="shared" si="23"/>
        <v>0</v>
      </c>
      <c r="M324" s="114">
        <f t="shared" si="22"/>
        <v>0</v>
      </c>
    </row>
    <row r="325" spans="11:13" hidden="1" x14ac:dyDescent="0.25">
      <c r="K325" s="137">
        <f t="shared" ref="K325:K388" si="24">SUM(F325:J325)</f>
        <v>0</v>
      </c>
      <c r="L325" s="132">
        <f t="shared" si="23"/>
        <v>0</v>
      </c>
      <c r="M325" s="114">
        <f t="shared" ref="M325:M388" si="25">SUM(K325*L325)</f>
        <v>0</v>
      </c>
    </row>
    <row r="326" spans="11:13" hidden="1" x14ac:dyDescent="0.25">
      <c r="K326" s="137">
        <f t="shared" si="24"/>
        <v>0</v>
      </c>
      <c r="L326" s="132">
        <f t="shared" si="23"/>
        <v>0</v>
      </c>
      <c r="M326" s="114">
        <f t="shared" si="25"/>
        <v>0</v>
      </c>
    </row>
    <row r="327" spans="11:13" hidden="1" x14ac:dyDescent="0.25">
      <c r="K327" s="137">
        <f t="shared" si="24"/>
        <v>0</v>
      </c>
      <c r="L327" s="132">
        <f t="shared" si="23"/>
        <v>0</v>
      </c>
      <c r="M327" s="114">
        <f t="shared" si="25"/>
        <v>0</v>
      </c>
    </row>
    <row r="328" spans="11:13" hidden="1" x14ac:dyDescent="0.25">
      <c r="K328" s="137">
        <f t="shared" si="24"/>
        <v>0</v>
      </c>
      <c r="L328" s="132">
        <f t="shared" si="23"/>
        <v>0</v>
      </c>
      <c r="M328" s="114">
        <f t="shared" si="25"/>
        <v>0</v>
      </c>
    </row>
    <row r="329" spans="11:13" hidden="1" x14ac:dyDescent="0.25">
      <c r="K329" s="137">
        <f t="shared" si="24"/>
        <v>0</v>
      </c>
      <c r="L329" s="132">
        <f t="shared" si="23"/>
        <v>0</v>
      </c>
      <c r="M329" s="114">
        <f t="shared" si="25"/>
        <v>0</v>
      </c>
    </row>
    <row r="330" spans="11:13" hidden="1" x14ac:dyDescent="0.25">
      <c r="K330" s="137">
        <f t="shared" si="24"/>
        <v>0</v>
      </c>
      <c r="L330" s="132">
        <f t="shared" si="23"/>
        <v>0</v>
      </c>
      <c r="M330" s="114">
        <f t="shared" si="25"/>
        <v>0</v>
      </c>
    </row>
    <row r="331" spans="11:13" hidden="1" x14ac:dyDescent="0.25">
      <c r="K331" s="137">
        <f t="shared" si="24"/>
        <v>0</v>
      </c>
      <c r="L331" s="132">
        <f t="shared" si="23"/>
        <v>0</v>
      </c>
      <c r="M331" s="114">
        <f t="shared" si="25"/>
        <v>0</v>
      </c>
    </row>
    <row r="332" spans="11:13" hidden="1" x14ac:dyDescent="0.25">
      <c r="K332" s="137">
        <f t="shared" si="24"/>
        <v>0</v>
      </c>
      <c r="L332" s="132">
        <f t="shared" si="23"/>
        <v>0</v>
      </c>
      <c r="M332" s="114">
        <f t="shared" si="25"/>
        <v>0</v>
      </c>
    </row>
    <row r="333" spans="11:13" hidden="1" x14ac:dyDescent="0.25">
      <c r="K333" s="137">
        <f t="shared" si="24"/>
        <v>0</v>
      </c>
      <c r="L333" s="132">
        <f t="shared" si="23"/>
        <v>0</v>
      </c>
      <c r="M333" s="114">
        <f t="shared" si="25"/>
        <v>0</v>
      </c>
    </row>
    <row r="334" spans="11:13" hidden="1" x14ac:dyDescent="0.25">
      <c r="K334" s="137">
        <f t="shared" si="24"/>
        <v>0</v>
      </c>
      <c r="L334" s="132">
        <f t="shared" si="23"/>
        <v>0</v>
      </c>
      <c r="M334" s="114">
        <f t="shared" si="25"/>
        <v>0</v>
      </c>
    </row>
    <row r="335" spans="11:13" hidden="1" x14ac:dyDescent="0.25">
      <c r="K335" s="137">
        <f t="shared" si="24"/>
        <v>0</v>
      </c>
      <c r="L335" s="132">
        <f t="shared" si="23"/>
        <v>0</v>
      </c>
      <c r="M335" s="114">
        <f t="shared" si="25"/>
        <v>0</v>
      </c>
    </row>
    <row r="336" spans="11:13" hidden="1" x14ac:dyDescent="0.25">
      <c r="K336" s="137">
        <f t="shared" si="24"/>
        <v>0</v>
      </c>
      <c r="L336" s="132">
        <f t="shared" si="23"/>
        <v>0</v>
      </c>
      <c r="M336" s="114">
        <f t="shared" si="25"/>
        <v>0</v>
      </c>
    </row>
    <row r="337" spans="11:13" hidden="1" x14ac:dyDescent="0.25">
      <c r="K337" s="137">
        <f t="shared" si="24"/>
        <v>0</v>
      </c>
      <c r="L337" s="132">
        <f t="shared" si="23"/>
        <v>0</v>
      </c>
      <c r="M337" s="114">
        <f t="shared" si="25"/>
        <v>0</v>
      </c>
    </row>
    <row r="338" spans="11:13" hidden="1" x14ac:dyDescent="0.25">
      <c r="K338" s="137">
        <f t="shared" si="24"/>
        <v>0</v>
      </c>
      <c r="L338" s="132">
        <f t="shared" si="23"/>
        <v>0</v>
      </c>
      <c r="M338" s="114">
        <f t="shared" si="25"/>
        <v>0</v>
      </c>
    </row>
    <row r="339" spans="11:13" hidden="1" x14ac:dyDescent="0.25">
      <c r="K339" s="137">
        <f t="shared" si="24"/>
        <v>0</v>
      </c>
      <c r="L339" s="132">
        <f t="shared" si="23"/>
        <v>0</v>
      </c>
      <c r="M339" s="114">
        <f t="shared" si="25"/>
        <v>0</v>
      </c>
    </row>
    <row r="340" spans="11:13" hidden="1" x14ac:dyDescent="0.25">
      <c r="K340" s="137">
        <f t="shared" si="24"/>
        <v>0</v>
      </c>
      <c r="L340" s="132">
        <f t="shared" si="23"/>
        <v>0</v>
      </c>
      <c r="M340" s="114">
        <f t="shared" si="25"/>
        <v>0</v>
      </c>
    </row>
    <row r="341" spans="11:13" hidden="1" x14ac:dyDescent="0.25">
      <c r="K341" s="137">
        <f t="shared" si="24"/>
        <v>0</v>
      </c>
      <c r="L341" s="132">
        <f t="shared" si="23"/>
        <v>0</v>
      </c>
      <c r="M341" s="114">
        <f t="shared" si="25"/>
        <v>0</v>
      </c>
    </row>
    <row r="342" spans="11:13" hidden="1" x14ac:dyDescent="0.25">
      <c r="K342" s="137">
        <f t="shared" si="24"/>
        <v>0</v>
      </c>
      <c r="L342" s="132">
        <f t="shared" si="23"/>
        <v>0</v>
      </c>
      <c r="M342" s="114">
        <f t="shared" si="25"/>
        <v>0</v>
      </c>
    </row>
    <row r="343" spans="11:13" hidden="1" x14ac:dyDescent="0.25">
      <c r="K343" s="137">
        <f t="shared" si="24"/>
        <v>0</v>
      </c>
      <c r="L343" s="132">
        <f t="shared" si="23"/>
        <v>0</v>
      </c>
      <c r="M343" s="114">
        <f t="shared" si="25"/>
        <v>0</v>
      </c>
    </row>
    <row r="344" spans="11:13" hidden="1" x14ac:dyDescent="0.25">
      <c r="K344" s="137">
        <f t="shared" si="24"/>
        <v>0</v>
      </c>
      <c r="L344" s="132">
        <f t="shared" si="23"/>
        <v>0</v>
      </c>
      <c r="M344" s="114">
        <f t="shared" si="25"/>
        <v>0</v>
      </c>
    </row>
    <row r="345" spans="11:13" hidden="1" x14ac:dyDescent="0.25">
      <c r="K345" s="137">
        <f t="shared" si="24"/>
        <v>0</v>
      </c>
      <c r="L345" s="132">
        <f t="shared" si="23"/>
        <v>0</v>
      </c>
      <c r="M345" s="114">
        <f t="shared" si="25"/>
        <v>0</v>
      </c>
    </row>
    <row r="346" spans="11:13" hidden="1" x14ac:dyDescent="0.25">
      <c r="K346" s="137">
        <f t="shared" si="24"/>
        <v>0</v>
      </c>
      <c r="L346" s="132">
        <f t="shared" si="23"/>
        <v>0</v>
      </c>
      <c r="M346" s="114">
        <f t="shared" si="25"/>
        <v>0</v>
      </c>
    </row>
    <row r="347" spans="11:13" hidden="1" x14ac:dyDescent="0.25">
      <c r="K347" s="137">
        <f t="shared" si="24"/>
        <v>0</v>
      </c>
      <c r="L347" s="132">
        <f t="shared" si="23"/>
        <v>0</v>
      </c>
      <c r="M347" s="114">
        <f t="shared" si="25"/>
        <v>0</v>
      </c>
    </row>
    <row r="348" spans="11:13" hidden="1" x14ac:dyDescent="0.25">
      <c r="K348" s="137">
        <f t="shared" si="24"/>
        <v>0</v>
      </c>
      <c r="L348" s="132">
        <f t="shared" si="23"/>
        <v>0</v>
      </c>
      <c r="M348" s="114">
        <f t="shared" si="25"/>
        <v>0</v>
      </c>
    </row>
    <row r="349" spans="11:13" hidden="1" x14ac:dyDescent="0.25">
      <c r="K349" s="137">
        <f t="shared" si="24"/>
        <v>0</v>
      </c>
      <c r="L349" s="132">
        <f t="shared" si="23"/>
        <v>0</v>
      </c>
      <c r="M349" s="114">
        <f t="shared" si="25"/>
        <v>0</v>
      </c>
    </row>
    <row r="350" spans="11:13" hidden="1" x14ac:dyDescent="0.25">
      <c r="K350" s="137">
        <f t="shared" si="24"/>
        <v>0</v>
      </c>
      <c r="L350" s="132">
        <f t="shared" ref="L350:L413" si="26">IF(D350="X",0,IF(E350="",0,IF(E350="X",0,VLOOKUP(E350,$F$539:$G$553,2))))</f>
        <v>0</v>
      </c>
      <c r="M350" s="114">
        <f t="shared" si="25"/>
        <v>0</v>
      </c>
    </row>
    <row r="351" spans="11:13" hidden="1" x14ac:dyDescent="0.25">
      <c r="K351" s="137">
        <f t="shared" si="24"/>
        <v>0</v>
      </c>
      <c r="L351" s="132">
        <f t="shared" si="26"/>
        <v>0</v>
      </c>
      <c r="M351" s="114">
        <f t="shared" si="25"/>
        <v>0</v>
      </c>
    </row>
    <row r="352" spans="11:13" hidden="1" x14ac:dyDescent="0.25">
      <c r="K352" s="137">
        <f t="shared" si="24"/>
        <v>0</v>
      </c>
      <c r="L352" s="132">
        <f t="shared" si="26"/>
        <v>0</v>
      </c>
      <c r="M352" s="114">
        <f t="shared" si="25"/>
        <v>0</v>
      </c>
    </row>
    <row r="353" spans="11:13" hidden="1" x14ac:dyDescent="0.25">
      <c r="K353" s="137">
        <f t="shared" si="24"/>
        <v>0</v>
      </c>
      <c r="L353" s="132">
        <f t="shared" si="26"/>
        <v>0</v>
      </c>
      <c r="M353" s="114">
        <f t="shared" si="25"/>
        <v>0</v>
      </c>
    </row>
    <row r="354" spans="11:13" hidden="1" x14ac:dyDescent="0.25">
      <c r="K354" s="137">
        <f t="shared" si="24"/>
        <v>0</v>
      </c>
      <c r="L354" s="132">
        <f t="shared" si="26"/>
        <v>0</v>
      </c>
      <c r="M354" s="114">
        <f t="shared" si="25"/>
        <v>0</v>
      </c>
    </row>
    <row r="355" spans="11:13" hidden="1" x14ac:dyDescent="0.25">
      <c r="K355" s="137">
        <f t="shared" si="24"/>
        <v>0</v>
      </c>
      <c r="L355" s="132">
        <f t="shared" si="26"/>
        <v>0</v>
      </c>
      <c r="M355" s="114">
        <f t="shared" si="25"/>
        <v>0</v>
      </c>
    </row>
    <row r="356" spans="11:13" hidden="1" x14ac:dyDescent="0.25">
      <c r="K356" s="137">
        <f t="shared" si="24"/>
        <v>0</v>
      </c>
      <c r="L356" s="132">
        <f t="shared" si="26"/>
        <v>0</v>
      </c>
      <c r="M356" s="114">
        <f t="shared" si="25"/>
        <v>0</v>
      </c>
    </row>
    <row r="357" spans="11:13" hidden="1" x14ac:dyDescent="0.25">
      <c r="K357" s="137">
        <f t="shared" si="24"/>
        <v>0</v>
      </c>
      <c r="L357" s="132">
        <f t="shared" si="26"/>
        <v>0</v>
      </c>
      <c r="M357" s="114">
        <f t="shared" si="25"/>
        <v>0</v>
      </c>
    </row>
    <row r="358" spans="11:13" hidden="1" x14ac:dyDescent="0.25">
      <c r="K358" s="137">
        <f t="shared" si="24"/>
        <v>0</v>
      </c>
      <c r="L358" s="132">
        <f t="shared" si="26"/>
        <v>0</v>
      </c>
      <c r="M358" s="114">
        <f t="shared" si="25"/>
        <v>0</v>
      </c>
    </row>
    <row r="359" spans="11:13" hidden="1" x14ac:dyDescent="0.25">
      <c r="K359" s="137">
        <f t="shared" si="24"/>
        <v>0</v>
      </c>
      <c r="L359" s="132">
        <f t="shared" si="26"/>
        <v>0</v>
      </c>
      <c r="M359" s="114">
        <f t="shared" si="25"/>
        <v>0</v>
      </c>
    </row>
    <row r="360" spans="11:13" hidden="1" x14ac:dyDescent="0.25">
      <c r="K360" s="137">
        <f t="shared" si="24"/>
        <v>0</v>
      </c>
      <c r="L360" s="132">
        <f t="shared" si="26"/>
        <v>0</v>
      </c>
      <c r="M360" s="114">
        <f t="shared" si="25"/>
        <v>0</v>
      </c>
    </row>
    <row r="361" spans="11:13" hidden="1" x14ac:dyDescent="0.25">
      <c r="K361" s="137">
        <f t="shared" si="24"/>
        <v>0</v>
      </c>
      <c r="L361" s="132">
        <f t="shared" si="26"/>
        <v>0</v>
      </c>
      <c r="M361" s="114">
        <f t="shared" si="25"/>
        <v>0</v>
      </c>
    </row>
    <row r="362" spans="11:13" hidden="1" x14ac:dyDescent="0.25">
      <c r="K362" s="137">
        <f t="shared" si="24"/>
        <v>0</v>
      </c>
      <c r="L362" s="132">
        <f t="shared" si="26"/>
        <v>0</v>
      </c>
      <c r="M362" s="114">
        <f t="shared" si="25"/>
        <v>0</v>
      </c>
    </row>
    <row r="363" spans="11:13" hidden="1" x14ac:dyDescent="0.25">
      <c r="K363" s="137">
        <f t="shared" si="24"/>
        <v>0</v>
      </c>
      <c r="L363" s="132">
        <f t="shared" si="26"/>
        <v>0</v>
      </c>
      <c r="M363" s="114">
        <f t="shared" si="25"/>
        <v>0</v>
      </c>
    </row>
    <row r="364" spans="11:13" hidden="1" x14ac:dyDescent="0.25">
      <c r="K364" s="137">
        <f t="shared" si="24"/>
        <v>0</v>
      </c>
      <c r="L364" s="132">
        <f t="shared" si="26"/>
        <v>0</v>
      </c>
      <c r="M364" s="114">
        <f t="shared" si="25"/>
        <v>0</v>
      </c>
    </row>
    <row r="365" spans="11:13" hidden="1" x14ac:dyDescent="0.25">
      <c r="K365" s="137">
        <f t="shared" si="24"/>
        <v>0</v>
      </c>
      <c r="L365" s="132">
        <f t="shared" si="26"/>
        <v>0</v>
      </c>
      <c r="M365" s="114">
        <f t="shared" si="25"/>
        <v>0</v>
      </c>
    </row>
    <row r="366" spans="11:13" hidden="1" x14ac:dyDescent="0.25">
      <c r="K366" s="137">
        <f t="shared" si="24"/>
        <v>0</v>
      </c>
      <c r="L366" s="132">
        <f t="shared" si="26"/>
        <v>0</v>
      </c>
      <c r="M366" s="114">
        <f t="shared" si="25"/>
        <v>0</v>
      </c>
    </row>
    <row r="367" spans="11:13" hidden="1" x14ac:dyDescent="0.25">
      <c r="K367" s="137">
        <f t="shared" si="24"/>
        <v>0</v>
      </c>
      <c r="L367" s="132">
        <f t="shared" si="26"/>
        <v>0</v>
      </c>
      <c r="M367" s="114">
        <f t="shared" si="25"/>
        <v>0</v>
      </c>
    </row>
    <row r="368" spans="11:13" hidden="1" x14ac:dyDescent="0.25">
      <c r="K368" s="137">
        <f t="shared" si="24"/>
        <v>0</v>
      </c>
      <c r="L368" s="132">
        <f t="shared" si="26"/>
        <v>0</v>
      </c>
      <c r="M368" s="114">
        <f t="shared" si="25"/>
        <v>0</v>
      </c>
    </row>
    <row r="369" spans="11:13" hidden="1" x14ac:dyDescent="0.25">
      <c r="K369" s="137">
        <f t="shared" si="24"/>
        <v>0</v>
      </c>
      <c r="L369" s="132">
        <f t="shared" si="26"/>
        <v>0</v>
      </c>
      <c r="M369" s="114">
        <f t="shared" si="25"/>
        <v>0</v>
      </c>
    </row>
    <row r="370" spans="11:13" hidden="1" x14ac:dyDescent="0.25">
      <c r="K370" s="137">
        <f t="shared" si="24"/>
        <v>0</v>
      </c>
      <c r="L370" s="132">
        <f t="shared" si="26"/>
        <v>0</v>
      </c>
      <c r="M370" s="114">
        <f t="shared" si="25"/>
        <v>0</v>
      </c>
    </row>
    <row r="371" spans="11:13" hidden="1" x14ac:dyDescent="0.25">
      <c r="K371" s="137">
        <f t="shared" si="24"/>
        <v>0</v>
      </c>
      <c r="L371" s="132">
        <f t="shared" si="26"/>
        <v>0</v>
      </c>
      <c r="M371" s="114">
        <f t="shared" si="25"/>
        <v>0</v>
      </c>
    </row>
    <row r="372" spans="11:13" hidden="1" x14ac:dyDescent="0.25">
      <c r="K372" s="137">
        <f t="shared" si="24"/>
        <v>0</v>
      </c>
      <c r="L372" s="132">
        <f t="shared" si="26"/>
        <v>0</v>
      </c>
      <c r="M372" s="114">
        <f t="shared" si="25"/>
        <v>0</v>
      </c>
    </row>
    <row r="373" spans="11:13" hidden="1" x14ac:dyDescent="0.25">
      <c r="K373" s="137">
        <f t="shared" si="24"/>
        <v>0</v>
      </c>
      <c r="L373" s="132">
        <f t="shared" si="26"/>
        <v>0</v>
      </c>
      <c r="M373" s="114">
        <f t="shared" si="25"/>
        <v>0</v>
      </c>
    </row>
    <row r="374" spans="11:13" hidden="1" x14ac:dyDescent="0.25">
      <c r="K374" s="137">
        <f t="shared" si="24"/>
        <v>0</v>
      </c>
      <c r="L374" s="132">
        <f t="shared" si="26"/>
        <v>0</v>
      </c>
      <c r="M374" s="114">
        <f t="shared" si="25"/>
        <v>0</v>
      </c>
    </row>
    <row r="375" spans="11:13" hidden="1" x14ac:dyDescent="0.25">
      <c r="K375" s="137">
        <f t="shared" si="24"/>
        <v>0</v>
      </c>
      <c r="L375" s="132">
        <f t="shared" si="26"/>
        <v>0</v>
      </c>
      <c r="M375" s="114">
        <f t="shared" si="25"/>
        <v>0</v>
      </c>
    </row>
    <row r="376" spans="11:13" hidden="1" x14ac:dyDescent="0.25">
      <c r="K376" s="137">
        <f t="shared" si="24"/>
        <v>0</v>
      </c>
      <c r="L376" s="132">
        <f t="shared" si="26"/>
        <v>0</v>
      </c>
      <c r="M376" s="114">
        <f t="shared" si="25"/>
        <v>0</v>
      </c>
    </row>
    <row r="377" spans="11:13" hidden="1" x14ac:dyDescent="0.25">
      <c r="K377" s="137">
        <f t="shared" si="24"/>
        <v>0</v>
      </c>
      <c r="L377" s="132">
        <f t="shared" si="26"/>
        <v>0</v>
      </c>
      <c r="M377" s="114">
        <f t="shared" si="25"/>
        <v>0</v>
      </c>
    </row>
    <row r="378" spans="11:13" hidden="1" x14ac:dyDescent="0.25">
      <c r="K378" s="137">
        <f t="shared" si="24"/>
        <v>0</v>
      </c>
      <c r="L378" s="132">
        <f t="shared" si="26"/>
        <v>0</v>
      </c>
      <c r="M378" s="114">
        <f t="shared" si="25"/>
        <v>0</v>
      </c>
    </row>
    <row r="379" spans="11:13" hidden="1" x14ac:dyDescent="0.25">
      <c r="K379" s="137">
        <f t="shared" si="24"/>
        <v>0</v>
      </c>
      <c r="L379" s="132">
        <f t="shared" si="26"/>
        <v>0</v>
      </c>
      <c r="M379" s="114">
        <f t="shared" si="25"/>
        <v>0</v>
      </c>
    </row>
    <row r="380" spans="11:13" hidden="1" x14ac:dyDescent="0.25">
      <c r="K380" s="137">
        <f t="shared" si="24"/>
        <v>0</v>
      </c>
      <c r="L380" s="132">
        <f t="shared" si="26"/>
        <v>0</v>
      </c>
      <c r="M380" s="114">
        <f t="shared" si="25"/>
        <v>0</v>
      </c>
    </row>
    <row r="381" spans="11:13" hidden="1" x14ac:dyDescent="0.25">
      <c r="K381" s="137">
        <f t="shared" si="24"/>
        <v>0</v>
      </c>
      <c r="L381" s="132">
        <f t="shared" si="26"/>
        <v>0</v>
      </c>
      <c r="M381" s="114">
        <f t="shared" si="25"/>
        <v>0</v>
      </c>
    </row>
    <row r="382" spans="11:13" hidden="1" x14ac:dyDescent="0.25">
      <c r="K382" s="137">
        <f t="shared" si="24"/>
        <v>0</v>
      </c>
      <c r="L382" s="132">
        <f t="shared" si="26"/>
        <v>0</v>
      </c>
      <c r="M382" s="114">
        <f t="shared" si="25"/>
        <v>0</v>
      </c>
    </row>
    <row r="383" spans="11:13" hidden="1" x14ac:dyDescent="0.25">
      <c r="K383" s="137">
        <f t="shared" si="24"/>
        <v>0</v>
      </c>
      <c r="L383" s="132">
        <f t="shared" si="26"/>
        <v>0</v>
      </c>
      <c r="M383" s="114">
        <f t="shared" si="25"/>
        <v>0</v>
      </c>
    </row>
    <row r="384" spans="11:13" hidden="1" x14ac:dyDescent="0.25">
      <c r="K384" s="137">
        <f t="shared" si="24"/>
        <v>0</v>
      </c>
      <c r="L384" s="132">
        <f t="shared" si="26"/>
        <v>0</v>
      </c>
      <c r="M384" s="114">
        <f t="shared" si="25"/>
        <v>0</v>
      </c>
    </row>
    <row r="385" spans="11:13" hidden="1" x14ac:dyDescent="0.25">
      <c r="K385" s="137">
        <f t="shared" si="24"/>
        <v>0</v>
      </c>
      <c r="L385" s="132">
        <f t="shared" si="26"/>
        <v>0</v>
      </c>
      <c r="M385" s="114">
        <f t="shared" si="25"/>
        <v>0</v>
      </c>
    </row>
    <row r="386" spans="11:13" hidden="1" x14ac:dyDescent="0.25">
      <c r="K386" s="137">
        <f t="shared" si="24"/>
        <v>0</v>
      </c>
      <c r="L386" s="132">
        <f t="shared" si="26"/>
        <v>0</v>
      </c>
      <c r="M386" s="114">
        <f t="shared" si="25"/>
        <v>0</v>
      </c>
    </row>
    <row r="387" spans="11:13" hidden="1" x14ac:dyDescent="0.25">
      <c r="K387" s="137">
        <f t="shared" si="24"/>
        <v>0</v>
      </c>
      <c r="L387" s="132">
        <f t="shared" si="26"/>
        <v>0</v>
      </c>
      <c r="M387" s="114">
        <f t="shared" si="25"/>
        <v>0</v>
      </c>
    </row>
    <row r="388" spans="11:13" hidden="1" x14ac:dyDescent="0.25">
      <c r="K388" s="137">
        <f t="shared" si="24"/>
        <v>0</v>
      </c>
      <c r="L388" s="132">
        <f t="shared" si="26"/>
        <v>0</v>
      </c>
      <c r="M388" s="114">
        <f t="shared" si="25"/>
        <v>0</v>
      </c>
    </row>
    <row r="389" spans="11:13" hidden="1" x14ac:dyDescent="0.25">
      <c r="K389" s="137">
        <f t="shared" ref="K389:K452" si="27">SUM(F389:J389)</f>
        <v>0</v>
      </c>
      <c r="L389" s="132">
        <f t="shared" si="26"/>
        <v>0</v>
      </c>
      <c r="M389" s="114">
        <f t="shared" ref="M389:M452" si="28">SUM(K389*L389)</f>
        <v>0</v>
      </c>
    </row>
    <row r="390" spans="11:13" hidden="1" x14ac:dyDescent="0.25">
      <c r="K390" s="137">
        <f t="shared" si="27"/>
        <v>0</v>
      </c>
      <c r="L390" s="132">
        <f t="shared" si="26"/>
        <v>0</v>
      </c>
      <c r="M390" s="114">
        <f t="shared" si="28"/>
        <v>0</v>
      </c>
    </row>
    <row r="391" spans="11:13" hidden="1" x14ac:dyDescent="0.25">
      <c r="K391" s="137">
        <f t="shared" si="27"/>
        <v>0</v>
      </c>
      <c r="L391" s="132">
        <f t="shared" si="26"/>
        <v>0</v>
      </c>
      <c r="M391" s="114">
        <f t="shared" si="28"/>
        <v>0</v>
      </c>
    </row>
    <row r="392" spans="11:13" hidden="1" x14ac:dyDescent="0.25">
      <c r="K392" s="137">
        <f t="shared" si="27"/>
        <v>0</v>
      </c>
      <c r="L392" s="132">
        <f t="shared" si="26"/>
        <v>0</v>
      </c>
      <c r="M392" s="114">
        <f t="shared" si="28"/>
        <v>0</v>
      </c>
    </row>
    <row r="393" spans="11:13" hidden="1" x14ac:dyDescent="0.25">
      <c r="K393" s="137">
        <f t="shared" si="27"/>
        <v>0</v>
      </c>
      <c r="L393" s="132">
        <f t="shared" si="26"/>
        <v>0</v>
      </c>
      <c r="M393" s="114">
        <f t="shared" si="28"/>
        <v>0</v>
      </c>
    </row>
    <row r="394" spans="11:13" hidden="1" x14ac:dyDescent="0.25">
      <c r="K394" s="137">
        <f t="shared" si="27"/>
        <v>0</v>
      </c>
      <c r="L394" s="132">
        <f t="shared" si="26"/>
        <v>0</v>
      </c>
      <c r="M394" s="114">
        <f t="shared" si="28"/>
        <v>0</v>
      </c>
    </row>
    <row r="395" spans="11:13" hidden="1" x14ac:dyDescent="0.25">
      <c r="K395" s="137">
        <f t="shared" si="27"/>
        <v>0</v>
      </c>
      <c r="L395" s="132">
        <f t="shared" si="26"/>
        <v>0</v>
      </c>
      <c r="M395" s="114">
        <f t="shared" si="28"/>
        <v>0</v>
      </c>
    </row>
    <row r="396" spans="11:13" hidden="1" x14ac:dyDescent="0.25">
      <c r="K396" s="137">
        <f t="shared" si="27"/>
        <v>0</v>
      </c>
      <c r="L396" s="132">
        <f t="shared" si="26"/>
        <v>0</v>
      </c>
      <c r="M396" s="114">
        <f t="shared" si="28"/>
        <v>0</v>
      </c>
    </row>
    <row r="397" spans="11:13" hidden="1" x14ac:dyDescent="0.25">
      <c r="K397" s="137">
        <f t="shared" si="27"/>
        <v>0</v>
      </c>
      <c r="L397" s="132">
        <f t="shared" si="26"/>
        <v>0</v>
      </c>
      <c r="M397" s="114">
        <f t="shared" si="28"/>
        <v>0</v>
      </c>
    </row>
    <row r="398" spans="11:13" hidden="1" x14ac:dyDescent="0.25">
      <c r="K398" s="137">
        <f t="shared" si="27"/>
        <v>0</v>
      </c>
      <c r="L398" s="132">
        <f t="shared" si="26"/>
        <v>0</v>
      </c>
      <c r="M398" s="114">
        <f t="shared" si="28"/>
        <v>0</v>
      </c>
    </row>
    <row r="399" spans="11:13" hidden="1" x14ac:dyDescent="0.25">
      <c r="K399" s="137">
        <f t="shared" si="27"/>
        <v>0</v>
      </c>
      <c r="L399" s="132">
        <f t="shared" si="26"/>
        <v>0</v>
      </c>
      <c r="M399" s="114">
        <f t="shared" si="28"/>
        <v>0</v>
      </c>
    </row>
    <row r="400" spans="11:13" hidden="1" x14ac:dyDescent="0.25">
      <c r="K400" s="137">
        <f t="shared" si="27"/>
        <v>0</v>
      </c>
      <c r="L400" s="132">
        <f t="shared" si="26"/>
        <v>0</v>
      </c>
      <c r="M400" s="114">
        <f t="shared" si="28"/>
        <v>0</v>
      </c>
    </row>
    <row r="401" spans="11:13" hidden="1" x14ac:dyDescent="0.25">
      <c r="K401" s="137">
        <f t="shared" si="27"/>
        <v>0</v>
      </c>
      <c r="L401" s="132">
        <f t="shared" si="26"/>
        <v>0</v>
      </c>
      <c r="M401" s="114">
        <f t="shared" si="28"/>
        <v>0</v>
      </c>
    </row>
    <row r="402" spans="11:13" hidden="1" x14ac:dyDescent="0.25">
      <c r="K402" s="137">
        <f t="shared" si="27"/>
        <v>0</v>
      </c>
      <c r="L402" s="132">
        <f t="shared" si="26"/>
        <v>0</v>
      </c>
      <c r="M402" s="114">
        <f t="shared" si="28"/>
        <v>0</v>
      </c>
    </row>
    <row r="403" spans="11:13" hidden="1" x14ac:dyDescent="0.25">
      <c r="K403" s="137">
        <f t="shared" si="27"/>
        <v>0</v>
      </c>
      <c r="L403" s="132">
        <f t="shared" si="26"/>
        <v>0</v>
      </c>
      <c r="M403" s="114">
        <f t="shared" si="28"/>
        <v>0</v>
      </c>
    </row>
    <row r="404" spans="11:13" hidden="1" x14ac:dyDescent="0.25">
      <c r="K404" s="137">
        <f t="shared" si="27"/>
        <v>0</v>
      </c>
      <c r="L404" s="132">
        <f t="shared" si="26"/>
        <v>0</v>
      </c>
      <c r="M404" s="114">
        <f t="shared" si="28"/>
        <v>0</v>
      </c>
    </row>
    <row r="405" spans="11:13" hidden="1" x14ac:dyDescent="0.25">
      <c r="K405" s="137">
        <f t="shared" si="27"/>
        <v>0</v>
      </c>
      <c r="L405" s="132">
        <f t="shared" si="26"/>
        <v>0</v>
      </c>
      <c r="M405" s="114">
        <f t="shared" si="28"/>
        <v>0</v>
      </c>
    </row>
    <row r="406" spans="11:13" hidden="1" x14ac:dyDescent="0.25">
      <c r="K406" s="137">
        <f t="shared" si="27"/>
        <v>0</v>
      </c>
      <c r="L406" s="132">
        <f t="shared" si="26"/>
        <v>0</v>
      </c>
      <c r="M406" s="114">
        <f t="shared" si="28"/>
        <v>0</v>
      </c>
    </row>
    <row r="407" spans="11:13" hidden="1" x14ac:dyDescent="0.25">
      <c r="K407" s="137">
        <f t="shared" si="27"/>
        <v>0</v>
      </c>
      <c r="L407" s="132">
        <f t="shared" si="26"/>
        <v>0</v>
      </c>
      <c r="M407" s="114">
        <f t="shared" si="28"/>
        <v>0</v>
      </c>
    </row>
    <row r="408" spans="11:13" hidden="1" x14ac:dyDescent="0.25">
      <c r="K408" s="137">
        <f t="shared" si="27"/>
        <v>0</v>
      </c>
      <c r="L408" s="132">
        <f t="shared" si="26"/>
        <v>0</v>
      </c>
      <c r="M408" s="114">
        <f t="shared" si="28"/>
        <v>0</v>
      </c>
    </row>
    <row r="409" spans="11:13" hidden="1" x14ac:dyDescent="0.25">
      <c r="K409" s="137">
        <f t="shared" si="27"/>
        <v>0</v>
      </c>
      <c r="L409" s="132">
        <f t="shared" si="26"/>
        <v>0</v>
      </c>
      <c r="M409" s="114">
        <f t="shared" si="28"/>
        <v>0</v>
      </c>
    </row>
    <row r="410" spans="11:13" hidden="1" x14ac:dyDescent="0.25">
      <c r="K410" s="137">
        <f t="shared" si="27"/>
        <v>0</v>
      </c>
      <c r="L410" s="132">
        <f t="shared" si="26"/>
        <v>0</v>
      </c>
      <c r="M410" s="114">
        <f t="shared" si="28"/>
        <v>0</v>
      </c>
    </row>
    <row r="411" spans="11:13" hidden="1" x14ac:dyDescent="0.25">
      <c r="K411" s="137">
        <f t="shared" si="27"/>
        <v>0</v>
      </c>
      <c r="L411" s="132">
        <f t="shared" si="26"/>
        <v>0</v>
      </c>
      <c r="M411" s="114">
        <f t="shared" si="28"/>
        <v>0</v>
      </c>
    </row>
    <row r="412" spans="11:13" hidden="1" x14ac:dyDescent="0.25">
      <c r="K412" s="137">
        <f t="shared" si="27"/>
        <v>0</v>
      </c>
      <c r="L412" s="132">
        <f t="shared" si="26"/>
        <v>0</v>
      </c>
      <c r="M412" s="114">
        <f t="shared" si="28"/>
        <v>0</v>
      </c>
    </row>
    <row r="413" spans="11:13" hidden="1" x14ac:dyDescent="0.25">
      <c r="K413" s="137">
        <f t="shared" si="27"/>
        <v>0</v>
      </c>
      <c r="L413" s="132">
        <f t="shared" si="26"/>
        <v>0</v>
      </c>
      <c r="M413" s="114">
        <f t="shared" si="28"/>
        <v>0</v>
      </c>
    </row>
    <row r="414" spans="11:13" hidden="1" x14ac:dyDescent="0.25">
      <c r="K414" s="137">
        <f t="shared" si="27"/>
        <v>0</v>
      </c>
      <c r="L414" s="132">
        <f t="shared" ref="L414:L477" si="29">IF(D414="X",0,IF(E414="",0,IF(E414="X",0,VLOOKUP(E414,$F$539:$G$553,2))))</f>
        <v>0</v>
      </c>
      <c r="M414" s="114">
        <f t="shared" si="28"/>
        <v>0</v>
      </c>
    </row>
    <row r="415" spans="11:13" hidden="1" x14ac:dyDescent="0.25">
      <c r="K415" s="137">
        <f t="shared" si="27"/>
        <v>0</v>
      </c>
      <c r="L415" s="132">
        <f t="shared" si="29"/>
        <v>0</v>
      </c>
      <c r="M415" s="114">
        <f t="shared" si="28"/>
        <v>0</v>
      </c>
    </row>
    <row r="416" spans="11:13" hidden="1" x14ac:dyDescent="0.25">
      <c r="K416" s="137">
        <f t="shared" si="27"/>
        <v>0</v>
      </c>
      <c r="L416" s="132">
        <f t="shared" si="29"/>
        <v>0</v>
      </c>
      <c r="M416" s="114">
        <f t="shared" si="28"/>
        <v>0</v>
      </c>
    </row>
    <row r="417" spans="11:13" hidden="1" x14ac:dyDescent="0.25">
      <c r="K417" s="137">
        <f t="shared" si="27"/>
        <v>0</v>
      </c>
      <c r="L417" s="132">
        <f t="shared" si="29"/>
        <v>0</v>
      </c>
      <c r="M417" s="114">
        <f t="shared" si="28"/>
        <v>0</v>
      </c>
    </row>
    <row r="418" spans="11:13" hidden="1" x14ac:dyDescent="0.25">
      <c r="K418" s="137">
        <f t="shared" si="27"/>
        <v>0</v>
      </c>
      <c r="L418" s="132">
        <f t="shared" si="29"/>
        <v>0</v>
      </c>
      <c r="M418" s="114">
        <f t="shared" si="28"/>
        <v>0</v>
      </c>
    </row>
    <row r="419" spans="11:13" hidden="1" x14ac:dyDescent="0.25">
      <c r="K419" s="137">
        <f t="shared" si="27"/>
        <v>0</v>
      </c>
      <c r="L419" s="132">
        <f t="shared" si="29"/>
        <v>0</v>
      </c>
      <c r="M419" s="114">
        <f t="shared" si="28"/>
        <v>0</v>
      </c>
    </row>
    <row r="420" spans="11:13" hidden="1" x14ac:dyDescent="0.25">
      <c r="K420" s="137">
        <f t="shared" si="27"/>
        <v>0</v>
      </c>
      <c r="L420" s="132">
        <f t="shared" si="29"/>
        <v>0</v>
      </c>
      <c r="M420" s="114">
        <f t="shared" si="28"/>
        <v>0</v>
      </c>
    </row>
    <row r="421" spans="11:13" hidden="1" x14ac:dyDescent="0.25">
      <c r="K421" s="137">
        <f t="shared" si="27"/>
        <v>0</v>
      </c>
      <c r="L421" s="132">
        <f t="shared" si="29"/>
        <v>0</v>
      </c>
      <c r="M421" s="114">
        <f t="shared" si="28"/>
        <v>0</v>
      </c>
    </row>
    <row r="422" spans="11:13" hidden="1" x14ac:dyDescent="0.25">
      <c r="K422" s="137">
        <f t="shared" si="27"/>
        <v>0</v>
      </c>
      <c r="L422" s="132">
        <f t="shared" si="29"/>
        <v>0</v>
      </c>
      <c r="M422" s="114">
        <f t="shared" si="28"/>
        <v>0</v>
      </c>
    </row>
    <row r="423" spans="11:13" hidden="1" x14ac:dyDescent="0.25">
      <c r="K423" s="137">
        <f t="shared" si="27"/>
        <v>0</v>
      </c>
      <c r="L423" s="132">
        <f t="shared" si="29"/>
        <v>0</v>
      </c>
      <c r="M423" s="114">
        <f t="shared" si="28"/>
        <v>0</v>
      </c>
    </row>
    <row r="424" spans="11:13" hidden="1" x14ac:dyDescent="0.25">
      <c r="K424" s="137">
        <f t="shared" si="27"/>
        <v>0</v>
      </c>
      <c r="L424" s="132">
        <f t="shared" si="29"/>
        <v>0</v>
      </c>
      <c r="M424" s="114">
        <f t="shared" si="28"/>
        <v>0</v>
      </c>
    </row>
    <row r="425" spans="11:13" hidden="1" x14ac:dyDescent="0.25">
      <c r="K425" s="137">
        <f t="shared" si="27"/>
        <v>0</v>
      </c>
      <c r="L425" s="132">
        <f t="shared" si="29"/>
        <v>0</v>
      </c>
      <c r="M425" s="114">
        <f t="shared" si="28"/>
        <v>0</v>
      </c>
    </row>
    <row r="426" spans="11:13" hidden="1" x14ac:dyDescent="0.25">
      <c r="K426" s="137">
        <f t="shared" si="27"/>
        <v>0</v>
      </c>
      <c r="L426" s="132">
        <f t="shared" si="29"/>
        <v>0</v>
      </c>
      <c r="M426" s="114">
        <f t="shared" si="28"/>
        <v>0</v>
      </c>
    </row>
    <row r="427" spans="11:13" hidden="1" x14ac:dyDescent="0.25">
      <c r="K427" s="137">
        <f t="shared" si="27"/>
        <v>0</v>
      </c>
      <c r="L427" s="132">
        <f t="shared" si="29"/>
        <v>0</v>
      </c>
      <c r="M427" s="114">
        <f t="shared" si="28"/>
        <v>0</v>
      </c>
    </row>
    <row r="428" spans="11:13" hidden="1" x14ac:dyDescent="0.25">
      <c r="K428" s="137">
        <f t="shared" si="27"/>
        <v>0</v>
      </c>
      <c r="L428" s="132">
        <f t="shared" si="29"/>
        <v>0</v>
      </c>
      <c r="M428" s="114">
        <f t="shared" si="28"/>
        <v>0</v>
      </c>
    </row>
    <row r="429" spans="11:13" hidden="1" x14ac:dyDescent="0.25">
      <c r="K429" s="137">
        <f t="shared" si="27"/>
        <v>0</v>
      </c>
      <c r="L429" s="132">
        <f t="shared" si="29"/>
        <v>0</v>
      </c>
      <c r="M429" s="114">
        <f t="shared" si="28"/>
        <v>0</v>
      </c>
    </row>
    <row r="430" spans="11:13" hidden="1" x14ac:dyDescent="0.25">
      <c r="K430" s="137">
        <f t="shared" si="27"/>
        <v>0</v>
      </c>
      <c r="L430" s="132">
        <f t="shared" si="29"/>
        <v>0</v>
      </c>
      <c r="M430" s="114">
        <f t="shared" si="28"/>
        <v>0</v>
      </c>
    </row>
    <row r="431" spans="11:13" hidden="1" x14ac:dyDescent="0.25">
      <c r="K431" s="137">
        <f t="shared" si="27"/>
        <v>0</v>
      </c>
      <c r="L431" s="132">
        <f t="shared" si="29"/>
        <v>0</v>
      </c>
      <c r="M431" s="114">
        <f t="shared" si="28"/>
        <v>0</v>
      </c>
    </row>
    <row r="432" spans="11:13" hidden="1" x14ac:dyDescent="0.25">
      <c r="K432" s="137">
        <f t="shared" si="27"/>
        <v>0</v>
      </c>
      <c r="L432" s="132">
        <f t="shared" si="29"/>
        <v>0</v>
      </c>
      <c r="M432" s="114">
        <f t="shared" si="28"/>
        <v>0</v>
      </c>
    </row>
    <row r="433" spans="11:13" hidden="1" x14ac:dyDescent="0.25">
      <c r="K433" s="137">
        <f t="shared" si="27"/>
        <v>0</v>
      </c>
      <c r="L433" s="132">
        <f t="shared" si="29"/>
        <v>0</v>
      </c>
      <c r="M433" s="114">
        <f t="shared" si="28"/>
        <v>0</v>
      </c>
    </row>
    <row r="434" spans="11:13" hidden="1" x14ac:dyDescent="0.25">
      <c r="K434" s="137">
        <f t="shared" si="27"/>
        <v>0</v>
      </c>
      <c r="L434" s="132">
        <f t="shared" si="29"/>
        <v>0</v>
      </c>
      <c r="M434" s="114">
        <f t="shared" si="28"/>
        <v>0</v>
      </c>
    </row>
    <row r="435" spans="11:13" hidden="1" x14ac:dyDescent="0.25">
      <c r="K435" s="137">
        <f t="shared" si="27"/>
        <v>0</v>
      </c>
      <c r="L435" s="132">
        <f t="shared" si="29"/>
        <v>0</v>
      </c>
      <c r="M435" s="114">
        <f t="shared" si="28"/>
        <v>0</v>
      </c>
    </row>
    <row r="436" spans="11:13" hidden="1" x14ac:dyDescent="0.25">
      <c r="K436" s="137">
        <f t="shared" si="27"/>
        <v>0</v>
      </c>
      <c r="L436" s="132">
        <f t="shared" si="29"/>
        <v>0</v>
      </c>
      <c r="M436" s="114">
        <f t="shared" si="28"/>
        <v>0</v>
      </c>
    </row>
    <row r="437" spans="11:13" hidden="1" x14ac:dyDescent="0.25">
      <c r="K437" s="137">
        <f t="shared" si="27"/>
        <v>0</v>
      </c>
      <c r="L437" s="132">
        <f t="shared" si="29"/>
        <v>0</v>
      </c>
      <c r="M437" s="114">
        <f t="shared" si="28"/>
        <v>0</v>
      </c>
    </row>
    <row r="438" spans="11:13" hidden="1" x14ac:dyDescent="0.25">
      <c r="K438" s="137">
        <f t="shared" si="27"/>
        <v>0</v>
      </c>
      <c r="L438" s="132">
        <f t="shared" si="29"/>
        <v>0</v>
      </c>
      <c r="M438" s="114">
        <f t="shared" si="28"/>
        <v>0</v>
      </c>
    </row>
    <row r="439" spans="11:13" hidden="1" x14ac:dyDescent="0.25">
      <c r="K439" s="137">
        <f t="shared" si="27"/>
        <v>0</v>
      </c>
      <c r="L439" s="132">
        <f t="shared" si="29"/>
        <v>0</v>
      </c>
      <c r="M439" s="114">
        <f t="shared" si="28"/>
        <v>0</v>
      </c>
    </row>
    <row r="440" spans="11:13" hidden="1" x14ac:dyDescent="0.25">
      <c r="K440" s="137">
        <f t="shared" si="27"/>
        <v>0</v>
      </c>
      <c r="L440" s="132">
        <f t="shared" si="29"/>
        <v>0</v>
      </c>
      <c r="M440" s="114">
        <f t="shared" si="28"/>
        <v>0</v>
      </c>
    </row>
    <row r="441" spans="11:13" hidden="1" x14ac:dyDescent="0.25">
      <c r="K441" s="137">
        <f t="shared" si="27"/>
        <v>0</v>
      </c>
      <c r="L441" s="132">
        <f t="shared" si="29"/>
        <v>0</v>
      </c>
      <c r="M441" s="114">
        <f t="shared" si="28"/>
        <v>0</v>
      </c>
    </row>
    <row r="442" spans="11:13" hidden="1" x14ac:dyDescent="0.25">
      <c r="K442" s="137">
        <f t="shared" si="27"/>
        <v>0</v>
      </c>
      <c r="L442" s="132">
        <f t="shared" si="29"/>
        <v>0</v>
      </c>
      <c r="M442" s="114">
        <f t="shared" si="28"/>
        <v>0</v>
      </c>
    </row>
    <row r="443" spans="11:13" hidden="1" x14ac:dyDescent="0.25">
      <c r="K443" s="137">
        <f t="shared" si="27"/>
        <v>0</v>
      </c>
      <c r="L443" s="132">
        <f t="shared" si="29"/>
        <v>0</v>
      </c>
      <c r="M443" s="114">
        <f t="shared" si="28"/>
        <v>0</v>
      </c>
    </row>
    <row r="444" spans="11:13" hidden="1" x14ac:dyDescent="0.25">
      <c r="K444" s="137">
        <f t="shared" si="27"/>
        <v>0</v>
      </c>
      <c r="L444" s="132">
        <f t="shared" si="29"/>
        <v>0</v>
      </c>
      <c r="M444" s="114">
        <f t="shared" si="28"/>
        <v>0</v>
      </c>
    </row>
    <row r="445" spans="11:13" hidden="1" x14ac:dyDescent="0.25">
      <c r="K445" s="137">
        <f t="shared" si="27"/>
        <v>0</v>
      </c>
      <c r="L445" s="132">
        <f t="shared" si="29"/>
        <v>0</v>
      </c>
      <c r="M445" s="114">
        <f t="shared" si="28"/>
        <v>0</v>
      </c>
    </row>
    <row r="446" spans="11:13" hidden="1" x14ac:dyDescent="0.25">
      <c r="K446" s="137">
        <f t="shared" si="27"/>
        <v>0</v>
      </c>
      <c r="L446" s="132">
        <f t="shared" si="29"/>
        <v>0</v>
      </c>
      <c r="M446" s="114">
        <f t="shared" si="28"/>
        <v>0</v>
      </c>
    </row>
    <row r="447" spans="11:13" hidden="1" x14ac:dyDescent="0.25">
      <c r="K447" s="137">
        <f t="shared" si="27"/>
        <v>0</v>
      </c>
      <c r="L447" s="132">
        <f t="shared" si="29"/>
        <v>0</v>
      </c>
      <c r="M447" s="114">
        <f t="shared" si="28"/>
        <v>0</v>
      </c>
    </row>
    <row r="448" spans="11:13" hidden="1" x14ac:dyDescent="0.25">
      <c r="K448" s="137">
        <f t="shared" si="27"/>
        <v>0</v>
      </c>
      <c r="L448" s="132">
        <f t="shared" si="29"/>
        <v>0</v>
      </c>
      <c r="M448" s="114">
        <f t="shared" si="28"/>
        <v>0</v>
      </c>
    </row>
    <row r="449" spans="11:13" hidden="1" x14ac:dyDescent="0.25">
      <c r="K449" s="137">
        <f t="shared" si="27"/>
        <v>0</v>
      </c>
      <c r="L449" s="132">
        <f t="shared" si="29"/>
        <v>0</v>
      </c>
      <c r="M449" s="114">
        <f t="shared" si="28"/>
        <v>0</v>
      </c>
    </row>
    <row r="450" spans="11:13" hidden="1" x14ac:dyDescent="0.25">
      <c r="K450" s="137">
        <f t="shared" si="27"/>
        <v>0</v>
      </c>
      <c r="L450" s="132">
        <f t="shared" si="29"/>
        <v>0</v>
      </c>
      <c r="M450" s="114">
        <f t="shared" si="28"/>
        <v>0</v>
      </c>
    </row>
    <row r="451" spans="11:13" hidden="1" x14ac:dyDescent="0.25">
      <c r="K451" s="137">
        <f t="shared" si="27"/>
        <v>0</v>
      </c>
      <c r="L451" s="132">
        <f t="shared" si="29"/>
        <v>0</v>
      </c>
      <c r="M451" s="114">
        <f t="shared" si="28"/>
        <v>0</v>
      </c>
    </row>
    <row r="452" spans="11:13" hidden="1" x14ac:dyDescent="0.25">
      <c r="K452" s="137">
        <f t="shared" si="27"/>
        <v>0</v>
      </c>
      <c r="L452" s="132">
        <f t="shared" si="29"/>
        <v>0</v>
      </c>
      <c r="M452" s="114">
        <f t="shared" si="28"/>
        <v>0</v>
      </c>
    </row>
    <row r="453" spans="11:13" hidden="1" x14ac:dyDescent="0.25">
      <c r="K453" s="137">
        <f t="shared" ref="K453:K498" si="30">SUM(F453:J453)</f>
        <v>0</v>
      </c>
      <c r="L453" s="132">
        <f t="shared" si="29"/>
        <v>0</v>
      </c>
      <c r="M453" s="114">
        <f t="shared" ref="M453:M498" si="31">SUM(K453*L453)</f>
        <v>0</v>
      </c>
    </row>
    <row r="454" spans="11:13" hidden="1" x14ac:dyDescent="0.25">
      <c r="K454" s="137">
        <f t="shared" si="30"/>
        <v>0</v>
      </c>
      <c r="L454" s="132">
        <f t="shared" si="29"/>
        <v>0</v>
      </c>
      <c r="M454" s="114">
        <f t="shared" si="31"/>
        <v>0</v>
      </c>
    </row>
    <row r="455" spans="11:13" hidden="1" x14ac:dyDescent="0.25">
      <c r="K455" s="137">
        <f t="shared" si="30"/>
        <v>0</v>
      </c>
      <c r="L455" s="132">
        <f t="shared" si="29"/>
        <v>0</v>
      </c>
      <c r="M455" s="114">
        <f t="shared" si="31"/>
        <v>0</v>
      </c>
    </row>
    <row r="456" spans="11:13" hidden="1" x14ac:dyDescent="0.25">
      <c r="K456" s="137">
        <f t="shared" si="30"/>
        <v>0</v>
      </c>
      <c r="L456" s="132">
        <f t="shared" si="29"/>
        <v>0</v>
      </c>
      <c r="M456" s="114">
        <f t="shared" si="31"/>
        <v>0</v>
      </c>
    </row>
    <row r="457" spans="11:13" hidden="1" x14ac:dyDescent="0.25">
      <c r="K457" s="137">
        <f t="shared" si="30"/>
        <v>0</v>
      </c>
      <c r="L457" s="132">
        <f t="shared" si="29"/>
        <v>0</v>
      </c>
      <c r="M457" s="114">
        <f t="shared" si="31"/>
        <v>0</v>
      </c>
    </row>
    <row r="458" spans="11:13" hidden="1" x14ac:dyDescent="0.25">
      <c r="K458" s="137">
        <f t="shared" si="30"/>
        <v>0</v>
      </c>
      <c r="L458" s="132">
        <f t="shared" si="29"/>
        <v>0</v>
      </c>
      <c r="M458" s="114">
        <f t="shared" si="31"/>
        <v>0</v>
      </c>
    </row>
    <row r="459" spans="11:13" hidden="1" x14ac:dyDescent="0.25">
      <c r="K459" s="137">
        <f t="shared" si="30"/>
        <v>0</v>
      </c>
      <c r="L459" s="132">
        <f t="shared" si="29"/>
        <v>0</v>
      </c>
      <c r="M459" s="114">
        <f t="shared" si="31"/>
        <v>0</v>
      </c>
    </row>
    <row r="460" spans="11:13" hidden="1" x14ac:dyDescent="0.25">
      <c r="K460" s="137">
        <f t="shared" si="30"/>
        <v>0</v>
      </c>
      <c r="L460" s="132">
        <f t="shared" si="29"/>
        <v>0</v>
      </c>
      <c r="M460" s="114">
        <f t="shared" si="31"/>
        <v>0</v>
      </c>
    </row>
    <row r="461" spans="11:13" hidden="1" x14ac:dyDescent="0.25">
      <c r="K461" s="137">
        <f t="shared" si="30"/>
        <v>0</v>
      </c>
      <c r="L461" s="132">
        <f t="shared" si="29"/>
        <v>0</v>
      </c>
      <c r="M461" s="114">
        <f t="shared" si="31"/>
        <v>0</v>
      </c>
    </row>
    <row r="462" spans="11:13" hidden="1" x14ac:dyDescent="0.25">
      <c r="K462" s="137">
        <f t="shared" si="30"/>
        <v>0</v>
      </c>
      <c r="L462" s="132">
        <f t="shared" si="29"/>
        <v>0</v>
      </c>
      <c r="M462" s="114">
        <f t="shared" si="31"/>
        <v>0</v>
      </c>
    </row>
    <row r="463" spans="11:13" hidden="1" x14ac:dyDescent="0.25">
      <c r="K463" s="137">
        <f t="shared" si="30"/>
        <v>0</v>
      </c>
      <c r="L463" s="132">
        <f t="shared" si="29"/>
        <v>0</v>
      </c>
      <c r="M463" s="114">
        <f t="shared" si="31"/>
        <v>0</v>
      </c>
    </row>
    <row r="464" spans="11:13" hidden="1" x14ac:dyDescent="0.25">
      <c r="K464" s="137">
        <f t="shared" si="30"/>
        <v>0</v>
      </c>
      <c r="L464" s="132">
        <f t="shared" si="29"/>
        <v>0</v>
      </c>
      <c r="M464" s="114">
        <f t="shared" si="31"/>
        <v>0</v>
      </c>
    </row>
    <row r="465" spans="11:13" hidden="1" x14ac:dyDescent="0.25">
      <c r="K465" s="137">
        <f t="shared" si="30"/>
        <v>0</v>
      </c>
      <c r="L465" s="132">
        <f t="shared" si="29"/>
        <v>0</v>
      </c>
      <c r="M465" s="114">
        <f t="shared" si="31"/>
        <v>0</v>
      </c>
    </row>
    <row r="466" spans="11:13" hidden="1" x14ac:dyDescent="0.25">
      <c r="K466" s="137">
        <f t="shared" si="30"/>
        <v>0</v>
      </c>
      <c r="L466" s="132">
        <f t="shared" si="29"/>
        <v>0</v>
      </c>
      <c r="M466" s="114">
        <f t="shared" si="31"/>
        <v>0</v>
      </c>
    </row>
    <row r="467" spans="11:13" hidden="1" x14ac:dyDescent="0.25">
      <c r="K467" s="137">
        <f t="shared" si="30"/>
        <v>0</v>
      </c>
      <c r="L467" s="132">
        <f t="shared" si="29"/>
        <v>0</v>
      </c>
      <c r="M467" s="114">
        <f t="shared" si="31"/>
        <v>0</v>
      </c>
    </row>
    <row r="468" spans="11:13" hidden="1" x14ac:dyDescent="0.25">
      <c r="K468" s="137">
        <f t="shared" si="30"/>
        <v>0</v>
      </c>
      <c r="L468" s="132">
        <f t="shared" si="29"/>
        <v>0</v>
      </c>
      <c r="M468" s="114">
        <f t="shared" si="31"/>
        <v>0</v>
      </c>
    </row>
    <row r="469" spans="11:13" hidden="1" x14ac:dyDescent="0.25">
      <c r="K469" s="137">
        <f t="shared" si="30"/>
        <v>0</v>
      </c>
      <c r="L469" s="132">
        <f t="shared" si="29"/>
        <v>0</v>
      </c>
      <c r="M469" s="114">
        <f t="shared" si="31"/>
        <v>0</v>
      </c>
    </row>
    <row r="470" spans="11:13" hidden="1" x14ac:dyDescent="0.25">
      <c r="K470" s="137">
        <f t="shared" si="30"/>
        <v>0</v>
      </c>
      <c r="L470" s="132">
        <f t="shared" si="29"/>
        <v>0</v>
      </c>
      <c r="M470" s="114">
        <f t="shared" si="31"/>
        <v>0</v>
      </c>
    </row>
    <row r="471" spans="11:13" hidden="1" x14ac:dyDescent="0.25">
      <c r="K471" s="137">
        <f t="shared" si="30"/>
        <v>0</v>
      </c>
      <c r="L471" s="132">
        <f t="shared" si="29"/>
        <v>0</v>
      </c>
      <c r="M471" s="114">
        <f t="shared" si="31"/>
        <v>0</v>
      </c>
    </row>
    <row r="472" spans="11:13" hidden="1" x14ac:dyDescent="0.25">
      <c r="K472" s="137">
        <f t="shared" si="30"/>
        <v>0</v>
      </c>
      <c r="L472" s="132">
        <f t="shared" si="29"/>
        <v>0</v>
      </c>
      <c r="M472" s="114">
        <f t="shared" si="31"/>
        <v>0</v>
      </c>
    </row>
    <row r="473" spans="11:13" hidden="1" x14ac:dyDescent="0.25">
      <c r="K473" s="137">
        <f t="shared" si="30"/>
        <v>0</v>
      </c>
      <c r="L473" s="132">
        <f t="shared" si="29"/>
        <v>0</v>
      </c>
      <c r="M473" s="114">
        <f t="shared" si="31"/>
        <v>0</v>
      </c>
    </row>
    <row r="474" spans="11:13" hidden="1" x14ac:dyDescent="0.25">
      <c r="K474" s="137">
        <f t="shared" si="30"/>
        <v>0</v>
      </c>
      <c r="L474" s="132">
        <f t="shared" si="29"/>
        <v>0</v>
      </c>
      <c r="M474" s="114">
        <f t="shared" si="31"/>
        <v>0</v>
      </c>
    </row>
    <row r="475" spans="11:13" hidden="1" x14ac:dyDescent="0.25">
      <c r="K475" s="137">
        <f t="shared" si="30"/>
        <v>0</v>
      </c>
      <c r="L475" s="132">
        <f t="shared" si="29"/>
        <v>0</v>
      </c>
      <c r="M475" s="114">
        <f t="shared" si="31"/>
        <v>0</v>
      </c>
    </row>
    <row r="476" spans="11:13" hidden="1" x14ac:dyDescent="0.25">
      <c r="K476" s="137">
        <f t="shared" si="30"/>
        <v>0</v>
      </c>
      <c r="L476" s="132">
        <f t="shared" si="29"/>
        <v>0</v>
      </c>
      <c r="M476" s="114">
        <f t="shared" si="31"/>
        <v>0</v>
      </c>
    </row>
    <row r="477" spans="11:13" hidden="1" x14ac:dyDescent="0.25">
      <c r="K477" s="137">
        <f t="shared" si="30"/>
        <v>0</v>
      </c>
      <c r="L477" s="132">
        <f t="shared" si="29"/>
        <v>0</v>
      </c>
      <c r="M477" s="114">
        <f t="shared" si="31"/>
        <v>0</v>
      </c>
    </row>
    <row r="478" spans="11:13" hidden="1" x14ac:dyDescent="0.25">
      <c r="K478" s="137">
        <f t="shared" si="30"/>
        <v>0</v>
      </c>
      <c r="L478" s="132">
        <f t="shared" ref="L478:L498" si="32">IF(D478="X",0,IF(E478="",0,IF(E478="X",0,VLOOKUP(E478,$F$539:$G$553,2))))</f>
        <v>0</v>
      </c>
      <c r="M478" s="114">
        <f t="shared" si="31"/>
        <v>0</v>
      </c>
    </row>
    <row r="479" spans="11:13" hidden="1" x14ac:dyDescent="0.25">
      <c r="K479" s="137">
        <f t="shared" si="30"/>
        <v>0</v>
      </c>
      <c r="L479" s="132">
        <f t="shared" si="32"/>
        <v>0</v>
      </c>
      <c r="M479" s="114">
        <f t="shared" si="31"/>
        <v>0</v>
      </c>
    </row>
    <row r="480" spans="11:13" hidden="1" x14ac:dyDescent="0.25">
      <c r="K480" s="137">
        <f t="shared" si="30"/>
        <v>0</v>
      </c>
      <c r="L480" s="132">
        <f t="shared" si="32"/>
        <v>0</v>
      </c>
      <c r="M480" s="114">
        <f t="shared" si="31"/>
        <v>0</v>
      </c>
    </row>
    <row r="481" spans="11:13" hidden="1" x14ac:dyDescent="0.25">
      <c r="K481" s="137">
        <f t="shared" si="30"/>
        <v>0</v>
      </c>
      <c r="L481" s="132">
        <f t="shared" si="32"/>
        <v>0</v>
      </c>
      <c r="M481" s="114">
        <f t="shared" si="31"/>
        <v>0</v>
      </c>
    </row>
    <row r="482" spans="11:13" hidden="1" x14ac:dyDescent="0.25">
      <c r="K482" s="137">
        <f t="shared" si="30"/>
        <v>0</v>
      </c>
      <c r="L482" s="132">
        <f t="shared" si="32"/>
        <v>0</v>
      </c>
      <c r="M482" s="114">
        <f t="shared" si="31"/>
        <v>0</v>
      </c>
    </row>
    <row r="483" spans="11:13" hidden="1" x14ac:dyDescent="0.25">
      <c r="K483" s="137">
        <f t="shared" si="30"/>
        <v>0</v>
      </c>
      <c r="L483" s="132">
        <f t="shared" si="32"/>
        <v>0</v>
      </c>
      <c r="M483" s="114">
        <f t="shared" si="31"/>
        <v>0</v>
      </c>
    </row>
    <row r="484" spans="11:13" hidden="1" x14ac:dyDescent="0.25">
      <c r="K484" s="137">
        <f t="shared" si="30"/>
        <v>0</v>
      </c>
      <c r="L484" s="132">
        <f t="shared" si="32"/>
        <v>0</v>
      </c>
      <c r="M484" s="114">
        <f t="shared" si="31"/>
        <v>0</v>
      </c>
    </row>
    <row r="485" spans="11:13" hidden="1" x14ac:dyDescent="0.25">
      <c r="K485" s="137">
        <f t="shared" si="30"/>
        <v>0</v>
      </c>
      <c r="L485" s="132">
        <f t="shared" si="32"/>
        <v>0</v>
      </c>
      <c r="M485" s="114">
        <f t="shared" si="31"/>
        <v>0</v>
      </c>
    </row>
    <row r="486" spans="11:13" hidden="1" x14ac:dyDescent="0.25">
      <c r="K486" s="137">
        <f t="shared" si="30"/>
        <v>0</v>
      </c>
      <c r="L486" s="132">
        <f t="shared" si="32"/>
        <v>0</v>
      </c>
      <c r="M486" s="114">
        <f t="shared" si="31"/>
        <v>0</v>
      </c>
    </row>
    <row r="487" spans="11:13" hidden="1" x14ac:dyDescent="0.25">
      <c r="K487" s="137">
        <f t="shared" si="30"/>
        <v>0</v>
      </c>
      <c r="L487" s="132">
        <f t="shared" si="32"/>
        <v>0</v>
      </c>
      <c r="M487" s="114">
        <f t="shared" si="31"/>
        <v>0</v>
      </c>
    </row>
    <row r="488" spans="11:13" hidden="1" x14ac:dyDescent="0.25">
      <c r="K488" s="137">
        <f t="shared" si="30"/>
        <v>0</v>
      </c>
      <c r="L488" s="132">
        <f t="shared" si="32"/>
        <v>0</v>
      </c>
      <c r="M488" s="114">
        <f t="shared" si="31"/>
        <v>0</v>
      </c>
    </row>
    <row r="489" spans="11:13" hidden="1" x14ac:dyDescent="0.25">
      <c r="K489" s="137">
        <f t="shared" si="30"/>
        <v>0</v>
      </c>
      <c r="L489" s="132">
        <f t="shared" si="32"/>
        <v>0</v>
      </c>
      <c r="M489" s="114">
        <f t="shared" si="31"/>
        <v>0</v>
      </c>
    </row>
    <row r="490" spans="11:13" hidden="1" x14ac:dyDescent="0.25">
      <c r="K490" s="137">
        <f t="shared" si="30"/>
        <v>0</v>
      </c>
      <c r="L490" s="132">
        <f t="shared" si="32"/>
        <v>0</v>
      </c>
      <c r="M490" s="114">
        <f t="shared" si="31"/>
        <v>0</v>
      </c>
    </row>
    <row r="491" spans="11:13" hidden="1" x14ac:dyDescent="0.25">
      <c r="K491" s="137">
        <f t="shared" ref="K491:K494" si="33">SUM(F491:J491)</f>
        <v>0</v>
      </c>
      <c r="L491" s="132">
        <f t="shared" si="32"/>
        <v>0</v>
      </c>
      <c r="M491" s="114">
        <f t="shared" ref="M491:M494" si="34">SUM(K491*L491)</f>
        <v>0</v>
      </c>
    </row>
    <row r="492" spans="11:13" hidden="1" x14ac:dyDescent="0.25">
      <c r="K492" s="137">
        <f t="shared" si="33"/>
        <v>0</v>
      </c>
      <c r="L492" s="132">
        <f t="shared" si="32"/>
        <v>0</v>
      </c>
      <c r="M492" s="114">
        <f t="shared" si="34"/>
        <v>0</v>
      </c>
    </row>
    <row r="493" spans="11:13" hidden="1" x14ac:dyDescent="0.25">
      <c r="K493" s="137">
        <f t="shared" si="33"/>
        <v>0</v>
      </c>
      <c r="L493" s="132">
        <f t="shared" si="32"/>
        <v>0</v>
      </c>
      <c r="M493" s="114">
        <f t="shared" si="34"/>
        <v>0</v>
      </c>
    </row>
    <row r="494" spans="11:13" hidden="1" x14ac:dyDescent="0.25">
      <c r="K494" s="137">
        <f t="shared" si="33"/>
        <v>0</v>
      </c>
      <c r="L494" s="132">
        <f t="shared" si="32"/>
        <v>0</v>
      </c>
      <c r="M494" s="114">
        <f t="shared" si="34"/>
        <v>0</v>
      </c>
    </row>
    <row r="495" spans="11:13" hidden="1" x14ac:dyDescent="0.25">
      <c r="K495" s="137">
        <f t="shared" si="30"/>
        <v>0</v>
      </c>
      <c r="L495" s="132">
        <f t="shared" si="32"/>
        <v>0</v>
      </c>
      <c r="M495" s="114">
        <f t="shared" si="31"/>
        <v>0</v>
      </c>
    </row>
    <row r="496" spans="11:13" hidden="1" x14ac:dyDescent="0.25">
      <c r="K496" s="137">
        <f t="shared" si="30"/>
        <v>0</v>
      </c>
      <c r="L496" s="132">
        <f t="shared" si="32"/>
        <v>0</v>
      </c>
      <c r="M496" s="114">
        <f t="shared" si="31"/>
        <v>0</v>
      </c>
    </row>
    <row r="497" spans="3:13" hidden="1" x14ac:dyDescent="0.25">
      <c r="K497" s="137">
        <f t="shared" si="30"/>
        <v>0</v>
      </c>
      <c r="L497" s="132">
        <f t="shared" si="32"/>
        <v>0</v>
      </c>
      <c r="M497" s="114">
        <f t="shared" si="31"/>
        <v>0</v>
      </c>
    </row>
    <row r="498" spans="3:13" hidden="1" x14ac:dyDescent="0.25">
      <c r="K498" s="137">
        <f t="shared" si="30"/>
        <v>0</v>
      </c>
      <c r="L498" s="132">
        <f t="shared" si="32"/>
        <v>0</v>
      </c>
      <c r="M498" s="114">
        <f t="shared" si="31"/>
        <v>0</v>
      </c>
    </row>
    <row r="499" spans="3:13" x14ac:dyDescent="0.25">
      <c r="C499" s="100" t="s">
        <v>35</v>
      </c>
      <c r="D499" s="100"/>
      <c r="E499" s="100"/>
      <c r="F499" s="100"/>
      <c r="G499" s="100"/>
      <c r="H499" s="100"/>
      <c r="I499" s="100"/>
      <c r="J499" s="100"/>
      <c r="K499" s="100"/>
      <c r="L499" s="100"/>
      <c r="M499" s="100" t="s">
        <v>34</v>
      </c>
    </row>
    <row r="500" spans="3:13" hidden="1" x14ac:dyDescent="0.25">
      <c r="C500" s="100" t="str">
        <f>IF(F539="","Vrije categorie",F539)</f>
        <v>A</v>
      </c>
      <c r="D500" s="100"/>
      <c r="E500" s="100"/>
      <c r="F500" s="100">
        <f t="shared" ref="F500:F514" si="35">SUMPRODUCT(--($E$4:$E$498=C500),--($D$4:$D$498=""),$F$4:$F$498)</f>
        <v>0</v>
      </c>
      <c r="G500" s="100">
        <f t="shared" ref="G500:G514" si="36">SUMPRODUCT(--($E$4:$E$498=C500),--($D$4:$D$498=""),$G$4:$G$498)</f>
        <v>0</v>
      </c>
      <c r="H500" s="100">
        <f t="shared" ref="H500:H514" si="37">SUMPRODUCT(--($E$4:$E$498=C500),--($D$4:$D$498=""),$H$4:$H$498)</f>
        <v>0</v>
      </c>
      <c r="I500" s="100">
        <f t="shared" ref="I500:I514" si="38">SUMPRODUCT(--($E$4:$E$498=C500),--($D$4:$D$498=""),$I$4:$I$498)</f>
        <v>0</v>
      </c>
      <c r="J500" s="100">
        <f t="shared" ref="J500:J514" si="39">SUMPRODUCT(--($E$4:$E$498=C500),--($D$4:$D$498=""),$J$4:$J$498)</f>
        <v>0</v>
      </c>
      <c r="K500" s="100">
        <f t="shared" ref="K500:K514" si="40">SUM(F500:J500)</f>
        <v>0</v>
      </c>
      <c r="L500" s="100"/>
      <c r="M500" s="100">
        <f t="shared" ref="M500:M507" si="41">SUMPRODUCT(--($E$4:$E$498=C500),--($D$4:$D$498=""),$M$4:$M$498)</f>
        <v>0</v>
      </c>
    </row>
    <row r="501" spans="3:13" x14ac:dyDescent="0.25">
      <c r="C501" s="100" t="str">
        <f t="shared" ref="C501:C514" si="42">IF(F540="","Vrije categorie",F540)</f>
        <v>B</v>
      </c>
      <c r="D501" s="100"/>
      <c r="E501" s="100"/>
      <c r="F501" s="100">
        <f t="shared" si="35"/>
        <v>73</v>
      </c>
      <c r="G501" s="100">
        <f t="shared" si="36"/>
        <v>13</v>
      </c>
      <c r="H501" s="100">
        <f t="shared" si="37"/>
        <v>0</v>
      </c>
      <c r="I501" s="100">
        <f t="shared" si="38"/>
        <v>0</v>
      </c>
      <c r="J501" s="100">
        <f t="shared" si="39"/>
        <v>0</v>
      </c>
      <c r="K501" s="100">
        <f t="shared" si="40"/>
        <v>86</v>
      </c>
      <c r="L501" s="100"/>
      <c r="M501" s="100">
        <f t="shared" si="41"/>
        <v>22360</v>
      </c>
    </row>
    <row r="502" spans="3:13" x14ac:dyDescent="0.25">
      <c r="C502" s="100" t="str">
        <f t="shared" si="42"/>
        <v>C</v>
      </c>
      <c r="D502" s="100"/>
      <c r="E502" s="100"/>
      <c r="F502" s="100">
        <f t="shared" si="35"/>
        <v>0</v>
      </c>
      <c r="G502" s="100">
        <f t="shared" si="36"/>
        <v>0</v>
      </c>
      <c r="H502" s="100">
        <f t="shared" si="37"/>
        <v>0</v>
      </c>
      <c r="I502" s="100">
        <f t="shared" si="38"/>
        <v>0</v>
      </c>
      <c r="J502" s="100">
        <f t="shared" si="39"/>
        <v>64</v>
      </c>
      <c r="K502" s="100">
        <f t="shared" si="40"/>
        <v>64</v>
      </c>
      <c r="L502" s="100"/>
      <c r="M502" s="100">
        <f t="shared" si="41"/>
        <v>16640</v>
      </c>
    </row>
    <row r="503" spans="3:13" x14ac:dyDescent="0.25">
      <c r="C503" s="100" t="str">
        <f t="shared" si="42"/>
        <v>D</v>
      </c>
      <c r="D503" s="100"/>
      <c r="E503" s="100"/>
      <c r="F503" s="100">
        <f t="shared" si="35"/>
        <v>0</v>
      </c>
      <c r="G503" s="100">
        <f t="shared" si="36"/>
        <v>0</v>
      </c>
      <c r="H503" s="100">
        <f t="shared" si="37"/>
        <v>0</v>
      </c>
      <c r="I503" s="100">
        <f t="shared" si="38"/>
        <v>0</v>
      </c>
      <c r="J503" s="100">
        <f t="shared" si="39"/>
        <v>10</v>
      </c>
      <c r="K503" s="100">
        <f t="shared" si="40"/>
        <v>10</v>
      </c>
      <c r="L503" s="100"/>
      <c r="M503" s="100">
        <f t="shared" si="41"/>
        <v>2600</v>
      </c>
    </row>
    <row r="504" spans="3:13" x14ac:dyDescent="0.25">
      <c r="C504" s="100" t="str">
        <f t="shared" si="42"/>
        <v>E</v>
      </c>
      <c r="D504" s="100"/>
      <c r="E504" s="100"/>
      <c r="F504" s="100">
        <f t="shared" si="35"/>
        <v>3</v>
      </c>
      <c r="G504" s="100">
        <f t="shared" si="36"/>
        <v>0</v>
      </c>
      <c r="H504" s="100">
        <f t="shared" si="37"/>
        <v>0</v>
      </c>
      <c r="I504" s="100">
        <f t="shared" si="38"/>
        <v>0</v>
      </c>
      <c r="J504" s="100">
        <f t="shared" si="39"/>
        <v>47</v>
      </c>
      <c r="K504" s="100">
        <f t="shared" si="40"/>
        <v>50</v>
      </c>
      <c r="L504" s="100"/>
      <c r="M504" s="100">
        <f t="shared" si="41"/>
        <v>13000</v>
      </c>
    </row>
    <row r="505" spans="3:13" x14ac:dyDescent="0.25">
      <c r="C505" s="100" t="str">
        <f t="shared" si="42"/>
        <v>F</v>
      </c>
      <c r="D505" s="100"/>
      <c r="E505" s="100"/>
      <c r="F505" s="100">
        <f t="shared" si="35"/>
        <v>0</v>
      </c>
      <c r="G505" s="100">
        <f t="shared" si="36"/>
        <v>0</v>
      </c>
      <c r="H505" s="100">
        <f t="shared" si="37"/>
        <v>0</v>
      </c>
      <c r="I505" s="100">
        <f t="shared" si="38"/>
        <v>0</v>
      </c>
      <c r="J505" s="100">
        <f t="shared" si="39"/>
        <v>0</v>
      </c>
      <c r="K505" s="100">
        <f t="shared" si="40"/>
        <v>0</v>
      </c>
      <c r="L505" s="100"/>
      <c r="M505" s="100">
        <f t="shared" si="41"/>
        <v>0</v>
      </c>
    </row>
    <row r="506" spans="3:13" x14ac:dyDescent="0.25">
      <c r="C506" s="100" t="str">
        <f t="shared" si="42"/>
        <v>G</v>
      </c>
      <c r="D506" s="100"/>
      <c r="E506" s="100"/>
      <c r="F506" s="100">
        <f t="shared" si="35"/>
        <v>0</v>
      </c>
      <c r="G506" s="100">
        <f t="shared" si="36"/>
        <v>0</v>
      </c>
      <c r="H506" s="100">
        <f t="shared" si="37"/>
        <v>0</v>
      </c>
      <c r="I506" s="100">
        <f t="shared" si="38"/>
        <v>0</v>
      </c>
      <c r="J506" s="100">
        <f t="shared" si="39"/>
        <v>25</v>
      </c>
      <c r="K506" s="100">
        <f t="shared" si="40"/>
        <v>25</v>
      </c>
      <c r="L506" s="100"/>
      <c r="M506" s="100">
        <f t="shared" si="41"/>
        <v>6500</v>
      </c>
    </row>
    <row r="507" spans="3:13" hidden="1" x14ac:dyDescent="0.25">
      <c r="C507" s="100" t="str">
        <f t="shared" si="42"/>
        <v>H</v>
      </c>
      <c r="D507" s="100"/>
      <c r="E507" s="100"/>
      <c r="F507" s="100">
        <f t="shared" si="35"/>
        <v>0</v>
      </c>
      <c r="G507" s="100">
        <f t="shared" si="36"/>
        <v>0</v>
      </c>
      <c r="H507" s="100">
        <f t="shared" si="37"/>
        <v>0</v>
      </c>
      <c r="I507" s="100">
        <f t="shared" si="38"/>
        <v>0</v>
      </c>
      <c r="J507" s="100">
        <f t="shared" si="39"/>
        <v>0</v>
      </c>
      <c r="K507" s="100">
        <f t="shared" si="40"/>
        <v>0</v>
      </c>
      <c r="L507" s="100"/>
      <c r="M507" s="100">
        <f t="shared" si="41"/>
        <v>0</v>
      </c>
    </row>
    <row r="508" spans="3:13" hidden="1" x14ac:dyDescent="0.25">
      <c r="C508" s="100" t="str">
        <f t="shared" si="42"/>
        <v>I</v>
      </c>
      <c r="D508" s="100"/>
      <c r="E508" s="100"/>
      <c r="F508" s="100">
        <f t="shared" si="35"/>
        <v>0</v>
      </c>
      <c r="G508" s="100">
        <f t="shared" si="36"/>
        <v>0</v>
      </c>
      <c r="H508" s="100">
        <f t="shared" si="37"/>
        <v>0</v>
      </c>
      <c r="I508" s="100">
        <f t="shared" si="38"/>
        <v>0</v>
      </c>
      <c r="J508" s="100">
        <f t="shared" si="39"/>
        <v>0</v>
      </c>
      <c r="K508" s="100">
        <f t="shared" si="40"/>
        <v>0</v>
      </c>
      <c r="L508" s="100"/>
      <c r="M508" s="100">
        <f t="shared" ref="M508:M513" si="43">SUMPRODUCT(--($E$4:$E$498=C508),--($D$4:$D$498=""),$M$4:$M$498)</f>
        <v>0</v>
      </c>
    </row>
    <row r="509" spans="3:13" hidden="1" x14ac:dyDescent="0.25">
      <c r="C509" s="100" t="str">
        <f t="shared" si="42"/>
        <v>J</v>
      </c>
      <c r="D509" s="100"/>
      <c r="E509" s="100"/>
      <c r="F509" s="100">
        <f t="shared" si="35"/>
        <v>0</v>
      </c>
      <c r="G509" s="100">
        <f t="shared" si="36"/>
        <v>0</v>
      </c>
      <c r="H509" s="100">
        <f t="shared" si="37"/>
        <v>0</v>
      </c>
      <c r="I509" s="100">
        <f t="shared" si="38"/>
        <v>0</v>
      </c>
      <c r="J509" s="100">
        <f t="shared" si="39"/>
        <v>0</v>
      </c>
      <c r="K509" s="100">
        <f t="shared" si="40"/>
        <v>0</v>
      </c>
      <c r="L509" s="100"/>
      <c r="M509" s="100">
        <f t="shared" si="43"/>
        <v>0</v>
      </c>
    </row>
    <row r="510" spans="3:13" x14ac:dyDescent="0.25">
      <c r="C510" s="100" t="str">
        <f t="shared" si="42"/>
        <v>K</v>
      </c>
      <c r="D510" s="100"/>
      <c r="E510" s="100"/>
      <c r="F510" s="100">
        <f t="shared" si="35"/>
        <v>0</v>
      </c>
      <c r="G510" s="100">
        <f t="shared" si="36"/>
        <v>0</v>
      </c>
      <c r="H510" s="100">
        <f t="shared" si="37"/>
        <v>0</v>
      </c>
      <c r="I510" s="100">
        <f t="shared" si="38"/>
        <v>0</v>
      </c>
      <c r="J510" s="100">
        <f t="shared" si="39"/>
        <v>0</v>
      </c>
      <c r="K510" s="100">
        <f t="shared" si="40"/>
        <v>0</v>
      </c>
      <c r="L510" s="100"/>
      <c r="M510" s="100">
        <f t="shared" si="43"/>
        <v>0</v>
      </c>
    </row>
    <row r="511" spans="3:13" x14ac:dyDescent="0.25">
      <c r="C511" s="100" t="str">
        <f t="shared" si="42"/>
        <v>X</v>
      </c>
      <c r="D511" s="100"/>
      <c r="E511" s="100"/>
      <c r="F511" s="100">
        <f t="shared" si="35"/>
        <v>11</v>
      </c>
      <c r="G511" s="100">
        <f t="shared" si="36"/>
        <v>0</v>
      </c>
      <c r="H511" s="100">
        <f t="shared" si="37"/>
        <v>0</v>
      </c>
      <c r="I511" s="100">
        <f t="shared" si="38"/>
        <v>0</v>
      </c>
      <c r="J511" s="100">
        <f t="shared" si="39"/>
        <v>406</v>
      </c>
      <c r="K511" s="100">
        <f t="shared" si="40"/>
        <v>417</v>
      </c>
      <c r="L511" s="100"/>
      <c r="M511" s="100">
        <f t="shared" si="43"/>
        <v>0</v>
      </c>
    </row>
    <row r="512" spans="3:13" hidden="1" x14ac:dyDescent="0.25">
      <c r="C512" s="100" t="str">
        <f t="shared" si="42"/>
        <v>Vrije categorie</v>
      </c>
      <c r="D512" s="100"/>
      <c r="E512" s="100"/>
      <c r="F512" s="100">
        <f t="shared" si="35"/>
        <v>0</v>
      </c>
      <c r="G512" s="100">
        <f t="shared" si="36"/>
        <v>0</v>
      </c>
      <c r="H512" s="100">
        <f t="shared" si="37"/>
        <v>0</v>
      </c>
      <c r="I512" s="100">
        <f t="shared" si="38"/>
        <v>0</v>
      </c>
      <c r="J512" s="100">
        <f t="shared" si="39"/>
        <v>0</v>
      </c>
      <c r="K512" s="100">
        <f t="shared" si="40"/>
        <v>0</v>
      </c>
      <c r="L512" s="100"/>
      <c r="M512" s="100">
        <f t="shared" si="43"/>
        <v>0</v>
      </c>
    </row>
    <row r="513" spans="3:13" hidden="1" x14ac:dyDescent="0.25">
      <c r="C513" s="100" t="str">
        <f t="shared" si="42"/>
        <v>Vrije categorie</v>
      </c>
      <c r="D513" s="100"/>
      <c r="E513" s="100"/>
      <c r="F513" s="100">
        <f t="shared" si="35"/>
        <v>0</v>
      </c>
      <c r="G513" s="100">
        <f t="shared" si="36"/>
        <v>0</v>
      </c>
      <c r="H513" s="100">
        <f t="shared" si="37"/>
        <v>0</v>
      </c>
      <c r="I513" s="100">
        <f t="shared" si="38"/>
        <v>0</v>
      </c>
      <c r="J513" s="100">
        <f t="shared" si="39"/>
        <v>0</v>
      </c>
      <c r="K513" s="100">
        <f t="shared" si="40"/>
        <v>0</v>
      </c>
      <c r="L513" s="100"/>
      <c r="M513" s="100">
        <f t="shared" si="43"/>
        <v>0</v>
      </c>
    </row>
    <row r="514" spans="3:13" hidden="1" x14ac:dyDescent="0.25">
      <c r="C514" s="100" t="str">
        <f t="shared" si="42"/>
        <v>Vrije categorie</v>
      </c>
      <c r="D514" s="100"/>
      <c r="E514" s="100"/>
      <c r="F514" s="100">
        <f t="shared" si="35"/>
        <v>0</v>
      </c>
      <c r="G514" s="100">
        <f t="shared" si="36"/>
        <v>0</v>
      </c>
      <c r="H514" s="100">
        <f t="shared" si="37"/>
        <v>0</v>
      </c>
      <c r="I514" s="100">
        <f t="shared" si="38"/>
        <v>0</v>
      </c>
      <c r="J514" s="100">
        <f t="shared" si="39"/>
        <v>0</v>
      </c>
      <c r="K514" s="100">
        <f t="shared" si="40"/>
        <v>0</v>
      </c>
      <c r="L514" s="100"/>
      <c r="M514" s="100">
        <f>SUMPRODUCT(--($E$4:$E$498=C514),--($D$4:$D$498=""),$M$4:$M$498)</f>
        <v>0</v>
      </c>
    </row>
    <row r="515" spans="3:13" ht="15.75" thickBot="1" x14ac:dyDescent="0.3">
      <c r="C515" s="101" t="s">
        <v>38</v>
      </c>
      <c r="D515" s="101"/>
      <c r="E515" s="101"/>
      <c r="F515" s="101">
        <f>SUM(F500:F514)</f>
        <v>87</v>
      </c>
      <c r="G515" s="101">
        <f t="shared" ref="G515:K515" si="44">SUM(G500:G514)</f>
        <v>13</v>
      </c>
      <c r="H515" s="101">
        <f t="shared" si="44"/>
        <v>0</v>
      </c>
      <c r="I515" s="101">
        <f t="shared" si="44"/>
        <v>0</v>
      </c>
      <c r="J515" s="101">
        <f t="shared" si="44"/>
        <v>552</v>
      </c>
      <c r="K515" s="101">
        <f t="shared" si="44"/>
        <v>652</v>
      </c>
      <c r="L515" s="101"/>
      <c r="M515" s="101">
        <f>SUM(M499:M514)</f>
        <v>61100</v>
      </c>
    </row>
    <row r="516" spans="3:13" ht="15.75" thickTop="1" x14ac:dyDescent="0.25">
      <c r="C516" s="102"/>
      <c r="D516" s="102"/>
      <c r="E516" s="102"/>
      <c r="F516" s="103"/>
      <c r="G516" s="103"/>
      <c r="H516" s="103"/>
      <c r="I516" s="103"/>
      <c r="J516" s="103"/>
      <c r="K516" s="104"/>
      <c r="L516" s="105"/>
      <c r="M516" s="103"/>
    </row>
    <row r="517" spans="3:13" ht="15.75" thickBot="1" x14ac:dyDescent="0.3">
      <c r="C517" s="101" t="s">
        <v>298</v>
      </c>
      <c r="D517" s="101"/>
      <c r="E517" s="101"/>
      <c r="F517" s="101" cm="1">
        <f t="array" ref="F517">SUMPRODUCT(--($E$4:$E$498="X"),$F$4:$F$498)</f>
        <v>11</v>
      </c>
      <c r="G517" s="101" cm="1">
        <f t="array" ref="G517">SUMPRODUCT(--($E$4:$E$498="X"),G4:G498)</f>
        <v>0</v>
      </c>
      <c r="H517" s="101" cm="1">
        <f t="array" ref="H517">SUMPRODUCT(--($E$4:$E$498="X"),H4:H498)</f>
        <v>0</v>
      </c>
      <c r="I517" s="101" cm="1">
        <f t="array" ref="I517">SUMPRODUCT(--($E$4:$E$498="X"),I4:I498)</f>
        <v>0</v>
      </c>
      <c r="J517" s="101" cm="1">
        <f t="array" ref="J517">SUMPRODUCT(--($E$4:$E$498="X"),J4:J498)</f>
        <v>406</v>
      </c>
      <c r="K517" s="101">
        <f>SUM(F517:J517)</f>
        <v>417</v>
      </c>
      <c r="L517" s="106"/>
      <c r="M517" s="107"/>
    </row>
    <row r="518" spans="3:13" ht="15.75" thickTop="1" x14ac:dyDescent="0.25">
      <c r="C518" s="3"/>
    </row>
    <row r="519" spans="3:13" hidden="1" x14ac:dyDescent="0.25">
      <c r="C519" s="9" t="s">
        <v>127</v>
      </c>
      <c r="D519" s="9"/>
      <c r="E519" s="9"/>
      <c r="F519" s="9"/>
      <c r="G519" s="9"/>
      <c r="H519" s="9"/>
      <c r="I519" s="9"/>
      <c r="J519" s="9"/>
      <c r="K519" s="9"/>
    </row>
    <row r="520" spans="3:13" hidden="1" x14ac:dyDescent="0.25">
      <c r="C520" s="9" t="str">
        <f t="shared" ref="C520:C534" si="45">C500</f>
        <v>A</v>
      </c>
      <c r="D520" s="9"/>
      <c r="E520" s="9"/>
      <c r="F520" s="9">
        <f t="shared" ref="F520:F534" si="46">SUMPRODUCT(--($E$4:$E$498=C520),--($D$4:$D$498="X"),$F$4:$F$498)</f>
        <v>0</v>
      </c>
      <c r="G520" s="9">
        <f t="shared" ref="G520:G534" si="47">SUMPRODUCT(--($E$4:$E$498=C520),--($D$4:$D$498="X"),$G$4:$G$498)</f>
        <v>0</v>
      </c>
      <c r="H520" s="9">
        <f t="shared" ref="H520:H534" si="48">SUMPRODUCT(--($E$4:$E$498=C520),--($D$4:$D$498="X"),$H$4:$H$498)</f>
        <v>0</v>
      </c>
      <c r="I520" s="9">
        <f t="shared" ref="I520:I534" si="49">SUMPRODUCT(--($E$4:$E$498=C520),--($D$4:$D$498="X"),$I$4:$I$498)</f>
        <v>0</v>
      </c>
      <c r="J520" s="9">
        <f t="shared" ref="J520:J534" si="50">SUMPRODUCT(--($E$4:$E$498=C520),--($D$4:$D$498="X"),$J$4:$J$498)</f>
        <v>0</v>
      </c>
      <c r="K520" s="9">
        <f t="shared" ref="K520:K534" si="51">SUM(F520:J520)</f>
        <v>0</v>
      </c>
    </row>
    <row r="521" spans="3:13" hidden="1" x14ac:dyDescent="0.25">
      <c r="C521" s="9" t="str">
        <f t="shared" si="45"/>
        <v>B</v>
      </c>
      <c r="D521" s="9"/>
      <c r="E521" s="9"/>
      <c r="F521" s="9">
        <f t="shared" si="46"/>
        <v>0</v>
      </c>
      <c r="G521" s="9">
        <f t="shared" si="47"/>
        <v>0</v>
      </c>
      <c r="H521" s="9">
        <f t="shared" si="48"/>
        <v>0</v>
      </c>
      <c r="I521" s="9">
        <f t="shared" si="49"/>
        <v>0</v>
      </c>
      <c r="J521" s="9">
        <f t="shared" si="50"/>
        <v>0</v>
      </c>
      <c r="K521" s="9">
        <f t="shared" si="51"/>
        <v>0</v>
      </c>
    </row>
    <row r="522" spans="3:13" hidden="1" x14ac:dyDescent="0.25">
      <c r="C522" s="9" t="str">
        <f t="shared" si="45"/>
        <v>C</v>
      </c>
      <c r="D522" s="9"/>
      <c r="E522" s="9"/>
      <c r="F522" s="9">
        <f t="shared" si="46"/>
        <v>0</v>
      </c>
      <c r="G522" s="9">
        <f t="shared" si="47"/>
        <v>0</v>
      </c>
      <c r="H522" s="9">
        <f t="shared" si="48"/>
        <v>0</v>
      </c>
      <c r="I522" s="9">
        <f t="shared" si="49"/>
        <v>0</v>
      </c>
      <c r="J522" s="9">
        <f t="shared" si="50"/>
        <v>0</v>
      </c>
      <c r="K522" s="9">
        <f t="shared" si="51"/>
        <v>0</v>
      </c>
    </row>
    <row r="523" spans="3:13" hidden="1" x14ac:dyDescent="0.25">
      <c r="C523" s="9" t="str">
        <f t="shared" si="45"/>
        <v>D</v>
      </c>
      <c r="D523" s="9"/>
      <c r="E523" s="9"/>
      <c r="F523" s="9">
        <f t="shared" si="46"/>
        <v>0</v>
      </c>
      <c r="G523" s="9">
        <f t="shared" si="47"/>
        <v>0</v>
      </c>
      <c r="H523" s="9">
        <f t="shared" si="48"/>
        <v>0</v>
      </c>
      <c r="I523" s="9">
        <f t="shared" si="49"/>
        <v>0</v>
      </c>
      <c r="J523" s="9">
        <f t="shared" si="50"/>
        <v>0</v>
      </c>
      <c r="K523" s="9">
        <f t="shared" si="51"/>
        <v>0</v>
      </c>
    </row>
    <row r="524" spans="3:13" hidden="1" x14ac:dyDescent="0.25">
      <c r="C524" s="9" t="str">
        <f t="shared" si="45"/>
        <v>E</v>
      </c>
      <c r="D524" s="9"/>
      <c r="E524" s="9"/>
      <c r="F524" s="9">
        <f t="shared" si="46"/>
        <v>0</v>
      </c>
      <c r="G524" s="9">
        <f t="shared" si="47"/>
        <v>0</v>
      </c>
      <c r="H524" s="9">
        <f t="shared" si="48"/>
        <v>0</v>
      </c>
      <c r="I524" s="9">
        <f t="shared" si="49"/>
        <v>0</v>
      </c>
      <c r="J524" s="9">
        <f t="shared" si="50"/>
        <v>0</v>
      </c>
      <c r="K524" s="9">
        <f t="shared" si="51"/>
        <v>0</v>
      </c>
    </row>
    <row r="525" spans="3:13" hidden="1" x14ac:dyDescent="0.25">
      <c r="C525" s="9" t="str">
        <f t="shared" si="45"/>
        <v>F</v>
      </c>
      <c r="D525" s="9"/>
      <c r="E525" s="9"/>
      <c r="F525" s="9">
        <f t="shared" si="46"/>
        <v>0</v>
      </c>
      <c r="G525" s="9">
        <f t="shared" si="47"/>
        <v>0</v>
      </c>
      <c r="H525" s="9">
        <f t="shared" si="48"/>
        <v>0</v>
      </c>
      <c r="I525" s="9">
        <f t="shared" si="49"/>
        <v>0</v>
      </c>
      <c r="J525" s="9">
        <f t="shared" si="50"/>
        <v>0</v>
      </c>
      <c r="K525" s="9">
        <f t="shared" si="51"/>
        <v>0</v>
      </c>
    </row>
    <row r="526" spans="3:13" hidden="1" x14ac:dyDescent="0.25">
      <c r="C526" s="9" t="str">
        <f t="shared" si="45"/>
        <v>G</v>
      </c>
      <c r="D526" s="9"/>
      <c r="E526" s="9"/>
      <c r="F526" s="9">
        <f t="shared" si="46"/>
        <v>0</v>
      </c>
      <c r="G526" s="9">
        <f t="shared" si="47"/>
        <v>0</v>
      </c>
      <c r="H526" s="9">
        <f t="shared" si="48"/>
        <v>0</v>
      </c>
      <c r="I526" s="9">
        <f t="shared" si="49"/>
        <v>0</v>
      </c>
      <c r="J526" s="9">
        <f t="shared" si="50"/>
        <v>0</v>
      </c>
      <c r="K526" s="9">
        <f t="shared" si="51"/>
        <v>0</v>
      </c>
    </row>
    <row r="527" spans="3:13" hidden="1" x14ac:dyDescent="0.25">
      <c r="C527" s="9" t="str">
        <f t="shared" si="45"/>
        <v>H</v>
      </c>
      <c r="D527" s="9"/>
      <c r="E527" s="9"/>
      <c r="F527" s="9">
        <f t="shared" si="46"/>
        <v>0</v>
      </c>
      <c r="G527" s="9">
        <f t="shared" si="47"/>
        <v>0</v>
      </c>
      <c r="H527" s="9">
        <f t="shared" si="48"/>
        <v>0</v>
      </c>
      <c r="I527" s="9">
        <f t="shared" si="49"/>
        <v>0</v>
      </c>
      <c r="J527" s="9">
        <f t="shared" si="50"/>
        <v>0</v>
      </c>
      <c r="K527" s="9">
        <f t="shared" si="51"/>
        <v>0</v>
      </c>
    </row>
    <row r="528" spans="3:13" hidden="1" x14ac:dyDescent="0.25">
      <c r="C528" s="9" t="str">
        <f t="shared" si="45"/>
        <v>I</v>
      </c>
      <c r="D528" s="9"/>
      <c r="E528" s="9"/>
      <c r="F528" s="9">
        <f t="shared" si="46"/>
        <v>0</v>
      </c>
      <c r="G528" s="9">
        <f t="shared" si="47"/>
        <v>0</v>
      </c>
      <c r="H528" s="9">
        <f t="shared" si="48"/>
        <v>0</v>
      </c>
      <c r="I528" s="9">
        <f t="shared" si="49"/>
        <v>0</v>
      </c>
      <c r="J528" s="9">
        <f t="shared" si="50"/>
        <v>0</v>
      </c>
      <c r="K528" s="9">
        <f t="shared" si="51"/>
        <v>0</v>
      </c>
    </row>
    <row r="529" spans="3:12" hidden="1" x14ac:dyDescent="0.25">
      <c r="C529" s="9" t="str">
        <f t="shared" si="45"/>
        <v>J</v>
      </c>
      <c r="D529" s="9"/>
      <c r="E529" s="9"/>
      <c r="F529" s="9">
        <f t="shared" si="46"/>
        <v>0</v>
      </c>
      <c r="G529" s="9">
        <f t="shared" si="47"/>
        <v>0</v>
      </c>
      <c r="H529" s="9">
        <f t="shared" si="48"/>
        <v>0</v>
      </c>
      <c r="I529" s="9">
        <f t="shared" si="49"/>
        <v>0</v>
      </c>
      <c r="J529" s="9">
        <f t="shared" si="50"/>
        <v>0</v>
      </c>
      <c r="K529" s="9">
        <f t="shared" si="51"/>
        <v>0</v>
      </c>
    </row>
    <row r="530" spans="3:12" hidden="1" x14ac:dyDescent="0.25">
      <c r="C530" s="9" t="str">
        <f t="shared" si="45"/>
        <v>K</v>
      </c>
      <c r="D530" s="9"/>
      <c r="E530" s="9"/>
      <c r="F530" s="9">
        <f t="shared" si="46"/>
        <v>0</v>
      </c>
      <c r="G530" s="9">
        <f t="shared" si="47"/>
        <v>0</v>
      </c>
      <c r="H530" s="9">
        <f t="shared" si="48"/>
        <v>0</v>
      </c>
      <c r="I530" s="9">
        <f t="shared" si="49"/>
        <v>0</v>
      </c>
      <c r="J530" s="9">
        <f t="shared" si="50"/>
        <v>0</v>
      </c>
      <c r="K530" s="9">
        <f t="shared" si="51"/>
        <v>0</v>
      </c>
    </row>
    <row r="531" spans="3:12" hidden="1" x14ac:dyDescent="0.25">
      <c r="C531" s="9" t="str">
        <f t="shared" si="45"/>
        <v>X</v>
      </c>
      <c r="D531" s="9"/>
      <c r="E531" s="9"/>
      <c r="F531" s="9">
        <f t="shared" si="46"/>
        <v>0</v>
      </c>
      <c r="G531" s="9">
        <f t="shared" si="47"/>
        <v>0</v>
      </c>
      <c r="H531" s="9">
        <f t="shared" si="48"/>
        <v>0</v>
      </c>
      <c r="I531" s="9">
        <f t="shared" si="49"/>
        <v>0</v>
      </c>
      <c r="J531" s="9">
        <f t="shared" si="50"/>
        <v>0</v>
      </c>
      <c r="K531" s="9">
        <f t="shared" si="51"/>
        <v>0</v>
      </c>
    </row>
    <row r="532" spans="3:12" hidden="1" x14ac:dyDescent="0.25">
      <c r="C532" s="9" t="str">
        <f t="shared" si="45"/>
        <v>Vrije categorie</v>
      </c>
      <c r="D532" s="9"/>
      <c r="E532" s="9"/>
      <c r="F532" s="9">
        <f t="shared" si="46"/>
        <v>0</v>
      </c>
      <c r="G532" s="9">
        <f t="shared" si="47"/>
        <v>0</v>
      </c>
      <c r="H532" s="9">
        <f t="shared" si="48"/>
        <v>0</v>
      </c>
      <c r="I532" s="9">
        <f t="shared" si="49"/>
        <v>0</v>
      </c>
      <c r="J532" s="9">
        <f t="shared" si="50"/>
        <v>0</v>
      </c>
      <c r="K532" s="9">
        <f t="shared" si="51"/>
        <v>0</v>
      </c>
    </row>
    <row r="533" spans="3:12" hidden="1" x14ac:dyDescent="0.25">
      <c r="C533" s="9" t="str">
        <f t="shared" si="45"/>
        <v>Vrije categorie</v>
      </c>
      <c r="D533" s="9"/>
      <c r="E533" s="9"/>
      <c r="F533" s="9">
        <f t="shared" si="46"/>
        <v>0</v>
      </c>
      <c r="G533" s="9">
        <f t="shared" si="47"/>
        <v>0</v>
      </c>
      <c r="H533" s="9">
        <f t="shared" si="48"/>
        <v>0</v>
      </c>
      <c r="I533" s="9">
        <f t="shared" si="49"/>
        <v>0</v>
      </c>
      <c r="J533" s="9">
        <f t="shared" si="50"/>
        <v>0</v>
      </c>
      <c r="K533" s="9">
        <f t="shared" si="51"/>
        <v>0</v>
      </c>
    </row>
    <row r="534" spans="3:12" hidden="1" x14ac:dyDescent="0.25">
      <c r="C534" s="9" t="str">
        <f t="shared" si="45"/>
        <v>Vrije categorie</v>
      </c>
      <c r="D534" s="9"/>
      <c r="E534" s="9"/>
      <c r="F534" s="9">
        <f t="shared" si="46"/>
        <v>0</v>
      </c>
      <c r="G534" s="9">
        <f t="shared" si="47"/>
        <v>0</v>
      </c>
      <c r="H534" s="9">
        <f t="shared" si="48"/>
        <v>0</v>
      </c>
      <c r="I534" s="9">
        <f t="shared" si="49"/>
        <v>0</v>
      </c>
      <c r="J534" s="9">
        <f t="shared" si="50"/>
        <v>0</v>
      </c>
      <c r="K534" s="9">
        <f t="shared" si="51"/>
        <v>0</v>
      </c>
    </row>
    <row r="535" spans="3:12" ht="15.75" hidden="1" thickBot="1" x14ac:dyDescent="0.3">
      <c r="C535" s="10" t="s">
        <v>126</v>
      </c>
      <c r="D535" s="10"/>
      <c r="E535" s="10"/>
      <c r="F535" s="10">
        <f t="shared" ref="F535:K535" si="52">SUM(F520:F534)</f>
        <v>0</v>
      </c>
      <c r="G535" s="10">
        <f t="shared" si="52"/>
        <v>0</v>
      </c>
      <c r="H535" s="10">
        <f t="shared" si="52"/>
        <v>0</v>
      </c>
      <c r="I535" s="10">
        <f t="shared" si="52"/>
        <v>0</v>
      </c>
      <c r="J535" s="10">
        <f t="shared" si="52"/>
        <v>0</v>
      </c>
      <c r="K535" s="10">
        <f t="shared" si="52"/>
        <v>0</v>
      </c>
    </row>
    <row r="536" spans="3:12" ht="15.75" hidden="1" thickTop="1" x14ac:dyDescent="0.25">
      <c r="C536" s="138"/>
    </row>
    <row r="537" spans="3:12" hidden="1" x14ac:dyDescent="0.25">
      <c r="C537" s="138"/>
    </row>
    <row r="538" spans="3:12" x14ac:dyDescent="0.25">
      <c r="F538" s="226" t="s">
        <v>36</v>
      </c>
      <c r="G538" s="227" t="s">
        <v>37</v>
      </c>
      <c r="I538" s="507" t="s">
        <v>251</v>
      </c>
      <c r="J538" s="508"/>
      <c r="K538" s="202" t="s">
        <v>206</v>
      </c>
      <c r="L538" s="114"/>
    </row>
    <row r="539" spans="3:12" x14ac:dyDescent="0.25">
      <c r="F539" s="228" t="str">
        <f>IF('1a'!F539=0,"",'1a'!F539)</f>
        <v>A</v>
      </c>
      <c r="G539" s="229">
        <f>IF('1a'!G539=0,"",'1a'!G539)</f>
        <v>104</v>
      </c>
      <c r="I539" s="509" t="s">
        <v>252</v>
      </c>
      <c r="J539" s="510"/>
      <c r="K539" s="203">
        <v>110.22499999999999</v>
      </c>
      <c r="L539" s="114"/>
    </row>
    <row r="540" spans="3:12" x14ac:dyDescent="0.25">
      <c r="F540" s="228" t="str">
        <f>IF('1a'!F540=0,"",'1a'!F540)</f>
        <v>B</v>
      </c>
      <c r="G540" s="229">
        <f>IF('1a'!G540=0,"",'1a'!G540)</f>
        <v>260</v>
      </c>
      <c r="I540" s="509" t="s">
        <v>253</v>
      </c>
      <c r="J540" s="510"/>
      <c r="K540" s="203">
        <v>110.22499999999999</v>
      </c>
      <c r="L540" s="114"/>
    </row>
    <row r="541" spans="3:12" x14ac:dyDescent="0.25">
      <c r="F541" s="228" t="str">
        <f>IF('1a'!F541=0,"",'1a'!F541)</f>
        <v>C</v>
      </c>
      <c r="G541" s="229">
        <f>IF('1a'!G541=0,"",'1a'!G541)</f>
        <v>260</v>
      </c>
      <c r="I541" s="509" t="s">
        <v>254</v>
      </c>
      <c r="J541" s="510"/>
      <c r="K541" s="203">
        <v>23.95</v>
      </c>
      <c r="L541" s="114"/>
    </row>
    <row r="542" spans="3:12" x14ac:dyDescent="0.25">
      <c r="F542" s="228" t="str">
        <f>IF('1a'!F542=0,"",'1a'!F542)</f>
        <v>D</v>
      </c>
      <c r="G542" s="229">
        <f>IF('1a'!G542=0,"",'1a'!G542)</f>
        <v>260</v>
      </c>
      <c r="I542" s="509" t="s">
        <v>300</v>
      </c>
      <c r="J542" s="510"/>
      <c r="K542" s="203">
        <v>231.45</v>
      </c>
      <c r="L542" s="114"/>
    </row>
    <row r="543" spans="3:12" x14ac:dyDescent="0.25">
      <c r="F543" s="228" t="str">
        <f>IF('1a'!F543=0,"",'1a'!F543)</f>
        <v>E</v>
      </c>
      <c r="G543" s="229">
        <f>IF('1a'!G543=0,"",'1a'!G543)</f>
        <v>260</v>
      </c>
      <c r="I543" s="509" t="s">
        <v>167</v>
      </c>
      <c r="J543" s="510"/>
      <c r="K543" s="203"/>
      <c r="L543" s="114"/>
    </row>
    <row r="544" spans="3:12" x14ac:dyDescent="0.25">
      <c r="F544" s="228" t="str">
        <f>IF('1a'!F544=0,"",'1a'!F544)</f>
        <v>F</v>
      </c>
      <c r="G544" s="229">
        <f>IF('1a'!G544=0,"",'1a'!G544)</f>
        <v>260</v>
      </c>
      <c r="I544" s="505" t="s">
        <v>168</v>
      </c>
      <c r="J544" s="506"/>
      <c r="K544" s="204"/>
      <c r="L544" s="114"/>
    </row>
    <row r="545" spans="6:7" x14ac:dyDescent="0.25">
      <c r="F545" s="228" t="str">
        <f>IF('1a'!F545=0,"",'1a'!F545)</f>
        <v>G</v>
      </c>
      <c r="G545" s="229">
        <f>IF('1a'!G545=0,"",'1a'!G545)</f>
        <v>260</v>
      </c>
    </row>
    <row r="546" spans="6:7" x14ac:dyDescent="0.25">
      <c r="F546" s="228" t="str">
        <f>IF('1a'!F546=0,"",'1a'!F546)</f>
        <v>H</v>
      </c>
      <c r="G546" s="229">
        <f>IF('1a'!G546=0,"",'1a'!G546)</f>
        <v>260</v>
      </c>
    </row>
    <row r="547" spans="6:7" x14ac:dyDescent="0.25">
      <c r="F547" s="228" t="str">
        <f>IF('1a'!F547=0,"",'1a'!F547)</f>
        <v>I</v>
      </c>
      <c r="G547" s="229">
        <f>IF('1a'!G547=0,"",'1a'!G547)</f>
        <v>260</v>
      </c>
    </row>
    <row r="548" spans="6:7" x14ac:dyDescent="0.25">
      <c r="F548" s="228" t="str">
        <f>IF('1a'!F548=0,"",'1a'!F548)</f>
        <v>J</v>
      </c>
      <c r="G548" s="229">
        <f>IF('1a'!G548=0,"",'1a'!G548)</f>
        <v>260</v>
      </c>
    </row>
    <row r="549" spans="6:7" x14ac:dyDescent="0.25">
      <c r="F549" s="228" t="str">
        <f>IF('1a'!F549=0,"",'1a'!F549)</f>
        <v>K</v>
      </c>
      <c r="G549" s="229">
        <f>IF('1a'!G549=0,"",'1a'!G549)</f>
        <v>12</v>
      </c>
    </row>
    <row r="550" spans="6:7" x14ac:dyDescent="0.25">
      <c r="F550" s="228" t="str">
        <f>IF('1a'!F550=0,"",'1a'!F550)</f>
        <v>X</v>
      </c>
      <c r="G550" s="229" t="str">
        <f>IF('1a'!G550=0,"0",'1a'!G550)</f>
        <v>0</v>
      </c>
    </row>
    <row r="551" spans="6:7" hidden="1" x14ac:dyDescent="0.25">
      <c r="F551" s="228" t="str">
        <f>IF('1a'!F551=0,"",'1a'!F551)</f>
        <v>Vrije categorie</v>
      </c>
      <c r="G551" s="229" t="str">
        <f>IF('1a'!G551=0,"",'1a'!G551)</f>
        <v/>
      </c>
    </row>
    <row r="552" spans="6:7" hidden="1" x14ac:dyDescent="0.25">
      <c r="F552" s="228" t="str">
        <f>IF('1a'!F552=0,"",'1a'!F552)</f>
        <v>Vrije categorie</v>
      </c>
      <c r="G552" s="229" t="str">
        <f>IF('1a'!G552=0,"",'1a'!G552)</f>
        <v/>
      </c>
    </row>
    <row r="553" spans="6:7" hidden="1" x14ac:dyDescent="0.25">
      <c r="F553" s="221" t="str">
        <f>IF('1a'!F553=0,"",'1a'!F553)</f>
        <v>Vrije categorie</v>
      </c>
      <c r="G553" s="236" t="str">
        <f>IF('1a'!G553=0,"",'1a'!G553)</f>
        <v/>
      </c>
    </row>
  </sheetData>
  <mergeCells count="7">
    <mergeCell ref="I543:J543"/>
    <mergeCell ref="I544:J544"/>
    <mergeCell ref="I538:J538"/>
    <mergeCell ref="I539:J539"/>
    <mergeCell ref="I540:J540"/>
    <mergeCell ref="I541:J541"/>
    <mergeCell ref="I542:J542"/>
  </mergeCells>
  <printOptions gridLines="1"/>
  <pageMargins left="0.70866141732283472" right="0.70866141732283472" top="0.94488188976377963" bottom="0.74803149606299213" header="0.31496062992125984" footer="0.31496062992125984"/>
  <pageSetup paperSize="9" scale="85" orientation="portrait" cellComments="asDisplayed" r:id="rId1"/>
  <headerFooter>
    <oddHeader>&amp;L&amp;G</oddHeader>
  </headerFooter>
  <legacy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8">
    <tabColor rgb="FFC2E76B"/>
  </sheetPr>
  <dimension ref="A1:O121"/>
  <sheetViews>
    <sheetView showGridLines="0" showZeros="0" zoomScaleNormal="100" workbookViewId="0">
      <selection activeCell="I29" sqref="I29"/>
    </sheetView>
  </sheetViews>
  <sheetFormatPr defaultColWidth="0" defaultRowHeight="0" customHeight="1" zeroHeight="1" x14ac:dyDescent="0.25"/>
  <cols>
    <col min="1" max="3" width="9.140625" style="274" customWidth="1"/>
    <col min="4" max="5" width="15.7109375" style="274" customWidth="1"/>
    <col min="6" max="6" width="17.140625" style="274" customWidth="1"/>
    <col min="7" max="9" width="15.7109375" style="274" customWidth="1"/>
    <col min="10" max="10" width="12.140625" style="274" customWidth="1"/>
    <col min="11" max="11" width="15.7109375" style="274" customWidth="1"/>
    <col min="12" max="12" width="16.42578125" style="274" customWidth="1"/>
    <col min="13" max="13" width="2.140625" style="274" customWidth="1"/>
    <col min="14" max="15" width="0" style="274" hidden="1" customWidth="1"/>
    <col min="16" max="16384" width="9.140625" style="274" hidden="1"/>
  </cols>
  <sheetData>
    <row r="1" spans="1:11" ht="15" x14ac:dyDescent="0.25"/>
    <row r="2" spans="1:11" ht="23.25" x14ac:dyDescent="0.35">
      <c r="D2" s="311" t="str">
        <f>CONCATENATE("Uitvoeringsbepaling"," ",H4,", onderdeel van ",Verzamelblad!A2," ",Verzamelblad!A3)</f>
        <v xml:space="preserve">Uitvoeringsbepaling 3, onderdeel van Bestek </v>
      </c>
      <c r="E2" s="289"/>
      <c r="F2" s="289"/>
      <c r="G2" s="289"/>
      <c r="H2" s="312"/>
    </row>
    <row r="3" spans="1:11" ht="15" x14ac:dyDescent="0.25">
      <c r="A3" s="275"/>
      <c r="B3" s="275"/>
      <c r="C3" s="275"/>
      <c r="D3" s="313"/>
      <c r="E3" s="313"/>
      <c r="F3" s="275"/>
      <c r="G3" s="275"/>
      <c r="H3" s="275"/>
    </row>
    <row r="4" spans="1:11" ht="15" customHeight="1" x14ac:dyDescent="0.25">
      <c r="A4" s="328" t="s">
        <v>7</v>
      </c>
      <c r="B4" s="485" t="str">
        <f>VLOOKUP(H4,Verzamelblad!A5:E19,3)</f>
        <v>Gemeentewerf Surhuisterveen</v>
      </c>
      <c r="C4" s="485"/>
      <c r="D4" s="485"/>
      <c r="E4" s="485"/>
      <c r="F4" s="511" t="s">
        <v>11</v>
      </c>
      <c r="G4" s="511"/>
      <c r="H4" s="402">
        <v>3</v>
      </c>
    </row>
    <row r="5" spans="1:11" ht="15" x14ac:dyDescent="0.25">
      <c r="A5" s="335" t="s">
        <v>6</v>
      </c>
      <c r="B5" s="482" t="str">
        <f>VLOOKUP(H4,Verzamelblad!A5:E19,4)</f>
        <v>Badlaan 2a</v>
      </c>
      <c r="C5" s="482"/>
      <c r="D5" s="482"/>
      <c r="E5" s="482"/>
      <c r="F5" s="512" t="s">
        <v>12</v>
      </c>
      <c r="G5" s="512"/>
      <c r="H5" s="403" t="str">
        <f>CONCATENATE(H4,"a")</f>
        <v>3a</v>
      </c>
    </row>
    <row r="6" spans="1:11" ht="15" x14ac:dyDescent="0.25">
      <c r="A6" s="344" t="s">
        <v>8</v>
      </c>
      <c r="B6" s="479" t="str">
        <f>VLOOKUP(H4,Verzamelblad!A5:E19,5)</f>
        <v>Surhuisterveen</v>
      </c>
      <c r="C6" s="479"/>
      <c r="D6" s="479"/>
      <c r="E6" s="479"/>
      <c r="F6" s="513" t="s">
        <v>143</v>
      </c>
      <c r="G6" s="513"/>
      <c r="H6" s="404"/>
      <c r="I6" s="275"/>
    </row>
    <row r="7" spans="1:11" ht="15" x14ac:dyDescent="0.25">
      <c r="A7" s="320"/>
      <c r="B7" s="320"/>
      <c r="C7" s="320"/>
      <c r="D7" s="320"/>
      <c r="E7" s="320"/>
      <c r="F7" s="275"/>
      <c r="G7" s="321"/>
      <c r="H7" s="322"/>
      <c r="I7" s="275"/>
    </row>
    <row r="8" spans="1:11" ht="15" x14ac:dyDescent="0.25">
      <c r="A8" s="314" t="s">
        <v>9</v>
      </c>
      <c r="B8" s="323"/>
      <c r="C8" s="323"/>
      <c r="D8" s="323"/>
      <c r="E8" s="405">
        <f>VLOOKUP($H$4,Verzamelblad!$A$5:$EK$19,14,0)</f>
        <v>0</v>
      </c>
      <c r="F8" s="324"/>
      <c r="G8" s="275"/>
      <c r="H8" s="275"/>
      <c r="I8" s="275"/>
    </row>
    <row r="9" spans="1:11" ht="15" x14ac:dyDescent="0.25">
      <c r="A9" s="318" t="s">
        <v>10</v>
      </c>
      <c r="B9" s="325"/>
      <c r="C9" s="325"/>
      <c r="D9" s="325"/>
      <c r="E9" s="406">
        <f>VLOOKUP($H$4,Verzamelblad!$A$5:$EK$19,6,0)</f>
        <v>260</v>
      </c>
      <c r="F9" s="275"/>
      <c r="G9" s="275"/>
      <c r="H9" s="275"/>
      <c r="I9" s="275"/>
    </row>
    <row r="10" spans="1:11" ht="18.75" customHeight="1" x14ac:dyDescent="0.25">
      <c r="F10" s="327" t="s">
        <v>190</v>
      </c>
      <c r="G10" s="327" t="s">
        <v>191</v>
      </c>
      <c r="H10" s="327" t="s">
        <v>74</v>
      </c>
      <c r="I10" s="327" t="s">
        <v>192</v>
      </c>
      <c r="J10" s="327" t="s">
        <v>193</v>
      </c>
      <c r="K10" s="327" t="s">
        <v>194</v>
      </c>
    </row>
    <row r="11" spans="1:11" ht="15" x14ac:dyDescent="0.25">
      <c r="A11" s="328" t="s">
        <v>18</v>
      </c>
      <c r="B11" s="329"/>
      <c r="C11" s="329"/>
      <c r="D11" s="330"/>
      <c r="E11" s="331"/>
      <c r="F11" s="407" t="str">
        <f>IFERROR(IF(SUM(I11/12)=0,"",SUM(I11/12)),"")</f>
        <v/>
      </c>
      <c r="G11" s="408" t="str">
        <f>IFERROR(SUM(J11/12),"")</f>
        <v/>
      </c>
      <c r="H11" s="334" t="str">
        <f>IFERROR(SUM(J11/E9),"")</f>
        <v/>
      </c>
      <c r="I11" s="407" t="str">
        <f>IFERROR(IF(SUM($I$14*K11)=0,"",SUM($I$14*K11)),"")</f>
        <v/>
      </c>
      <c r="J11" s="408" t="str">
        <f>IFERROR(SUM(J14*K11),"")</f>
        <v/>
      </c>
      <c r="K11" s="190"/>
    </row>
    <row r="12" spans="1:11" ht="15" x14ac:dyDescent="0.25">
      <c r="A12" s="335" t="s">
        <v>19</v>
      </c>
      <c r="B12" s="336"/>
      <c r="C12" s="336"/>
      <c r="D12" s="337"/>
      <c r="E12" s="338"/>
      <c r="F12" s="409" t="str">
        <f>IFERROR(IF(SUM(I12/3)=0,"",SUM(I12/3)),"")</f>
        <v/>
      </c>
      <c r="G12" s="410" t="str">
        <f>IFERROR(SUM(J12/3),"")</f>
        <v/>
      </c>
      <c r="H12" s="341"/>
      <c r="I12" s="411" t="str">
        <f>IFERROR(IF(SUM($I$14*K12)=0,"",SUM($I$14*K12)),"")</f>
        <v/>
      </c>
      <c r="J12" s="412" t="str">
        <f>IFERROR(SUM(J14*K12),"")</f>
        <v/>
      </c>
      <c r="K12" s="191"/>
    </row>
    <row r="13" spans="1:11" ht="15" x14ac:dyDescent="0.25">
      <c r="A13" s="344" t="s">
        <v>20</v>
      </c>
      <c r="B13" s="345"/>
      <c r="C13" s="345"/>
      <c r="D13" s="346"/>
      <c r="E13" s="347"/>
      <c r="F13" s="413" t="str">
        <f>IF(I13=0,"",I13)</f>
        <v/>
      </c>
      <c r="G13" s="414" t="str">
        <f>IFERROR(J13,"")</f>
        <v/>
      </c>
      <c r="H13" s="350"/>
      <c r="I13" s="415" t="str">
        <f>IFERROR(IF(SUM($I$14*K13)=0,"",SUM($I$14*K13)),"")</f>
        <v/>
      </c>
      <c r="J13" s="416" t="str">
        <f>IFERROR(SUM(J14*K13),"")</f>
        <v/>
      </c>
      <c r="K13" s="192"/>
    </row>
    <row r="14" spans="1:11" ht="15.75" thickBot="1" x14ac:dyDescent="0.3">
      <c r="A14" s="275" t="s">
        <v>13</v>
      </c>
      <c r="B14" s="275"/>
      <c r="C14" s="275"/>
      <c r="D14" s="275"/>
      <c r="E14" s="313"/>
      <c r="F14" s="417" t="str">
        <f>IFERROR(IF(SUM(F11:F13)=0,"",SUM(F11:F13)),"")</f>
        <v/>
      </c>
      <c r="G14" s="418">
        <f>IFERROR(SUM(G11:G13),"")</f>
        <v>0</v>
      </c>
      <c r="H14" s="355"/>
      <c r="I14" s="417" t="str">
        <f>IFERROR(IF(E100=0,"",E100),"")</f>
        <v/>
      </c>
      <c r="J14" s="418" t="str">
        <f>IFERROR(SUM(I14/offertetarief),"")</f>
        <v/>
      </c>
      <c r="K14" s="275" t="str">
        <f>IF(SUM(K11:K13)=100%,"","Geen 100%")</f>
        <v>Geen 100%</v>
      </c>
    </row>
    <row r="15" spans="1:11" ht="15.75" thickTop="1" x14ac:dyDescent="0.25">
      <c r="F15" s="327" t="s">
        <v>195</v>
      </c>
      <c r="G15" s="327" t="s">
        <v>196</v>
      </c>
    </row>
    <row r="16" spans="1:11" ht="15" x14ac:dyDescent="0.25">
      <c r="A16" s="277" t="s">
        <v>14</v>
      </c>
      <c r="B16" s="278"/>
      <c r="C16" s="278"/>
      <c r="D16" s="278"/>
      <c r="E16" s="279"/>
      <c r="F16" s="419" t="str">
        <f>IFERROR(SUM((J14*directtoezicht)/E9),"")</f>
        <v/>
      </c>
      <c r="G16" s="420" t="str">
        <f>IF(J14="","",SUM(J14*directtoezicht))</f>
        <v/>
      </c>
    </row>
    <row r="17" spans="1:12" ht="15.75" customHeight="1" x14ac:dyDescent="0.25">
      <c r="K17" s="489" t="s">
        <v>214</v>
      </c>
      <c r="L17" s="489" t="s">
        <v>215</v>
      </c>
    </row>
    <row r="18" spans="1:12" ht="15.75" customHeight="1" x14ac:dyDescent="0.25">
      <c r="A18" s="274" t="s">
        <v>75</v>
      </c>
      <c r="K18" s="490"/>
      <c r="L18" s="490"/>
    </row>
    <row r="19" spans="1:12" ht="15" x14ac:dyDescent="0.25">
      <c r="A19" s="502" t="s">
        <v>197</v>
      </c>
      <c r="B19" s="503"/>
      <c r="C19" s="504"/>
      <c r="D19" s="421">
        <f ca="1">D100</f>
        <v>24960</v>
      </c>
      <c r="E19" s="500" t="s">
        <v>198</v>
      </c>
      <c r="F19" s="501"/>
      <c r="G19" s="422">
        <f ca="1">IFERROR(D100/E9,"")</f>
        <v>96</v>
      </c>
      <c r="H19" s="361" t="s">
        <v>199</v>
      </c>
      <c r="I19" s="423" t="str">
        <f ca="1">IFERROR(SUM(D19/J14),"")</f>
        <v/>
      </c>
      <c r="K19" s="363" t="str">
        <f ca="1">IF(INDIRECT("'"&amp;$H$5&amp;"'!F539")="x","",IF(INDIRECT("'"&amp;$H$5&amp;"'!F539")="Vrije categorie","",INDIRECT("'"&amp;$H$5&amp;"'!F539")))</f>
        <v>A</v>
      </c>
      <c r="L19" s="187"/>
    </row>
    <row r="20" spans="1:12" ht="15" x14ac:dyDescent="0.25">
      <c r="K20" s="364" t="str">
        <f ca="1">IF(INDIRECT("'"&amp;$H$5&amp;"'!F540")="x","",IF(INDIRECT("'"&amp;$H$5&amp;"'!F540")="Vrije categorie","",INDIRECT("'"&amp;$H$5&amp;"'!F540")))</f>
        <v>B</v>
      </c>
      <c r="L20" s="188"/>
    </row>
    <row r="21" spans="1:12" ht="15" x14ac:dyDescent="0.25">
      <c r="A21" s="274" t="s">
        <v>15</v>
      </c>
      <c r="B21" s="283"/>
      <c r="D21" s="327" t="s">
        <v>200</v>
      </c>
      <c r="E21" s="327" t="s">
        <v>201</v>
      </c>
      <c r="F21" s="327" t="s">
        <v>202</v>
      </c>
      <c r="G21" s="327" t="s">
        <v>203</v>
      </c>
      <c r="H21" s="327" t="s">
        <v>204</v>
      </c>
      <c r="I21" s="327" t="s">
        <v>205</v>
      </c>
      <c r="K21" s="364" t="str">
        <f ca="1">IF(INDIRECT("'"&amp;$H$5&amp;"'!F541")="x","",IF(INDIRECT("'"&amp;$H$5&amp;"'!F541")="Vrije categorie","",INDIRECT("'"&amp;$H$5&amp;"'!F541")))</f>
        <v>C</v>
      </c>
      <c r="L21" s="188"/>
    </row>
    <row r="22" spans="1:12" ht="15" x14ac:dyDescent="0.25">
      <c r="A22" s="314" t="str">
        <f>VLOOKUP($H$4,Verzamelblad!$A$5:$EK$19,32,0)</f>
        <v>Dieptereiniging sanitair</v>
      </c>
      <c r="B22" s="424"/>
      <c r="C22" s="331"/>
      <c r="D22" s="365" t="str">
        <f>VLOOKUP($H$4,Verzamelblad!$A$5:$EK$19,33,0)</f>
        <v>m²</v>
      </c>
      <c r="E22" s="366">
        <f>VLOOKUP($H$4,Verzamelblad!$A$5:$DE$19,34)</f>
        <v>22</v>
      </c>
      <c r="F22" s="217"/>
      <c r="G22" s="407" t="str">
        <f>IF(IF(E22="","",SUM(E22*F22))=0,"",IF(E22="","",SUM(E22*F22)))</f>
        <v/>
      </c>
      <c r="H22" s="365">
        <f>VLOOKUP($H$4,Verzamelblad!$A$5:$EK$19,35,0)</f>
        <v>2</v>
      </c>
      <c r="I22" s="425" t="str">
        <f>IFERROR(IF(IF(H22="op afroep","",SUM(G22*H22))=0,"",IF(H22="op afroep","",SUM(G22*H22))),"")</f>
        <v/>
      </c>
      <c r="K22" s="364" t="str">
        <f ca="1">IF(INDIRECT("'"&amp;$H$5&amp;"'!F542")="x","",IF(INDIRECT("'"&amp;$H$5&amp;"'!F542")="Vrije categorie","",INDIRECT("'"&amp;$H$5&amp;"'!F542")))</f>
        <v>D</v>
      </c>
      <c r="L22" s="188"/>
    </row>
    <row r="23" spans="1:12" ht="15" x14ac:dyDescent="0.25">
      <c r="A23" s="316">
        <f>VLOOKUP($H$4,Verzamelblad!$A$5:$EK$19,36,0)</f>
        <v>0</v>
      </c>
      <c r="B23" s="368"/>
      <c r="C23" s="338"/>
      <c r="D23" s="369">
        <f>VLOOKUP($H$4,Verzamelblad!$A$5:$EK$19,37,0)</f>
        <v>0</v>
      </c>
      <c r="E23" s="369">
        <f>VLOOKUP($H$4,Verzamelblad!$A$5:$DE$19,38)</f>
        <v>0</v>
      </c>
      <c r="F23" s="218"/>
      <c r="G23" s="409" t="str">
        <f>IF(IF(E23="","",SUM(E23*F23))=0,"",IF(E23="","",SUM(E23*F23)))</f>
        <v/>
      </c>
      <c r="H23" s="369">
        <f>VLOOKUP($H$4,Verzamelblad!$A$5:$EK$19,39,0)</f>
        <v>0</v>
      </c>
      <c r="I23" s="426" t="str">
        <f>IFERROR(IF(IF(H23="op afroep","",SUM(G23*H23))=0,"",IF(H23="op afroep","",SUM(G23*H23))),"")</f>
        <v/>
      </c>
      <c r="K23" s="364" t="str">
        <f ca="1">IF(INDIRECT("'"&amp;$H$5&amp;"'!F543")="x","",IF(INDIRECT("'"&amp;$H$5&amp;"'!F543")="Vrije categorie","",INDIRECT("'"&amp;$H$5&amp;"'!F543")))</f>
        <v>E</v>
      </c>
      <c r="L23" s="188"/>
    </row>
    <row r="24" spans="1:12" ht="15" x14ac:dyDescent="0.25">
      <c r="A24" s="316">
        <f>VLOOKUP($H$4,Verzamelblad!$A$5:$EK$19,40,0)</f>
        <v>0</v>
      </c>
      <c r="B24" s="368"/>
      <c r="C24" s="338"/>
      <c r="D24" s="369">
        <f>VLOOKUP($H$4,Verzamelblad!$A$5:$EK$19,41,0)</f>
        <v>0</v>
      </c>
      <c r="E24" s="369">
        <f>VLOOKUP($H$4,Verzamelblad!$A$5:$DE$19,42)</f>
        <v>0</v>
      </c>
      <c r="F24" s="218"/>
      <c r="G24" s="409" t="str">
        <f t="shared" ref="G24:G32" si="0">IF(IF(E24="","",SUM(E24*F24))=0,"",IF(E24="","",SUM(E24*F24)))</f>
        <v/>
      </c>
      <c r="H24" s="369">
        <f>VLOOKUP($H$4,Verzamelblad!$A$5:$EK$19,43,0)</f>
        <v>0</v>
      </c>
      <c r="I24" s="426" t="str">
        <f t="shared" ref="I24:I31" si="1">IFERROR(IF(IF(H24="op afroep","",SUM(G24*H24))=0,"",IF(H24="op afroep","",SUM(G24*H24))),"")</f>
        <v/>
      </c>
      <c r="K24" s="364" t="str">
        <f ca="1">IF(INDIRECT("'"&amp;$H$5&amp;"'!F544")="x","",IF(INDIRECT("'"&amp;$H$5&amp;"'!F544")="Vrije categorie","",INDIRECT("'"&amp;$H$5&amp;"'!F544")))</f>
        <v>F</v>
      </c>
      <c r="L24" s="188"/>
    </row>
    <row r="25" spans="1:12" ht="15" x14ac:dyDescent="0.25">
      <c r="A25" s="316">
        <f>VLOOKUP($H$4,Verzamelblad!$A$5:$EK$19,44,0)</f>
        <v>0</v>
      </c>
      <c r="B25" s="368"/>
      <c r="C25" s="338"/>
      <c r="D25" s="369">
        <f>VLOOKUP($H$4,Verzamelblad!$A$5:$EK$19,45,0)</f>
        <v>0</v>
      </c>
      <c r="E25" s="369">
        <f>VLOOKUP($H$4,Verzamelblad!$A$5:$DE$19,46)</f>
        <v>0</v>
      </c>
      <c r="F25" s="218"/>
      <c r="G25" s="409" t="str">
        <f t="shared" si="0"/>
        <v/>
      </c>
      <c r="H25" s="369">
        <f>VLOOKUP($H$4,Verzamelblad!$A$5:$EK$19,47,0)</f>
        <v>0</v>
      </c>
      <c r="I25" s="426" t="str">
        <f t="shared" si="1"/>
        <v/>
      </c>
      <c r="K25" s="364" t="str">
        <f ca="1">IF(INDIRECT("'"&amp;$H$5&amp;"'!F545")="x","",IF(INDIRECT("'"&amp;$H$5&amp;"'!F545")="Vrije categorie","",INDIRECT("'"&amp;$H$5&amp;"'!F545")))</f>
        <v>G</v>
      </c>
      <c r="L25" s="188"/>
    </row>
    <row r="26" spans="1:12" ht="15" x14ac:dyDescent="0.25">
      <c r="A26" s="316">
        <f>VLOOKUP($H$4,Verzamelblad!$A$5:$EK$19,48,0)</f>
        <v>0</v>
      </c>
      <c r="B26" s="368"/>
      <c r="C26" s="338"/>
      <c r="D26" s="369">
        <f>VLOOKUP($H$4,Verzamelblad!$A$5:$EK$19,49,0)</f>
        <v>0</v>
      </c>
      <c r="E26" s="369">
        <f>VLOOKUP($H$4,Verzamelblad!$A$5:$DE$19,50)</f>
        <v>0</v>
      </c>
      <c r="F26" s="218"/>
      <c r="G26" s="409" t="str">
        <f t="shared" si="0"/>
        <v/>
      </c>
      <c r="H26" s="369">
        <f>VLOOKUP($H$4,Verzamelblad!$A$5:$EK$19,51,0)</f>
        <v>0</v>
      </c>
      <c r="I26" s="426" t="str">
        <f t="shared" si="1"/>
        <v/>
      </c>
      <c r="K26" s="364" t="str">
        <f ca="1">IF(INDIRECT("'"&amp;$H$5&amp;"'!F546")="x","",IF(INDIRECT("'"&amp;$H$5&amp;"'!F546")="Vrije categorie","",INDIRECT("'"&amp;$H$5&amp;"'!F546")))</f>
        <v>H</v>
      </c>
      <c r="L26" s="188"/>
    </row>
    <row r="27" spans="1:12" ht="15" x14ac:dyDescent="0.25">
      <c r="A27" s="316">
        <f>VLOOKUP($H$4,Verzamelblad!$A$5:$EK$19,52,0)</f>
        <v>0</v>
      </c>
      <c r="B27" s="368"/>
      <c r="C27" s="338"/>
      <c r="D27" s="369">
        <f>VLOOKUP($H$4,Verzamelblad!$A$5:$EK$19,53,0)</f>
        <v>0</v>
      </c>
      <c r="E27" s="369">
        <f>VLOOKUP($H$4,Verzamelblad!$A$5:$DE$19,54)</f>
        <v>0</v>
      </c>
      <c r="F27" s="218"/>
      <c r="G27" s="409" t="str">
        <f t="shared" si="0"/>
        <v/>
      </c>
      <c r="H27" s="369">
        <f>VLOOKUP($H$4,Verzamelblad!$A$5:$EK$19,55,0)</f>
        <v>0</v>
      </c>
      <c r="I27" s="426" t="str">
        <f t="shared" si="1"/>
        <v/>
      </c>
      <c r="K27" s="364" t="str">
        <f ca="1">IF(INDIRECT("'"&amp;$H$5&amp;"'!F547")="x","",IF(INDIRECT("'"&amp;$H$5&amp;"'!F547")="Vrije categorie","",INDIRECT("'"&amp;$H$5&amp;"'!F547")))</f>
        <v>I</v>
      </c>
      <c r="L27" s="188"/>
    </row>
    <row r="28" spans="1:12" ht="15" x14ac:dyDescent="0.25">
      <c r="A28" s="316">
        <f>VLOOKUP($H$4,Verzamelblad!$A$5:$EK$19,56,0)</f>
        <v>0</v>
      </c>
      <c r="B28" s="368"/>
      <c r="C28" s="338"/>
      <c r="D28" s="369">
        <f>VLOOKUP($H$4,Verzamelblad!$A$5:$EK$19,57,0)</f>
        <v>0</v>
      </c>
      <c r="E28" s="369">
        <f>VLOOKUP($H$4,Verzamelblad!$A$5:$DE$19,58)</f>
        <v>0</v>
      </c>
      <c r="F28" s="218"/>
      <c r="G28" s="409" t="str">
        <f t="shared" si="0"/>
        <v/>
      </c>
      <c r="H28" s="369">
        <f>VLOOKUP($H$4,Verzamelblad!$A$5:$EK$19,59,0)</f>
        <v>0</v>
      </c>
      <c r="I28" s="426" t="str">
        <f t="shared" si="1"/>
        <v/>
      </c>
      <c r="K28" s="364" t="str">
        <f ca="1">IF(INDIRECT("'"&amp;$H$5&amp;"'!F548")="x","",IF(INDIRECT("'"&amp;$H$5&amp;"'!F548")="Vrije categorie","",INDIRECT("'"&amp;$H$5&amp;"'!F548")))</f>
        <v>J</v>
      </c>
      <c r="L28" s="188"/>
    </row>
    <row r="29" spans="1:12" ht="15" x14ac:dyDescent="0.25">
      <c r="A29" s="316">
        <f>VLOOKUP($H$4,Verzamelblad!$A$5:$EK$19,60,0)</f>
        <v>0</v>
      </c>
      <c r="B29" s="368"/>
      <c r="C29" s="338"/>
      <c r="D29" s="369">
        <f>VLOOKUP($H$4,Verzamelblad!$A$5:$EK$19,61,0)</f>
        <v>0</v>
      </c>
      <c r="E29" s="369">
        <f>VLOOKUP($H$4,Verzamelblad!$A$5:$DE$19,62)</f>
        <v>0</v>
      </c>
      <c r="F29" s="218"/>
      <c r="G29" s="409" t="str">
        <f t="shared" si="0"/>
        <v/>
      </c>
      <c r="H29" s="369">
        <f>VLOOKUP($H$4,Verzamelblad!$A$5:$EK$19,63,0)</f>
        <v>0</v>
      </c>
      <c r="I29" s="426" t="str">
        <f t="shared" si="1"/>
        <v/>
      </c>
      <c r="K29" s="364" t="str">
        <f ca="1">IF(INDIRECT("'"&amp;$H$5&amp;"'!F549")="x","",IF(INDIRECT("'"&amp;$H$5&amp;"'!F549")="Vrije categorie","",INDIRECT("'"&amp;$H$5&amp;"'!F549")))</f>
        <v>K</v>
      </c>
      <c r="L29" s="188"/>
    </row>
    <row r="30" spans="1:12" ht="15" x14ac:dyDescent="0.25">
      <c r="A30" s="316">
        <f>VLOOKUP($H$4,Verzamelblad!$A$5:$EK$19,64,0)</f>
        <v>0</v>
      </c>
      <c r="B30" s="368"/>
      <c r="C30" s="338"/>
      <c r="D30" s="369">
        <f>VLOOKUP($H$4,Verzamelblad!$A$5:$EK$19,65,0)</f>
        <v>0</v>
      </c>
      <c r="E30" s="369">
        <f>VLOOKUP($H$4,Verzamelblad!$A$5:$DE$19,66)</f>
        <v>0</v>
      </c>
      <c r="F30" s="218"/>
      <c r="G30" s="409" t="str">
        <f t="shared" si="0"/>
        <v/>
      </c>
      <c r="H30" s="369">
        <f>VLOOKUP($H$4,Verzamelblad!$A$5:$EK$19,67,0)</f>
        <v>0</v>
      </c>
      <c r="I30" s="426" t="str">
        <f t="shared" si="1"/>
        <v/>
      </c>
      <c r="K30" s="364" t="str">
        <f ca="1">IF(INDIRECT("'"&amp;$H$5&amp;"'!F550")="x","",IF(INDIRECT("'"&amp;$H$5&amp;"'!F550")="Vrije categorie","",INDIRECT("'"&amp;$H$5&amp;"'!F550")))</f>
        <v/>
      </c>
      <c r="L30" s="188"/>
    </row>
    <row r="31" spans="1:12" ht="15" x14ac:dyDescent="0.25">
      <c r="A31" s="316">
        <f>VLOOKUP($H$4,Verzamelblad!$A$5:$EK$19,68,0)</f>
        <v>0</v>
      </c>
      <c r="B31" s="368"/>
      <c r="C31" s="338"/>
      <c r="D31" s="369">
        <f>VLOOKUP($H$4,Verzamelblad!$A$5:$EK$19,69,0)</f>
        <v>0</v>
      </c>
      <c r="E31" s="369">
        <f>VLOOKUP($H$4,Verzamelblad!$A$5:$DE$19,70)</f>
        <v>0</v>
      </c>
      <c r="F31" s="218"/>
      <c r="G31" s="409" t="str">
        <f t="shared" si="0"/>
        <v/>
      </c>
      <c r="H31" s="369">
        <f>VLOOKUP($H$4,Verzamelblad!$A$5:$EK$19,71,0)</f>
        <v>0</v>
      </c>
      <c r="I31" s="426" t="str">
        <f t="shared" si="1"/>
        <v/>
      </c>
      <c r="K31" s="364" t="str">
        <f ca="1">IF(INDIRECT("'"&amp;$H$5&amp;"'!F551")="x","",IF(INDIRECT("'"&amp;$H$5&amp;"'!F551")="Vrije categorie","",INDIRECT("'"&amp;$H$5&amp;"'!F551")))</f>
        <v/>
      </c>
      <c r="L31" s="188"/>
    </row>
    <row r="32" spans="1:12" ht="15" x14ac:dyDescent="0.25">
      <c r="A32" s="318">
        <f>VLOOKUP($H$4,Verzamelblad!$A$5:$EK$19,72,0)</f>
        <v>0</v>
      </c>
      <c r="B32" s="325"/>
      <c r="C32" s="347"/>
      <c r="D32" s="372">
        <f>VLOOKUP($H$4,Verzamelblad!$A$5:$EK$19,73,0)</f>
        <v>0</v>
      </c>
      <c r="E32" s="372">
        <f>VLOOKUP($H$4,Verzamelblad!$A$5:$DE$19,74)</f>
        <v>0</v>
      </c>
      <c r="F32" s="219"/>
      <c r="G32" s="427" t="str">
        <f t="shared" si="0"/>
        <v/>
      </c>
      <c r="H32" s="372">
        <f>VLOOKUP($H$4,Verzamelblad!$A$5:$EK$19,75,0)</f>
        <v>0</v>
      </c>
      <c r="I32" s="428" t="str">
        <f>IFERROR(IF(IF(H32="op afroep","",SUM(G32*H32))=0,"",IF(H32="op afroep","",SUM(G32*H32))),"")</f>
        <v/>
      </c>
      <c r="K32" s="364" t="str">
        <f ca="1">IF(INDIRECT("'"&amp;$H$5&amp;"'!F552")="x","",IF(INDIRECT("'"&amp;$H$5&amp;"'!F552")="Vrije categorie","",INDIRECT("'"&amp;$H$5&amp;"'!F552")))</f>
        <v/>
      </c>
      <c r="L32" s="188"/>
    </row>
    <row r="33" spans="1:12" ht="15.75" thickBot="1" x14ac:dyDescent="0.3">
      <c r="A33" s="275" t="s">
        <v>17</v>
      </c>
      <c r="B33" s="275"/>
      <c r="C33" s="275"/>
      <c r="D33" s="275"/>
      <c r="E33" s="275"/>
      <c r="F33" s="275"/>
      <c r="G33" s="275"/>
      <c r="H33" s="275"/>
      <c r="I33" s="429" t="str">
        <f>IF(SUM(I22:I32)=0,"",SUM(I22:I32))</f>
        <v/>
      </c>
      <c r="K33" s="376" t="str">
        <f ca="1">IF(INDIRECT("'"&amp;$H$5&amp;"'!F553")="x","",IF(INDIRECT("'"&amp;$H$5&amp;"'!F553")="Vrije categorie","",INDIRECT("'"&amp;$H$5&amp;"'!F553")))</f>
        <v/>
      </c>
      <c r="L33" s="189"/>
    </row>
    <row r="34" spans="1:12" ht="15.75" thickTop="1" x14ac:dyDescent="0.25"/>
    <row r="35" spans="1:12" ht="15" x14ac:dyDescent="0.25">
      <c r="A35" s="274" t="s">
        <v>142</v>
      </c>
      <c r="E35" s="327" t="s">
        <v>206</v>
      </c>
      <c r="F35" s="327" t="s">
        <v>207</v>
      </c>
      <c r="G35" s="327" t="s">
        <v>203</v>
      </c>
      <c r="H35" s="327" t="s">
        <v>204</v>
      </c>
      <c r="I35" s="327" t="s">
        <v>205</v>
      </c>
    </row>
    <row r="36" spans="1:12" ht="15" x14ac:dyDescent="0.25">
      <c r="A36" s="314" t="str">
        <f>VLOOKUP($H$4,Verzamelblad!$A$5:$EK$19,16,0)</f>
        <v>Schrobben vloeren (extra)</v>
      </c>
      <c r="B36" s="323"/>
      <c r="C36" s="323"/>
      <c r="D36" s="331"/>
      <c r="E36" s="408">
        <f>'3a'!J15</f>
        <v>416</v>
      </c>
      <c r="F36" s="217"/>
      <c r="G36" s="407" t="str">
        <f>IF(IF(E36="","",SUM(E36*F36))=0,"",IF(E36="","",SUM(E36*F36)))</f>
        <v/>
      </c>
      <c r="H36" s="365" t="str">
        <f>VLOOKUP($H$4,Verzamelblad!$A$5:$DE$19,17)</f>
        <v>op afroep</v>
      </c>
      <c r="I36" s="425" t="str">
        <f t="shared" ref="I36:I43" si="2">IFERROR(IF(IF(H36="op afroep","",SUM(G36*H36))=0,"",IF(H36="op afroep","",SUM(G36*H36))),"")</f>
        <v/>
      </c>
    </row>
    <row r="37" spans="1:12" ht="15" x14ac:dyDescent="0.25">
      <c r="A37" s="316">
        <f>VLOOKUP($H$4,Verzamelblad!$A$5:$EK$19,18,0)</f>
        <v>0</v>
      </c>
      <c r="B37" s="368"/>
      <c r="C37" s="368"/>
      <c r="D37" s="338"/>
      <c r="E37" s="412">
        <f ca="1">VLOOKUP($H$4,Verzamelblad!$A$5:$DE$19,106)</f>
        <v>0</v>
      </c>
      <c r="F37" s="218"/>
      <c r="G37" s="409" t="str">
        <f ca="1">IF(IF(E37="","",SUM(E37*F37))=0,"",IF(E37="","",SUM(E37*F37)))</f>
        <v/>
      </c>
      <c r="H37" s="369">
        <f>VLOOKUP($H$4,Verzamelblad!$A$5:$DE$19,19)</f>
        <v>0</v>
      </c>
      <c r="I37" s="426" t="str">
        <f t="shared" ca="1" si="2"/>
        <v/>
      </c>
    </row>
    <row r="38" spans="1:12" ht="15" x14ac:dyDescent="0.25">
      <c r="A38" s="316">
        <f>VLOOKUP($H$4,Verzamelblad!$A$5:$EK$19,20,0)</f>
        <v>0</v>
      </c>
      <c r="B38" s="368"/>
      <c r="C38" s="368"/>
      <c r="D38" s="338"/>
      <c r="E38" s="412">
        <f ca="1">VLOOKUP($H$4,Verzamelblad!$A$5:$DE$19,107)</f>
        <v>0</v>
      </c>
      <c r="F38" s="218"/>
      <c r="G38" s="409" t="str">
        <f t="shared" ref="G38:G43" ca="1" si="3">IF(IF(E38="","",SUM(E38*F38))=0,"",IF(E38="","",SUM(E38*F38)))</f>
        <v/>
      </c>
      <c r="H38" s="369">
        <f>VLOOKUP($H$4,Verzamelblad!$A$5:$DE$19,21)</f>
        <v>0</v>
      </c>
      <c r="I38" s="426" t="str">
        <f t="shared" ca="1" si="2"/>
        <v/>
      </c>
      <c r="K38" s="275"/>
    </row>
    <row r="39" spans="1:12" ht="15" x14ac:dyDescent="0.25">
      <c r="A39" s="316">
        <f>VLOOKUP($H$4,Verzamelblad!$A$5:$EK$19,22,0)</f>
        <v>0</v>
      </c>
      <c r="B39" s="368"/>
      <c r="C39" s="368"/>
      <c r="D39" s="338"/>
      <c r="E39" s="412">
        <f>VLOOKUP($H$4,Verzamelblad!$A$5:$DE$19,108)</f>
        <v>0</v>
      </c>
      <c r="F39" s="218"/>
      <c r="G39" s="409" t="str">
        <f t="shared" si="3"/>
        <v/>
      </c>
      <c r="H39" s="369">
        <f>VLOOKUP($H$4,Verzamelblad!$A$5:$DE$19,23)</f>
        <v>0</v>
      </c>
      <c r="I39" s="426" t="str">
        <f t="shared" si="2"/>
        <v/>
      </c>
    </row>
    <row r="40" spans="1:12" ht="15" x14ac:dyDescent="0.25">
      <c r="A40" s="316">
        <f>VLOOKUP($H$4,Verzamelblad!$A$5:$EK$19,24,0)</f>
        <v>0</v>
      </c>
      <c r="B40" s="368"/>
      <c r="C40" s="368"/>
      <c r="D40" s="338"/>
      <c r="E40" s="439">
        <f>VLOOKUP($H$4,Verzamelblad!$A$5:$DE$19,109)</f>
        <v>0</v>
      </c>
      <c r="F40" s="218"/>
      <c r="G40" s="409" t="str">
        <f t="shared" si="3"/>
        <v/>
      </c>
      <c r="H40" s="369">
        <f>VLOOKUP($H$4,Verzamelblad!$A$5:$DE$19,25)</f>
        <v>0</v>
      </c>
      <c r="I40" s="426" t="str">
        <f t="shared" si="2"/>
        <v/>
      </c>
    </row>
    <row r="41" spans="1:12" ht="15" x14ac:dyDescent="0.25">
      <c r="A41" s="316">
        <f>VLOOKUP($H$4,Verzamelblad!$A$5:$EK$19,26,0)</f>
        <v>0</v>
      </c>
      <c r="B41" s="368"/>
      <c r="C41" s="368"/>
      <c r="D41" s="338"/>
      <c r="E41" s="439">
        <v>0</v>
      </c>
      <c r="F41" s="218"/>
      <c r="G41" s="409" t="str">
        <f t="shared" si="3"/>
        <v/>
      </c>
      <c r="H41" s="369">
        <f>VLOOKUP($H$4,Verzamelblad!$A$5:$DE$19,27)</f>
        <v>0</v>
      </c>
      <c r="I41" s="426" t="str">
        <f t="shared" si="2"/>
        <v/>
      </c>
    </row>
    <row r="42" spans="1:12" ht="15" x14ac:dyDescent="0.25">
      <c r="A42" s="316">
        <f>VLOOKUP($H$4,Verzamelblad!$A$5:$EK$19,28,0)</f>
        <v>0</v>
      </c>
      <c r="B42" s="368"/>
      <c r="C42" s="368"/>
      <c r="D42" s="338"/>
      <c r="E42" s="439">
        <v>0</v>
      </c>
      <c r="F42" s="218"/>
      <c r="G42" s="409" t="str">
        <f t="shared" si="3"/>
        <v/>
      </c>
      <c r="H42" s="369">
        <f>VLOOKUP($H$4,Verzamelblad!$A$5:$DE$19,29)</f>
        <v>0</v>
      </c>
      <c r="I42" s="426" t="str">
        <f t="shared" si="2"/>
        <v/>
      </c>
    </row>
    <row r="43" spans="1:12" ht="15" x14ac:dyDescent="0.25">
      <c r="A43" s="318">
        <f>VLOOKUP($H$4,Verzamelblad!$A$5:$EK$19,30,0)</f>
        <v>0</v>
      </c>
      <c r="B43" s="325"/>
      <c r="C43" s="325"/>
      <c r="D43" s="347"/>
      <c r="E43" s="440">
        <v>0</v>
      </c>
      <c r="F43" s="219"/>
      <c r="G43" s="427" t="str">
        <f t="shared" si="3"/>
        <v/>
      </c>
      <c r="H43" s="372">
        <f>VLOOKUP($H$4,Verzamelblad!$A$5:$DE$19,31)</f>
        <v>0</v>
      </c>
      <c r="I43" s="428" t="str">
        <f t="shared" si="2"/>
        <v/>
      </c>
    </row>
    <row r="44" spans="1:12" ht="15.75" thickBot="1" x14ac:dyDescent="0.3">
      <c r="A44" s="379" t="s">
        <v>17</v>
      </c>
      <c r="B44" s="313"/>
      <c r="C44" s="313"/>
      <c r="D44" s="313"/>
      <c r="E44" s="313"/>
      <c r="F44" s="313"/>
      <c r="G44" s="313"/>
      <c r="H44" s="313"/>
      <c r="I44" s="432" t="str">
        <f ca="1">IF(SUM(I36:I43)=0,"",SUM(I36:I43))</f>
        <v/>
      </c>
    </row>
    <row r="45" spans="1:12" ht="15.75" thickTop="1" x14ac:dyDescent="0.25"/>
    <row r="46" spans="1:12" ht="15" x14ac:dyDescent="0.25">
      <c r="A46" s="274" t="s">
        <v>141</v>
      </c>
      <c r="E46" s="327" t="s">
        <v>206</v>
      </c>
      <c r="F46" s="327" t="s">
        <v>207</v>
      </c>
      <c r="G46" s="327" t="s">
        <v>203</v>
      </c>
      <c r="H46" s="327" t="s">
        <v>204</v>
      </c>
      <c r="I46" s="327" t="s">
        <v>205</v>
      </c>
    </row>
    <row r="47" spans="1:12" ht="15" x14ac:dyDescent="0.25">
      <c r="A47" s="314" t="str">
        <f>VLOOKUP($H$4,Verzamelblad!$A$5:$EK$19,76,0)</f>
        <v>Glas bi/bui/sep</v>
      </c>
      <c r="B47" s="323"/>
      <c r="C47" s="323"/>
      <c r="D47" s="331"/>
      <c r="E47" s="408">
        <f ca="1">VLOOKUP($H$4,Verzamelblad!$A$5:$DE$19,99)</f>
        <v>62</v>
      </c>
      <c r="F47" s="217"/>
      <c r="G47" s="407" t="str">
        <f ca="1">IF(IF(E47="","",SUM(E47*F47))=0,"",IF(E47="","",SUM(E47*F47)))</f>
        <v/>
      </c>
      <c r="H47" s="381">
        <f>VLOOKUP($H$4,Verzamelblad!$A$5:$EK$19,77,0)</f>
        <v>2</v>
      </c>
      <c r="I47" s="425" t="str">
        <f t="shared" ref="I47:I56" ca="1" si="4">IFERROR(IF(IF(H47="op afroep","",SUM(G47*H47))=0,"",IF(H47="op afroep","",SUM(G47*H47))),"")</f>
        <v/>
      </c>
    </row>
    <row r="48" spans="1:12" ht="15" x14ac:dyDescent="0.25">
      <c r="A48" s="316">
        <f>VLOOKUP($H$4,Verzamelblad!$A$5:$EK$19,78,0)</f>
        <v>0</v>
      </c>
      <c r="B48" s="368"/>
      <c r="C48" s="368"/>
      <c r="D48" s="338"/>
      <c r="E48" s="439">
        <f ca="1">VLOOKUP($H$4,Verzamelblad!$A$5:$DE$19,100)</f>
        <v>0</v>
      </c>
      <c r="F48" s="218"/>
      <c r="G48" s="409" t="str">
        <f ca="1">IF(IF(E48="","",SUM(E48*F48))=0,"",IF(E48="","",SUM(E48*F48)))</f>
        <v/>
      </c>
      <c r="H48" s="382">
        <f>VLOOKUP($H$4,Verzamelblad!$A$5:$EK$19,79,0)</f>
        <v>0</v>
      </c>
      <c r="I48" s="426" t="str">
        <f t="shared" ca="1" si="4"/>
        <v/>
      </c>
    </row>
    <row r="49" spans="1:12" ht="15" x14ac:dyDescent="0.25">
      <c r="A49" s="316">
        <f>VLOOKUP($H$4,Verzamelblad!$A$5:$EK$19,80,0)</f>
        <v>0</v>
      </c>
      <c r="B49" s="368"/>
      <c r="C49" s="368"/>
      <c r="D49" s="338"/>
      <c r="E49" s="439">
        <f ca="1">VLOOKUP($H$4,Verzamelblad!$A$5:$DE$19,101)</f>
        <v>0</v>
      </c>
      <c r="F49" s="218"/>
      <c r="G49" s="409" t="str">
        <f t="shared" ref="G49:G56" ca="1" si="5">IF(IF(E49="","",SUM(E49*F49))=0,"",IF(E49="","",SUM(E49*F49)))</f>
        <v/>
      </c>
      <c r="H49" s="382">
        <f>VLOOKUP($H$4,Verzamelblad!$A$5:$EK$19,81,0)</f>
        <v>0</v>
      </c>
      <c r="I49" s="426" t="str">
        <f t="shared" ca="1" si="4"/>
        <v/>
      </c>
    </row>
    <row r="50" spans="1:12" ht="15" x14ac:dyDescent="0.25">
      <c r="A50" s="316">
        <f>VLOOKUP($H$4,Verzamelblad!$A$5:$EK$19,82,0)</f>
        <v>0</v>
      </c>
      <c r="B50" s="368"/>
      <c r="C50" s="368"/>
      <c r="D50" s="338"/>
      <c r="E50" s="439">
        <f ca="1">VLOOKUP($H$4,Verzamelblad!$A$5:$DE$19,102)</f>
        <v>0</v>
      </c>
      <c r="F50" s="218"/>
      <c r="G50" s="409" t="str">
        <f t="shared" ca="1" si="5"/>
        <v/>
      </c>
      <c r="H50" s="382">
        <f>VLOOKUP($H$4,Verzamelblad!$A$5:$EK$19,83,0)</f>
        <v>0</v>
      </c>
      <c r="I50" s="426" t="str">
        <f t="shared" ca="1" si="4"/>
        <v/>
      </c>
    </row>
    <row r="51" spans="1:12" ht="15" x14ac:dyDescent="0.25">
      <c r="A51" s="316">
        <f>VLOOKUP($H$4,Verzamelblad!$A$5:$EK$19,84,0)</f>
        <v>0</v>
      </c>
      <c r="B51" s="368"/>
      <c r="C51" s="368"/>
      <c r="D51" s="338"/>
      <c r="E51" s="439">
        <f ca="1">VLOOKUP($H$4,Verzamelblad!$A$5:$DE$19,103)</f>
        <v>0</v>
      </c>
      <c r="F51" s="218"/>
      <c r="G51" s="409" t="str">
        <f t="shared" ca="1" si="5"/>
        <v/>
      </c>
      <c r="H51" s="382">
        <f>VLOOKUP($H$4,Verzamelblad!$A$5:$EK$19,85,0)</f>
        <v>0</v>
      </c>
      <c r="I51" s="426" t="str">
        <f t="shared" ca="1" si="4"/>
        <v/>
      </c>
    </row>
    <row r="52" spans="1:12" ht="15" x14ac:dyDescent="0.25">
      <c r="A52" s="316">
        <f>VLOOKUP($H$4,Verzamelblad!$A$5:$EK$19,86,0)</f>
        <v>0</v>
      </c>
      <c r="B52" s="368"/>
      <c r="C52" s="368"/>
      <c r="D52" s="338"/>
      <c r="E52" s="439">
        <f ca="1">VLOOKUP($H$4,Verzamelblad!$A$5:$DE$19,104)</f>
        <v>0</v>
      </c>
      <c r="F52" s="218"/>
      <c r="G52" s="409" t="str">
        <f t="shared" ca="1" si="5"/>
        <v/>
      </c>
      <c r="H52" s="382">
        <f>VLOOKUP($H$4,Verzamelblad!$A$5:$EK$19,87,0)</f>
        <v>0</v>
      </c>
      <c r="I52" s="426" t="str">
        <f t="shared" ca="1" si="4"/>
        <v/>
      </c>
    </row>
    <row r="53" spans="1:12" ht="15" x14ac:dyDescent="0.25">
      <c r="A53" s="316">
        <f>VLOOKUP($H$4,Verzamelblad!$A$5:$EK$19,88,0)</f>
        <v>0</v>
      </c>
      <c r="B53" s="368"/>
      <c r="C53" s="368"/>
      <c r="D53" s="338"/>
      <c r="E53" s="439"/>
      <c r="F53" s="218"/>
      <c r="G53" s="409" t="str">
        <f t="shared" si="5"/>
        <v/>
      </c>
      <c r="H53" s="382">
        <f>VLOOKUP($H$4,Verzamelblad!$A$5:$EK$19,89,0)</f>
        <v>0</v>
      </c>
      <c r="I53" s="426" t="str">
        <f t="shared" si="4"/>
        <v/>
      </c>
    </row>
    <row r="54" spans="1:12" ht="15" x14ac:dyDescent="0.25">
      <c r="A54" s="316">
        <f>VLOOKUP($H$4,Verzamelblad!$A$5:$EK$19,90,0)</f>
        <v>0</v>
      </c>
      <c r="B54" s="368"/>
      <c r="C54" s="368"/>
      <c r="D54" s="338"/>
      <c r="E54" s="439">
        <v>0</v>
      </c>
      <c r="F54" s="218"/>
      <c r="G54" s="409" t="str">
        <f t="shared" si="5"/>
        <v/>
      </c>
      <c r="H54" s="382">
        <f>VLOOKUP($H$4,Verzamelblad!$A$5:$EK$19,91,0)</f>
        <v>0</v>
      </c>
      <c r="I54" s="426" t="str">
        <f t="shared" si="4"/>
        <v/>
      </c>
    </row>
    <row r="55" spans="1:12" ht="15" x14ac:dyDescent="0.25">
      <c r="A55" s="316">
        <f>VLOOKUP($H$4,Verzamelblad!$A$5:$EK$19,92,0)</f>
        <v>0</v>
      </c>
      <c r="B55" s="368"/>
      <c r="C55" s="368"/>
      <c r="D55" s="338"/>
      <c r="E55" s="439">
        <v>0</v>
      </c>
      <c r="F55" s="218"/>
      <c r="G55" s="409" t="str">
        <f t="shared" si="5"/>
        <v/>
      </c>
      <c r="H55" s="382">
        <f>VLOOKUP($H$4,Verzamelblad!$A$5:$EK$19,93,0)</f>
        <v>0</v>
      </c>
      <c r="I55" s="426" t="str">
        <f t="shared" si="4"/>
        <v/>
      </c>
    </row>
    <row r="56" spans="1:12" ht="15" x14ac:dyDescent="0.25">
      <c r="A56" s="318">
        <f>VLOOKUP($H$4,Verzamelblad!$A$5:$EK$19,94,0)</f>
        <v>0</v>
      </c>
      <c r="B56" s="325"/>
      <c r="C56" s="325"/>
      <c r="D56" s="347"/>
      <c r="E56" s="440">
        <v>0</v>
      </c>
      <c r="F56" s="219"/>
      <c r="G56" s="427" t="str">
        <f t="shared" si="5"/>
        <v/>
      </c>
      <c r="H56" s="384">
        <f>VLOOKUP($H$4,Verzamelblad!$A$5:$EK$19,95,0)</f>
        <v>0</v>
      </c>
      <c r="I56" s="428" t="str">
        <f t="shared" si="4"/>
        <v/>
      </c>
    </row>
    <row r="57" spans="1:12" ht="15.75" thickBot="1" x14ac:dyDescent="0.3">
      <c r="A57" s="313" t="s">
        <v>17</v>
      </c>
      <c r="B57" s="313"/>
      <c r="C57" s="313"/>
      <c r="D57" s="313"/>
      <c r="E57" s="313"/>
      <c r="F57" s="313"/>
      <c r="G57" s="313"/>
      <c r="H57" s="313"/>
      <c r="I57" s="432" t="str">
        <f ca="1">IF(SUM(I47:I56)=0,"",SUM(I47:I56))</f>
        <v/>
      </c>
    </row>
    <row r="58" spans="1:12" ht="15.75" thickTop="1" x14ac:dyDescent="0.25">
      <c r="E58" s="327"/>
      <c r="F58" s="327"/>
      <c r="G58" s="327"/>
      <c r="H58" s="327"/>
      <c r="I58" s="327"/>
    </row>
    <row r="59" spans="1:12" ht="15" hidden="1" x14ac:dyDescent="0.25">
      <c r="A59" s="385" t="s">
        <v>68</v>
      </c>
      <c r="B59" s="385"/>
      <c r="C59" s="385"/>
      <c r="D59" s="385"/>
      <c r="E59" s="386" t="s">
        <v>208</v>
      </c>
      <c r="F59" s="386" t="s">
        <v>209</v>
      </c>
      <c r="G59" s="386" t="s">
        <v>201</v>
      </c>
      <c r="H59" s="386" t="s">
        <v>210</v>
      </c>
      <c r="I59" s="386" t="s">
        <v>205</v>
      </c>
      <c r="K59" s="275"/>
      <c r="L59" s="275"/>
    </row>
    <row r="60" spans="1:12" ht="15" hidden="1" x14ac:dyDescent="0.25">
      <c r="A60" s="314"/>
      <c r="B60" s="323"/>
      <c r="C60" s="323"/>
      <c r="D60" s="331"/>
      <c r="E60" s="387"/>
      <c r="F60" s="387"/>
      <c r="G60" s="365"/>
      <c r="H60" s="387"/>
      <c r="I60" s="425" t="str">
        <f t="shared" ref="I60:I65" si="6">IFERROR(IF(IF(H60="op afroep","",SUM(G60*H60))=0,"",IF(H60="op afroep","",SUM(G60*H60))),"")</f>
        <v/>
      </c>
      <c r="K60" s="275" t="s">
        <v>213</v>
      </c>
      <c r="L60" s="275"/>
    </row>
    <row r="61" spans="1:12" ht="15" hidden="1" x14ac:dyDescent="0.25">
      <c r="A61" s="316"/>
      <c r="B61" s="368"/>
      <c r="C61" s="368"/>
      <c r="D61" s="338"/>
      <c r="E61" s="388"/>
      <c r="F61" s="388"/>
      <c r="G61" s="369"/>
      <c r="H61" s="388"/>
      <c r="I61" s="426" t="str">
        <f t="shared" si="6"/>
        <v/>
      </c>
      <c r="K61" s="314" t="s">
        <v>211</v>
      </c>
      <c r="L61" s="433"/>
    </row>
    <row r="62" spans="1:12" ht="15" hidden="1" x14ac:dyDescent="0.25">
      <c r="A62" s="316"/>
      <c r="B62" s="368"/>
      <c r="C62" s="368"/>
      <c r="D62" s="338"/>
      <c r="E62" s="388"/>
      <c r="F62" s="388"/>
      <c r="G62" s="369"/>
      <c r="H62" s="388"/>
      <c r="I62" s="426" t="str">
        <f t="shared" si="6"/>
        <v/>
      </c>
      <c r="K62" s="318" t="s">
        <v>212</v>
      </c>
      <c r="L62" s="434"/>
    </row>
    <row r="63" spans="1:12" ht="15" hidden="1" x14ac:dyDescent="0.25">
      <c r="A63" s="316"/>
      <c r="B63" s="368"/>
      <c r="C63" s="368"/>
      <c r="D63" s="338"/>
      <c r="E63" s="388"/>
      <c r="F63" s="388"/>
      <c r="G63" s="369"/>
      <c r="H63" s="388"/>
      <c r="I63" s="426" t="str">
        <f t="shared" si="6"/>
        <v/>
      </c>
    </row>
    <row r="64" spans="1:12" ht="15" hidden="1" x14ac:dyDescent="0.25">
      <c r="A64" s="316"/>
      <c r="B64" s="368"/>
      <c r="C64" s="368"/>
      <c r="D64" s="338"/>
      <c r="E64" s="388"/>
      <c r="F64" s="388"/>
      <c r="G64" s="369"/>
      <c r="H64" s="388"/>
      <c r="I64" s="426" t="str">
        <f t="shared" si="6"/>
        <v/>
      </c>
    </row>
    <row r="65" spans="1:12" ht="15" hidden="1" x14ac:dyDescent="0.25">
      <c r="A65" s="318"/>
      <c r="B65" s="325"/>
      <c r="C65" s="325"/>
      <c r="D65" s="347"/>
      <c r="E65" s="391"/>
      <c r="F65" s="391"/>
      <c r="G65" s="372"/>
      <c r="H65" s="391"/>
      <c r="I65" s="428" t="str">
        <f t="shared" si="6"/>
        <v/>
      </c>
    </row>
    <row r="66" spans="1:12" ht="15.75" hidden="1" thickBot="1" x14ac:dyDescent="0.3">
      <c r="A66" s="392" t="s">
        <v>17</v>
      </c>
      <c r="B66" s="392"/>
      <c r="C66" s="392"/>
      <c r="D66" s="392"/>
      <c r="E66" s="392"/>
      <c r="F66" s="392"/>
      <c r="G66" s="393"/>
      <c r="H66" s="392"/>
      <c r="I66" s="429" t="str">
        <f>IF(SUM(I60:I65)=0,"",SUM(I60:I65))</f>
        <v/>
      </c>
    </row>
    <row r="67" spans="1:12" ht="15.75" hidden="1" thickTop="1" x14ac:dyDescent="0.25">
      <c r="B67" s="392"/>
      <c r="C67" s="392"/>
      <c r="D67" s="392"/>
      <c r="E67" s="392"/>
      <c r="F67" s="392"/>
      <c r="G67" s="393"/>
      <c r="H67" s="392"/>
      <c r="I67" s="394"/>
    </row>
    <row r="68" spans="1:12" ht="15" hidden="1" x14ac:dyDescent="0.25">
      <c r="A68" s="320" t="s">
        <v>147</v>
      </c>
      <c r="B68" s="395"/>
      <c r="C68" s="395"/>
      <c r="D68" s="395"/>
      <c r="E68" s="395"/>
      <c r="F68" s="395"/>
      <c r="G68" s="395"/>
      <c r="H68" s="395"/>
      <c r="I68" s="395"/>
    </row>
    <row r="69" spans="1:12" ht="15" hidden="1" x14ac:dyDescent="0.25">
      <c r="A69" s="471"/>
      <c r="B69" s="472"/>
      <c r="C69" s="472"/>
      <c r="D69" s="472"/>
      <c r="E69" s="472"/>
      <c r="F69" s="472"/>
      <c r="G69" s="472"/>
      <c r="H69" s="472"/>
      <c r="I69" s="473"/>
    </row>
    <row r="70" spans="1:12" ht="15" hidden="1" x14ac:dyDescent="0.25">
      <c r="A70" s="491"/>
      <c r="B70" s="492"/>
      <c r="C70" s="492"/>
      <c r="D70" s="492"/>
      <c r="E70" s="492"/>
      <c r="F70" s="492"/>
      <c r="G70" s="492"/>
      <c r="H70" s="492"/>
      <c r="I70" s="493"/>
    </row>
    <row r="71" spans="1:12" ht="15" hidden="1" x14ac:dyDescent="0.25">
      <c r="A71" s="491"/>
      <c r="B71" s="492"/>
      <c r="C71" s="492"/>
      <c r="D71" s="492"/>
      <c r="E71" s="492"/>
      <c r="F71" s="492"/>
      <c r="G71" s="492"/>
      <c r="H71" s="492"/>
      <c r="I71" s="493"/>
    </row>
    <row r="72" spans="1:12" ht="15" hidden="1" x14ac:dyDescent="0.25">
      <c r="A72" s="491"/>
      <c r="B72" s="492"/>
      <c r="C72" s="492"/>
      <c r="D72" s="492"/>
      <c r="E72" s="492"/>
      <c r="F72" s="492"/>
      <c r="G72" s="492"/>
      <c r="H72" s="492"/>
      <c r="I72" s="493"/>
    </row>
    <row r="73" spans="1:12" ht="15" hidden="1" x14ac:dyDescent="0.25">
      <c r="A73" s="494"/>
      <c r="B73" s="495"/>
      <c r="C73" s="495"/>
      <c r="D73" s="495"/>
      <c r="E73" s="495"/>
      <c r="F73" s="495"/>
      <c r="G73" s="495"/>
      <c r="H73" s="495"/>
      <c r="I73" s="496"/>
    </row>
    <row r="74" spans="1:12" ht="15" hidden="1" x14ac:dyDescent="0.25">
      <c r="A74" s="396"/>
      <c r="B74" s="396"/>
      <c r="C74" s="396"/>
      <c r="D74" s="396"/>
      <c r="E74" s="396"/>
      <c r="F74" s="396"/>
      <c r="G74" s="396"/>
      <c r="H74" s="396"/>
    </row>
    <row r="75" spans="1:12" ht="15" x14ac:dyDescent="0.25"/>
    <row r="76" spans="1:12" ht="15" x14ac:dyDescent="0.25">
      <c r="A76" s="277" t="s">
        <v>21</v>
      </c>
      <c r="B76" s="278"/>
      <c r="C76" s="278"/>
      <c r="D76" s="278"/>
      <c r="E76" s="278"/>
      <c r="F76" s="278"/>
      <c r="G76" s="278"/>
      <c r="H76" s="278"/>
      <c r="I76" s="397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ht="15" x14ac:dyDescent="0.25">
      <c r="A77" s="320"/>
      <c r="B77" s="320"/>
      <c r="C77" s="320"/>
      <c r="D77" s="320"/>
      <c r="E77" s="320"/>
      <c r="F77" s="320"/>
      <c r="G77" s="320"/>
      <c r="H77" s="320"/>
      <c r="I77" s="435"/>
    </row>
    <row r="78" spans="1:12" ht="15" x14ac:dyDescent="0.25">
      <c r="A78" s="277" t="s">
        <v>144</v>
      </c>
      <c r="B78" s="278"/>
      <c r="C78" s="278"/>
      <c r="D78" s="278"/>
      <c r="E78" s="278"/>
      <c r="F78" s="278"/>
      <c r="G78" s="278"/>
      <c r="H78" s="278"/>
      <c r="I78" s="436" t="str">
        <f>IFERROR(I11/12,"")</f>
        <v/>
      </c>
    </row>
    <row r="79" spans="1:12" ht="15" x14ac:dyDescent="0.25">
      <c r="A79" s="320"/>
      <c r="B79" s="320"/>
      <c r="C79" s="320"/>
      <c r="D79" s="320"/>
      <c r="E79" s="320"/>
      <c r="F79" s="320"/>
      <c r="G79" s="320"/>
      <c r="H79" s="320"/>
      <c r="I79" s="435"/>
      <c r="J79" s="273"/>
      <c r="K79" s="273"/>
      <c r="L79" s="273"/>
    </row>
    <row r="80" spans="1:12" ht="15" x14ac:dyDescent="0.25">
      <c r="A80" s="274" t="s">
        <v>73</v>
      </c>
      <c r="E80" s="274" t="s">
        <v>216</v>
      </c>
      <c r="F80" s="327" t="s">
        <v>201</v>
      </c>
      <c r="I80" s="274" t="s">
        <v>205</v>
      </c>
    </row>
    <row r="81" spans="1:9" ht="15.75" thickBot="1" x14ac:dyDescent="0.3">
      <c r="A81" s="280" t="str">
        <f>Verzamelblad!D3</f>
        <v>VSR</v>
      </c>
      <c r="B81" s="281"/>
      <c r="C81" s="281"/>
      <c r="D81" s="281"/>
      <c r="E81" s="432">
        <f>VLOOKUP($H$4,Verzamelblad!$A$5:$EK$19,9,0)</f>
        <v>100</v>
      </c>
      <c r="F81" s="399">
        <f>VLOOKUP($H$4,Verzamelblad!$A$5:$EK$19,10,0)</f>
        <v>3</v>
      </c>
      <c r="G81" s="281"/>
      <c r="H81" s="281"/>
      <c r="I81" s="437">
        <f>IFERROR(IF(SUM(E81*F81)=0,"",SUM(E81*F81)),"")</f>
        <v>300</v>
      </c>
    </row>
    <row r="82" spans="1:9" ht="15.75" thickTop="1" x14ac:dyDescent="0.25"/>
    <row r="83" spans="1:9" ht="15" x14ac:dyDescent="0.25"/>
    <row r="84" spans="1:9" ht="15" hidden="1" x14ac:dyDescent="0.25">
      <c r="A84" s="274" t="s">
        <v>22</v>
      </c>
      <c r="D84" s="274" t="s">
        <v>70</v>
      </c>
      <c r="E84" s="274" t="s">
        <v>71</v>
      </c>
    </row>
    <row r="85" spans="1:9" ht="15" hidden="1" x14ac:dyDescent="0.25">
      <c r="A85" s="274" t="str">
        <f t="shared" ref="A85:A99" ca="1" si="7">IF(K19=0,"",K19)</f>
        <v>A</v>
      </c>
      <c r="D85" s="274">
        <f t="shared" ref="D85:D99" ca="1" si="8">IF(A85="",0,VLOOKUP(A85,INDIRECT("'"&amp;$H$5&amp;"'!C500:M515"),11,0))</f>
        <v>0</v>
      </c>
      <c r="E85" s="274" t="str">
        <f>IF(L19=0,"",IF(L19="","",SUM(D85/L19)*Uurtariefopbouw!$F$15))</f>
        <v/>
      </c>
    </row>
    <row r="86" spans="1:9" ht="15" hidden="1" x14ac:dyDescent="0.25">
      <c r="A86" s="274" t="str">
        <f t="shared" ca="1" si="7"/>
        <v>B</v>
      </c>
      <c r="D86" s="274">
        <f t="shared" ca="1" si="8"/>
        <v>4160</v>
      </c>
      <c r="E86" s="274" t="str">
        <f>IF(L20=0,"",IF(L20="","",SUM(D86/L20)*Uurtariefopbouw!$F$15))</f>
        <v/>
      </c>
    </row>
    <row r="87" spans="1:9" ht="15" hidden="1" x14ac:dyDescent="0.25">
      <c r="A87" s="274" t="str">
        <f t="shared" ca="1" si="7"/>
        <v>C</v>
      </c>
      <c r="D87" s="274">
        <f t="shared" ca="1" si="8"/>
        <v>10920</v>
      </c>
      <c r="E87" s="274" t="str">
        <f>IF(L21=0,"",IF(L21="","",SUM(D87/L21)*Uurtariefopbouw!$F$15))</f>
        <v/>
      </c>
    </row>
    <row r="88" spans="1:9" ht="15" hidden="1" x14ac:dyDescent="0.25">
      <c r="A88" s="274" t="str">
        <f t="shared" ca="1" si="7"/>
        <v>D</v>
      </c>
      <c r="D88" s="274">
        <f t="shared" ca="1" si="8"/>
        <v>0</v>
      </c>
      <c r="E88" s="274" t="str">
        <f>IF(L22=0,"",IF(L22="","",SUM(D88/L22)*Uurtariefopbouw!$F$15))</f>
        <v/>
      </c>
    </row>
    <row r="89" spans="1:9" ht="15" hidden="1" x14ac:dyDescent="0.25">
      <c r="A89" s="274" t="str">
        <f t="shared" ca="1" si="7"/>
        <v>E</v>
      </c>
      <c r="D89" s="274">
        <f t="shared" ca="1" si="8"/>
        <v>4160</v>
      </c>
      <c r="E89" s="274" t="str">
        <f>IF(L23=0,"",IF(L23="","",SUM(D89/L23)*Uurtariefopbouw!$F$15))</f>
        <v/>
      </c>
    </row>
    <row r="90" spans="1:9" ht="15" hidden="1" x14ac:dyDescent="0.25">
      <c r="A90" s="274" t="str">
        <f t="shared" ca="1" si="7"/>
        <v>F</v>
      </c>
      <c r="D90" s="274">
        <f t="shared" ca="1" si="8"/>
        <v>0</v>
      </c>
      <c r="E90" s="274" t="str">
        <f>IF(L24=0,"",IF(L24="","",SUM(D90/L24)*Uurtariefopbouw!$F$15))</f>
        <v/>
      </c>
    </row>
    <row r="91" spans="1:9" ht="15" hidden="1" x14ac:dyDescent="0.25">
      <c r="A91" s="274" t="str">
        <f t="shared" ca="1" si="7"/>
        <v>G</v>
      </c>
      <c r="D91" s="274">
        <f t="shared" ca="1" si="8"/>
        <v>5720</v>
      </c>
      <c r="E91" s="274" t="str">
        <f>IF(L25=0,"",IF(L25="","",SUM(D91/L25)*Uurtariefopbouw!$F$15))</f>
        <v/>
      </c>
    </row>
    <row r="92" spans="1:9" ht="15" hidden="1" x14ac:dyDescent="0.25">
      <c r="A92" s="274" t="str">
        <f t="shared" ca="1" si="7"/>
        <v>H</v>
      </c>
      <c r="D92" s="274">
        <f t="shared" ca="1" si="8"/>
        <v>0</v>
      </c>
      <c r="E92" s="274" t="str">
        <f>IF(L26=0,"",IF(L26="","",SUM(D92/L26)*Uurtariefopbouw!$F$15))</f>
        <v/>
      </c>
    </row>
    <row r="93" spans="1:9" ht="15" hidden="1" x14ac:dyDescent="0.25">
      <c r="A93" s="274" t="str">
        <f t="shared" ca="1" si="7"/>
        <v>I</v>
      </c>
      <c r="D93" s="274">
        <f t="shared" ca="1" si="8"/>
        <v>0</v>
      </c>
      <c r="E93" s="274" t="str">
        <f>IF(L27=0,"",IF(L27="","",SUM(D93/L27)*Uurtariefopbouw!$F$15))</f>
        <v/>
      </c>
    </row>
    <row r="94" spans="1:9" ht="15" hidden="1" x14ac:dyDescent="0.25">
      <c r="A94" s="274" t="str">
        <f t="shared" ca="1" si="7"/>
        <v>J</v>
      </c>
      <c r="D94" s="274">
        <f t="shared" ca="1" si="8"/>
        <v>0</v>
      </c>
      <c r="E94" s="274" t="str">
        <f>IF(L28=0,"",IF(L28="","",SUM(D94/L28)*Uurtariefopbouw!$F$15))</f>
        <v/>
      </c>
    </row>
    <row r="95" spans="1:9" ht="15" hidden="1" x14ac:dyDescent="0.25">
      <c r="A95" s="274" t="str">
        <f t="shared" ca="1" si="7"/>
        <v>K</v>
      </c>
      <c r="D95" s="274">
        <f t="shared" ca="1" si="8"/>
        <v>0</v>
      </c>
      <c r="E95" s="274" t="str">
        <f>IF(L29=0,"",IF(L29="","",SUM(D95/L29)*Uurtariefopbouw!$F$15))</f>
        <v/>
      </c>
    </row>
    <row r="96" spans="1:9" ht="15" hidden="1" x14ac:dyDescent="0.25">
      <c r="A96" s="274" t="str">
        <f t="shared" ca="1" si="7"/>
        <v/>
      </c>
      <c r="D96" s="274">
        <f t="shared" ca="1" si="8"/>
        <v>0</v>
      </c>
      <c r="E96" s="274" t="str">
        <f>IF(L30=0,"",IF(L30="","",SUM(D96/L30)*Uurtariefopbouw!$F$15))</f>
        <v/>
      </c>
    </row>
    <row r="97" spans="1:5" ht="15" hidden="1" x14ac:dyDescent="0.25">
      <c r="A97" s="274" t="str">
        <f t="shared" ca="1" si="7"/>
        <v/>
      </c>
      <c r="D97" s="274">
        <f t="shared" ca="1" si="8"/>
        <v>0</v>
      </c>
      <c r="E97" s="274" t="str">
        <f>IF(L31=0,"",IF(L31="","",SUM(D97/L31)*Uurtariefopbouw!$F$15))</f>
        <v/>
      </c>
    </row>
    <row r="98" spans="1:5" ht="15" hidden="1" x14ac:dyDescent="0.25">
      <c r="A98" s="274" t="str">
        <f t="shared" ca="1" si="7"/>
        <v/>
      </c>
      <c r="D98" s="274">
        <f t="shared" ca="1" si="8"/>
        <v>0</v>
      </c>
      <c r="E98" s="274" t="str">
        <f>IF(L32=0,"",IF(L32="","",SUM(D98/L32)*Uurtariefopbouw!$F$15))</f>
        <v/>
      </c>
    </row>
    <row r="99" spans="1:5" ht="15" hidden="1" x14ac:dyDescent="0.25">
      <c r="A99" s="274" t="str">
        <f t="shared" ca="1" si="7"/>
        <v/>
      </c>
      <c r="D99" s="274">
        <f t="shared" ca="1" si="8"/>
        <v>0</v>
      </c>
      <c r="E99" s="274" t="str">
        <f>IF(L33=0,"",IF(L33="","",SUM(D99/L33)*Uurtariefopbouw!$F$15))</f>
        <v/>
      </c>
    </row>
    <row r="100" spans="1:5" ht="15.75" hidden="1" thickBot="1" x14ac:dyDescent="0.3">
      <c r="A100" s="401" t="s">
        <v>72</v>
      </c>
      <c r="B100" s="401"/>
      <c r="C100" s="401"/>
      <c r="D100" s="401">
        <f ca="1">SUM(D85:D99)</f>
        <v>24960</v>
      </c>
      <c r="E100" s="401">
        <f>SUM(E85:E99)</f>
        <v>0</v>
      </c>
    </row>
    <row r="101" spans="1:5" ht="15.75" hidden="1" thickTop="1" x14ac:dyDescent="0.25"/>
    <row r="102" spans="1:5" ht="15" hidden="1" x14ac:dyDescent="0.25"/>
    <row r="103" spans="1:5" ht="15" hidden="1" x14ac:dyDescent="0.25"/>
    <row r="104" spans="1:5" ht="15" hidden="1" x14ac:dyDescent="0.25"/>
    <row r="105" spans="1:5" ht="15" hidden="1" x14ac:dyDescent="0.25"/>
    <row r="106" spans="1:5" ht="15" hidden="1" x14ac:dyDescent="0.25"/>
    <row r="107" spans="1:5" ht="15" hidden="1" x14ac:dyDescent="0.25"/>
    <row r="108" spans="1:5" ht="15" hidden="1" x14ac:dyDescent="0.25"/>
    <row r="109" spans="1:5" ht="15" hidden="1" x14ac:dyDescent="0.25"/>
    <row r="110" spans="1:5" ht="15" hidden="1" x14ac:dyDescent="0.25"/>
    <row r="111" spans="1:5" ht="15" hidden="1" x14ac:dyDescent="0.25"/>
    <row r="112" spans="1:5" ht="15" hidden="1" x14ac:dyDescent="0.25"/>
    <row r="113" s="274" customFormat="1" ht="15" hidden="1" x14ac:dyDescent="0.25"/>
    <row r="114" s="274" customFormat="1" ht="15" hidden="1" x14ac:dyDescent="0.25"/>
    <row r="115" s="274" customFormat="1" ht="15" hidden="1" x14ac:dyDescent="0.25"/>
    <row r="116" s="274" customFormat="1" ht="15" hidden="1" x14ac:dyDescent="0.25"/>
    <row r="117" s="274" customFormat="1" ht="15" hidden="1" x14ac:dyDescent="0.25"/>
    <row r="118" s="274" customFormat="1" ht="15" hidden="1" x14ac:dyDescent="0.25"/>
    <row r="119" s="274" customFormat="1" ht="15" hidden="1" x14ac:dyDescent="0.25"/>
    <row r="120" s="274" customFormat="1" ht="15" hidden="1" x14ac:dyDescent="0.25"/>
    <row r="121" s="274" customFormat="1" ht="15" hidden="1" x14ac:dyDescent="0.25"/>
  </sheetData>
  <mergeCells count="15">
    <mergeCell ref="K17:K18"/>
    <mergeCell ref="L17:L18"/>
    <mergeCell ref="A19:C19"/>
    <mergeCell ref="E19:F19"/>
    <mergeCell ref="A70:I70"/>
    <mergeCell ref="A69:I69"/>
    <mergeCell ref="A71:I71"/>
    <mergeCell ref="A72:I72"/>
    <mergeCell ref="A73:I73"/>
    <mergeCell ref="F4:G4"/>
    <mergeCell ref="F5:G5"/>
    <mergeCell ref="B6:E6"/>
    <mergeCell ref="B5:E5"/>
    <mergeCell ref="B4:E4"/>
    <mergeCell ref="F6:G6"/>
  </mergeCells>
  <conditionalFormatting sqref="K14">
    <cfRule type="cellIs" dxfId="11" priority="4" operator="equal">
      <formula>"Geen 100%"</formula>
    </cfRule>
  </conditionalFormatting>
  <conditionalFormatting sqref="G12">
    <cfRule type="containsText" dxfId="10" priority="2" operator="containsText" text="te laag">
      <formula>NOT(ISERROR(SEARCH("te laag",G12)))</formula>
    </cfRule>
  </conditionalFormatting>
  <conditionalFormatting sqref="G13">
    <cfRule type="containsText" dxfId="9" priority="1" operator="containsText" text="te laag">
      <formula>NOT(ISERROR(SEARCH("te laag",G13)))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1F73D499-1180-42AE-8994-5FB5F597FC32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9">
    <tabColor rgb="FF173583"/>
  </sheetPr>
  <dimension ref="A1:M553"/>
  <sheetViews>
    <sheetView zoomScaleNormal="100" workbookViewId="0">
      <selection activeCell="P537" sqref="P537"/>
    </sheetView>
  </sheetViews>
  <sheetFormatPr defaultRowHeight="15" x14ac:dyDescent="0.25"/>
  <cols>
    <col min="1" max="1" width="6" style="5" customWidth="1"/>
    <col min="2" max="2" width="3.42578125" style="5" customWidth="1"/>
    <col min="3" max="3" width="23.85546875" style="3" bestFit="1" customWidth="1"/>
    <col min="4" max="4" width="3" style="3" customWidth="1"/>
    <col min="5" max="5" width="3.7109375" style="3" customWidth="1"/>
    <col min="6" max="6" width="9.42578125" customWidth="1"/>
    <col min="7" max="7" width="10.5703125" customWidth="1"/>
    <col min="8" max="10" width="8.7109375" customWidth="1"/>
    <col min="11" max="11" width="10.7109375" style="7" customWidth="1"/>
    <col min="12" max="12" width="5.7109375" style="5" customWidth="1"/>
    <col min="13" max="13" width="10.7109375" customWidth="1"/>
  </cols>
  <sheetData>
    <row r="1" spans="1:13" x14ac:dyDescent="0.25">
      <c r="A1" s="30">
        <f>'3'!H4</f>
        <v>3</v>
      </c>
      <c r="B1" s="28" t="s">
        <v>7</v>
      </c>
      <c r="C1" s="29"/>
      <c r="D1" s="35" t="str">
        <f>IF(VLOOKUP(A1,Verzamelblad!A5:E19,3)=0,"",VLOOKUP(A1,Verzamelblad!A5:E19,3))</f>
        <v>Gemeentewerf Surhuisterveen</v>
      </c>
      <c r="E1" s="36"/>
      <c r="F1" s="22"/>
      <c r="G1" s="22"/>
      <c r="H1" s="22"/>
      <c r="I1" s="22"/>
      <c r="J1" s="22"/>
      <c r="K1" s="37"/>
    </row>
    <row r="2" spans="1:13" x14ac:dyDescent="0.25">
      <c r="B2" s="28" t="s">
        <v>23</v>
      </c>
      <c r="C2" s="19"/>
      <c r="D2" s="35" t="str">
        <f>IF(CONCATENATE(VLOOKUP(A1,Verzamelblad!A5:E19,4)," te ",VLOOKUP(A1,Verzamelblad!A5:E19,5))=" te ","",CONCATENATE(VLOOKUP(A1,Verzamelblad!A5:E19,4)," te ",VLOOKUP(A1,Verzamelblad!A5:E19,5)))</f>
        <v>Badlaan 2a te Surhuisterveen</v>
      </c>
      <c r="E2" s="36"/>
      <c r="F2" s="22"/>
      <c r="G2" s="22"/>
      <c r="H2" s="22"/>
      <c r="I2" s="22"/>
      <c r="J2" s="22"/>
      <c r="K2" s="37"/>
    </row>
    <row r="3" spans="1:13" x14ac:dyDescent="0.25">
      <c r="A3" s="6" t="s">
        <v>146</v>
      </c>
      <c r="B3" s="6" t="s">
        <v>24</v>
      </c>
      <c r="C3" s="3" t="s">
        <v>25</v>
      </c>
      <c r="D3" s="3" t="s">
        <v>26</v>
      </c>
      <c r="E3" s="3" t="s">
        <v>27</v>
      </c>
      <c r="F3" s="8" t="s">
        <v>28</v>
      </c>
      <c r="G3" s="8" t="s">
        <v>29</v>
      </c>
      <c r="H3" s="8" t="s">
        <v>30</v>
      </c>
      <c r="I3" s="8" t="s">
        <v>31</v>
      </c>
      <c r="J3" s="186" t="s">
        <v>309</v>
      </c>
      <c r="K3" s="8" t="s">
        <v>5</v>
      </c>
      <c r="L3" s="6" t="s">
        <v>32</v>
      </c>
      <c r="M3" s="3" t="s">
        <v>33</v>
      </c>
    </row>
    <row r="4" spans="1:13" x14ac:dyDescent="0.25">
      <c r="C4" s="237" t="s">
        <v>301</v>
      </c>
    </row>
    <row r="5" spans="1:13" x14ac:dyDescent="0.25">
      <c r="B5" s="5">
        <v>1</v>
      </c>
      <c r="C5" s="3" t="s">
        <v>268</v>
      </c>
      <c r="E5" s="3" t="s">
        <v>291</v>
      </c>
      <c r="F5" s="7">
        <v>2</v>
      </c>
      <c r="G5" s="7"/>
      <c r="H5" s="7"/>
      <c r="I5" s="7"/>
      <c r="J5" s="7">
        <v>14</v>
      </c>
      <c r="K5" s="7">
        <f t="shared" ref="K5:K68" si="0">SUM(F5:J5)</f>
        <v>16</v>
      </c>
      <c r="L5" s="5">
        <f>IF(D5="X",0,IF(E5="",0,IF(E5="X",0,VLOOKUP(E5,$F$539:$G$553,2))))</f>
        <v>260</v>
      </c>
      <c r="M5">
        <f t="shared" ref="M5:M68" si="1">SUM(K5*L5)</f>
        <v>4160</v>
      </c>
    </row>
    <row r="6" spans="1:13" x14ac:dyDescent="0.25">
      <c r="B6" s="5">
        <v>2</v>
      </c>
      <c r="C6" s="3" t="s">
        <v>302</v>
      </c>
      <c r="E6" s="3" t="s">
        <v>293</v>
      </c>
      <c r="F6" s="7"/>
      <c r="G6" s="7"/>
      <c r="H6" s="7"/>
      <c r="I6" s="7"/>
      <c r="J6" s="7">
        <v>10</v>
      </c>
      <c r="K6" s="7">
        <f t="shared" si="0"/>
        <v>10</v>
      </c>
      <c r="L6" s="5">
        <f t="shared" ref="L6:L69" si="2">IF(D6="X",0,IF(E6="",0,IF(E6="X",0,VLOOKUP(E6,$F$539:$G$553,2))))</f>
        <v>260</v>
      </c>
      <c r="M6">
        <f t="shared" si="1"/>
        <v>2600</v>
      </c>
    </row>
    <row r="7" spans="1:13" x14ac:dyDescent="0.25">
      <c r="B7" s="5">
        <v>3</v>
      </c>
      <c r="C7" s="3" t="s">
        <v>303</v>
      </c>
      <c r="E7" s="3" t="s">
        <v>293</v>
      </c>
      <c r="F7" s="7"/>
      <c r="G7" s="7"/>
      <c r="H7" s="7"/>
      <c r="I7" s="7"/>
      <c r="J7" s="7">
        <v>4</v>
      </c>
      <c r="K7" s="7">
        <f t="shared" si="0"/>
        <v>4</v>
      </c>
      <c r="L7" s="5">
        <f t="shared" si="2"/>
        <v>260</v>
      </c>
      <c r="M7">
        <f t="shared" si="1"/>
        <v>1040</v>
      </c>
    </row>
    <row r="8" spans="1:13" x14ac:dyDescent="0.25">
      <c r="B8" s="5">
        <v>4</v>
      </c>
      <c r="C8" s="3" t="s">
        <v>304</v>
      </c>
      <c r="E8" s="3" t="s">
        <v>297</v>
      </c>
      <c r="F8" s="7"/>
      <c r="G8" s="7"/>
      <c r="H8" s="7"/>
      <c r="I8" s="7"/>
      <c r="J8" s="7">
        <v>160</v>
      </c>
      <c r="K8" s="7">
        <f t="shared" si="0"/>
        <v>160</v>
      </c>
      <c r="L8" s="5">
        <f t="shared" si="2"/>
        <v>0</v>
      </c>
      <c r="M8">
        <f t="shared" si="1"/>
        <v>0</v>
      </c>
    </row>
    <row r="9" spans="1:13" x14ac:dyDescent="0.25">
      <c r="B9" s="5">
        <v>5</v>
      </c>
      <c r="C9" s="3" t="s">
        <v>305</v>
      </c>
      <c r="E9" s="3" t="s">
        <v>297</v>
      </c>
      <c r="F9" s="7"/>
      <c r="G9" s="7"/>
      <c r="H9" s="7"/>
      <c r="I9" s="7"/>
      <c r="J9" s="7">
        <v>63</v>
      </c>
      <c r="K9" s="7">
        <f t="shared" si="0"/>
        <v>63</v>
      </c>
      <c r="L9" s="5">
        <f t="shared" si="2"/>
        <v>0</v>
      </c>
      <c r="M9">
        <f t="shared" si="1"/>
        <v>0</v>
      </c>
    </row>
    <row r="10" spans="1:13" x14ac:dyDescent="0.25">
      <c r="B10" s="5">
        <v>6</v>
      </c>
      <c r="C10" s="3" t="s">
        <v>306</v>
      </c>
      <c r="E10" s="3" t="s">
        <v>293</v>
      </c>
      <c r="F10" s="7"/>
      <c r="G10" s="7"/>
      <c r="H10" s="7"/>
      <c r="I10" s="7"/>
      <c r="J10" s="7">
        <v>8</v>
      </c>
      <c r="K10" s="7">
        <f t="shared" si="0"/>
        <v>8</v>
      </c>
      <c r="L10" s="5">
        <f t="shared" si="2"/>
        <v>260</v>
      </c>
      <c r="M10">
        <f t="shared" si="1"/>
        <v>2080</v>
      </c>
    </row>
    <row r="11" spans="1:13" x14ac:dyDescent="0.25">
      <c r="B11" s="5">
        <v>7</v>
      </c>
      <c r="C11" s="238" t="s">
        <v>275</v>
      </c>
      <c r="D11" s="238"/>
      <c r="E11" s="238" t="s">
        <v>250</v>
      </c>
      <c r="F11" s="239"/>
      <c r="G11" s="239"/>
      <c r="H11" s="239"/>
      <c r="I11" s="239"/>
      <c r="J11" s="239">
        <v>42</v>
      </c>
      <c r="K11" s="7">
        <f t="shared" si="0"/>
        <v>42</v>
      </c>
      <c r="L11" s="5">
        <f t="shared" si="2"/>
        <v>260</v>
      </c>
      <c r="M11">
        <f t="shared" si="1"/>
        <v>10920</v>
      </c>
    </row>
    <row r="12" spans="1:13" x14ac:dyDescent="0.25">
      <c r="B12" s="5">
        <v>8</v>
      </c>
      <c r="C12" s="3" t="s">
        <v>307</v>
      </c>
      <c r="E12" s="3" t="s">
        <v>297</v>
      </c>
      <c r="F12" s="7"/>
      <c r="G12" s="7"/>
      <c r="H12" s="7"/>
      <c r="I12" s="7"/>
      <c r="J12" s="7">
        <v>2</v>
      </c>
      <c r="K12" s="7">
        <f t="shared" si="0"/>
        <v>2</v>
      </c>
      <c r="L12" s="5">
        <f t="shared" si="2"/>
        <v>0</v>
      </c>
      <c r="M12">
        <f t="shared" si="1"/>
        <v>0</v>
      </c>
    </row>
    <row r="13" spans="1:13" x14ac:dyDescent="0.25">
      <c r="B13" s="5">
        <v>9</v>
      </c>
      <c r="C13" s="3" t="s">
        <v>279</v>
      </c>
      <c r="E13" s="3" t="s">
        <v>269</v>
      </c>
      <c r="F13" s="7"/>
      <c r="G13" s="7"/>
      <c r="H13" s="7"/>
      <c r="I13" s="7"/>
      <c r="J13" s="7">
        <v>16</v>
      </c>
      <c r="K13" s="7">
        <f t="shared" si="0"/>
        <v>16</v>
      </c>
      <c r="L13" s="5">
        <f t="shared" si="2"/>
        <v>260</v>
      </c>
      <c r="M13">
        <f t="shared" si="1"/>
        <v>4160</v>
      </c>
    </row>
    <row r="14" spans="1:13" x14ac:dyDescent="0.25">
      <c r="B14" s="5">
        <v>10</v>
      </c>
      <c r="C14" s="3" t="s">
        <v>308</v>
      </c>
      <c r="E14" s="3" t="s">
        <v>297</v>
      </c>
      <c r="F14" s="7"/>
      <c r="G14" s="7"/>
      <c r="H14" s="7"/>
      <c r="I14" s="7"/>
      <c r="J14" s="7">
        <v>97</v>
      </c>
      <c r="K14" s="7">
        <f t="shared" si="0"/>
        <v>97</v>
      </c>
      <c r="L14" s="5">
        <f t="shared" si="2"/>
        <v>0</v>
      </c>
      <c r="M14">
        <f t="shared" si="1"/>
        <v>0</v>
      </c>
    </row>
    <row r="15" spans="1:13" ht="15.75" thickBot="1" x14ac:dyDescent="0.3">
      <c r="C15" s="223" t="s">
        <v>17</v>
      </c>
      <c r="D15" s="223"/>
      <c r="E15" s="223"/>
      <c r="F15" s="225">
        <f>SUM(F5:F14)</f>
        <v>2</v>
      </c>
      <c r="G15" s="225">
        <f t="shared" ref="G15:I15" si="3">SUM(G5:G14)</f>
        <v>0</v>
      </c>
      <c r="H15" s="225">
        <f t="shared" si="3"/>
        <v>0</v>
      </c>
      <c r="I15" s="225">
        <f t="shared" si="3"/>
        <v>0</v>
      </c>
      <c r="J15" s="225">
        <f>SUM(J5:J14)</f>
        <v>416</v>
      </c>
      <c r="K15" s="225">
        <f t="shared" ref="K15" si="4">SUM(F15:J15)</f>
        <v>418</v>
      </c>
    </row>
    <row r="16" spans="1:13" ht="15.75" thickTop="1" x14ac:dyDescent="0.25"/>
    <row r="17" spans="11:13" hidden="1" x14ac:dyDescent="0.25">
      <c r="K17" s="7">
        <f t="shared" si="0"/>
        <v>0</v>
      </c>
      <c r="L17" s="5">
        <f t="shared" si="2"/>
        <v>0</v>
      </c>
      <c r="M17">
        <f t="shared" si="1"/>
        <v>0</v>
      </c>
    </row>
    <row r="18" spans="11:13" hidden="1" x14ac:dyDescent="0.25">
      <c r="K18" s="7">
        <f t="shared" si="0"/>
        <v>0</v>
      </c>
      <c r="L18" s="5">
        <f t="shared" si="2"/>
        <v>0</v>
      </c>
      <c r="M18">
        <f t="shared" si="1"/>
        <v>0</v>
      </c>
    </row>
    <row r="19" spans="11:13" hidden="1" x14ac:dyDescent="0.25">
      <c r="K19" s="7">
        <f t="shared" si="0"/>
        <v>0</v>
      </c>
      <c r="L19" s="5">
        <f t="shared" si="2"/>
        <v>0</v>
      </c>
      <c r="M19">
        <f t="shared" si="1"/>
        <v>0</v>
      </c>
    </row>
    <row r="20" spans="11:13" hidden="1" x14ac:dyDescent="0.25">
      <c r="K20" s="7">
        <f t="shared" si="0"/>
        <v>0</v>
      </c>
      <c r="L20" s="5">
        <f t="shared" si="2"/>
        <v>0</v>
      </c>
      <c r="M20">
        <f t="shared" si="1"/>
        <v>0</v>
      </c>
    </row>
    <row r="21" spans="11:13" hidden="1" x14ac:dyDescent="0.25">
      <c r="K21" s="7">
        <f t="shared" si="0"/>
        <v>0</v>
      </c>
      <c r="L21" s="5">
        <f t="shared" si="2"/>
        <v>0</v>
      </c>
      <c r="M21">
        <f t="shared" si="1"/>
        <v>0</v>
      </c>
    </row>
    <row r="22" spans="11:13" hidden="1" x14ac:dyDescent="0.25">
      <c r="K22" s="7">
        <f t="shared" si="0"/>
        <v>0</v>
      </c>
      <c r="L22" s="5">
        <f t="shared" si="2"/>
        <v>0</v>
      </c>
      <c r="M22">
        <f t="shared" si="1"/>
        <v>0</v>
      </c>
    </row>
    <row r="23" spans="11:13" hidden="1" x14ac:dyDescent="0.25">
      <c r="K23" s="7">
        <f t="shared" si="0"/>
        <v>0</v>
      </c>
      <c r="L23" s="5">
        <f t="shared" si="2"/>
        <v>0</v>
      </c>
      <c r="M23">
        <f t="shared" si="1"/>
        <v>0</v>
      </c>
    </row>
    <row r="24" spans="11:13" hidden="1" x14ac:dyDescent="0.25">
      <c r="K24" s="7">
        <f t="shared" si="0"/>
        <v>0</v>
      </c>
      <c r="L24" s="5">
        <f t="shared" si="2"/>
        <v>0</v>
      </c>
      <c r="M24">
        <f t="shared" si="1"/>
        <v>0</v>
      </c>
    </row>
    <row r="25" spans="11:13" hidden="1" x14ac:dyDescent="0.25">
      <c r="K25" s="7">
        <f t="shared" si="0"/>
        <v>0</v>
      </c>
      <c r="L25" s="5">
        <f t="shared" si="2"/>
        <v>0</v>
      </c>
      <c r="M25">
        <f t="shared" si="1"/>
        <v>0</v>
      </c>
    </row>
    <row r="26" spans="11:13" hidden="1" x14ac:dyDescent="0.25">
      <c r="K26" s="7">
        <f t="shared" si="0"/>
        <v>0</v>
      </c>
      <c r="L26" s="5">
        <f t="shared" si="2"/>
        <v>0</v>
      </c>
      <c r="M26">
        <f t="shared" si="1"/>
        <v>0</v>
      </c>
    </row>
    <row r="27" spans="11:13" hidden="1" x14ac:dyDescent="0.25">
      <c r="K27" s="7">
        <f t="shared" si="0"/>
        <v>0</v>
      </c>
      <c r="L27" s="5">
        <f t="shared" si="2"/>
        <v>0</v>
      </c>
      <c r="M27">
        <f t="shared" si="1"/>
        <v>0</v>
      </c>
    </row>
    <row r="28" spans="11:13" hidden="1" x14ac:dyDescent="0.25">
      <c r="K28" s="7">
        <f t="shared" si="0"/>
        <v>0</v>
      </c>
      <c r="L28" s="5">
        <f t="shared" si="2"/>
        <v>0</v>
      </c>
      <c r="M28">
        <f t="shared" si="1"/>
        <v>0</v>
      </c>
    </row>
    <row r="29" spans="11:13" hidden="1" x14ac:dyDescent="0.25">
      <c r="K29" s="7">
        <f t="shared" si="0"/>
        <v>0</v>
      </c>
      <c r="L29" s="5">
        <f t="shared" si="2"/>
        <v>0</v>
      </c>
      <c r="M29">
        <f t="shared" si="1"/>
        <v>0</v>
      </c>
    </row>
    <row r="30" spans="11:13" hidden="1" x14ac:dyDescent="0.25">
      <c r="K30" s="7">
        <f t="shared" si="0"/>
        <v>0</v>
      </c>
      <c r="L30" s="5">
        <f t="shared" si="2"/>
        <v>0</v>
      </c>
      <c r="M30">
        <f t="shared" si="1"/>
        <v>0</v>
      </c>
    </row>
    <row r="31" spans="11:13" hidden="1" x14ac:dyDescent="0.25">
      <c r="K31" s="7">
        <f t="shared" si="0"/>
        <v>0</v>
      </c>
      <c r="L31" s="5">
        <f t="shared" si="2"/>
        <v>0</v>
      </c>
      <c r="M31">
        <f t="shared" si="1"/>
        <v>0</v>
      </c>
    </row>
    <row r="32" spans="11:13" hidden="1" x14ac:dyDescent="0.25">
      <c r="K32" s="7">
        <f t="shared" si="0"/>
        <v>0</v>
      </c>
      <c r="L32" s="5">
        <f t="shared" si="2"/>
        <v>0</v>
      </c>
      <c r="M32">
        <f t="shared" si="1"/>
        <v>0</v>
      </c>
    </row>
    <row r="33" spans="11:13" hidden="1" x14ac:dyDescent="0.25">
      <c r="K33" s="7">
        <f t="shared" si="0"/>
        <v>0</v>
      </c>
      <c r="L33" s="5">
        <f t="shared" si="2"/>
        <v>0</v>
      </c>
      <c r="M33">
        <f t="shared" si="1"/>
        <v>0</v>
      </c>
    </row>
    <row r="34" spans="11:13" hidden="1" x14ac:dyDescent="0.25">
      <c r="K34" s="7">
        <f t="shared" si="0"/>
        <v>0</v>
      </c>
      <c r="L34" s="5">
        <f t="shared" si="2"/>
        <v>0</v>
      </c>
      <c r="M34">
        <f t="shared" si="1"/>
        <v>0</v>
      </c>
    </row>
    <row r="35" spans="11:13" hidden="1" x14ac:dyDescent="0.25">
      <c r="K35" s="7">
        <f t="shared" si="0"/>
        <v>0</v>
      </c>
      <c r="L35" s="5">
        <f t="shared" si="2"/>
        <v>0</v>
      </c>
      <c r="M35">
        <f t="shared" si="1"/>
        <v>0</v>
      </c>
    </row>
    <row r="36" spans="11:13" hidden="1" x14ac:dyDescent="0.25">
      <c r="K36" s="7">
        <f t="shared" si="0"/>
        <v>0</v>
      </c>
      <c r="L36" s="5">
        <f t="shared" si="2"/>
        <v>0</v>
      </c>
      <c r="M36">
        <f t="shared" si="1"/>
        <v>0</v>
      </c>
    </row>
    <row r="37" spans="11:13" hidden="1" x14ac:dyDescent="0.25">
      <c r="K37" s="7">
        <f t="shared" si="0"/>
        <v>0</v>
      </c>
      <c r="L37" s="5">
        <f t="shared" si="2"/>
        <v>0</v>
      </c>
      <c r="M37">
        <f t="shared" si="1"/>
        <v>0</v>
      </c>
    </row>
    <row r="38" spans="11:13" hidden="1" x14ac:dyDescent="0.25">
      <c r="K38" s="7">
        <f t="shared" si="0"/>
        <v>0</v>
      </c>
      <c r="L38" s="5">
        <f t="shared" si="2"/>
        <v>0</v>
      </c>
      <c r="M38">
        <f t="shared" si="1"/>
        <v>0</v>
      </c>
    </row>
    <row r="39" spans="11:13" hidden="1" x14ac:dyDescent="0.25">
      <c r="K39" s="7">
        <f t="shared" si="0"/>
        <v>0</v>
      </c>
      <c r="L39" s="5">
        <f t="shared" si="2"/>
        <v>0</v>
      </c>
      <c r="M39">
        <f t="shared" si="1"/>
        <v>0</v>
      </c>
    </row>
    <row r="40" spans="11:13" hidden="1" x14ac:dyDescent="0.25">
      <c r="K40" s="7">
        <f t="shared" si="0"/>
        <v>0</v>
      </c>
      <c r="L40" s="5">
        <f t="shared" si="2"/>
        <v>0</v>
      </c>
      <c r="M40">
        <f t="shared" si="1"/>
        <v>0</v>
      </c>
    </row>
    <row r="41" spans="11:13" hidden="1" x14ac:dyDescent="0.25">
      <c r="K41" s="7">
        <f t="shared" si="0"/>
        <v>0</v>
      </c>
      <c r="L41" s="5">
        <f t="shared" si="2"/>
        <v>0</v>
      </c>
      <c r="M41">
        <f t="shared" si="1"/>
        <v>0</v>
      </c>
    </row>
    <row r="42" spans="11:13" hidden="1" x14ac:dyDescent="0.25">
      <c r="K42" s="7">
        <f t="shared" si="0"/>
        <v>0</v>
      </c>
      <c r="L42" s="5">
        <f t="shared" si="2"/>
        <v>0</v>
      </c>
      <c r="M42">
        <f t="shared" si="1"/>
        <v>0</v>
      </c>
    </row>
    <row r="43" spans="11:13" hidden="1" x14ac:dyDescent="0.25">
      <c r="K43" s="7">
        <f t="shared" si="0"/>
        <v>0</v>
      </c>
      <c r="L43" s="5">
        <f t="shared" si="2"/>
        <v>0</v>
      </c>
      <c r="M43">
        <f t="shared" si="1"/>
        <v>0</v>
      </c>
    </row>
    <row r="44" spans="11:13" hidden="1" x14ac:dyDescent="0.25">
      <c r="K44" s="7">
        <f t="shared" si="0"/>
        <v>0</v>
      </c>
      <c r="L44" s="5">
        <f t="shared" si="2"/>
        <v>0</v>
      </c>
      <c r="M44">
        <f t="shared" si="1"/>
        <v>0</v>
      </c>
    </row>
    <row r="45" spans="11:13" hidden="1" x14ac:dyDescent="0.25">
      <c r="K45" s="7">
        <f t="shared" si="0"/>
        <v>0</v>
      </c>
      <c r="L45" s="5">
        <f t="shared" si="2"/>
        <v>0</v>
      </c>
      <c r="M45">
        <f t="shared" si="1"/>
        <v>0</v>
      </c>
    </row>
    <row r="46" spans="11:13" hidden="1" x14ac:dyDescent="0.25">
      <c r="K46" s="7">
        <f t="shared" si="0"/>
        <v>0</v>
      </c>
      <c r="L46" s="5">
        <f t="shared" si="2"/>
        <v>0</v>
      </c>
      <c r="M46">
        <f t="shared" si="1"/>
        <v>0</v>
      </c>
    </row>
    <row r="47" spans="11:13" hidden="1" x14ac:dyDescent="0.25">
      <c r="K47" s="7">
        <f t="shared" si="0"/>
        <v>0</v>
      </c>
      <c r="L47" s="5">
        <f t="shared" si="2"/>
        <v>0</v>
      </c>
      <c r="M47">
        <f t="shared" si="1"/>
        <v>0</v>
      </c>
    </row>
    <row r="48" spans="11:13" hidden="1" x14ac:dyDescent="0.25">
      <c r="K48" s="7">
        <f t="shared" si="0"/>
        <v>0</v>
      </c>
      <c r="L48" s="5">
        <f t="shared" si="2"/>
        <v>0</v>
      </c>
      <c r="M48">
        <f t="shared" si="1"/>
        <v>0</v>
      </c>
    </row>
    <row r="49" spans="11:13" hidden="1" x14ac:dyDescent="0.25">
      <c r="K49" s="7">
        <f t="shared" si="0"/>
        <v>0</v>
      </c>
      <c r="L49" s="5">
        <f t="shared" si="2"/>
        <v>0</v>
      </c>
      <c r="M49">
        <f t="shared" si="1"/>
        <v>0</v>
      </c>
    </row>
    <row r="50" spans="11:13" hidden="1" x14ac:dyDescent="0.25">
      <c r="K50" s="7">
        <f t="shared" si="0"/>
        <v>0</v>
      </c>
      <c r="L50" s="5">
        <f t="shared" si="2"/>
        <v>0</v>
      </c>
      <c r="M50">
        <f t="shared" si="1"/>
        <v>0</v>
      </c>
    </row>
    <row r="51" spans="11:13" hidden="1" x14ac:dyDescent="0.25">
      <c r="K51" s="7">
        <f t="shared" si="0"/>
        <v>0</v>
      </c>
      <c r="L51" s="5">
        <f t="shared" si="2"/>
        <v>0</v>
      </c>
      <c r="M51">
        <f t="shared" si="1"/>
        <v>0</v>
      </c>
    </row>
    <row r="52" spans="11:13" hidden="1" x14ac:dyDescent="0.25">
      <c r="K52" s="7">
        <f t="shared" si="0"/>
        <v>0</v>
      </c>
      <c r="L52" s="5">
        <f t="shared" si="2"/>
        <v>0</v>
      </c>
      <c r="M52">
        <f t="shared" si="1"/>
        <v>0</v>
      </c>
    </row>
    <row r="53" spans="11:13" hidden="1" x14ac:dyDescent="0.25">
      <c r="K53" s="7">
        <f t="shared" si="0"/>
        <v>0</v>
      </c>
      <c r="L53" s="5">
        <f t="shared" si="2"/>
        <v>0</v>
      </c>
      <c r="M53">
        <f t="shared" si="1"/>
        <v>0</v>
      </c>
    </row>
    <row r="54" spans="11:13" hidden="1" x14ac:dyDescent="0.25">
      <c r="K54" s="7">
        <f t="shared" si="0"/>
        <v>0</v>
      </c>
      <c r="L54" s="5">
        <f t="shared" si="2"/>
        <v>0</v>
      </c>
      <c r="M54">
        <f t="shared" si="1"/>
        <v>0</v>
      </c>
    </row>
    <row r="55" spans="11:13" hidden="1" x14ac:dyDescent="0.25">
      <c r="K55" s="7">
        <f t="shared" si="0"/>
        <v>0</v>
      </c>
      <c r="L55" s="5">
        <f t="shared" si="2"/>
        <v>0</v>
      </c>
      <c r="M55">
        <f t="shared" si="1"/>
        <v>0</v>
      </c>
    </row>
    <row r="56" spans="11:13" hidden="1" x14ac:dyDescent="0.25">
      <c r="K56" s="7">
        <f t="shared" si="0"/>
        <v>0</v>
      </c>
      <c r="L56" s="5">
        <f t="shared" si="2"/>
        <v>0</v>
      </c>
      <c r="M56">
        <f t="shared" si="1"/>
        <v>0</v>
      </c>
    </row>
    <row r="57" spans="11:13" hidden="1" x14ac:dyDescent="0.25">
      <c r="K57" s="7">
        <f t="shared" si="0"/>
        <v>0</v>
      </c>
      <c r="L57" s="5">
        <f t="shared" si="2"/>
        <v>0</v>
      </c>
      <c r="M57">
        <f t="shared" si="1"/>
        <v>0</v>
      </c>
    </row>
    <row r="58" spans="11:13" hidden="1" x14ac:dyDescent="0.25">
      <c r="K58" s="7">
        <f t="shared" si="0"/>
        <v>0</v>
      </c>
      <c r="L58" s="5">
        <f t="shared" si="2"/>
        <v>0</v>
      </c>
      <c r="M58">
        <f t="shared" si="1"/>
        <v>0</v>
      </c>
    </row>
    <row r="59" spans="11:13" hidden="1" x14ac:dyDescent="0.25">
      <c r="K59" s="7">
        <f t="shared" si="0"/>
        <v>0</v>
      </c>
      <c r="L59" s="5">
        <f t="shared" si="2"/>
        <v>0</v>
      </c>
      <c r="M59">
        <f t="shared" si="1"/>
        <v>0</v>
      </c>
    </row>
    <row r="60" spans="11:13" hidden="1" x14ac:dyDescent="0.25">
      <c r="K60" s="7">
        <f t="shared" si="0"/>
        <v>0</v>
      </c>
      <c r="L60" s="5">
        <f t="shared" si="2"/>
        <v>0</v>
      </c>
      <c r="M60">
        <f t="shared" si="1"/>
        <v>0</v>
      </c>
    </row>
    <row r="61" spans="11:13" hidden="1" x14ac:dyDescent="0.25">
      <c r="K61" s="7">
        <f t="shared" si="0"/>
        <v>0</v>
      </c>
      <c r="L61" s="5">
        <f t="shared" si="2"/>
        <v>0</v>
      </c>
      <c r="M61">
        <f t="shared" si="1"/>
        <v>0</v>
      </c>
    </row>
    <row r="62" spans="11:13" hidden="1" x14ac:dyDescent="0.25">
      <c r="K62" s="7">
        <f t="shared" si="0"/>
        <v>0</v>
      </c>
      <c r="L62" s="5">
        <f t="shared" si="2"/>
        <v>0</v>
      </c>
      <c r="M62">
        <f t="shared" si="1"/>
        <v>0</v>
      </c>
    </row>
    <row r="63" spans="11:13" hidden="1" x14ac:dyDescent="0.25">
      <c r="K63" s="7">
        <f t="shared" si="0"/>
        <v>0</v>
      </c>
      <c r="L63" s="5">
        <f t="shared" si="2"/>
        <v>0</v>
      </c>
      <c r="M63">
        <f t="shared" si="1"/>
        <v>0</v>
      </c>
    </row>
    <row r="64" spans="11:13" hidden="1" x14ac:dyDescent="0.25">
      <c r="K64" s="7">
        <f t="shared" si="0"/>
        <v>0</v>
      </c>
      <c r="L64" s="5">
        <f t="shared" si="2"/>
        <v>0</v>
      </c>
      <c r="M64">
        <f t="shared" si="1"/>
        <v>0</v>
      </c>
    </row>
    <row r="65" spans="11:13" hidden="1" x14ac:dyDescent="0.25">
      <c r="K65" s="7">
        <f t="shared" si="0"/>
        <v>0</v>
      </c>
      <c r="L65" s="5">
        <f t="shared" si="2"/>
        <v>0</v>
      </c>
      <c r="M65">
        <f t="shared" si="1"/>
        <v>0</v>
      </c>
    </row>
    <row r="66" spans="11:13" hidden="1" x14ac:dyDescent="0.25">
      <c r="K66" s="7">
        <f t="shared" si="0"/>
        <v>0</v>
      </c>
      <c r="L66" s="5">
        <f t="shared" si="2"/>
        <v>0</v>
      </c>
      <c r="M66">
        <f t="shared" si="1"/>
        <v>0</v>
      </c>
    </row>
    <row r="67" spans="11:13" hidden="1" x14ac:dyDescent="0.25">
      <c r="K67" s="7">
        <f t="shared" si="0"/>
        <v>0</v>
      </c>
      <c r="L67" s="5">
        <f t="shared" si="2"/>
        <v>0</v>
      </c>
      <c r="M67">
        <f t="shared" si="1"/>
        <v>0</v>
      </c>
    </row>
    <row r="68" spans="11:13" hidden="1" x14ac:dyDescent="0.25">
      <c r="K68" s="7">
        <f t="shared" si="0"/>
        <v>0</v>
      </c>
      <c r="L68" s="5">
        <f t="shared" si="2"/>
        <v>0</v>
      </c>
      <c r="M68">
        <f t="shared" si="1"/>
        <v>0</v>
      </c>
    </row>
    <row r="69" spans="11:13" hidden="1" x14ac:dyDescent="0.25">
      <c r="K69" s="7">
        <f t="shared" ref="K69:K132" si="5">SUM(F69:J69)</f>
        <v>0</v>
      </c>
      <c r="L69" s="5">
        <f t="shared" si="2"/>
        <v>0</v>
      </c>
      <c r="M69">
        <f t="shared" ref="M69:M132" si="6">SUM(K69*L69)</f>
        <v>0</v>
      </c>
    </row>
    <row r="70" spans="11:13" hidden="1" x14ac:dyDescent="0.25">
      <c r="K70" s="7">
        <f t="shared" si="5"/>
        <v>0</v>
      </c>
      <c r="L70" s="5">
        <f t="shared" ref="L70:L133" si="7">IF(D70="X",0,IF(E70="",0,IF(E70="X",0,VLOOKUP(E70,$F$539:$G$553,2))))</f>
        <v>0</v>
      </c>
      <c r="M70">
        <f t="shared" si="6"/>
        <v>0</v>
      </c>
    </row>
    <row r="71" spans="11:13" hidden="1" x14ac:dyDescent="0.25">
      <c r="K71" s="7">
        <f t="shared" si="5"/>
        <v>0</v>
      </c>
      <c r="L71" s="5">
        <f t="shared" si="7"/>
        <v>0</v>
      </c>
      <c r="M71">
        <f t="shared" si="6"/>
        <v>0</v>
      </c>
    </row>
    <row r="72" spans="11:13" hidden="1" x14ac:dyDescent="0.25">
      <c r="K72" s="7">
        <f t="shared" si="5"/>
        <v>0</v>
      </c>
      <c r="L72" s="5">
        <f t="shared" si="7"/>
        <v>0</v>
      </c>
      <c r="M72">
        <f t="shared" si="6"/>
        <v>0</v>
      </c>
    </row>
    <row r="73" spans="11:13" hidden="1" x14ac:dyDescent="0.25">
      <c r="K73" s="7">
        <f t="shared" si="5"/>
        <v>0</v>
      </c>
      <c r="L73" s="5">
        <f t="shared" si="7"/>
        <v>0</v>
      </c>
      <c r="M73">
        <f t="shared" si="6"/>
        <v>0</v>
      </c>
    </row>
    <row r="74" spans="11:13" hidden="1" x14ac:dyDescent="0.25">
      <c r="K74" s="7">
        <f t="shared" si="5"/>
        <v>0</v>
      </c>
      <c r="L74" s="5">
        <f t="shared" si="7"/>
        <v>0</v>
      </c>
      <c r="M74">
        <f t="shared" si="6"/>
        <v>0</v>
      </c>
    </row>
    <row r="75" spans="11:13" hidden="1" x14ac:dyDescent="0.25">
      <c r="K75" s="7">
        <f t="shared" si="5"/>
        <v>0</v>
      </c>
      <c r="L75" s="5">
        <f t="shared" si="7"/>
        <v>0</v>
      </c>
      <c r="M75">
        <f t="shared" si="6"/>
        <v>0</v>
      </c>
    </row>
    <row r="76" spans="11:13" hidden="1" x14ac:dyDescent="0.25">
      <c r="K76" s="7">
        <f t="shared" si="5"/>
        <v>0</v>
      </c>
      <c r="L76" s="5">
        <f t="shared" si="7"/>
        <v>0</v>
      </c>
      <c r="M76">
        <f t="shared" si="6"/>
        <v>0</v>
      </c>
    </row>
    <row r="77" spans="11:13" hidden="1" x14ac:dyDescent="0.25">
      <c r="K77" s="7">
        <f t="shared" si="5"/>
        <v>0</v>
      </c>
      <c r="L77" s="5">
        <f t="shared" si="7"/>
        <v>0</v>
      </c>
      <c r="M77">
        <f t="shared" si="6"/>
        <v>0</v>
      </c>
    </row>
    <row r="78" spans="11:13" hidden="1" x14ac:dyDescent="0.25">
      <c r="K78" s="7">
        <f t="shared" si="5"/>
        <v>0</v>
      </c>
      <c r="L78" s="5">
        <f t="shared" si="7"/>
        <v>0</v>
      </c>
      <c r="M78">
        <f t="shared" si="6"/>
        <v>0</v>
      </c>
    </row>
    <row r="79" spans="11:13" hidden="1" x14ac:dyDescent="0.25">
      <c r="K79" s="7">
        <f t="shared" si="5"/>
        <v>0</v>
      </c>
      <c r="L79" s="5">
        <f t="shared" si="7"/>
        <v>0</v>
      </c>
      <c r="M79">
        <f t="shared" si="6"/>
        <v>0</v>
      </c>
    </row>
    <row r="80" spans="11:13" hidden="1" x14ac:dyDescent="0.25">
      <c r="K80" s="7">
        <f t="shared" si="5"/>
        <v>0</v>
      </c>
      <c r="L80" s="5">
        <f t="shared" si="7"/>
        <v>0</v>
      </c>
      <c r="M80">
        <f t="shared" si="6"/>
        <v>0</v>
      </c>
    </row>
    <row r="81" spans="11:13" hidden="1" x14ac:dyDescent="0.25">
      <c r="K81" s="7">
        <f t="shared" si="5"/>
        <v>0</v>
      </c>
      <c r="L81" s="5">
        <f t="shared" si="7"/>
        <v>0</v>
      </c>
      <c r="M81">
        <f t="shared" si="6"/>
        <v>0</v>
      </c>
    </row>
    <row r="82" spans="11:13" hidden="1" x14ac:dyDescent="0.25">
      <c r="K82" s="7">
        <f t="shared" si="5"/>
        <v>0</v>
      </c>
      <c r="L82" s="5">
        <f t="shared" si="7"/>
        <v>0</v>
      </c>
      <c r="M82">
        <f t="shared" si="6"/>
        <v>0</v>
      </c>
    </row>
    <row r="83" spans="11:13" hidden="1" x14ac:dyDescent="0.25">
      <c r="K83" s="7">
        <f t="shared" si="5"/>
        <v>0</v>
      </c>
      <c r="L83" s="5">
        <f t="shared" si="7"/>
        <v>0</v>
      </c>
      <c r="M83">
        <f t="shared" si="6"/>
        <v>0</v>
      </c>
    </row>
    <row r="84" spans="11:13" hidden="1" x14ac:dyDescent="0.25">
      <c r="K84" s="7">
        <f t="shared" si="5"/>
        <v>0</v>
      </c>
      <c r="L84" s="5">
        <f t="shared" si="7"/>
        <v>0</v>
      </c>
      <c r="M84">
        <f t="shared" si="6"/>
        <v>0</v>
      </c>
    </row>
    <row r="85" spans="11:13" hidden="1" x14ac:dyDescent="0.25">
      <c r="K85" s="7">
        <f t="shared" si="5"/>
        <v>0</v>
      </c>
      <c r="L85" s="5">
        <f t="shared" si="7"/>
        <v>0</v>
      </c>
      <c r="M85">
        <f t="shared" si="6"/>
        <v>0</v>
      </c>
    </row>
    <row r="86" spans="11:13" hidden="1" x14ac:dyDescent="0.25">
      <c r="K86" s="7">
        <f t="shared" si="5"/>
        <v>0</v>
      </c>
      <c r="L86" s="5">
        <f t="shared" si="7"/>
        <v>0</v>
      </c>
      <c r="M86">
        <f t="shared" si="6"/>
        <v>0</v>
      </c>
    </row>
    <row r="87" spans="11:13" hidden="1" x14ac:dyDescent="0.25">
      <c r="K87" s="7">
        <f t="shared" si="5"/>
        <v>0</v>
      </c>
      <c r="L87" s="5">
        <f t="shared" si="7"/>
        <v>0</v>
      </c>
      <c r="M87">
        <f t="shared" si="6"/>
        <v>0</v>
      </c>
    </row>
    <row r="88" spans="11:13" hidden="1" x14ac:dyDescent="0.25">
      <c r="K88" s="7">
        <f t="shared" si="5"/>
        <v>0</v>
      </c>
      <c r="L88" s="5">
        <f t="shared" si="7"/>
        <v>0</v>
      </c>
      <c r="M88">
        <f t="shared" si="6"/>
        <v>0</v>
      </c>
    </row>
    <row r="89" spans="11:13" hidden="1" x14ac:dyDescent="0.25">
      <c r="K89" s="7">
        <f t="shared" si="5"/>
        <v>0</v>
      </c>
      <c r="L89" s="5">
        <f t="shared" si="7"/>
        <v>0</v>
      </c>
      <c r="M89">
        <f t="shared" si="6"/>
        <v>0</v>
      </c>
    </row>
    <row r="90" spans="11:13" hidden="1" x14ac:dyDescent="0.25">
      <c r="K90" s="7">
        <f t="shared" si="5"/>
        <v>0</v>
      </c>
      <c r="L90" s="5">
        <f t="shared" si="7"/>
        <v>0</v>
      </c>
      <c r="M90">
        <f t="shared" si="6"/>
        <v>0</v>
      </c>
    </row>
    <row r="91" spans="11:13" hidden="1" x14ac:dyDescent="0.25">
      <c r="K91" s="7">
        <f t="shared" si="5"/>
        <v>0</v>
      </c>
      <c r="L91" s="5">
        <f t="shared" si="7"/>
        <v>0</v>
      </c>
      <c r="M91">
        <f t="shared" si="6"/>
        <v>0</v>
      </c>
    </row>
    <row r="92" spans="11:13" hidden="1" x14ac:dyDescent="0.25">
      <c r="K92" s="7">
        <f t="shared" si="5"/>
        <v>0</v>
      </c>
      <c r="L92" s="5">
        <f t="shared" si="7"/>
        <v>0</v>
      </c>
      <c r="M92">
        <f t="shared" si="6"/>
        <v>0</v>
      </c>
    </row>
    <row r="93" spans="11:13" hidden="1" x14ac:dyDescent="0.25">
      <c r="K93" s="7">
        <f t="shared" si="5"/>
        <v>0</v>
      </c>
      <c r="L93" s="5">
        <f t="shared" si="7"/>
        <v>0</v>
      </c>
      <c r="M93">
        <f t="shared" si="6"/>
        <v>0</v>
      </c>
    </row>
    <row r="94" spans="11:13" hidden="1" x14ac:dyDescent="0.25">
      <c r="K94" s="7">
        <f t="shared" si="5"/>
        <v>0</v>
      </c>
      <c r="L94" s="5">
        <f t="shared" si="7"/>
        <v>0</v>
      </c>
      <c r="M94">
        <f t="shared" si="6"/>
        <v>0</v>
      </c>
    </row>
    <row r="95" spans="11:13" hidden="1" x14ac:dyDescent="0.25">
      <c r="K95" s="7">
        <f t="shared" si="5"/>
        <v>0</v>
      </c>
      <c r="L95" s="5">
        <f t="shared" si="7"/>
        <v>0</v>
      </c>
      <c r="M95">
        <f t="shared" si="6"/>
        <v>0</v>
      </c>
    </row>
    <row r="96" spans="11:13" hidden="1" x14ac:dyDescent="0.25">
      <c r="K96" s="7">
        <f t="shared" si="5"/>
        <v>0</v>
      </c>
      <c r="L96" s="5">
        <f t="shared" si="7"/>
        <v>0</v>
      </c>
      <c r="M96">
        <f t="shared" si="6"/>
        <v>0</v>
      </c>
    </row>
    <row r="97" spans="11:13" hidden="1" x14ac:dyDescent="0.25">
      <c r="K97" s="7">
        <f t="shared" si="5"/>
        <v>0</v>
      </c>
      <c r="L97" s="5">
        <f t="shared" si="7"/>
        <v>0</v>
      </c>
      <c r="M97">
        <f t="shared" si="6"/>
        <v>0</v>
      </c>
    </row>
    <row r="98" spans="11:13" hidden="1" x14ac:dyDescent="0.25">
      <c r="K98" s="7">
        <f t="shared" si="5"/>
        <v>0</v>
      </c>
      <c r="L98" s="5">
        <f t="shared" si="7"/>
        <v>0</v>
      </c>
      <c r="M98">
        <f t="shared" si="6"/>
        <v>0</v>
      </c>
    </row>
    <row r="99" spans="11:13" hidden="1" x14ac:dyDescent="0.25">
      <c r="K99" s="7">
        <f t="shared" si="5"/>
        <v>0</v>
      </c>
      <c r="L99" s="5">
        <f t="shared" si="7"/>
        <v>0</v>
      </c>
      <c r="M99">
        <f t="shared" si="6"/>
        <v>0</v>
      </c>
    </row>
    <row r="100" spans="11:13" hidden="1" x14ac:dyDescent="0.25">
      <c r="K100" s="7">
        <f t="shared" si="5"/>
        <v>0</v>
      </c>
      <c r="L100" s="5">
        <f t="shared" si="7"/>
        <v>0</v>
      </c>
      <c r="M100">
        <f t="shared" si="6"/>
        <v>0</v>
      </c>
    </row>
    <row r="101" spans="11:13" hidden="1" x14ac:dyDescent="0.25">
      <c r="K101" s="7">
        <f t="shared" si="5"/>
        <v>0</v>
      </c>
      <c r="L101" s="5">
        <f t="shared" si="7"/>
        <v>0</v>
      </c>
      <c r="M101">
        <f t="shared" si="6"/>
        <v>0</v>
      </c>
    </row>
    <row r="102" spans="11:13" hidden="1" x14ac:dyDescent="0.25">
      <c r="K102" s="7">
        <f t="shared" si="5"/>
        <v>0</v>
      </c>
      <c r="L102" s="5">
        <f t="shared" si="7"/>
        <v>0</v>
      </c>
      <c r="M102">
        <f t="shared" si="6"/>
        <v>0</v>
      </c>
    </row>
    <row r="103" spans="11:13" hidden="1" x14ac:dyDescent="0.25">
      <c r="K103" s="7">
        <f t="shared" si="5"/>
        <v>0</v>
      </c>
      <c r="L103" s="5">
        <f t="shared" si="7"/>
        <v>0</v>
      </c>
      <c r="M103">
        <f t="shared" si="6"/>
        <v>0</v>
      </c>
    </row>
    <row r="104" spans="11:13" hidden="1" x14ac:dyDescent="0.25">
      <c r="K104" s="7">
        <f t="shared" si="5"/>
        <v>0</v>
      </c>
      <c r="L104" s="5">
        <f t="shared" si="7"/>
        <v>0</v>
      </c>
      <c r="M104">
        <f t="shared" si="6"/>
        <v>0</v>
      </c>
    </row>
    <row r="105" spans="11:13" hidden="1" x14ac:dyDescent="0.25">
      <c r="K105" s="7">
        <f t="shared" si="5"/>
        <v>0</v>
      </c>
      <c r="L105" s="5">
        <f t="shared" si="7"/>
        <v>0</v>
      </c>
      <c r="M105">
        <f t="shared" si="6"/>
        <v>0</v>
      </c>
    </row>
    <row r="106" spans="11:13" hidden="1" x14ac:dyDescent="0.25">
      <c r="K106" s="7">
        <f t="shared" si="5"/>
        <v>0</v>
      </c>
      <c r="L106" s="5">
        <f t="shared" si="7"/>
        <v>0</v>
      </c>
      <c r="M106">
        <f t="shared" si="6"/>
        <v>0</v>
      </c>
    </row>
    <row r="107" spans="11:13" hidden="1" x14ac:dyDescent="0.25">
      <c r="K107" s="7">
        <f t="shared" si="5"/>
        <v>0</v>
      </c>
      <c r="L107" s="5">
        <f t="shared" si="7"/>
        <v>0</v>
      </c>
      <c r="M107">
        <f t="shared" si="6"/>
        <v>0</v>
      </c>
    </row>
    <row r="108" spans="11:13" hidden="1" x14ac:dyDescent="0.25">
      <c r="K108" s="7">
        <f t="shared" si="5"/>
        <v>0</v>
      </c>
      <c r="L108" s="5">
        <f t="shared" si="7"/>
        <v>0</v>
      </c>
      <c r="M108">
        <f t="shared" si="6"/>
        <v>0</v>
      </c>
    </row>
    <row r="109" spans="11:13" hidden="1" x14ac:dyDescent="0.25">
      <c r="K109" s="7">
        <f t="shared" si="5"/>
        <v>0</v>
      </c>
      <c r="L109" s="5">
        <f t="shared" si="7"/>
        <v>0</v>
      </c>
      <c r="M109">
        <f t="shared" si="6"/>
        <v>0</v>
      </c>
    </row>
    <row r="110" spans="11:13" hidden="1" x14ac:dyDescent="0.25">
      <c r="K110" s="7">
        <f t="shared" si="5"/>
        <v>0</v>
      </c>
      <c r="L110" s="5">
        <f t="shared" si="7"/>
        <v>0</v>
      </c>
      <c r="M110">
        <f t="shared" si="6"/>
        <v>0</v>
      </c>
    </row>
    <row r="111" spans="11:13" hidden="1" x14ac:dyDescent="0.25">
      <c r="K111" s="7">
        <f t="shared" si="5"/>
        <v>0</v>
      </c>
      <c r="L111" s="5">
        <f t="shared" si="7"/>
        <v>0</v>
      </c>
      <c r="M111">
        <f t="shared" si="6"/>
        <v>0</v>
      </c>
    </row>
    <row r="112" spans="11:13" hidden="1" x14ac:dyDescent="0.25">
      <c r="K112" s="7">
        <f t="shared" si="5"/>
        <v>0</v>
      </c>
      <c r="L112" s="5">
        <f t="shared" si="7"/>
        <v>0</v>
      </c>
      <c r="M112">
        <f t="shared" si="6"/>
        <v>0</v>
      </c>
    </row>
    <row r="113" spans="11:13" hidden="1" x14ac:dyDescent="0.25">
      <c r="K113" s="7">
        <f t="shared" si="5"/>
        <v>0</v>
      </c>
      <c r="L113" s="5">
        <f t="shared" si="7"/>
        <v>0</v>
      </c>
      <c r="M113">
        <f t="shared" si="6"/>
        <v>0</v>
      </c>
    </row>
    <row r="114" spans="11:13" hidden="1" x14ac:dyDescent="0.25">
      <c r="K114" s="7">
        <f t="shared" si="5"/>
        <v>0</v>
      </c>
      <c r="L114" s="5">
        <f t="shared" si="7"/>
        <v>0</v>
      </c>
      <c r="M114">
        <f t="shared" si="6"/>
        <v>0</v>
      </c>
    </row>
    <row r="115" spans="11:13" hidden="1" x14ac:dyDescent="0.25">
      <c r="K115" s="7">
        <f t="shared" si="5"/>
        <v>0</v>
      </c>
      <c r="L115" s="5">
        <f t="shared" si="7"/>
        <v>0</v>
      </c>
      <c r="M115">
        <f t="shared" si="6"/>
        <v>0</v>
      </c>
    </row>
    <row r="116" spans="11:13" hidden="1" x14ac:dyDescent="0.25">
      <c r="K116" s="7">
        <f t="shared" si="5"/>
        <v>0</v>
      </c>
      <c r="L116" s="5">
        <f t="shared" si="7"/>
        <v>0</v>
      </c>
      <c r="M116">
        <f t="shared" si="6"/>
        <v>0</v>
      </c>
    </row>
    <row r="117" spans="11:13" hidden="1" x14ac:dyDescent="0.25">
      <c r="K117" s="7">
        <f t="shared" si="5"/>
        <v>0</v>
      </c>
      <c r="L117" s="5">
        <f t="shared" si="7"/>
        <v>0</v>
      </c>
      <c r="M117">
        <f t="shared" si="6"/>
        <v>0</v>
      </c>
    </row>
    <row r="118" spans="11:13" hidden="1" x14ac:dyDescent="0.25">
      <c r="K118" s="7">
        <f t="shared" si="5"/>
        <v>0</v>
      </c>
      <c r="L118" s="5">
        <f t="shared" si="7"/>
        <v>0</v>
      </c>
      <c r="M118">
        <f t="shared" si="6"/>
        <v>0</v>
      </c>
    </row>
    <row r="119" spans="11:13" hidden="1" x14ac:dyDescent="0.25">
      <c r="K119" s="7">
        <f t="shared" si="5"/>
        <v>0</v>
      </c>
      <c r="L119" s="5">
        <f t="shared" si="7"/>
        <v>0</v>
      </c>
      <c r="M119">
        <f t="shared" si="6"/>
        <v>0</v>
      </c>
    </row>
    <row r="120" spans="11:13" hidden="1" x14ac:dyDescent="0.25">
      <c r="K120" s="7">
        <f t="shared" si="5"/>
        <v>0</v>
      </c>
      <c r="L120" s="5">
        <f t="shared" si="7"/>
        <v>0</v>
      </c>
      <c r="M120">
        <f t="shared" si="6"/>
        <v>0</v>
      </c>
    </row>
    <row r="121" spans="11:13" hidden="1" x14ac:dyDescent="0.25">
      <c r="K121" s="7">
        <f t="shared" si="5"/>
        <v>0</v>
      </c>
      <c r="L121" s="5">
        <f t="shared" si="7"/>
        <v>0</v>
      </c>
      <c r="M121">
        <f t="shared" si="6"/>
        <v>0</v>
      </c>
    </row>
    <row r="122" spans="11:13" hidden="1" x14ac:dyDescent="0.25">
      <c r="K122" s="7">
        <f t="shared" si="5"/>
        <v>0</v>
      </c>
      <c r="L122" s="5">
        <f t="shared" si="7"/>
        <v>0</v>
      </c>
      <c r="M122">
        <f t="shared" si="6"/>
        <v>0</v>
      </c>
    </row>
    <row r="123" spans="11:13" hidden="1" x14ac:dyDescent="0.25">
      <c r="K123" s="7">
        <f t="shared" si="5"/>
        <v>0</v>
      </c>
      <c r="L123" s="5">
        <f t="shared" si="7"/>
        <v>0</v>
      </c>
      <c r="M123">
        <f t="shared" si="6"/>
        <v>0</v>
      </c>
    </row>
    <row r="124" spans="11:13" hidden="1" x14ac:dyDescent="0.25">
      <c r="K124" s="7">
        <f t="shared" si="5"/>
        <v>0</v>
      </c>
      <c r="L124" s="5">
        <f t="shared" si="7"/>
        <v>0</v>
      </c>
      <c r="M124">
        <f t="shared" si="6"/>
        <v>0</v>
      </c>
    </row>
    <row r="125" spans="11:13" hidden="1" x14ac:dyDescent="0.25">
      <c r="K125" s="7">
        <f t="shared" si="5"/>
        <v>0</v>
      </c>
      <c r="L125" s="5">
        <f t="shared" si="7"/>
        <v>0</v>
      </c>
      <c r="M125">
        <f t="shared" si="6"/>
        <v>0</v>
      </c>
    </row>
    <row r="126" spans="11:13" hidden="1" x14ac:dyDescent="0.25">
      <c r="K126" s="7">
        <f t="shared" si="5"/>
        <v>0</v>
      </c>
      <c r="L126" s="5">
        <f t="shared" si="7"/>
        <v>0</v>
      </c>
      <c r="M126">
        <f t="shared" si="6"/>
        <v>0</v>
      </c>
    </row>
    <row r="127" spans="11:13" hidden="1" x14ac:dyDescent="0.25">
      <c r="K127" s="7">
        <f t="shared" si="5"/>
        <v>0</v>
      </c>
      <c r="L127" s="5">
        <f t="shared" si="7"/>
        <v>0</v>
      </c>
      <c r="M127">
        <f t="shared" si="6"/>
        <v>0</v>
      </c>
    </row>
    <row r="128" spans="11:13" hidden="1" x14ac:dyDescent="0.25">
      <c r="K128" s="7">
        <f t="shared" si="5"/>
        <v>0</v>
      </c>
      <c r="L128" s="5">
        <f t="shared" si="7"/>
        <v>0</v>
      </c>
      <c r="M128">
        <f t="shared" si="6"/>
        <v>0</v>
      </c>
    </row>
    <row r="129" spans="11:13" hidden="1" x14ac:dyDescent="0.25">
      <c r="K129" s="7">
        <f t="shared" si="5"/>
        <v>0</v>
      </c>
      <c r="L129" s="5">
        <f t="shared" si="7"/>
        <v>0</v>
      </c>
      <c r="M129">
        <f t="shared" si="6"/>
        <v>0</v>
      </c>
    </row>
    <row r="130" spans="11:13" hidden="1" x14ac:dyDescent="0.25">
      <c r="K130" s="7">
        <f t="shared" si="5"/>
        <v>0</v>
      </c>
      <c r="L130" s="5">
        <f t="shared" si="7"/>
        <v>0</v>
      </c>
      <c r="M130">
        <f t="shared" si="6"/>
        <v>0</v>
      </c>
    </row>
    <row r="131" spans="11:13" hidden="1" x14ac:dyDescent="0.25">
      <c r="K131" s="7">
        <f t="shared" si="5"/>
        <v>0</v>
      </c>
      <c r="L131" s="5">
        <f t="shared" si="7"/>
        <v>0</v>
      </c>
      <c r="M131">
        <f t="shared" si="6"/>
        <v>0</v>
      </c>
    </row>
    <row r="132" spans="11:13" hidden="1" x14ac:dyDescent="0.25">
      <c r="K132" s="7">
        <f t="shared" si="5"/>
        <v>0</v>
      </c>
      <c r="L132" s="5">
        <f t="shared" si="7"/>
        <v>0</v>
      </c>
      <c r="M132">
        <f t="shared" si="6"/>
        <v>0</v>
      </c>
    </row>
    <row r="133" spans="11:13" hidden="1" x14ac:dyDescent="0.25">
      <c r="K133" s="7">
        <f t="shared" ref="K133:K196" si="8">SUM(F133:J133)</f>
        <v>0</v>
      </c>
      <c r="L133" s="5">
        <f t="shared" si="7"/>
        <v>0</v>
      </c>
      <c r="M133">
        <f t="shared" ref="M133:M196" si="9">SUM(K133*L133)</f>
        <v>0</v>
      </c>
    </row>
    <row r="134" spans="11:13" hidden="1" x14ac:dyDescent="0.25">
      <c r="K134" s="7">
        <f t="shared" si="8"/>
        <v>0</v>
      </c>
      <c r="L134" s="5">
        <f t="shared" ref="L134:L197" si="10">IF(D134="X",0,IF(E134="",0,IF(E134="X",0,VLOOKUP(E134,$F$539:$G$553,2))))</f>
        <v>0</v>
      </c>
      <c r="M134">
        <f t="shared" si="9"/>
        <v>0</v>
      </c>
    </row>
    <row r="135" spans="11:13" hidden="1" x14ac:dyDescent="0.25">
      <c r="K135" s="7">
        <f t="shared" si="8"/>
        <v>0</v>
      </c>
      <c r="L135" s="5">
        <f t="shared" si="10"/>
        <v>0</v>
      </c>
      <c r="M135">
        <f t="shared" si="9"/>
        <v>0</v>
      </c>
    </row>
    <row r="136" spans="11:13" hidden="1" x14ac:dyDescent="0.25">
      <c r="K136" s="7">
        <f t="shared" si="8"/>
        <v>0</v>
      </c>
      <c r="L136" s="5">
        <f t="shared" si="10"/>
        <v>0</v>
      </c>
      <c r="M136">
        <f t="shared" si="9"/>
        <v>0</v>
      </c>
    </row>
    <row r="137" spans="11:13" hidden="1" x14ac:dyDescent="0.25">
      <c r="K137" s="7">
        <f t="shared" si="8"/>
        <v>0</v>
      </c>
      <c r="L137" s="5">
        <f t="shared" si="10"/>
        <v>0</v>
      </c>
      <c r="M137">
        <f t="shared" si="9"/>
        <v>0</v>
      </c>
    </row>
    <row r="138" spans="11:13" hidden="1" x14ac:dyDescent="0.25">
      <c r="K138" s="7">
        <f t="shared" si="8"/>
        <v>0</v>
      </c>
      <c r="L138" s="5">
        <f t="shared" si="10"/>
        <v>0</v>
      </c>
      <c r="M138">
        <f t="shared" si="9"/>
        <v>0</v>
      </c>
    </row>
    <row r="139" spans="11:13" hidden="1" x14ac:dyDescent="0.25">
      <c r="K139" s="7">
        <f t="shared" si="8"/>
        <v>0</v>
      </c>
      <c r="L139" s="5">
        <f t="shared" si="10"/>
        <v>0</v>
      </c>
      <c r="M139">
        <f t="shared" si="9"/>
        <v>0</v>
      </c>
    </row>
    <row r="140" spans="11:13" hidden="1" x14ac:dyDescent="0.25">
      <c r="K140" s="7">
        <f t="shared" si="8"/>
        <v>0</v>
      </c>
      <c r="L140" s="5">
        <f t="shared" si="10"/>
        <v>0</v>
      </c>
      <c r="M140">
        <f t="shared" si="9"/>
        <v>0</v>
      </c>
    </row>
    <row r="141" spans="11:13" hidden="1" x14ac:dyDescent="0.25">
      <c r="K141" s="7">
        <f t="shared" si="8"/>
        <v>0</v>
      </c>
      <c r="L141" s="5">
        <f t="shared" si="10"/>
        <v>0</v>
      </c>
      <c r="M141">
        <f t="shared" si="9"/>
        <v>0</v>
      </c>
    </row>
    <row r="142" spans="11:13" hidden="1" x14ac:dyDescent="0.25">
      <c r="K142" s="7">
        <f t="shared" si="8"/>
        <v>0</v>
      </c>
      <c r="L142" s="5">
        <f t="shared" si="10"/>
        <v>0</v>
      </c>
      <c r="M142">
        <f t="shared" si="9"/>
        <v>0</v>
      </c>
    </row>
    <row r="143" spans="11:13" hidden="1" x14ac:dyDescent="0.25">
      <c r="K143" s="7">
        <f t="shared" si="8"/>
        <v>0</v>
      </c>
      <c r="L143" s="5">
        <f t="shared" si="10"/>
        <v>0</v>
      </c>
      <c r="M143">
        <f t="shared" si="9"/>
        <v>0</v>
      </c>
    </row>
    <row r="144" spans="11:13" hidden="1" x14ac:dyDescent="0.25">
      <c r="K144" s="7">
        <f t="shared" si="8"/>
        <v>0</v>
      </c>
      <c r="L144" s="5">
        <f t="shared" si="10"/>
        <v>0</v>
      </c>
      <c r="M144">
        <f t="shared" si="9"/>
        <v>0</v>
      </c>
    </row>
    <row r="145" spans="11:13" hidden="1" x14ac:dyDescent="0.25">
      <c r="K145" s="7">
        <f t="shared" si="8"/>
        <v>0</v>
      </c>
      <c r="L145" s="5">
        <f t="shared" si="10"/>
        <v>0</v>
      </c>
      <c r="M145">
        <f t="shared" si="9"/>
        <v>0</v>
      </c>
    </row>
    <row r="146" spans="11:13" hidden="1" x14ac:dyDescent="0.25">
      <c r="K146" s="7">
        <f t="shared" si="8"/>
        <v>0</v>
      </c>
      <c r="L146" s="5">
        <f t="shared" si="10"/>
        <v>0</v>
      </c>
      <c r="M146">
        <f t="shared" si="9"/>
        <v>0</v>
      </c>
    </row>
    <row r="147" spans="11:13" hidden="1" x14ac:dyDescent="0.25">
      <c r="K147" s="7">
        <f t="shared" si="8"/>
        <v>0</v>
      </c>
      <c r="L147" s="5">
        <f t="shared" si="10"/>
        <v>0</v>
      </c>
      <c r="M147">
        <f t="shared" si="9"/>
        <v>0</v>
      </c>
    </row>
    <row r="148" spans="11:13" hidden="1" x14ac:dyDescent="0.25">
      <c r="K148" s="7">
        <f t="shared" si="8"/>
        <v>0</v>
      </c>
      <c r="L148" s="5">
        <f t="shared" si="10"/>
        <v>0</v>
      </c>
      <c r="M148">
        <f t="shared" si="9"/>
        <v>0</v>
      </c>
    </row>
    <row r="149" spans="11:13" hidden="1" x14ac:dyDescent="0.25">
      <c r="K149" s="7">
        <f t="shared" si="8"/>
        <v>0</v>
      </c>
      <c r="L149" s="5">
        <f t="shared" si="10"/>
        <v>0</v>
      </c>
      <c r="M149">
        <f t="shared" si="9"/>
        <v>0</v>
      </c>
    </row>
    <row r="150" spans="11:13" hidden="1" x14ac:dyDescent="0.25">
      <c r="K150" s="7">
        <f t="shared" si="8"/>
        <v>0</v>
      </c>
      <c r="L150" s="5">
        <f t="shared" si="10"/>
        <v>0</v>
      </c>
      <c r="M150">
        <f t="shared" si="9"/>
        <v>0</v>
      </c>
    </row>
    <row r="151" spans="11:13" hidden="1" x14ac:dyDescent="0.25">
      <c r="K151" s="7">
        <f t="shared" si="8"/>
        <v>0</v>
      </c>
      <c r="L151" s="5">
        <f t="shared" si="10"/>
        <v>0</v>
      </c>
      <c r="M151">
        <f t="shared" si="9"/>
        <v>0</v>
      </c>
    </row>
    <row r="152" spans="11:13" hidden="1" x14ac:dyDescent="0.25">
      <c r="K152" s="7">
        <f t="shared" si="8"/>
        <v>0</v>
      </c>
      <c r="L152" s="5">
        <f t="shared" si="10"/>
        <v>0</v>
      </c>
      <c r="M152">
        <f t="shared" si="9"/>
        <v>0</v>
      </c>
    </row>
    <row r="153" spans="11:13" hidden="1" x14ac:dyDescent="0.25">
      <c r="K153" s="7">
        <f t="shared" si="8"/>
        <v>0</v>
      </c>
      <c r="L153" s="5">
        <f t="shared" si="10"/>
        <v>0</v>
      </c>
      <c r="M153">
        <f t="shared" si="9"/>
        <v>0</v>
      </c>
    </row>
    <row r="154" spans="11:13" hidden="1" x14ac:dyDescent="0.25">
      <c r="K154" s="7">
        <f t="shared" si="8"/>
        <v>0</v>
      </c>
      <c r="L154" s="5">
        <f t="shared" si="10"/>
        <v>0</v>
      </c>
      <c r="M154">
        <f t="shared" si="9"/>
        <v>0</v>
      </c>
    </row>
    <row r="155" spans="11:13" hidden="1" x14ac:dyDescent="0.25">
      <c r="K155" s="7">
        <f t="shared" si="8"/>
        <v>0</v>
      </c>
      <c r="L155" s="5">
        <f t="shared" si="10"/>
        <v>0</v>
      </c>
      <c r="M155">
        <f t="shared" si="9"/>
        <v>0</v>
      </c>
    </row>
    <row r="156" spans="11:13" hidden="1" x14ac:dyDescent="0.25">
      <c r="K156" s="7">
        <f t="shared" si="8"/>
        <v>0</v>
      </c>
      <c r="L156" s="5">
        <f t="shared" si="10"/>
        <v>0</v>
      </c>
      <c r="M156">
        <f t="shared" si="9"/>
        <v>0</v>
      </c>
    </row>
    <row r="157" spans="11:13" hidden="1" x14ac:dyDescent="0.25">
      <c r="K157" s="7">
        <f t="shared" si="8"/>
        <v>0</v>
      </c>
      <c r="L157" s="5">
        <f t="shared" si="10"/>
        <v>0</v>
      </c>
      <c r="M157">
        <f t="shared" si="9"/>
        <v>0</v>
      </c>
    </row>
    <row r="158" spans="11:13" hidden="1" x14ac:dyDescent="0.25">
      <c r="K158" s="7">
        <f t="shared" si="8"/>
        <v>0</v>
      </c>
      <c r="L158" s="5">
        <f t="shared" si="10"/>
        <v>0</v>
      </c>
      <c r="M158">
        <f t="shared" si="9"/>
        <v>0</v>
      </c>
    </row>
    <row r="159" spans="11:13" hidden="1" x14ac:dyDescent="0.25">
      <c r="K159" s="7">
        <f t="shared" si="8"/>
        <v>0</v>
      </c>
      <c r="L159" s="5">
        <f t="shared" si="10"/>
        <v>0</v>
      </c>
      <c r="M159">
        <f t="shared" si="9"/>
        <v>0</v>
      </c>
    </row>
    <row r="160" spans="11:13" hidden="1" x14ac:dyDescent="0.25">
      <c r="K160" s="7">
        <f t="shared" si="8"/>
        <v>0</v>
      </c>
      <c r="L160" s="5">
        <f t="shared" si="10"/>
        <v>0</v>
      </c>
      <c r="M160">
        <f t="shared" si="9"/>
        <v>0</v>
      </c>
    </row>
    <row r="161" spans="11:13" hidden="1" x14ac:dyDescent="0.25">
      <c r="K161" s="7">
        <f t="shared" si="8"/>
        <v>0</v>
      </c>
      <c r="L161" s="5">
        <f t="shared" si="10"/>
        <v>0</v>
      </c>
      <c r="M161">
        <f t="shared" si="9"/>
        <v>0</v>
      </c>
    </row>
    <row r="162" spans="11:13" hidden="1" x14ac:dyDescent="0.25">
      <c r="K162" s="7">
        <f t="shared" si="8"/>
        <v>0</v>
      </c>
      <c r="L162" s="5">
        <f t="shared" si="10"/>
        <v>0</v>
      </c>
      <c r="M162">
        <f t="shared" si="9"/>
        <v>0</v>
      </c>
    </row>
    <row r="163" spans="11:13" hidden="1" x14ac:dyDescent="0.25">
      <c r="K163" s="7">
        <f t="shared" si="8"/>
        <v>0</v>
      </c>
      <c r="L163" s="5">
        <f t="shared" si="10"/>
        <v>0</v>
      </c>
      <c r="M163">
        <f t="shared" si="9"/>
        <v>0</v>
      </c>
    </row>
    <row r="164" spans="11:13" hidden="1" x14ac:dyDescent="0.25">
      <c r="K164" s="7">
        <f t="shared" si="8"/>
        <v>0</v>
      </c>
      <c r="L164" s="5">
        <f t="shared" si="10"/>
        <v>0</v>
      </c>
      <c r="M164">
        <f t="shared" si="9"/>
        <v>0</v>
      </c>
    </row>
    <row r="165" spans="11:13" hidden="1" x14ac:dyDescent="0.25">
      <c r="K165" s="7">
        <f t="shared" si="8"/>
        <v>0</v>
      </c>
      <c r="L165" s="5">
        <f t="shared" si="10"/>
        <v>0</v>
      </c>
      <c r="M165">
        <f t="shared" si="9"/>
        <v>0</v>
      </c>
    </row>
    <row r="166" spans="11:13" hidden="1" x14ac:dyDescent="0.25">
      <c r="K166" s="7">
        <f t="shared" si="8"/>
        <v>0</v>
      </c>
      <c r="L166" s="5">
        <f t="shared" si="10"/>
        <v>0</v>
      </c>
      <c r="M166">
        <f t="shared" si="9"/>
        <v>0</v>
      </c>
    </row>
    <row r="167" spans="11:13" hidden="1" x14ac:dyDescent="0.25">
      <c r="K167" s="7">
        <f t="shared" si="8"/>
        <v>0</v>
      </c>
      <c r="L167" s="5">
        <f t="shared" si="10"/>
        <v>0</v>
      </c>
      <c r="M167">
        <f t="shared" si="9"/>
        <v>0</v>
      </c>
    </row>
    <row r="168" spans="11:13" hidden="1" x14ac:dyDescent="0.25">
      <c r="K168" s="7">
        <f t="shared" si="8"/>
        <v>0</v>
      </c>
      <c r="L168" s="5">
        <f t="shared" si="10"/>
        <v>0</v>
      </c>
      <c r="M168">
        <f t="shared" si="9"/>
        <v>0</v>
      </c>
    </row>
    <row r="169" spans="11:13" hidden="1" x14ac:dyDescent="0.25">
      <c r="K169" s="7">
        <f t="shared" si="8"/>
        <v>0</v>
      </c>
      <c r="L169" s="5">
        <f t="shared" si="10"/>
        <v>0</v>
      </c>
      <c r="M169">
        <f t="shared" si="9"/>
        <v>0</v>
      </c>
    </row>
    <row r="170" spans="11:13" hidden="1" x14ac:dyDescent="0.25">
      <c r="K170" s="7">
        <f t="shared" si="8"/>
        <v>0</v>
      </c>
      <c r="L170" s="5">
        <f t="shared" si="10"/>
        <v>0</v>
      </c>
      <c r="M170">
        <f t="shared" si="9"/>
        <v>0</v>
      </c>
    </row>
    <row r="171" spans="11:13" hidden="1" x14ac:dyDescent="0.25">
      <c r="K171" s="7">
        <f t="shared" si="8"/>
        <v>0</v>
      </c>
      <c r="L171" s="5">
        <f t="shared" si="10"/>
        <v>0</v>
      </c>
      <c r="M171">
        <f t="shared" si="9"/>
        <v>0</v>
      </c>
    </row>
    <row r="172" spans="11:13" hidden="1" x14ac:dyDescent="0.25">
      <c r="K172" s="7">
        <f t="shared" si="8"/>
        <v>0</v>
      </c>
      <c r="L172" s="5">
        <f t="shared" si="10"/>
        <v>0</v>
      </c>
      <c r="M172">
        <f t="shared" si="9"/>
        <v>0</v>
      </c>
    </row>
    <row r="173" spans="11:13" hidden="1" x14ac:dyDescent="0.25">
      <c r="K173" s="7">
        <f t="shared" si="8"/>
        <v>0</v>
      </c>
      <c r="L173" s="5">
        <f t="shared" si="10"/>
        <v>0</v>
      </c>
      <c r="M173">
        <f t="shared" si="9"/>
        <v>0</v>
      </c>
    </row>
    <row r="174" spans="11:13" hidden="1" x14ac:dyDescent="0.25">
      <c r="K174" s="7">
        <f t="shared" si="8"/>
        <v>0</v>
      </c>
      <c r="L174" s="5">
        <f t="shared" si="10"/>
        <v>0</v>
      </c>
      <c r="M174">
        <f t="shared" si="9"/>
        <v>0</v>
      </c>
    </row>
    <row r="175" spans="11:13" hidden="1" x14ac:dyDescent="0.25">
      <c r="K175" s="7">
        <f t="shared" si="8"/>
        <v>0</v>
      </c>
      <c r="L175" s="5">
        <f t="shared" si="10"/>
        <v>0</v>
      </c>
      <c r="M175">
        <f t="shared" si="9"/>
        <v>0</v>
      </c>
    </row>
    <row r="176" spans="11:13" hidden="1" x14ac:dyDescent="0.25">
      <c r="K176" s="7">
        <f t="shared" si="8"/>
        <v>0</v>
      </c>
      <c r="L176" s="5">
        <f t="shared" si="10"/>
        <v>0</v>
      </c>
      <c r="M176">
        <f t="shared" si="9"/>
        <v>0</v>
      </c>
    </row>
    <row r="177" spans="11:13" hidden="1" x14ac:dyDescent="0.25">
      <c r="K177" s="7">
        <f t="shared" si="8"/>
        <v>0</v>
      </c>
      <c r="L177" s="5">
        <f t="shared" si="10"/>
        <v>0</v>
      </c>
      <c r="M177">
        <f t="shared" si="9"/>
        <v>0</v>
      </c>
    </row>
    <row r="178" spans="11:13" hidden="1" x14ac:dyDescent="0.25">
      <c r="K178" s="7">
        <f t="shared" si="8"/>
        <v>0</v>
      </c>
      <c r="L178" s="5">
        <f t="shared" si="10"/>
        <v>0</v>
      </c>
      <c r="M178">
        <f t="shared" si="9"/>
        <v>0</v>
      </c>
    </row>
    <row r="179" spans="11:13" hidden="1" x14ac:dyDescent="0.25">
      <c r="K179" s="7">
        <f t="shared" si="8"/>
        <v>0</v>
      </c>
      <c r="L179" s="5">
        <f t="shared" si="10"/>
        <v>0</v>
      </c>
      <c r="M179">
        <f t="shared" si="9"/>
        <v>0</v>
      </c>
    </row>
    <row r="180" spans="11:13" hidden="1" x14ac:dyDescent="0.25">
      <c r="K180" s="7">
        <f t="shared" si="8"/>
        <v>0</v>
      </c>
      <c r="L180" s="5">
        <f t="shared" si="10"/>
        <v>0</v>
      </c>
      <c r="M180">
        <f t="shared" si="9"/>
        <v>0</v>
      </c>
    </row>
    <row r="181" spans="11:13" hidden="1" x14ac:dyDescent="0.25">
      <c r="K181" s="7">
        <f t="shared" si="8"/>
        <v>0</v>
      </c>
      <c r="L181" s="5">
        <f t="shared" si="10"/>
        <v>0</v>
      </c>
      <c r="M181">
        <f t="shared" si="9"/>
        <v>0</v>
      </c>
    </row>
    <row r="182" spans="11:13" hidden="1" x14ac:dyDescent="0.25">
      <c r="K182" s="7">
        <f t="shared" si="8"/>
        <v>0</v>
      </c>
      <c r="L182" s="5">
        <f t="shared" si="10"/>
        <v>0</v>
      </c>
      <c r="M182">
        <f t="shared" si="9"/>
        <v>0</v>
      </c>
    </row>
    <row r="183" spans="11:13" hidden="1" x14ac:dyDescent="0.25">
      <c r="K183" s="7">
        <f t="shared" si="8"/>
        <v>0</v>
      </c>
      <c r="L183" s="5">
        <f t="shared" si="10"/>
        <v>0</v>
      </c>
      <c r="M183">
        <f t="shared" si="9"/>
        <v>0</v>
      </c>
    </row>
    <row r="184" spans="11:13" hidden="1" x14ac:dyDescent="0.25">
      <c r="K184" s="7">
        <f t="shared" si="8"/>
        <v>0</v>
      </c>
      <c r="L184" s="5">
        <f t="shared" si="10"/>
        <v>0</v>
      </c>
      <c r="M184">
        <f t="shared" si="9"/>
        <v>0</v>
      </c>
    </row>
    <row r="185" spans="11:13" hidden="1" x14ac:dyDescent="0.25">
      <c r="K185" s="7">
        <f t="shared" si="8"/>
        <v>0</v>
      </c>
      <c r="L185" s="5">
        <f t="shared" si="10"/>
        <v>0</v>
      </c>
      <c r="M185">
        <f t="shared" si="9"/>
        <v>0</v>
      </c>
    </row>
    <row r="186" spans="11:13" hidden="1" x14ac:dyDescent="0.25">
      <c r="K186" s="7">
        <f t="shared" si="8"/>
        <v>0</v>
      </c>
      <c r="L186" s="5">
        <f t="shared" si="10"/>
        <v>0</v>
      </c>
      <c r="M186">
        <f t="shared" si="9"/>
        <v>0</v>
      </c>
    </row>
    <row r="187" spans="11:13" hidden="1" x14ac:dyDescent="0.25">
      <c r="K187" s="7">
        <f t="shared" si="8"/>
        <v>0</v>
      </c>
      <c r="L187" s="5">
        <f t="shared" si="10"/>
        <v>0</v>
      </c>
      <c r="M187">
        <f t="shared" si="9"/>
        <v>0</v>
      </c>
    </row>
    <row r="188" spans="11:13" hidden="1" x14ac:dyDescent="0.25">
      <c r="K188" s="7">
        <f t="shared" si="8"/>
        <v>0</v>
      </c>
      <c r="L188" s="5">
        <f t="shared" si="10"/>
        <v>0</v>
      </c>
      <c r="M188">
        <f t="shared" si="9"/>
        <v>0</v>
      </c>
    </row>
    <row r="189" spans="11:13" hidden="1" x14ac:dyDescent="0.25">
      <c r="K189" s="7">
        <f t="shared" si="8"/>
        <v>0</v>
      </c>
      <c r="L189" s="5">
        <f t="shared" si="10"/>
        <v>0</v>
      </c>
      <c r="M189">
        <f t="shared" si="9"/>
        <v>0</v>
      </c>
    </row>
    <row r="190" spans="11:13" hidden="1" x14ac:dyDescent="0.25">
      <c r="K190" s="7">
        <f t="shared" si="8"/>
        <v>0</v>
      </c>
      <c r="L190" s="5">
        <f t="shared" si="10"/>
        <v>0</v>
      </c>
      <c r="M190">
        <f t="shared" si="9"/>
        <v>0</v>
      </c>
    </row>
    <row r="191" spans="11:13" hidden="1" x14ac:dyDescent="0.25">
      <c r="K191" s="7">
        <f t="shared" si="8"/>
        <v>0</v>
      </c>
      <c r="L191" s="5">
        <f t="shared" si="10"/>
        <v>0</v>
      </c>
      <c r="M191">
        <f t="shared" si="9"/>
        <v>0</v>
      </c>
    </row>
    <row r="192" spans="11:13" hidden="1" x14ac:dyDescent="0.25">
      <c r="K192" s="7">
        <f t="shared" si="8"/>
        <v>0</v>
      </c>
      <c r="L192" s="5">
        <f t="shared" si="10"/>
        <v>0</v>
      </c>
      <c r="M192">
        <f t="shared" si="9"/>
        <v>0</v>
      </c>
    </row>
    <row r="193" spans="11:13" hidden="1" x14ac:dyDescent="0.25">
      <c r="K193" s="7">
        <f t="shared" si="8"/>
        <v>0</v>
      </c>
      <c r="L193" s="5">
        <f t="shared" si="10"/>
        <v>0</v>
      </c>
      <c r="M193">
        <f t="shared" si="9"/>
        <v>0</v>
      </c>
    </row>
    <row r="194" spans="11:13" hidden="1" x14ac:dyDescent="0.25">
      <c r="K194" s="7">
        <f t="shared" si="8"/>
        <v>0</v>
      </c>
      <c r="L194" s="5">
        <f t="shared" si="10"/>
        <v>0</v>
      </c>
      <c r="M194">
        <f t="shared" si="9"/>
        <v>0</v>
      </c>
    </row>
    <row r="195" spans="11:13" hidden="1" x14ac:dyDescent="0.25">
      <c r="K195" s="7">
        <f t="shared" si="8"/>
        <v>0</v>
      </c>
      <c r="L195" s="5">
        <f t="shared" si="10"/>
        <v>0</v>
      </c>
      <c r="M195">
        <f t="shared" si="9"/>
        <v>0</v>
      </c>
    </row>
    <row r="196" spans="11:13" hidden="1" x14ac:dyDescent="0.25">
      <c r="K196" s="7">
        <f t="shared" si="8"/>
        <v>0</v>
      </c>
      <c r="L196" s="5">
        <f t="shared" si="10"/>
        <v>0</v>
      </c>
      <c r="M196">
        <f t="shared" si="9"/>
        <v>0</v>
      </c>
    </row>
    <row r="197" spans="11:13" hidden="1" x14ac:dyDescent="0.25">
      <c r="K197" s="7">
        <f t="shared" ref="K197:K260" si="11">SUM(F197:J197)</f>
        <v>0</v>
      </c>
      <c r="L197" s="5">
        <f t="shared" si="10"/>
        <v>0</v>
      </c>
      <c r="M197">
        <f t="shared" ref="M197:M260" si="12">SUM(K197*L197)</f>
        <v>0</v>
      </c>
    </row>
    <row r="198" spans="11:13" hidden="1" x14ac:dyDescent="0.25">
      <c r="K198" s="7">
        <f t="shared" si="11"/>
        <v>0</v>
      </c>
      <c r="L198" s="5">
        <f t="shared" ref="L198:L261" si="13">IF(D198="X",0,IF(E198="",0,IF(E198="X",0,VLOOKUP(E198,$F$539:$G$553,2))))</f>
        <v>0</v>
      </c>
      <c r="M198">
        <f t="shared" si="12"/>
        <v>0</v>
      </c>
    </row>
    <row r="199" spans="11:13" hidden="1" x14ac:dyDescent="0.25">
      <c r="K199" s="7">
        <f t="shared" si="11"/>
        <v>0</v>
      </c>
      <c r="L199" s="5">
        <f t="shared" si="13"/>
        <v>0</v>
      </c>
      <c r="M199">
        <f t="shared" si="12"/>
        <v>0</v>
      </c>
    </row>
    <row r="200" spans="11:13" hidden="1" x14ac:dyDescent="0.25">
      <c r="K200" s="7">
        <f t="shared" si="11"/>
        <v>0</v>
      </c>
      <c r="L200" s="5">
        <f t="shared" si="13"/>
        <v>0</v>
      </c>
      <c r="M200">
        <f t="shared" si="12"/>
        <v>0</v>
      </c>
    </row>
    <row r="201" spans="11:13" hidden="1" x14ac:dyDescent="0.25">
      <c r="K201" s="7">
        <f t="shared" si="11"/>
        <v>0</v>
      </c>
      <c r="L201" s="5">
        <f t="shared" si="13"/>
        <v>0</v>
      </c>
      <c r="M201">
        <f t="shared" si="12"/>
        <v>0</v>
      </c>
    </row>
    <row r="202" spans="11:13" hidden="1" x14ac:dyDescent="0.25">
      <c r="K202" s="7">
        <f t="shared" si="11"/>
        <v>0</v>
      </c>
      <c r="L202" s="5">
        <f t="shared" si="13"/>
        <v>0</v>
      </c>
      <c r="M202">
        <f t="shared" si="12"/>
        <v>0</v>
      </c>
    </row>
    <row r="203" spans="11:13" hidden="1" x14ac:dyDescent="0.25">
      <c r="K203" s="7">
        <f t="shared" si="11"/>
        <v>0</v>
      </c>
      <c r="L203" s="5">
        <f t="shared" si="13"/>
        <v>0</v>
      </c>
      <c r="M203">
        <f t="shared" si="12"/>
        <v>0</v>
      </c>
    </row>
    <row r="204" spans="11:13" hidden="1" x14ac:dyDescent="0.25">
      <c r="K204" s="7">
        <f t="shared" si="11"/>
        <v>0</v>
      </c>
      <c r="L204" s="5">
        <f t="shared" si="13"/>
        <v>0</v>
      </c>
      <c r="M204">
        <f t="shared" si="12"/>
        <v>0</v>
      </c>
    </row>
    <row r="205" spans="11:13" hidden="1" x14ac:dyDescent="0.25">
      <c r="K205" s="7">
        <f t="shared" si="11"/>
        <v>0</v>
      </c>
      <c r="L205" s="5">
        <f t="shared" si="13"/>
        <v>0</v>
      </c>
      <c r="M205">
        <f t="shared" si="12"/>
        <v>0</v>
      </c>
    </row>
    <row r="206" spans="11:13" hidden="1" x14ac:dyDescent="0.25">
      <c r="K206" s="7">
        <f t="shared" si="11"/>
        <v>0</v>
      </c>
      <c r="L206" s="5">
        <f t="shared" si="13"/>
        <v>0</v>
      </c>
      <c r="M206">
        <f t="shared" si="12"/>
        <v>0</v>
      </c>
    </row>
    <row r="207" spans="11:13" hidden="1" x14ac:dyDescent="0.25">
      <c r="K207" s="7">
        <f t="shared" si="11"/>
        <v>0</v>
      </c>
      <c r="L207" s="5">
        <f t="shared" si="13"/>
        <v>0</v>
      </c>
      <c r="M207">
        <f t="shared" si="12"/>
        <v>0</v>
      </c>
    </row>
    <row r="208" spans="11:13" hidden="1" x14ac:dyDescent="0.25">
      <c r="K208" s="7">
        <f t="shared" si="11"/>
        <v>0</v>
      </c>
      <c r="L208" s="5">
        <f t="shared" si="13"/>
        <v>0</v>
      </c>
      <c r="M208">
        <f t="shared" si="12"/>
        <v>0</v>
      </c>
    </row>
    <row r="209" spans="11:13" hidden="1" x14ac:dyDescent="0.25">
      <c r="K209" s="7">
        <f t="shared" si="11"/>
        <v>0</v>
      </c>
      <c r="L209" s="5">
        <f t="shared" si="13"/>
        <v>0</v>
      </c>
      <c r="M209">
        <f t="shared" si="12"/>
        <v>0</v>
      </c>
    </row>
    <row r="210" spans="11:13" hidden="1" x14ac:dyDescent="0.25">
      <c r="K210" s="7">
        <f t="shared" si="11"/>
        <v>0</v>
      </c>
      <c r="L210" s="5">
        <f t="shared" si="13"/>
        <v>0</v>
      </c>
      <c r="M210">
        <f t="shared" si="12"/>
        <v>0</v>
      </c>
    </row>
    <row r="211" spans="11:13" hidden="1" x14ac:dyDescent="0.25">
      <c r="K211" s="7">
        <f t="shared" si="11"/>
        <v>0</v>
      </c>
      <c r="L211" s="5">
        <f t="shared" si="13"/>
        <v>0</v>
      </c>
      <c r="M211">
        <f t="shared" si="12"/>
        <v>0</v>
      </c>
    </row>
    <row r="212" spans="11:13" hidden="1" x14ac:dyDescent="0.25">
      <c r="K212" s="7">
        <f t="shared" si="11"/>
        <v>0</v>
      </c>
      <c r="L212" s="5">
        <f t="shared" si="13"/>
        <v>0</v>
      </c>
      <c r="M212">
        <f t="shared" si="12"/>
        <v>0</v>
      </c>
    </row>
    <row r="213" spans="11:13" hidden="1" x14ac:dyDescent="0.25">
      <c r="K213" s="7">
        <f t="shared" si="11"/>
        <v>0</v>
      </c>
      <c r="L213" s="5">
        <f t="shared" si="13"/>
        <v>0</v>
      </c>
      <c r="M213">
        <f t="shared" si="12"/>
        <v>0</v>
      </c>
    </row>
    <row r="214" spans="11:13" hidden="1" x14ac:dyDescent="0.25">
      <c r="K214" s="7">
        <f t="shared" si="11"/>
        <v>0</v>
      </c>
      <c r="L214" s="5">
        <f t="shared" si="13"/>
        <v>0</v>
      </c>
      <c r="M214">
        <f t="shared" si="12"/>
        <v>0</v>
      </c>
    </row>
    <row r="215" spans="11:13" hidden="1" x14ac:dyDescent="0.25">
      <c r="K215" s="7">
        <f t="shared" si="11"/>
        <v>0</v>
      </c>
      <c r="L215" s="5">
        <f t="shared" si="13"/>
        <v>0</v>
      </c>
      <c r="M215">
        <f t="shared" si="12"/>
        <v>0</v>
      </c>
    </row>
    <row r="216" spans="11:13" hidden="1" x14ac:dyDescent="0.25">
      <c r="K216" s="7">
        <f t="shared" si="11"/>
        <v>0</v>
      </c>
      <c r="L216" s="5">
        <f t="shared" si="13"/>
        <v>0</v>
      </c>
      <c r="M216">
        <f t="shared" si="12"/>
        <v>0</v>
      </c>
    </row>
    <row r="217" spans="11:13" hidden="1" x14ac:dyDescent="0.25">
      <c r="K217" s="7">
        <f t="shared" si="11"/>
        <v>0</v>
      </c>
      <c r="L217" s="5">
        <f t="shared" si="13"/>
        <v>0</v>
      </c>
      <c r="M217">
        <f t="shared" si="12"/>
        <v>0</v>
      </c>
    </row>
    <row r="218" spans="11:13" hidden="1" x14ac:dyDescent="0.25">
      <c r="K218" s="7">
        <f t="shared" si="11"/>
        <v>0</v>
      </c>
      <c r="L218" s="5">
        <f t="shared" si="13"/>
        <v>0</v>
      </c>
      <c r="M218">
        <f t="shared" si="12"/>
        <v>0</v>
      </c>
    </row>
    <row r="219" spans="11:13" hidden="1" x14ac:dyDescent="0.25">
      <c r="K219" s="7">
        <f t="shared" si="11"/>
        <v>0</v>
      </c>
      <c r="L219" s="5">
        <f t="shared" si="13"/>
        <v>0</v>
      </c>
      <c r="M219">
        <f t="shared" si="12"/>
        <v>0</v>
      </c>
    </row>
    <row r="220" spans="11:13" hidden="1" x14ac:dyDescent="0.25">
      <c r="K220" s="7">
        <f t="shared" si="11"/>
        <v>0</v>
      </c>
      <c r="L220" s="5">
        <f t="shared" si="13"/>
        <v>0</v>
      </c>
      <c r="M220">
        <f t="shared" si="12"/>
        <v>0</v>
      </c>
    </row>
    <row r="221" spans="11:13" hidden="1" x14ac:dyDescent="0.25">
      <c r="K221" s="7">
        <f t="shared" si="11"/>
        <v>0</v>
      </c>
      <c r="L221" s="5">
        <f t="shared" si="13"/>
        <v>0</v>
      </c>
      <c r="M221">
        <f t="shared" si="12"/>
        <v>0</v>
      </c>
    </row>
    <row r="222" spans="11:13" hidden="1" x14ac:dyDescent="0.25">
      <c r="K222" s="7">
        <f t="shared" si="11"/>
        <v>0</v>
      </c>
      <c r="L222" s="5">
        <f t="shared" si="13"/>
        <v>0</v>
      </c>
      <c r="M222">
        <f t="shared" si="12"/>
        <v>0</v>
      </c>
    </row>
    <row r="223" spans="11:13" hidden="1" x14ac:dyDescent="0.25">
      <c r="K223" s="7">
        <f t="shared" si="11"/>
        <v>0</v>
      </c>
      <c r="L223" s="5">
        <f t="shared" si="13"/>
        <v>0</v>
      </c>
      <c r="M223">
        <f t="shared" si="12"/>
        <v>0</v>
      </c>
    </row>
    <row r="224" spans="11:13" hidden="1" x14ac:dyDescent="0.25">
      <c r="K224" s="7">
        <f t="shared" si="11"/>
        <v>0</v>
      </c>
      <c r="L224" s="5">
        <f t="shared" si="13"/>
        <v>0</v>
      </c>
      <c r="M224">
        <f t="shared" si="12"/>
        <v>0</v>
      </c>
    </row>
    <row r="225" spans="11:13" hidden="1" x14ac:dyDescent="0.25">
      <c r="K225" s="7">
        <f t="shared" si="11"/>
        <v>0</v>
      </c>
      <c r="L225" s="5">
        <f t="shared" si="13"/>
        <v>0</v>
      </c>
      <c r="M225">
        <f t="shared" si="12"/>
        <v>0</v>
      </c>
    </row>
    <row r="226" spans="11:13" hidden="1" x14ac:dyDescent="0.25">
      <c r="K226" s="7">
        <f t="shared" si="11"/>
        <v>0</v>
      </c>
      <c r="L226" s="5">
        <f t="shared" si="13"/>
        <v>0</v>
      </c>
      <c r="M226">
        <f t="shared" si="12"/>
        <v>0</v>
      </c>
    </row>
    <row r="227" spans="11:13" hidden="1" x14ac:dyDescent="0.25">
      <c r="K227" s="7">
        <f t="shared" si="11"/>
        <v>0</v>
      </c>
      <c r="L227" s="5">
        <f t="shared" si="13"/>
        <v>0</v>
      </c>
      <c r="M227">
        <f t="shared" si="12"/>
        <v>0</v>
      </c>
    </row>
    <row r="228" spans="11:13" hidden="1" x14ac:dyDescent="0.25">
      <c r="K228" s="7">
        <f t="shared" si="11"/>
        <v>0</v>
      </c>
      <c r="L228" s="5">
        <f t="shared" si="13"/>
        <v>0</v>
      </c>
      <c r="M228">
        <f t="shared" si="12"/>
        <v>0</v>
      </c>
    </row>
    <row r="229" spans="11:13" hidden="1" x14ac:dyDescent="0.25">
      <c r="K229" s="7">
        <f t="shared" si="11"/>
        <v>0</v>
      </c>
      <c r="L229" s="5">
        <f t="shared" si="13"/>
        <v>0</v>
      </c>
      <c r="M229">
        <f t="shared" si="12"/>
        <v>0</v>
      </c>
    </row>
    <row r="230" spans="11:13" hidden="1" x14ac:dyDescent="0.25">
      <c r="K230" s="7">
        <f t="shared" si="11"/>
        <v>0</v>
      </c>
      <c r="L230" s="5">
        <f t="shared" si="13"/>
        <v>0</v>
      </c>
      <c r="M230">
        <f t="shared" si="12"/>
        <v>0</v>
      </c>
    </row>
    <row r="231" spans="11:13" hidden="1" x14ac:dyDescent="0.25">
      <c r="K231" s="7">
        <f t="shared" si="11"/>
        <v>0</v>
      </c>
      <c r="L231" s="5">
        <f t="shared" si="13"/>
        <v>0</v>
      </c>
      <c r="M231">
        <f t="shared" si="12"/>
        <v>0</v>
      </c>
    </row>
    <row r="232" spans="11:13" hidden="1" x14ac:dyDescent="0.25">
      <c r="K232" s="7">
        <f t="shared" si="11"/>
        <v>0</v>
      </c>
      <c r="L232" s="5">
        <f t="shared" si="13"/>
        <v>0</v>
      </c>
      <c r="M232">
        <f t="shared" si="12"/>
        <v>0</v>
      </c>
    </row>
    <row r="233" spans="11:13" hidden="1" x14ac:dyDescent="0.25">
      <c r="K233" s="7">
        <f t="shared" si="11"/>
        <v>0</v>
      </c>
      <c r="L233" s="5">
        <f t="shared" si="13"/>
        <v>0</v>
      </c>
      <c r="M233">
        <f t="shared" si="12"/>
        <v>0</v>
      </c>
    </row>
    <row r="234" spans="11:13" hidden="1" x14ac:dyDescent="0.25">
      <c r="K234" s="7">
        <f t="shared" si="11"/>
        <v>0</v>
      </c>
      <c r="L234" s="5">
        <f t="shared" si="13"/>
        <v>0</v>
      </c>
      <c r="M234">
        <f t="shared" si="12"/>
        <v>0</v>
      </c>
    </row>
    <row r="235" spans="11:13" hidden="1" x14ac:dyDescent="0.25">
      <c r="K235" s="7">
        <f t="shared" si="11"/>
        <v>0</v>
      </c>
      <c r="L235" s="5">
        <f t="shared" si="13"/>
        <v>0</v>
      </c>
      <c r="M235">
        <f t="shared" si="12"/>
        <v>0</v>
      </c>
    </row>
    <row r="236" spans="11:13" hidden="1" x14ac:dyDescent="0.25">
      <c r="K236" s="7">
        <f t="shared" si="11"/>
        <v>0</v>
      </c>
      <c r="L236" s="5">
        <f t="shared" si="13"/>
        <v>0</v>
      </c>
      <c r="M236">
        <f t="shared" si="12"/>
        <v>0</v>
      </c>
    </row>
    <row r="237" spans="11:13" hidden="1" x14ac:dyDescent="0.25">
      <c r="K237" s="7">
        <f t="shared" si="11"/>
        <v>0</v>
      </c>
      <c r="L237" s="5">
        <f t="shared" si="13"/>
        <v>0</v>
      </c>
      <c r="M237">
        <f t="shared" si="12"/>
        <v>0</v>
      </c>
    </row>
    <row r="238" spans="11:13" hidden="1" x14ac:dyDescent="0.25">
      <c r="K238" s="7">
        <f t="shared" si="11"/>
        <v>0</v>
      </c>
      <c r="L238" s="5">
        <f t="shared" si="13"/>
        <v>0</v>
      </c>
      <c r="M238">
        <f t="shared" si="12"/>
        <v>0</v>
      </c>
    </row>
    <row r="239" spans="11:13" hidden="1" x14ac:dyDescent="0.25">
      <c r="K239" s="7">
        <f t="shared" si="11"/>
        <v>0</v>
      </c>
      <c r="L239" s="5">
        <f t="shared" si="13"/>
        <v>0</v>
      </c>
      <c r="M239">
        <f t="shared" si="12"/>
        <v>0</v>
      </c>
    </row>
    <row r="240" spans="11:13" hidden="1" x14ac:dyDescent="0.25">
      <c r="K240" s="7">
        <f t="shared" si="11"/>
        <v>0</v>
      </c>
      <c r="L240" s="5">
        <f t="shared" si="13"/>
        <v>0</v>
      </c>
      <c r="M240">
        <f t="shared" si="12"/>
        <v>0</v>
      </c>
    </row>
    <row r="241" spans="11:13" hidden="1" x14ac:dyDescent="0.25">
      <c r="K241" s="7">
        <f t="shared" si="11"/>
        <v>0</v>
      </c>
      <c r="L241" s="5">
        <f t="shared" si="13"/>
        <v>0</v>
      </c>
      <c r="M241">
        <f t="shared" si="12"/>
        <v>0</v>
      </c>
    </row>
    <row r="242" spans="11:13" hidden="1" x14ac:dyDescent="0.25">
      <c r="K242" s="7">
        <f t="shared" si="11"/>
        <v>0</v>
      </c>
      <c r="L242" s="5">
        <f t="shared" si="13"/>
        <v>0</v>
      </c>
      <c r="M242">
        <f t="shared" si="12"/>
        <v>0</v>
      </c>
    </row>
    <row r="243" spans="11:13" hidden="1" x14ac:dyDescent="0.25">
      <c r="K243" s="7">
        <f t="shared" si="11"/>
        <v>0</v>
      </c>
      <c r="L243" s="5">
        <f t="shared" si="13"/>
        <v>0</v>
      </c>
      <c r="M243">
        <f t="shared" si="12"/>
        <v>0</v>
      </c>
    </row>
    <row r="244" spans="11:13" hidden="1" x14ac:dyDescent="0.25">
      <c r="K244" s="7">
        <f t="shared" si="11"/>
        <v>0</v>
      </c>
      <c r="L244" s="5">
        <f t="shared" si="13"/>
        <v>0</v>
      </c>
      <c r="M244">
        <f t="shared" si="12"/>
        <v>0</v>
      </c>
    </row>
    <row r="245" spans="11:13" hidden="1" x14ac:dyDescent="0.25">
      <c r="K245" s="7">
        <f t="shared" si="11"/>
        <v>0</v>
      </c>
      <c r="L245" s="5">
        <f t="shared" si="13"/>
        <v>0</v>
      </c>
      <c r="M245">
        <f t="shared" si="12"/>
        <v>0</v>
      </c>
    </row>
    <row r="246" spans="11:13" hidden="1" x14ac:dyDescent="0.25">
      <c r="K246" s="7">
        <f t="shared" si="11"/>
        <v>0</v>
      </c>
      <c r="L246" s="5">
        <f t="shared" si="13"/>
        <v>0</v>
      </c>
      <c r="M246">
        <f t="shared" si="12"/>
        <v>0</v>
      </c>
    </row>
    <row r="247" spans="11:13" hidden="1" x14ac:dyDescent="0.25">
      <c r="K247" s="7">
        <f t="shared" si="11"/>
        <v>0</v>
      </c>
      <c r="L247" s="5">
        <f t="shared" si="13"/>
        <v>0</v>
      </c>
      <c r="M247">
        <f t="shared" si="12"/>
        <v>0</v>
      </c>
    </row>
    <row r="248" spans="11:13" hidden="1" x14ac:dyDescent="0.25">
      <c r="K248" s="7">
        <f t="shared" si="11"/>
        <v>0</v>
      </c>
      <c r="L248" s="5">
        <f t="shared" si="13"/>
        <v>0</v>
      </c>
      <c r="M248">
        <f t="shared" si="12"/>
        <v>0</v>
      </c>
    </row>
    <row r="249" spans="11:13" hidden="1" x14ac:dyDescent="0.25">
      <c r="K249" s="7">
        <f t="shared" si="11"/>
        <v>0</v>
      </c>
      <c r="L249" s="5">
        <f t="shared" si="13"/>
        <v>0</v>
      </c>
      <c r="M249">
        <f t="shared" si="12"/>
        <v>0</v>
      </c>
    </row>
    <row r="250" spans="11:13" hidden="1" x14ac:dyDescent="0.25">
      <c r="K250" s="7">
        <f t="shared" si="11"/>
        <v>0</v>
      </c>
      <c r="L250" s="5">
        <f t="shared" si="13"/>
        <v>0</v>
      </c>
      <c r="M250">
        <f t="shared" si="12"/>
        <v>0</v>
      </c>
    </row>
    <row r="251" spans="11:13" hidden="1" x14ac:dyDescent="0.25">
      <c r="K251" s="7">
        <f t="shared" si="11"/>
        <v>0</v>
      </c>
      <c r="L251" s="5">
        <f t="shared" si="13"/>
        <v>0</v>
      </c>
      <c r="M251">
        <f t="shared" si="12"/>
        <v>0</v>
      </c>
    </row>
    <row r="252" spans="11:13" hidden="1" x14ac:dyDescent="0.25">
      <c r="K252" s="7">
        <f t="shared" si="11"/>
        <v>0</v>
      </c>
      <c r="L252" s="5">
        <f t="shared" si="13"/>
        <v>0</v>
      </c>
      <c r="M252">
        <f t="shared" si="12"/>
        <v>0</v>
      </c>
    </row>
    <row r="253" spans="11:13" hidden="1" x14ac:dyDescent="0.25">
      <c r="K253" s="7">
        <f t="shared" si="11"/>
        <v>0</v>
      </c>
      <c r="L253" s="5">
        <f t="shared" si="13"/>
        <v>0</v>
      </c>
      <c r="M253">
        <f t="shared" si="12"/>
        <v>0</v>
      </c>
    </row>
    <row r="254" spans="11:13" hidden="1" x14ac:dyDescent="0.25">
      <c r="K254" s="7">
        <f t="shared" si="11"/>
        <v>0</v>
      </c>
      <c r="L254" s="5">
        <f t="shared" si="13"/>
        <v>0</v>
      </c>
      <c r="M254">
        <f t="shared" si="12"/>
        <v>0</v>
      </c>
    </row>
    <row r="255" spans="11:13" hidden="1" x14ac:dyDescent="0.25">
      <c r="K255" s="7">
        <f t="shared" si="11"/>
        <v>0</v>
      </c>
      <c r="L255" s="5">
        <f t="shared" si="13"/>
        <v>0</v>
      </c>
      <c r="M255">
        <f t="shared" si="12"/>
        <v>0</v>
      </c>
    </row>
    <row r="256" spans="11:13" hidden="1" x14ac:dyDescent="0.25">
      <c r="K256" s="7">
        <f t="shared" si="11"/>
        <v>0</v>
      </c>
      <c r="L256" s="5">
        <f t="shared" si="13"/>
        <v>0</v>
      </c>
      <c r="M256">
        <f t="shared" si="12"/>
        <v>0</v>
      </c>
    </row>
    <row r="257" spans="11:13" hidden="1" x14ac:dyDescent="0.25">
      <c r="K257" s="7">
        <f t="shared" si="11"/>
        <v>0</v>
      </c>
      <c r="L257" s="5">
        <f t="shared" si="13"/>
        <v>0</v>
      </c>
      <c r="M257">
        <f t="shared" si="12"/>
        <v>0</v>
      </c>
    </row>
    <row r="258" spans="11:13" hidden="1" x14ac:dyDescent="0.25">
      <c r="K258" s="7">
        <f t="shared" si="11"/>
        <v>0</v>
      </c>
      <c r="L258" s="5">
        <f t="shared" si="13"/>
        <v>0</v>
      </c>
      <c r="M258">
        <f t="shared" si="12"/>
        <v>0</v>
      </c>
    </row>
    <row r="259" spans="11:13" hidden="1" x14ac:dyDescent="0.25">
      <c r="K259" s="7">
        <f t="shared" si="11"/>
        <v>0</v>
      </c>
      <c r="L259" s="5">
        <f t="shared" si="13"/>
        <v>0</v>
      </c>
      <c r="M259">
        <f t="shared" si="12"/>
        <v>0</v>
      </c>
    </row>
    <row r="260" spans="11:13" hidden="1" x14ac:dyDescent="0.25">
      <c r="K260" s="7">
        <f t="shared" si="11"/>
        <v>0</v>
      </c>
      <c r="L260" s="5">
        <f t="shared" si="13"/>
        <v>0</v>
      </c>
      <c r="M260">
        <f t="shared" si="12"/>
        <v>0</v>
      </c>
    </row>
    <row r="261" spans="11:13" hidden="1" x14ac:dyDescent="0.25">
      <c r="K261" s="7">
        <f t="shared" ref="K261:K324" si="14">SUM(F261:J261)</f>
        <v>0</v>
      </c>
      <c r="L261" s="5">
        <f t="shared" si="13"/>
        <v>0</v>
      </c>
      <c r="M261">
        <f t="shared" ref="M261:M324" si="15">SUM(K261*L261)</f>
        <v>0</v>
      </c>
    </row>
    <row r="262" spans="11:13" hidden="1" x14ac:dyDescent="0.25">
      <c r="K262" s="7">
        <f t="shared" si="14"/>
        <v>0</v>
      </c>
      <c r="L262" s="5">
        <f t="shared" ref="L262:L325" si="16">IF(D262="X",0,IF(E262="",0,IF(E262="X",0,VLOOKUP(E262,$F$539:$G$553,2))))</f>
        <v>0</v>
      </c>
      <c r="M262">
        <f t="shared" si="15"/>
        <v>0</v>
      </c>
    </row>
    <row r="263" spans="11:13" hidden="1" x14ac:dyDescent="0.25">
      <c r="K263" s="7">
        <f t="shared" si="14"/>
        <v>0</v>
      </c>
      <c r="L263" s="5">
        <f t="shared" si="16"/>
        <v>0</v>
      </c>
      <c r="M263">
        <f t="shared" si="15"/>
        <v>0</v>
      </c>
    </row>
    <row r="264" spans="11:13" hidden="1" x14ac:dyDescent="0.25">
      <c r="K264" s="7">
        <f t="shared" si="14"/>
        <v>0</v>
      </c>
      <c r="L264" s="5">
        <f t="shared" si="16"/>
        <v>0</v>
      </c>
      <c r="M264">
        <f t="shared" si="15"/>
        <v>0</v>
      </c>
    </row>
    <row r="265" spans="11:13" hidden="1" x14ac:dyDescent="0.25">
      <c r="K265" s="7">
        <f t="shared" si="14"/>
        <v>0</v>
      </c>
      <c r="L265" s="5">
        <f t="shared" si="16"/>
        <v>0</v>
      </c>
      <c r="M265">
        <f t="shared" si="15"/>
        <v>0</v>
      </c>
    </row>
    <row r="266" spans="11:13" hidden="1" x14ac:dyDescent="0.25">
      <c r="K266" s="7">
        <f t="shared" si="14"/>
        <v>0</v>
      </c>
      <c r="L266" s="5">
        <f t="shared" si="16"/>
        <v>0</v>
      </c>
      <c r="M266">
        <f t="shared" si="15"/>
        <v>0</v>
      </c>
    </row>
    <row r="267" spans="11:13" hidden="1" x14ac:dyDescent="0.25">
      <c r="K267" s="7">
        <f t="shared" si="14"/>
        <v>0</v>
      </c>
      <c r="L267" s="5">
        <f t="shared" si="16"/>
        <v>0</v>
      </c>
      <c r="M267">
        <f t="shared" si="15"/>
        <v>0</v>
      </c>
    </row>
    <row r="268" spans="11:13" hidden="1" x14ac:dyDescent="0.25">
      <c r="K268" s="7">
        <f t="shared" si="14"/>
        <v>0</v>
      </c>
      <c r="L268" s="5">
        <f t="shared" si="16"/>
        <v>0</v>
      </c>
      <c r="M268">
        <f t="shared" si="15"/>
        <v>0</v>
      </c>
    </row>
    <row r="269" spans="11:13" hidden="1" x14ac:dyDescent="0.25">
      <c r="K269" s="7">
        <f t="shared" si="14"/>
        <v>0</v>
      </c>
      <c r="L269" s="5">
        <f t="shared" si="16"/>
        <v>0</v>
      </c>
      <c r="M269">
        <f t="shared" si="15"/>
        <v>0</v>
      </c>
    </row>
    <row r="270" spans="11:13" hidden="1" x14ac:dyDescent="0.25">
      <c r="K270" s="7">
        <f t="shared" si="14"/>
        <v>0</v>
      </c>
      <c r="L270" s="5">
        <f t="shared" si="16"/>
        <v>0</v>
      </c>
      <c r="M270">
        <f t="shared" si="15"/>
        <v>0</v>
      </c>
    </row>
    <row r="271" spans="11:13" hidden="1" x14ac:dyDescent="0.25">
      <c r="K271" s="7">
        <f t="shared" si="14"/>
        <v>0</v>
      </c>
      <c r="L271" s="5">
        <f t="shared" si="16"/>
        <v>0</v>
      </c>
      <c r="M271">
        <f t="shared" si="15"/>
        <v>0</v>
      </c>
    </row>
    <row r="272" spans="11:13" hidden="1" x14ac:dyDescent="0.25">
      <c r="K272" s="7">
        <f t="shared" si="14"/>
        <v>0</v>
      </c>
      <c r="L272" s="5">
        <f t="shared" si="16"/>
        <v>0</v>
      </c>
      <c r="M272">
        <f t="shared" si="15"/>
        <v>0</v>
      </c>
    </row>
    <row r="273" spans="11:13" hidden="1" x14ac:dyDescent="0.25">
      <c r="K273" s="7">
        <f t="shared" si="14"/>
        <v>0</v>
      </c>
      <c r="L273" s="5">
        <f t="shared" si="16"/>
        <v>0</v>
      </c>
      <c r="M273">
        <f t="shared" si="15"/>
        <v>0</v>
      </c>
    </row>
    <row r="274" spans="11:13" hidden="1" x14ac:dyDescent="0.25">
      <c r="K274" s="7">
        <f t="shared" si="14"/>
        <v>0</v>
      </c>
      <c r="L274" s="5">
        <f t="shared" si="16"/>
        <v>0</v>
      </c>
      <c r="M274">
        <f t="shared" si="15"/>
        <v>0</v>
      </c>
    </row>
    <row r="275" spans="11:13" hidden="1" x14ac:dyDescent="0.25">
      <c r="K275" s="7">
        <f t="shared" si="14"/>
        <v>0</v>
      </c>
      <c r="L275" s="5">
        <f t="shared" si="16"/>
        <v>0</v>
      </c>
      <c r="M275">
        <f t="shared" si="15"/>
        <v>0</v>
      </c>
    </row>
    <row r="276" spans="11:13" hidden="1" x14ac:dyDescent="0.25">
      <c r="K276" s="7">
        <f t="shared" si="14"/>
        <v>0</v>
      </c>
      <c r="L276" s="5">
        <f t="shared" si="16"/>
        <v>0</v>
      </c>
      <c r="M276">
        <f t="shared" si="15"/>
        <v>0</v>
      </c>
    </row>
    <row r="277" spans="11:13" hidden="1" x14ac:dyDescent="0.25">
      <c r="K277" s="7">
        <f t="shared" si="14"/>
        <v>0</v>
      </c>
      <c r="L277" s="5">
        <f t="shared" si="16"/>
        <v>0</v>
      </c>
      <c r="M277">
        <f t="shared" si="15"/>
        <v>0</v>
      </c>
    </row>
    <row r="278" spans="11:13" hidden="1" x14ac:dyDescent="0.25">
      <c r="K278" s="7">
        <f t="shared" si="14"/>
        <v>0</v>
      </c>
      <c r="L278" s="5">
        <f t="shared" si="16"/>
        <v>0</v>
      </c>
      <c r="M278">
        <f t="shared" si="15"/>
        <v>0</v>
      </c>
    </row>
    <row r="279" spans="11:13" hidden="1" x14ac:dyDescent="0.25">
      <c r="K279" s="7">
        <f t="shared" si="14"/>
        <v>0</v>
      </c>
      <c r="L279" s="5">
        <f t="shared" si="16"/>
        <v>0</v>
      </c>
      <c r="M279">
        <f t="shared" si="15"/>
        <v>0</v>
      </c>
    </row>
    <row r="280" spans="11:13" hidden="1" x14ac:dyDescent="0.25">
      <c r="K280" s="7">
        <f t="shared" si="14"/>
        <v>0</v>
      </c>
      <c r="L280" s="5">
        <f t="shared" si="16"/>
        <v>0</v>
      </c>
      <c r="M280">
        <f t="shared" si="15"/>
        <v>0</v>
      </c>
    </row>
    <row r="281" spans="11:13" hidden="1" x14ac:dyDescent="0.25">
      <c r="K281" s="7">
        <f t="shared" si="14"/>
        <v>0</v>
      </c>
      <c r="L281" s="5">
        <f t="shared" si="16"/>
        <v>0</v>
      </c>
      <c r="M281">
        <f t="shared" si="15"/>
        <v>0</v>
      </c>
    </row>
    <row r="282" spans="11:13" hidden="1" x14ac:dyDescent="0.25">
      <c r="K282" s="7">
        <f t="shared" si="14"/>
        <v>0</v>
      </c>
      <c r="L282" s="5">
        <f t="shared" si="16"/>
        <v>0</v>
      </c>
      <c r="M282">
        <f t="shared" si="15"/>
        <v>0</v>
      </c>
    </row>
    <row r="283" spans="11:13" hidden="1" x14ac:dyDescent="0.25">
      <c r="K283" s="7">
        <f t="shared" si="14"/>
        <v>0</v>
      </c>
      <c r="L283" s="5">
        <f t="shared" si="16"/>
        <v>0</v>
      </c>
      <c r="M283">
        <f t="shared" si="15"/>
        <v>0</v>
      </c>
    </row>
    <row r="284" spans="11:13" hidden="1" x14ac:dyDescent="0.25">
      <c r="K284" s="7">
        <f t="shared" si="14"/>
        <v>0</v>
      </c>
      <c r="L284" s="5">
        <f t="shared" si="16"/>
        <v>0</v>
      </c>
      <c r="M284">
        <f t="shared" si="15"/>
        <v>0</v>
      </c>
    </row>
    <row r="285" spans="11:13" hidden="1" x14ac:dyDescent="0.25">
      <c r="K285" s="7">
        <f t="shared" si="14"/>
        <v>0</v>
      </c>
      <c r="L285" s="5">
        <f t="shared" si="16"/>
        <v>0</v>
      </c>
      <c r="M285">
        <f t="shared" si="15"/>
        <v>0</v>
      </c>
    </row>
    <row r="286" spans="11:13" hidden="1" x14ac:dyDescent="0.25">
      <c r="K286" s="7">
        <f t="shared" si="14"/>
        <v>0</v>
      </c>
      <c r="L286" s="5">
        <f t="shared" si="16"/>
        <v>0</v>
      </c>
      <c r="M286">
        <f t="shared" si="15"/>
        <v>0</v>
      </c>
    </row>
    <row r="287" spans="11:13" hidden="1" x14ac:dyDescent="0.25">
      <c r="K287" s="7">
        <f t="shared" si="14"/>
        <v>0</v>
      </c>
      <c r="L287" s="5">
        <f t="shared" si="16"/>
        <v>0</v>
      </c>
      <c r="M287">
        <f t="shared" si="15"/>
        <v>0</v>
      </c>
    </row>
    <row r="288" spans="11:13" hidden="1" x14ac:dyDescent="0.25">
      <c r="K288" s="7">
        <f t="shared" si="14"/>
        <v>0</v>
      </c>
      <c r="L288" s="5">
        <f t="shared" si="16"/>
        <v>0</v>
      </c>
      <c r="M288">
        <f t="shared" si="15"/>
        <v>0</v>
      </c>
    </row>
    <row r="289" spans="11:13" hidden="1" x14ac:dyDescent="0.25">
      <c r="K289" s="7">
        <f t="shared" si="14"/>
        <v>0</v>
      </c>
      <c r="L289" s="5">
        <f t="shared" si="16"/>
        <v>0</v>
      </c>
      <c r="M289">
        <f t="shared" si="15"/>
        <v>0</v>
      </c>
    </row>
    <row r="290" spans="11:13" hidden="1" x14ac:dyDescent="0.25">
      <c r="K290" s="7">
        <f t="shared" si="14"/>
        <v>0</v>
      </c>
      <c r="L290" s="5">
        <f t="shared" si="16"/>
        <v>0</v>
      </c>
      <c r="M290">
        <f t="shared" si="15"/>
        <v>0</v>
      </c>
    </row>
    <row r="291" spans="11:13" hidden="1" x14ac:dyDescent="0.25">
      <c r="K291" s="7">
        <f t="shared" si="14"/>
        <v>0</v>
      </c>
      <c r="L291" s="5">
        <f t="shared" si="16"/>
        <v>0</v>
      </c>
      <c r="M291">
        <f t="shared" si="15"/>
        <v>0</v>
      </c>
    </row>
    <row r="292" spans="11:13" hidden="1" x14ac:dyDescent="0.25">
      <c r="K292" s="7">
        <f t="shared" si="14"/>
        <v>0</v>
      </c>
      <c r="L292" s="5">
        <f t="shared" si="16"/>
        <v>0</v>
      </c>
      <c r="M292">
        <f t="shared" si="15"/>
        <v>0</v>
      </c>
    </row>
    <row r="293" spans="11:13" hidden="1" x14ac:dyDescent="0.25">
      <c r="K293" s="7">
        <f t="shared" si="14"/>
        <v>0</v>
      </c>
      <c r="L293" s="5">
        <f t="shared" si="16"/>
        <v>0</v>
      </c>
      <c r="M293">
        <f t="shared" si="15"/>
        <v>0</v>
      </c>
    </row>
    <row r="294" spans="11:13" hidden="1" x14ac:dyDescent="0.25">
      <c r="K294" s="7">
        <f t="shared" si="14"/>
        <v>0</v>
      </c>
      <c r="L294" s="5">
        <f t="shared" si="16"/>
        <v>0</v>
      </c>
      <c r="M294">
        <f t="shared" si="15"/>
        <v>0</v>
      </c>
    </row>
    <row r="295" spans="11:13" hidden="1" x14ac:dyDescent="0.25">
      <c r="K295" s="7">
        <f t="shared" si="14"/>
        <v>0</v>
      </c>
      <c r="L295" s="5">
        <f t="shared" si="16"/>
        <v>0</v>
      </c>
      <c r="M295">
        <f t="shared" si="15"/>
        <v>0</v>
      </c>
    </row>
    <row r="296" spans="11:13" hidden="1" x14ac:dyDescent="0.25">
      <c r="K296" s="7">
        <f t="shared" si="14"/>
        <v>0</v>
      </c>
      <c r="L296" s="5">
        <f t="shared" si="16"/>
        <v>0</v>
      </c>
      <c r="M296">
        <f t="shared" si="15"/>
        <v>0</v>
      </c>
    </row>
    <row r="297" spans="11:13" hidden="1" x14ac:dyDescent="0.25">
      <c r="K297" s="7">
        <f t="shared" si="14"/>
        <v>0</v>
      </c>
      <c r="L297" s="5">
        <f t="shared" si="16"/>
        <v>0</v>
      </c>
      <c r="M297">
        <f t="shared" si="15"/>
        <v>0</v>
      </c>
    </row>
    <row r="298" spans="11:13" hidden="1" x14ac:dyDescent="0.25">
      <c r="K298" s="7">
        <f t="shared" si="14"/>
        <v>0</v>
      </c>
      <c r="L298" s="5">
        <f t="shared" si="16"/>
        <v>0</v>
      </c>
      <c r="M298">
        <f t="shared" si="15"/>
        <v>0</v>
      </c>
    </row>
    <row r="299" spans="11:13" hidden="1" x14ac:dyDescent="0.25">
      <c r="K299" s="7">
        <f t="shared" si="14"/>
        <v>0</v>
      </c>
      <c r="L299" s="5">
        <f t="shared" si="16"/>
        <v>0</v>
      </c>
      <c r="M299">
        <f t="shared" si="15"/>
        <v>0</v>
      </c>
    </row>
    <row r="300" spans="11:13" hidden="1" x14ac:dyDescent="0.25">
      <c r="K300" s="7">
        <f t="shared" si="14"/>
        <v>0</v>
      </c>
      <c r="L300" s="5">
        <f t="shared" si="16"/>
        <v>0</v>
      </c>
      <c r="M300">
        <f t="shared" si="15"/>
        <v>0</v>
      </c>
    </row>
    <row r="301" spans="11:13" hidden="1" x14ac:dyDescent="0.25">
      <c r="K301" s="7">
        <f t="shared" si="14"/>
        <v>0</v>
      </c>
      <c r="L301" s="5">
        <f t="shared" si="16"/>
        <v>0</v>
      </c>
      <c r="M301">
        <f t="shared" si="15"/>
        <v>0</v>
      </c>
    </row>
    <row r="302" spans="11:13" hidden="1" x14ac:dyDescent="0.25">
      <c r="K302" s="7">
        <f t="shared" si="14"/>
        <v>0</v>
      </c>
      <c r="L302" s="5">
        <f t="shared" si="16"/>
        <v>0</v>
      </c>
      <c r="M302">
        <f t="shared" si="15"/>
        <v>0</v>
      </c>
    </row>
    <row r="303" spans="11:13" hidden="1" x14ac:dyDescent="0.25">
      <c r="K303" s="7">
        <f t="shared" si="14"/>
        <v>0</v>
      </c>
      <c r="L303" s="5">
        <f t="shared" si="16"/>
        <v>0</v>
      </c>
      <c r="M303">
        <f t="shared" si="15"/>
        <v>0</v>
      </c>
    </row>
    <row r="304" spans="11:13" hidden="1" x14ac:dyDescent="0.25">
      <c r="K304" s="7">
        <f t="shared" si="14"/>
        <v>0</v>
      </c>
      <c r="L304" s="5">
        <f t="shared" si="16"/>
        <v>0</v>
      </c>
      <c r="M304">
        <f t="shared" si="15"/>
        <v>0</v>
      </c>
    </row>
    <row r="305" spans="11:13" hidden="1" x14ac:dyDescent="0.25">
      <c r="K305" s="7">
        <f t="shared" si="14"/>
        <v>0</v>
      </c>
      <c r="L305" s="5">
        <f t="shared" si="16"/>
        <v>0</v>
      </c>
      <c r="M305">
        <f t="shared" si="15"/>
        <v>0</v>
      </c>
    </row>
    <row r="306" spans="11:13" hidden="1" x14ac:dyDescent="0.25">
      <c r="K306" s="7">
        <f t="shared" si="14"/>
        <v>0</v>
      </c>
      <c r="L306" s="5">
        <f t="shared" si="16"/>
        <v>0</v>
      </c>
      <c r="M306">
        <f t="shared" si="15"/>
        <v>0</v>
      </c>
    </row>
    <row r="307" spans="11:13" hidden="1" x14ac:dyDescent="0.25">
      <c r="K307" s="7">
        <f t="shared" si="14"/>
        <v>0</v>
      </c>
      <c r="L307" s="5">
        <f t="shared" si="16"/>
        <v>0</v>
      </c>
      <c r="M307">
        <f t="shared" si="15"/>
        <v>0</v>
      </c>
    </row>
    <row r="308" spans="11:13" hidden="1" x14ac:dyDescent="0.25">
      <c r="K308" s="7">
        <f t="shared" si="14"/>
        <v>0</v>
      </c>
      <c r="L308" s="5">
        <f t="shared" si="16"/>
        <v>0</v>
      </c>
      <c r="M308">
        <f t="shared" si="15"/>
        <v>0</v>
      </c>
    </row>
    <row r="309" spans="11:13" hidden="1" x14ac:dyDescent="0.25">
      <c r="K309" s="7">
        <f t="shared" si="14"/>
        <v>0</v>
      </c>
      <c r="L309" s="5">
        <f t="shared" si="16"/>
        <v>0</v>
      </c>
      <c r="M309">
        <f t="shared" si="15"/>
        <v>0</v>
      </c>
    </row>
    <row r="310" spans="11:13" hidden="1" x14ac:dyDescent="0.25">
      <c r="K310" s="7">
        <f t="shared" si="14"/>
        <v>0</v>
      </c>
      <c r="L310" s="5">
        <f t="shared" si="16"/>
        <v>0</v>
      </c>
      <c r="M310">
        <f t="shared" si="15"/>
        <v>0</v>
      </c>
    </row>
    <row r="311" spans="11:13" hidden="1" x14ac:dyDescent="0.25">
      <c r="K311" s="7">
        <f t="shared" si="14"/>
        <v>0</v>
      </c>
      <c r="L311" s="5">
        <f t="shared" si="16"/>
        <v>0</v>
      </c>
      <c r="M311">
        <f t="shared" si="15"/>
        <v>0</v>
      </c>
    </row>
    <row r="312" spans="11:13" hidden="1" x14ac:dyDescent="0.25">
      <c r="K312" s="7">
        <f t="shared" si="14"/>
        <v>0</v>
      </c>
      <c r="L312" s="5">
        <f t="shared" si="16"/>
        <v>0</v>
      </c>
      <c r="M312">
        <f t="shared" si="15"/>
        <v>0</v>
      </c>
    </row>
    <row r="313" spans="11:13" hidden="1" x14ac:dyDescent="0.25">
      <c r="K313" s="7">
        <f t="shared" si="14"/>
        <v>0</v>
      </c>
      <c r="L313" s="5">
        <f t="shared" si="16"/>
        <v>0</v>
      </c>
      <c r="M313">
        <f t="shared" si="15"/>
        <v>0</v>
      </c>
    </row>
    <row r="314" spans="11:13" hidden="1" x14ac:dyDescent="0.25">
      <c r="K314" s="7">
        <f t="shared" si="14"/>
        <v>0</v>
      </c>
      <c r="L314" s="5">
        <f t="shared" si="16"/>
        <v>0</v>
      </c>
      <c r="M314">
        <f t="shared" si="15"/>
        <v>0</v>
      </c>
    </row>
    <row r="315" spans="11:13" hidden="1" x14ac:dyDescent="0.25">
      <c r="K315" s="7">
        <f t="shared" si="14"/>
        <v>0</v>
      </c>
      <c r="L315" s="5">
        <f t="shared" si="16"/>
        <v>0</v>
      </c>
      <c r="M315">
        <f t="shared" si="15"/>
        <v>0</v>
      </c>
    </row>
    <row r="316" spans="11:13" hidden="1" x14ac:dyDescent="0.25">
      <c r="K316" s="7">
        <f t="shared" si="14"/>
        <v>0</v>
      </c>
      <c r="L316" s="5">
        <f t="shared" si="16"/>
        <v>0</v>
      </c>
      <c r="M316">
        <f t="shared" si="15"/>
        <v>0</v>
      </c>
    </row>
    <row r="317" spans="11:13" hidden="1" x14ac:dyDescent="0.25">
      <c r="K317" s="7">
        <f t="shared" si="14"/>
        <v>0</v>
      </c>
      <c r="L317" s="5">
        <f t="shared" si="16"/>
        <v>0</v>
      </c>
      <c r="M317">
        <f t="shared" si="15"/>
        <v>0</v>
      </c>
    </row>
    <row r="318" spans="11:13" hidden="1" x14ac:dyDescent="0.25">
      <c r="K318" s="7">
        <f t="shared" si="14"/>
        <v>0</v>
      </c>
      <c r="L318" s="5">
        <f t="shared" si="16"/>
        <v>0</v>
      </c>
      <c r="M318">
        <f t="shared" si="15"/>
        <v>0</v>
      </c>
    </row>
    <row r="319" spans="11:13" hidden="1" x14ac:dyDescent="0.25">
      <c r="K319" s="7">
        <f t="shared" si="14"/>
        <v>0</v>
      </c>
      <c r="L319" s="5">
        <f t="shared" si="16"/>
        <v>0</v>
      </c>
      <c r="M319">
        <f t="shared" si="15"/>
        <v>0</v>
      </c>
    </row>
    <row r="320" spans="11:13" hidden="1" x14ac:dyDescent="0.25">
      <c r="K320" s="7">
        <f t="shared" si="14"/>
        <v>0</v>
      </c>
      <c r="L320" s="5">
        <f t="shared" si="16"/>
        <v>0</v>
      </c>
      <c r="M320">
        <f t="shared" si="15"/>
        <v>0</v>
      </c>
    </row>
    <row r="321" spans="11:13" hidden="1" x14ac:dyDescent="0.25">
      <c r="K321" s="7">
        <f t="shared" si="14"/>
        <v>0</v>
      </c>
      <c r="L321" s="5">
        <f t="shared" si="16"/>
        <v>0</v>
      </c>
      <c r="M321">
        <f t="shared" si="15"/>
        <v>0</v>
      </c>
    </row>
    <row r="322" spans="11:13" hidden="1" x14ac:dyDescent="0.25">
      <c r="K322" s="7">
        <f t="shared" si="14"/>
        <v>0</v>
      </c>
      <c r="L322" s="5">
        <f t="shared" si="16"/>
        <v>0</v>
      </c>
      <c r="M322">
        <f t="shared" si="15"/>
        <v>0</v>
      </c>
    </row>
    <row r="323" spans="11:13" hidden="1" x14ac:dyDescent="0.25">
      <c r="K323" s="7">
        <f t="shared" si="14"/>
        <v>0</v>
      </c>
      <c r="L323" s="5">
        <f t="shared" si="16"/>
        <v>0</v>
      </c>
      <c r="M323">
        <f t="shared" si="15"/>
        <v>0</v>
      </c>
    </row>
    <row r="324" spans="11:13" hidden="1" x14ac:dyDescent="0.25">
      <c r="K324" s="7">
        <f t="shared" si="14"/>
        <v>0</v>
      </c>
      <c r="L324" s="5">
        <f t="shared" si="16"/>
        <v>0</v>
      </c>
      <c r="M324">
        <f t="shared" si="15"/>
        <v>0</v>
      </c>
    </row>
    <row r="325" spans="11:13" hidden="1" x14ac:dyDescent="0.25">
      <c r="K325" s="7">
        <f t="shared" ref="K325:K388" si="17">SUM(F325:J325)</f>
        <v>0</v>
      </c>
      <c r="L325" s="5">
        <f t="shared" si="16"/>
        <v>0</v>
      </c>
      <c r="M325">
        <f t="shared" ref="M325:M388" si="18">SUM(K325*L325)</f>
        <v>0</v>
      </c>
    </row>
    <row r="326" spans="11:13" hidden="1" x14ac:dyDescent="0.25">
      <c r="K326" s="7">
        <f t="shared" si="17"/>
        <v>0</v>
      </c>
      <c r="L326" s="5">
        <f t="shared" ref="L326:L389" si="19">IF(D326="X",0,IF(E326="",0,IF(E326="X",0,VLOOKUP(E326,$F$539:$G$553,2))))</f>
        <v>0</v>
      </c>
      <c r="M326">
        <f t="shared" si="18"/>
        <v>0</v>
      </c>
    </row>
    <row r="327" spans="11:13" hidden="1" x14ac:dyDescent="0.25">
      <c r="K327" s="7">
        <f t="shared" si="17"/>
        <v>0</v>
      </c>
      <c r="L327" s="5">
        <f t="shared" si="19"/>
        <v>0</v>
      </c>
      <c r="M327">
        <f t="shared" si="18"/>
        <v>0</v>
      </c>
    </row>
    <row r="328" spans="11:13" hidden="1" x14ac:dyDescent="0.25">
      <c r="K328" s="7">
        <f t="shared" si="17"/>
        <v>0</v>
      </c>
      <c r="L328" s="5">
        <f t="shared" si="19"/>
        <v>0</v>
      </c>
      <c r="M328">
        <f t="shared" si="18"/>
        <v>0</v>
      </c>
    </row>
    <row r="329" spans="11:13" hidden="1" x14ac:dyDescent="0.25">
      <c r="K329" s="7">
        <f t="shared" si="17"/>
        <v>0</v>
      </c>
      <c r="L329" s="5">
        <f t="shared" si="19"/>
        <v>0</v>
      </c>
      <c r="M329">
        <f t="shared" si="18"/>
        <v>0</v>
      </c>
    </row>
    <row r="330" spans="11:13" hidden="1" x14ac:dyDescent="0.25">
      <c r="K330" s="7">
        <f t="shared" si="17"/>
        <v>0</v>
      </c>
      <c r="L330" s="5">
        <f t="shared" si="19"/>
        <v>0</v>
      </c>
      <c r="M330">
        <f t="shared" si="18"/>
        <v>0</v>
      </c>
    </row>
    <row r="331" spans="11:13" hidden="1" x14ac:dyDescent="0.25">
      <c r="K331" s="7">
        <f t="shared" si="17"/>
        <v>0</v>
      </c>
      <c r="L331" s="5">
        <f t="shared" si="19"/>
        <v>0</v>
      </c>
      <c r="M331">
        <f t="shared" si="18"/>
        <v>0</v>
      </c>
    </row>
    <row r="332" spans="11:13" hidden="1" x14ac:dyDescent="0.25">
      <c r="K332" s="7">
        <f t="shared" si="17"/>
        <v>0</v>
      </c>
      <c r="L332" s="5">
        <f t="shared" si="19"/>
        <v>0</v>
      </c>
      <c r="M332">
        <f t="shared" si="18"/>
        <v>0</v>
      </c>
    </row>
    <row r="333" spans="11:13" hidden="1" x14ac:dyDescent="0.25">
      <c r="K333" s="7">
        <f t="shared" si="17"/>
        <v>0</v>
      </c>
      <c r="L333" s="5">
        <f t="shared" si="19"/>
        <v>0</v>
      </c>
      <c r="M333">
        <f t="shared" si="18"/>
        <v>0</v>
      </c>
    </row>
    <row r="334" spans="11:13" hidden="1" x14ac:dyDescent="0.25">
      <c r="K334" s="7">
        <f t="shared" si="17"/>
        <v>0</v>
      </c>
      <c r="L334" s="5">
        <f t="shared" si="19"/>
        <v>0</v>
      </c>
      <c r="M334">
        <f t="shared" si="18"/>
        <v>0</v>
      </c>
    </row>
    <row r="335" spans="11:13" hidden="1" x14ac:dyDescent="0.25">
      <c r="K335" s="7">
        <f t="shared" si="17"/>
        <v>0</v>
      </c>
      <c r="L335" s="5">
        <f t="shared" si="19"/>
        <v>0</v>
      </c>
      <c r="M335">
        <f t="shared" si="18"/>
        <v>0</v>
      </c>
    </row>
    <row r="336" spans="11:13" hidden="1" x14ac:dyDescent="0.25">
      <c r="K336" s="7">
        <f t="shared" si="17"/>
        <v>0</v>
      </c>
      <c r="L336" s="5">
        <f t="shared" si="19"/>
        <v>0</v>
      </c>
      <c r="M336">
        <f t="shared" si="18"/>
        <v>0</v>
      </c>
    </row>
    <row r="337" spans="11:13" hidden="1" x14ac:dyDescent="0.25">
      <c r="K337" s="7">
        <f t="shared" si="17"/>
        <v>0</v>
      </c>
      <c r="L337" s="5">
        <f t="shared" si="19"/>
        <v>0</v>
      </c>
      <c r="M337">
        <f t="shared" si="18"/>
        <v>0</v>
      </c>
    </row>
    <row r="338" spans="11:13" hidden="1" x14ac:dyDescent="0.25">
      <c r="K338" s="7">
        <f t="shared" si="17"/>
        <v>0</v>
      </c>
      <c r="L338" s="5">
        <f t="shared" si="19"/>
        <v>0</v>
      </c>
      <c r="M338">
        <f t="shared" si="18"/>
        <v>0</v>
      </c>
    </row>
    <row r="339" spans="11:13" hidden="1" x14ac:dyDescent="0.25">
      <c r="K339" s="7">
        <f t="shared" si="17"/>
        <v>0</v>
      </c>
      <c r="L339" s="5">
        <f t="shared" si="19"/>
        <v>0</v>
      </c>
      <c r="M339">
        <f t="shared" si="18"/>
        <v>0</v>
      </c>
    </row>
    <row r="340" spans="11:13" hidden="1" x14ac:dyDescent="0.25">
      <c r="K340" s="7">
        <f t="shared" si="17"/>
        <v>0</v>
      </c>
      <c r="L340" s="5">
        <f t="shared" si="19"/>
        <v>0</v>
      </c>
      <c r="M340">
        <f t="shared" si="18"/>
        <v>0</v>
      </c>
    </row>
    <row r="341" spans="11:13" hidden="1" x14ac:dyDescent="0.25">
      <c r="K341" s="7">
        <f t="shared" si="17"/>
        <v>0</v>
      </c>
      <c r="L341" s="5">
        <f t="shared" si="19"/>
        <v>0</v>
      </c>
      <c r="M341">
        <f t="shared" si="18"/>
        <v>0</v>
      </c>
    </row>
    <row r="342" spans="11:13" hidden="1" x14ac:dyDescent="0.25">
      <c r="K342" s="7">
        <f t="shared" si="17"/>
        <v>0</v>
      </c>
      <c r="L342" s="5">
        <f t="shared" si="19"/>
        <v>0</v>
      </c>
      <c r="M342">
        <f t="shared" si="18"/>
        <v>0</v>
      </c>
    </row>
    <row r="343" spans="11:13" hidden="1" x14ac:dyDescent="0.25">
      <c r="K343" s="7">
        <f t="shared" si="17"/>
        <v>0</v>
      </c>
      <c r="L343" s="5">
        <f t="shared" si="19"/>
        <v>0</v>
      </c>
      <c r="M343">
        <f t="shared" si="18"/>
        <v>0</v>
      </c>
    </row>
    <row r="344" spans="11:13" hidden="1" x14ac:dyDescent="0.25">
      <c r="K344" s="7">
        <f t="shared" si="17"/>
        <v>0</v>
      </c>
      <c r="L344" s="5">
        <f t="shared" si="19"/>
        <v>0</v>
      </c>
      <c r="M344">
        <f t="shared" si="18"/>
        <v>0</v>
      </c>
    </row>
    <row r="345" spans="11:13" hidden="1" x14ac:dyDescent="0.25">
      <c r="K345" s="7">
        <f t="shared" si="17"/>
        <v>0</v>
      </c>
      <c r="L345" s="5">
        <f t="shared" si="19"/>
        <v>0</v>
      </c>
      <c r="M345">
        <f t="shared" si="18"/>
        <v>0</v>
      </c>
    </row>
    <row r="346" spans="11:13" hidden="1" x14ac:dyDescent="0.25">
      <c r="K346" s="7">
        <f t="shared" si="17"/>
        <v>0</v>
      </c>
      <c r="L346" s="5">
        <f t="shared" si="19"/>
        <v>0</v>
      </c>
      <c r="M346">
        <f t="shared" si="18"/>
        <v>0</v>
      </c>
    </row>
    <row r="347" spans="11:13" hidden="1" x14ac:dyDescent="0.25">
      <c r="K347" s="7">
        <f t="shared" si="17"/>
        <v>0</v>
      </c>
      <c r="L347" s="5">
        <f t="shared" si="19"/>
        <v>0</v>
      </c>
      <c r="M347">
        <f t="shared" si="18"/>
        <v>0</v>
      </c>
    </row>
    <row r="348" spans="11:13" hidden="1" x14ac:dyDescent="0.25">
      <c r="K348" s="7">
        <f t="shared" si="17"/>
        <v>0</v>
      </c>
      <c r="L348" s="5">
        <f t="shared" si="19"/>
        <v>0</v>
      </c>
      <c r="M348">
        <f t="shared" si="18"/>
        <v>0</v>
      </c>
    </row>
    <row r="349" spans="11:13" hidden="1" x14ac:dyDescent="0.25">
      <c r="K349" s="7">
        <f t="shared" si="17"/>
        <v>0</v>
      </c>
      <c r="L349" s="5">
        <f t="shared" si="19"/>
        <v>0</v>
      </c>
      <c r="M349">
        <f t="shared" si="18"/>
        <v>0</v>
      </c>
    </row>
    <row r="350" spans="11:13" hidden="1" x14ac:dyDescent="0.25">
      <c r="K350" s="7">
        <f t="shared" si="17"/>
        <v>0</v>
      </c>
      <c r="L350" s="5">
        <f t="shared" si="19"/>
        <v>0</v>
      </c>
      <c r="M350">
        <f t="shared" si="18"/>
        <v>0</v>
      </c>
    </row>
    <row r="351" spans="11:13" hidden="1" x14ac:dyDescent="0.25">
      <c r="K351" s="7">
        <f t="shared" si="17"/>
        <v>0</v>
      </c>
      <c r="L351" s="5">
        <f t="shared" si="19"/>
        <v>0</v>
      </c>
      <c r="M351">
        <f t="shared" si="18"/>
        <v>0</v>
      </c>
    </row>
    <row r="352" spans="11:13" hidden="1" x14ac:dyDescent="0.25">
      <c r="K352" s="7">
        <f t="shared" si="17"/>
        <v>0</v>
      </c>
      <c r="L352" s="5">
        <f t="shared" si="19"/>
        <v>0</v>
      </c>
      <c r="M352">
        <f t="shared" si="18"/>
        <v>0</v>
      </c>
    </row>
    <row r="353" spans="11:13" hidden="1" x14ac:dyDescent="0.25">
      <c r="K353" s="7">
        <f t="shared" si="17"/>
        <v>0</v>
      </c>
      <c r="L353" s="5">
        <f t="shared" si="19"/>
        <v>0</v>
      </c>
      <c r="M353">
        <f t="shared" si="18"/>
        <v>0</v>
      </c>
    </row>
    <row r="354" spans="11:13" hidden="1" x14ac:dyDescent="0.25">
      <c r="K354" s="7">
        <f t="shared" si="17"/>
        <v>0</v>
      </c>
      <c r="L354" s="5">
        <f t="shared" si="19"/>
        <v>0</v>
      </c>
      <c r="M354">
        <f t="shared" si="18"/>
        <v>0</v>
      </c>
    </row>
    <row r="355" spans="11:13" hidden="1" x14ac:dyDescent="0.25">
      <c r="K355" s="7">
        <f t="shared" si="17"/>
        <v>0</v>
      </c>
      <c r="L355" s="5">
        <f t="shared" si="19"/>
        <v>0</v>
      </c>
      <c r="M355">
        <f t="shared" si="18"/>
        <v>0</v>
      </c>
    </row>
    <row r="356" spans="11:13" hidden="1" x14ac:dyDescent="0.25">
      <c r="K356" s="7">
        <f t="shared" si="17"/>
        <v>0</v>
      </c>
      <c r="L356" s="5">
        <f t="shared" si="19"/>
        <v>0</v>
      </c>
      <c r="M356">
        <f t="shared" si="18"/>
        <v>0</v>
      </c>
    </row>
    <row r="357" spans="11:13" hidden="1" x14ac:dyDescent="0.25">
      <c r="K357" s="7">
        <f t="shared" si="17"/>
        <v>0</v>
      </c>
      <c r="L357" s="5">
        <f t="shared" si="19"/>
        <v>0</v>
      </c>
      <c r="M357">
        <f t="shared" si="18"/>
        <v>0</v>
      </c>
    </row>
    <row r="358" spans="11:13" hidden="1" x14ac:dyDescent="0.25">
      <c r="K358" s="7">
        <f t="shared" si="17"/>
        <v>0</v>
      </c>
      <c r="L358" s="5">
        <f t="shared" si="19"/>
        <v>0</v>
      </c>
      <c r="M358">
        <f t="shared" si="18"/>
        <v>0</v>
      </c>
    </row>
    <row r="359" spans="11:13" hidden="1" x14ac:dyDescent="0.25">
      <c r="K359" s="7">
        <f t="shared" si="17"/>
        <v>0</v>
      </c>
      <c r="L359" s="5">
        <f t="shared" si="19"/>
        <v>0</v>
      </c>
      <c r="M359">
        <f t="shared" si="18"/>
        <v>0</v>
      </c>
    </row>
    <row r="360" spans="11:13" hidden="1" x14ac:dyDescent="0.25">
      <c r="K360" s="7">
        <f t="shared" si="17"/>
        <v>0</v>
      </c>
      <c r="L360" s="5">
        <f t="shared" si="19"/>
        <v>0</v>
      </c>
      <c r="M360">
        <f t="shared" si="18"/>
        <v>0</v>
      </c>
    </row>
    <row r="361" spans="11:13" hidden="1" x14ac:dyDescent="0.25">
      <c r="K361" s="7">
        <f t="shared" si="17"/>
        <v>0</v>
      </c>
      <c r="L361" s="5">
        <f t="shared" si="19"/>
        <v>0</v>
      </c>
      <c r="M361">
        <f t="shared" si="18"/>
        <v>0</v>
      </c>
    </row>
    <row r="362" spans="11:13" hidden="1" x14ac:dyDescent="0.25">
      <c r="K362" s="7">
        <f t="shared" si="17"/>
        <v>0</v>
      </c>
      <c r="L362" s="5">
        <f t="shared" si="19"/>
        <v>0</v>
      </c>
      <c r="M362">
        <f t="shared" si="18"/>
        <v>0</v>
      </c>
    </row>
    <row r="363" spans="11:13" hidden="1" x14ac:dyDescent="0.25">
      <c r="K363" s="7">
        <f t="shared" si="17"/>
        <v>0</v>
      </c>
      <c r="L363" s="5">
        <f t="shared" si="19"/>
        <v>0</v>
      </c>
      <c r="M363">
        <f t="shared" si="18"/>
        <v>0</v>
      </c>
    </row>
    <row r="364" spans="11:13" hidden="1" x14ac:dyDescent="0.25">
      <c r="K364" s="7">
        <f t="shared" si="17"/>
        <v>0</v>
      </c>
      <c r="L364" s="5">
        <f t="shared" si="19"/>
        <v>0</v>
      </c>
      <c r="M364">
        <f t="shared" si="18"/>
        <v>0</v>
      </c>
    </row>
    <row r="365" spans="11:13" hidden="1" x14ac:dyDescent="0.25">
      <c r="K365" s="7">
        <f t="shared" si="17"/>
        <v>0</v>
      </c>
      <c r="L365" s="5">
        <f t="shared" si="19"/>
        <v>0</v>
      </c>
      <c r="M365">
        <f t="shared" si="18"/>
        <v>0</v>
      </c>
    </row>
    <row r="366" spans="11:13" hidden="1" x14ac:dyDescent="0.25">
      <c r="K366" s="7">
        <f t="shared" si="17"/>
        <v>0</v>
      </c>
      <c r="L366" s="5">
        <f t="shared" si="19"/>
        <v>0</v>
      </c>
      <c r="M366">
        <f t="shared" si="18"/>
        <v>0</v>
      </c>
    </row>
    <row r="367" spans="11:13" hidden="1" x14ac:dyDescent="0.25">
      <c r="K367" s="7">
        <f t="shared" si="17"/>
        <v>0</v>
      </c>
      <c r="L367" s="5">
        <f t="shared" si="19"/>
        <v>0</v>
      </c>
      <c r="M367">
        <f t="shared" si="18"/>
        <v>0</v>
      </c>
    </row>
    <row r="368" spans="11:13" hidden="1" x14ac:dyDescent="0.25">
      <c r="K368" s="7">
        <f t="shared" si="17"/>
        <v>0</v>
      </c>
      <c r="L368" s="5">
        <f t="shared" si="19"/>
        <v>0</v>
      </c>
      <c r="M368">
        <f t="shared" si="18"/>
        <v>0</v>
      </c>
    </row>
    <row r="369" spans="11:13" hidden="1" x14ac:dyDescent="0.25">
      <c r="K369" s="7">
        <f t="shared" si="17"/>
        <v>0</v>
      </c>
      <c r="L369" s="5">
        <f t="shared" si="19"/>
        <v>0</v>
      </c>
      <c r="M369">
        <f t="shared" si="18"/>
        <v>0</v>
      </c>
    </row>
    <row r="370" spans="11:13" hidden="1" x14ac:dyDescent="0.25">
      <c r="K370" s="7">
        <f t="shared" si="17"/>
        <v>0</v>
      </c>
      <c r="L370" s="5">
        <f t="shared" si="19"/>
        <v>0</v>
      </c>
      <c r="M370">
        <f t="shared" si="18"/>
        <v>0</v>
      </c>
    </row>
    <row r="371" spans="11:13" hidden="1" x14ac:dyDescent="0.25">
      <c r="K371" s="7">
        <f t="shared" si="17"/>
        <v>0</v>
      </c>
      <c r="L371" s="5">
        <f t="shared" si="19"/>
        <v>0</v>
      </c>
      <c r="M371">
        <f t="shared" si="18"/>
        <v>0</v>
      </c>
    </row>
    <row r="372" spans="11:13" hidden="1" x14ac:dyDescent="0.25">
      <c r="K372" s="7">
        <f t="shared" si="17"/>
        <v>0</v>
      </c>
      <c r="L372" s="5">
        <f t="shared" si="19"/>
        <v>0</v>
      </c>
      <c r="M372">
        <f t="shared" si="18"/>
        <v>0</v>
      </c>
    </row>
    <row r="373" spans="11:13" hidden="1" x14ac:dyDescent="0.25">
      <c r="K373" s="7">
        <f t="shared" si="17"/>
        <v>0</v>
      </c>
      <c r="L373" s="5">
        <f t="shared" si="19"/>
        <v>0</v>
      </c>
      <c r="M373">
        <f t="shared" si="18"/>
        <v>0</v>
      </c>
    </row>
    <row r="374" spans="11:13" hidden="1" x14ac:dyDescent="0.25">
      <c r="K374" s="7">
        <f t="shared" si="17"/>
        <v>0</v>
      </c>
      <c r="L374" s="5">
        <f t="shared" si="19"/>
        <v>0</v>
      </c>
      <c r="M374">
        <f t="shared" si="18"/>
        <v>0</v>
      </c>
    </row>
    <row r="375" spans="11:13" hidden="1" x14ac:dyDescent="0.25">
      <c r="K375" s="7">
        <f t="shared" si="17"/>
        <v>0</v>
      </c>
      <c r="L375" s="5">
        <f t="shared" si="19"/>
        <v>0</v>
      </c>
      <c r="M375">
        <f t="shared" si="18"/>
        <v>0</v>
      </c>
    </row>
    <row r="376" spans="11:13" hidden="1" x14ac:dyDescent="0.25">
      <c r="K376" s="7">
        <f t="shared" si="17"/>
        <v>0</v>
      </c>
      <c r="L376" s="5">
        <f t="shared" si="19"/>
        <v>0</v>
      </c>
      <c r="M376">
        <f t="shared" si="18"/>
        <v>0</v>
      </c>
    </row>
    <row r="377" spans="11:13" hidden="1" x14ac:dyDescent="0.25">
      <c r="K377" s="7">
        <f t="shared" si="17"/>
        <v>0</v>
      </c>
      <c r="L377" s="5">
        <f t="shared" si="19"/>
        <v>0</v>
      </c>
      <c r="M377">
        <f t="shared" si="18"/>
        <v>0</v>
      </c>
    </row>
    <row r="378" spans="11:13" hidden="1" x14ac:dyDescent="0.25">
      <c r="K378" s="7">
        <f t="shared" si="17"/>
        <v>0</v>
      </c>
      <c r="L378" s="5">
        <f t="shared" si="19"/>
        <v>0</v>
      </c>
      <c r="M378">
        <f t="shared" si="18"/>
        <v>0</v>
      </c>
    </row>
    <row r="379" spans="11:13" hidden="1" x14ac:dyDescent="0.25">
      <c r="K379" s="7">
        <f t="shared" si="17"/>
        <v>0</v>
      </c>
      <c r="L379" s="5">
        <f t="shared" si="19"/>
        <v>0</v>
      </c>
      <c r="M379">
        <f t="shared" si="18"/>
        <v>0</v>
      </c>
    </row>
    <row r="380" spans="11:13" hidden="1" x14ac:dyDescent="0.25">
      <c r="K380" s="7">
        <f t="shared" si="17"/>
        <v>0</v>
      </c>
      <c r="L380" s="5">
        <f t="shared" si="19"/>
        <v>0</v>
      </c>
      <c r="M380">
        <f t="shared" si="18"/>
        <v>0</v>
      </c>
    </row>
    <row r="381" spans="11:13" hidden="1" x14ac:dyDescent="0.25">
      <c r="K381" s="7">
        <f t="shared" si="17"/>
        <v>0</v>
      </c>
      <c r="L381" s="5">
        <f t="shared" si="19"/>
        <v>0</v>
      </c>
      <c r="M381">
        <f t="shared" si="18"/>
        <v>0</v>
      </c>
    </row>
    <row r="382" spans="11:13" hidden="1" x14ac:dyDescent="0.25">
      <c r="K382" s="7">
        <f t="shared" si="17"/>
        <v>0</v>
      </c>
      <c r="L382" s="5">
        <f t="shared" si="19"/>
        <v>0</v>
      </c>
      <c r="M382">
        <f t="shared" si="18"/>
        <v>0</v>
      </c>
    </row>
    <row r="383" spans="11:13" hidden="1" x14ac:dyDescent="0.25">
      <c r="K383" s="7">
        <f t="shared" si="17"/>
        <v>0</v>
      </c>
      <c r="L383" s="5">
        <f t="shared" si="19"/>
        <v>0</v>
      </c>
      <c r="M383">
        <f t="shared" si="18"/>
        <v>0</v>
      </c>
    </row>
    <row r="384" spans="11:13" hidden="1" x14ac:dyDescent="0.25">
      <c r="K384" s="7">
        <f t="shared" si="17"/>
        <v>0</v>
      </c>
      <c r="L384" s="5">
        <f t="shared" si="19"/>
        <v>0</v>
      </c>
      <c r="M384">
        <f t="shared" si="18"/>
        <v>0</v>
      </c>
    </row>
    <row r="385" spans="11:13" hidden="1" x14ac:dyDescent="0.25">
      <c r="K385" s="7">
        <f t="shared" si="17"/>
        <v>0</v>
      </c>
      <c r="L385" s="5">
        <f t="shared" si="19"/>
        <v>0</v>
      </c>
      <c r="M385">
        <f t="shared" si="18"/>
        <v>0</v>
      </c>
    </row>
    <row r="386" spans="11:13" hidden="1" x14ac:dyDescent="0.25">
      <c r="K386" s="7">
        <f t="shared" si="17"/>
        <v>0</v>
      </c>
      <c r="L386" s="5">
        <f t="shared" si="19"/>
        <v>0</v>
      </c>
      <c r="M386">
        <f t="shared" si="18"/>
        <v>0</v>
      </c>
    </row>
    <row r="387" spans="11:13" hidden="1" x14ac:dyDescent="0.25">
      <c r="K387" s="7">
        <f t="shared" si="17"/>
        <v>0</v>
      </c>
      <c r="L387" s="5">
        <f t="shared" si="19"/>
        <v>0</v>
      </c>
      <c r="M387">
        <f t="shared" si="18"/>
        <v>0</v>
      </c>
    </row>
    <row r="388" spans="11:13" hidden="1" x14ac:dyDescent="0.25">
      <c r="K388" s="7">
        <f t="shared" si="17"/>
        <v>0</v>
      </c>
      <c r="L388" s="5">
        <f t="shared" si="19"/>
        <v>0</v>
      </c>
      <c r="M388">
        <f t="shared" si="18"/>
        <v>0</v>
      </c>
    </row>
    <row r="389" spans="11:13" hidden="1" x14ac:dyDescent="0.25">
      <c r="K389" s="7">
        <f t="shared" ref="K389:K452" si="20">SUM(F389:J389)</f>
        <v>0</v>
      </c>
      <c r="L389" s="5">
        <f t="shared" si="19"/>
        <v>0</v>
      </c>
      <c r="M389">
        <f t="shared" ref="M389:M452" si="21">SUM(K389*L389)</f>
        <v>0</v>
      </c>
    </row>
    <row r="390" spans="11:13" hidden="1" x14ac:dyDescent="0.25">
      <c r="K390" s="7">
        <f t="shared" si="20"/>
        <v>0</v>
      </c>
      <c r="L390" s="5">
        <f t="shared" ref="L390:L453" si="22">IF(D390="X",0,IF(E390="",0,IF(E390="X",0,VLOOKUP(E390,$F$539:$G$553,2))))</f>
        <v>0</v>
      </c>
      <c r="M390">
        <f t="shared" si="21"/>
        <v>0</v>
      </c>
    </row>
    <row r="391" spans="11:13" hidden="1" x14ac:dyDescent="0.25">
      <c r="K391" s="7">
        <f t="shared" si="20"/>
        <v>0</v>
      </c>
      <c r="L391" s="5">
        <f t="shared" si="22"/>
        <v>0</v>
      </c>
      <c r="M391">
        <f t="shared" si="21"/>
        <v>0</v>
      </c>
    </row>
    <row r="392" spans="11:13" hidden="1" x14ac:dyDescent="0.25">
      <c r="K392" s="7">
        <f t="shared" si="20"/>
        <v>0</v>
      </c>
      <c r="L392" s="5">
        <f t="shared" si="22"/>
        <v>0</v>
      </c>
      <c r="M392">
        <f t="shared" si="21"/>
        <v>0</v>
      </c>
    </row>
    <row r="393" spans="11:13" hidden="1" x14ac:dyDescent="0.25">
      <c r="K393" s="7">
        <f t="shared" si="20"/>
        <v>0</v>
      </c>
      <c r="L393" s="5">
        <f t="shared" si="22"/>
        <v>0</v>
      </c>
      <c r="M393">
        <f t="shared" si="21"/>
        <v>0</v>
      </c>
    </row>
    <row r="394" spans="11:13" hidden="1" x14ac:dyDescent="0.25">
      <c r="K394" s="7">
        <f t="shared" si="20"/>
        <v>0</v>
      </c>
      <c r="L394" s="5">
        <f t="shared" si="22"/>
        <v>0</v>
      </c>
      <c r="M394">
        <f t="shared" si="21"/>
        <v>0</v>
      </c>
    </row>
    <row r="395" spans="11:13" hidden="1" x14ac:dyDescent="0.25">
      <c r="K395" s="7">
        <f t="shared" si="20"/>
        <v>0</v>
      </c>
      <c r="L395" s="5">
        <f t="shared" si="22"/>
        <v>0</v>
      </c>
      <c r="M395">
        <f t="shared" si="21"/>
        <v>0</v>
      </c>
    </row>
    <row r="396" spans="11:13" hidden="1" x14ac:dyDescent="0.25">
      <c r="K396" s="7">
        <f t="shared" si="20"/>
        <v>0</v>
      </c>
      <c r="L396" s="5">
        <f t="shared" si="22"/>
        <v>0</v>
      </c>
      <c r="M396">
        <f t="shared" si="21"/>
        <v>0</v>
      </c>
    </row>
    <row r="397" spans="11:13" hidden="1" x14ac:dyDescent="0.25">
      <c r="K397" s="7">
        <f t="shared" si="20"/>
        <v>0</v>
      </c>
      <c r="L397" s="5">
        <f t="shared" si="22"/>
        <v>0</v>
      </c>
      <c r="M397">
        <f t="shared" si="21"/>
        <v>0</v>
      </c>
    </row>
    <row r="398" spans="11:13" hidden="1" x14ac:dyDescent="0.25">
      <c r="K398" s="7">
        <f t="shared" si="20"/>
        <v>0</v>
      </c>
      <c r="L398" s="5">
        <f t="shared" si="22"/>
        <v>0</v>
      </c>
      <c r="M398">
        <f t="shared" si="21"/>
        <v>0</v>
      </c>
    </row>
    <row r="399" spans="11:13" hidden="1" x14ac:dyDescent="0.25">
      <c r="K399" s="7">
        <f t="shared" si="20"/>
        <v>0</v>
      </c>
      <c r="L399" s="5">
        <f t="shared" si="22"/>
        <v>0</v>
      </c>
      <c r="M399">
        <f t="shared" si="21"/>
        <v>0</v>
      </c>
    </row>
    <row r="400" spans="11:13" hidden="1" x14ac:dyDescent="0.25">
      <c r="K400" s="7">
        <f t="shared" si="20"/>
        <v>0</v>
      </c>
      <c r="L400" s="5">
        <f t="shared" si="22"/>
        <v>0</v>
      </c>
      <c r="M400">
        <f t="shared" si="21"/>
        <v>0</v>
      </c>
    </row>
    <row r="401" spans="11:13" hidden="1" x14ac:dyDescent="0.25">
      <c r="K401" s="7">
        <f t="shared" si="20"/>
        <v>0</v>
      </c>
      <c r="L401" s="5">
        <f t="shared" si="22"/>
        <v>0</v>
      </c>
      <c r="M401">
        <f t="shared" si="21"/>
        <v>0</v>
      </c>
    </row>
    <row r="402" spans="11:13" hidden="1" x14ac:dyDescent="0.25">
      <c r="K402" s="7">
        <f t="shared" si="20"/>
        <v>0</v>
      </c>
      <c r="L402" s="5">
        <f t="shared" si="22"/>
        <v>0</v>
      </c>
      <c r="M402">
        <f t="shared" si="21"/>
        <v>0</v>
      </c>
    </row>
    <row r="403" spans="11:13" hidden="1" x14ac:dyDescent="0.25">
      <c r="K403" s="7">
        <f t="shared" si="20"/>
        <v>0</v>
      </c>
      <c r="L403" s="5">
        <f t="shared" si="22"/>
        <v>0</v>
      </c>
      <c r="M403">
        <f t="shared" si="21"/>
        <v>0</v>
      </c>
    </row>
    <row r="404" spans="11:13" hidden="1" x14ac:dyDescent="0.25">
      <c r="K404" s="7">
        <f t="shared" si="20"/>
        <v>0</v>
      </c>
      <c r="L404" s="5">
        <f t="shared" si="22"/>
        <v>0</v>
      </c>
      <c r="M404">
        <f t="shared" si="21"/>
        <v>0</v>
      </c>
    </row>
    <row r="405" spans="11:13" hidden="1" x14ac:dyDescent="0.25">
      <c r="K405" s="7">
        <f t="shared" si="20"/>
        <v>0</v>
      </c>
      <c r="L405" s="5">
        <f t="shared" si="22"/>
        <v>0</v>
      </c>
      <c r="M405">
        <f t="shared" si="21"/>
        <v>0</v>
      </c>
    </row>
    <row r="406" spans="11:13" hidden="1" x14ac:dyDescent="0.25">
      <c r="K406" s="7">
        <f t="shared" si="20"/>
        <v>0</v>
      </c>
      <c r="L406" s="5">
        <f t="shared" si="22"/>
        <v>0</v>
      </c>
      <c r="M406">
        <f t="shared" si="21"/>
        <v>0</v>
      </c>
    </row>
    <row r="407" spans="11:13" hidden="1" x14ac:dyDescent="0.25">
      <c r="K407" s="7">
        <f t="shared" si="20"/>
        <v>0</v>
      </c>
      <c r="L407" s="5">
        <f t="shared" si="22"/>
        <v>0</v>
      </c>
      <c r="M407">
        <f t="shared" si="21"/>
        <v>0</v>
      </c>
    </row>
    <row r="408" spans="11:13" hidden="1" x14ac:dyDescent="0.25">
      <c r="K408" s="7">
        <f t="shared" si="20"/>
        <v>0</v>
      </c>
      <c r="L408" s="5">
        <f t="shared" si="22"/>
        <v>0</v>
      </c>
      <c r="M408">
        <f t="shared" si="21"/>
        <v>0</v>
      </c>
    </row>
    <row r="409" spans="11:13" hidden="1" x14ac:dyDescent="0.25">
      <c r="K409" s="7">
        <f t="shared" si="20"/>
        <v>0</v>
      </c>
      <c r="L409" s="5">
        <f t="shared" si="22"/>
        <v>0</v>
      </c>
      <c r="M409">
        <f t="shared" si="21"/>
        <v>0</v>
      </c>
    </row>
    <row r="410" spans="11:13" hidden="1" x14ac:dyDescent="0.25">
      <c r="K410" s="7">
        <f t="shared" si="20"/>
        <v>0</v>
      </c>
      <c r="L410" s="5">
        <f t="shared" si="22"/>
        <v>0</v>
      </c>
      <c r="M410">
        <f t="shared" si="21"/>
        <v>0</v>
      </c>
    </row>
    <row r="411" spans="11:13" hidden="1" x14ac:dyDescent="0.25">
      <c r="K411" s="7">
        <f t="shared" si="20"/>
        <v>0</v>
      </c>
      <c r="L411" s="5">
        <f t="shared" si="22"/>
        <v>0</v>
      </c>
      <c r="M411">
        <f t="shared" si="21"/>
        <v>0</v>
      </c>
    </row>
    <row r="412" spans="11:13" hidden="1" x14ac:dyDescent="0.25">
      <c r="K412" s="7">
        <f t="shared" si="20"/>
        <v>0</v>
      </c>
      <c r="L412" s="5">
        <f t="shared" si="22"/>
        <v>0</v>
      </c>
      <c r="M412">
        <f t="shared" si="21"/>
        <v>0</v>
      </c>
    </row>
    <row r="413" spans="11:13" hidden="1" x14ac:dyDescent="0.25">
      <c r="K413" s="7">
        <f t="shared" si="20"/>
        <v>0</v>
      </c>
      <c r="L413" s="5">
        <f t="shared" si="22"/>
        <v>0</v>
      </c>
      <c r="M413">
        <f t="shared" si="21"/>
        <v>0</v>
      </c>
    </row>
    <row r="414" spans="11:13" hidden="1" x14ac:dyDescent="0.25">
      <c r="K414" s="7">
        <f t="shared" si="20"/>
        <v>0</v>
      </c>
      <c r="L414" s="5">
        <f t="shared" si="22"/>
        <v>0</v>
      </c>
      <c r="M414">
        <f t="shared" si="21"/>
        <v>0</v>
      </c>
    </row>
    <row r="415" spans="11:13" hidden="1" x14ac:dyDescent="0.25">
      <c r="K415" s="7">
        <f t="shared" si="20"/>
        <v>0</v>
      </c>
      <c r="L415" s="5">
        <f t="shared" si="22"/>
        <v>0</v>
      </c>
      <c r="M415">
        <f t="shared" si="21"/>
        <v>0</v>
      </c>
    </row>
    <row r="416" spans="11:13" hidden="1" x14ac:dyDescent="0.25">
      <c r="K416" s="7">
        <f t="shared" si="20"/>
        <v>0</v>
      </c>
      <c r="L416" s="5">
        <f t="shared" si="22"/>
        <v>0</v>
      </c>
      <c r="M416">
        <f t="shared" si="21"/>
        <v>0</v>
      </c>
    </row>
    <row r="417" spans="11:13" hidden="1" x14ac:dyDescent="0.25">
      <c r="K417" s="7">
        <f t="shared" si="20"/>
        <v>0</v>
      </c>
      <c r="L417" s="5">
        <f t="shared" si="22"/>
        <v>0</v>
      </c>
      <c r="M417">
        <f t="shared" si="21"/>
        <v>0</v>
      </c>
    </row>
    <row r="418" spans="11:13" hidden="1" x14ac:dyDescent="0.25">
      <c r="K418" s="7">
        <f t="shared" si="20"/>
        <v>0</v>
      </c>
      <c r="L418" s="5">
        <f t="shared" si="22"/>
        <v>0</v>
      </c>
      <c r="M418">
        <f t="shared" si="21"/>
        <v>0</v>
      </c>
    </row>
    <row r="419" spans="11:13" hidden="1" x14ac:dyDescent="0.25">
      <c r="K419" s="7">
        <f t="shared" si="20"/>
        <v>0</v>
      </c>
      <c r="L419" s="5">
        <f t="shared" si="22"/>
        <v>0</v>
      </c>
      <c r="M419">
        <f t="shared" si="21"/>
        <v>0</v>
      </c>
    </row>
    <row r="420" spans="11:13" hidden="1" x14ac:dyDescent="0.25">
      <c r="K420" s="7">
        <f t="shared" si="20"/>
        <v>0</v>
      </c>
      <c r="L420" s="5">
        <f t="shared" si="22"/>
        <v>0</v>
      </c>
      <c r="M420">
        <f t="shared" si="21"/>
        <v>0</v>
      </c>
    </row>
    <row r="421" spans="11:13" hidden="1" x14ac:dyDescent="0.25">
      <c r="K421" s="7">
        <f t="shared" si="20"/>
        <v>0</v>
      </c>
      <c r="L421" s="5">
        <f t="shared" si="22"/>
        <v>0</v>
      </c>
      <c r="M421">
        <f t="shared" si="21"/>
        <v>0</v>
      </c>
    </row>
    <row r="422" spans="11:13" hidden="1" x14ac:dyDescent="0.25">
      <c r="K422" s="7">
        <f t="shared" si="20"/>
        <v>0</v>
      </c>
      <c r="L422" s="5">
        <f t="shared" si="22"/>
        <v>0</v>
      </c>
      <c r="M422">
        <f t="shared" si="21"/>
        <v>0</v>
      </c>
    </row>
    <row r="423" spans="11:13" hidden="1" x14ac:dyDescent="0.25">
      <c r="K423" s="7">
        <f t="shared" si="20"/>
        <v>0</v>
      </c>
      <c r="L423" s="5">
        <f t="shared" si="22"/>
        <v>0</v>
      </c>
      <c r="M423">
        <f t="shared" si="21"/>
        <v>0</v>
      </c>
    </row>
    <row r="424" spans="11:13" hidden="1" x14ac:dyDescent="0.25">
      <c r="K424" s="7">
        <f t="shared" si="20"/>
        <v>0</v>
      </c>
      <c r="L424" s="5">
        <f t="shared" si="22"/>
        <v>0</v>
      </c>
      <c r="M424">
        <f t="shared" si="21"/>
        <v>0</v>
      </c>
    </row>
    <row r="425" spans="11:13" hidden="1" x14ac:dyDescent="0.25">
      <c r="K425" s="7">
        <f t="shared" si="20"/>
        <v>0</v>
      </c>
      <c r="L425" s="5">
        <f t="shared" si="22"/>
        <v>0</v>
      </c>
      <c r="M425">
        <f t="shared" si="21"/>
        <v>0</v>
      </c>
    </row>
    <row r="426" spans="11:13" hidden="1" x14ac:dyDescent="0.25">
      <c r="K426" s="7">
        <f t="shared" si="20"/>
        <v>0</v>
      </c>
      <c r="L426" s="5">
        <f t="shared" si="22"/>
        <v>0</v>
      </c>
      <c r="M426">
        <f t="shared" si="21"/>
        <v>0</v>
      </c>
    </row>
    <row r="427" spans="11:13" hidden="1" x14ac:dyDescent="0.25">
      <c r="K427" s="7">
        <f t="shared" si="20"/>
        <v>0</v>
      </c>
      <c r="L427" s="5">
        <f t="shared" si="22"/>
        <v>0</v>
      </c>
      <c r="M427">
        <f t="shared" si="21"/>
        <v>0</v>
      </c>
    </row>
    <row r="428" spans="11:13" hidden="1" x14ac:dyDescent="0.25">
      <c r="K428" s="7">
        <f t="shared" si="20"/>
        <v>0</v>
      </c>
      <c r="L428" s="5">
        <f t="shared" si="22"/>
        <v>0</v>
      </c>
      <c r="M428">
        <f t="shared" si="21"/>
        <v>0</v>
      </c>
    </row>
    <row r="429" spans="11:13" hidden="1" x14ac:dyDescent="0.25">
      <c r="K429" s="7">
        <f t="shared" si="20"/>
        <v>0</v>
      </c>
      <c r="L429" s="5">
        <f t="shared" si="22"/>
        <v>0</v>
      </c>
      <c r="M429">
        <f t="shared" si="21"/>
        <v>0</v>
      </c>
    </row>
    <row r="430" spans="11:13" hidden="1" x14ac:dyDescent="0.25">
      <c r="K430" s="7">
        <f t="shared" si="20"/>
        <v>0</v>
      </c>
      <c r="L430" s="5">
        <f t="shared" si="22"/>
        <v>0</v>
      </c>
      <c r="M430">
        <f t="shared" si="21"/>
        <v>0</v>
      </c>
    </row>
    <row r="431" spans="11:13" hidden="1" x14ac:dyDescent="0.25">
      <c r="K431" s="7">
        <f t="shared" si="20"/>
        <v>0</v>
      </c>
      <c r="L431" s="5">
        <f t="shared" si="22"/>
        <v>0</v>
      </c>
      <c r="M431">
        <f t="shared" si="21"/>
        <v>0</v>
      </c>
    </row>
    <row r="432" spans="11:13" hidden="1" x14ac:dyDescent="0.25">
      <c r="K432" s="7">
        <f t="shared" si="20"/>
        <v>0</v>
      </c>
      <c r="L432" s="5">
        <f t="shared" si="22"/>
        <v>0</v>
      </c>
      <c r="M432">
        <f t="shared" si="21"/>
        <v>0</v>
      </c>
    </row>
    <row r="433" spans="11:13" hidden="1" x14ac:dyDescent="0.25">
      <c r="K433" s="7">
        <f t="shared" si="20"/>
        <v>0</v>
      </c>
      <c r="L433" s="5">
        <f t="shared" si="22"/>
        <v>0</v>
      </c>
      <c r="M433">
        <f t="shared" si="21"/>
        <v>0</v>
      </c>
    </row>
    <row r="434" spans="11:13" hidden="1" x14ac:dyDescent="0.25">
      <c r="K434" s="7">
        <f t="shared" si="20"/>
        <v>0</v>
      </c>
      <c r="L434" s="5">
        <f t="shared" si="22"/>
        <v>0</v>
      </c>
      <c r="M434">
        <f t="shared" si="21"/>
        <v>0</v>
      </c>
    </row>
    <row r="435" spans="11:13" hidden="1" x14ac:dyDescent="0.25">
      <c r="K435" s="7">
        <f t="shared" si="20"/>
        <v>0</v>
      </c>
      <c r="L435" s="5">
        <f t="shared" si="22"/>
        <v>0</v>
      </c>
      <c r="M435">
        <f t="shared" si="21"/>
        <v>0</v>
      </c>
    </row>
    <row r="436" spans="11:13" hidden="1" x14ac:dyDescent="0.25">
      <c r="K436" s="7">
        <f t="shared" si="20"/>
        <v>0</v>
      </c>
      <c r="L436" s="5">
        <f t="shared" si="22"/>
        <v>0</v>
      </c>
      <c r="M436">
        <f t="shared" si="21"/>
        <v>0</v>
      </c>
    </row>
    <row r="437" spans="11:13" hidden="1" x14ac:dyDescent="0.25">
      <c r="K437" s="7">
        <f t="shared" si="20"/>
        <v>0</v>
      </c>
      <c r="L437" s="5">
        <f t="shared" si="22"/>
        <v>0</v>
      </c>
      <c r="M437">
        <f t="shared" si="21"/>
        <v>0</v>
      </c>
    </row>
    <row r="438" spans="11:13" hidden="1" x14ac:dyDescent="0.25">
      <c r="K438" s="7">
        <f t="shared" si="20"/>
        <v>0</v>
      </c>
      <c r="L438" s="5">
        <f t="shared" si="22"/>
        <v>0</v>
      </c>
      <c r="M438">
        <f t="shared" si="21"/>
        <v>0</v>
      </c>
    </row>
    <row r="439" spans="11:13" hidden="1" x14ac:dyDescent="0.25">
      <c r="K439" s="7">
        <f t="shared" si="20"/>
        <v>0</v>
      </c>
      <c r="L439" s="5">
        <f t="shared" si="22"/>
        <v>0</v>
      </c>
      <c r="M439">
        <f t="shared" si="21"/>
        <v>0</v>
      </c>
    </row>
    <row r="440" spans="11:13" hidden="1" x14ac:dyDescent="0.25">
      <c r="K440" s="7">
        <f t="shared" si="20"/>
        <v>0</v>
      </c>
      <c r="L440" s="5">
        <f t="shared" si="22"/>
        <v>0</v>
      </c>
      <c r="M440">
        <f t="shared" si="21"/>
        <v>0</v>
      </c>
    </row>
    <row r="441" spans="11:13" hidden="1" x14ac:dyDescent="0.25">
      <c r="K441" s="7">
        <f t="shared" si="20"/>
        <v>0</v>
      </c>
      <c r="L441" s="5">
        <f t="shared" si="22"/>
        <v>0</v>
      </c>
      <c r="M441">
        <f t="shared" si="21"/>
        <v>0</v>
      </c>
    </row>
    <row r="442" spans="11:13" hidden="1" x14ac:dyDescent="0.25">
      <c r="K442" s="7">
        <f t="shared" si="20"/>
        <v>0</v>
      </c>
      <c r="L442" s="5">
        <f t="shared" si="22"/>
        <v>0</v>
      </c>
      <c r="M442">
        <f t="shared" si="21"/>
        <v>0</v>
      </c>
    </row>
    <row r="443" spans="11:13" hidden="1" x14ac:dyDescent="0.25">
      <c r="K443" s="7">
        <f t="shared" si="20"/>
        <v>0</v>
      </c>
      <c r="L443" s="5">
        <f t="shared" si="22"/>
        <v>0</v>
      </c>
      <c r="M443">
        <f t="shared" si="21"/>
        <v>0</v>
      </c>
    </row>
    <row r="444" spans="11:13" hidden="1" x14ac:dyDescent="0.25">
      <c r="K444" s="7">
        <f t="shared" si="20"/>
        <v>0</v>
      </c>
      <c r="L444" s="5">
        <f t="shared" si="22"/>
        <v>0</v>
      </c>
      <c r="M444">
        <f t="shared" si="21"/>
        <v>0</v>
      </c>
    </row>
    <row r="445" spans="11:13" hidden="1" x14ac:dyDescent="0.25">
      <c r="K445" s="7">
        <f t="shared" si="20"/>
        <v>0</v>
      </c>
      <c r="L445" s="5">
        <f t="shared" si="22"/>
        <v>0</v>
      </c>
      <c r="M445">
        <f t="shared" si="21"/>
        <v>0</v>
      </c>
    </row>
    <row r="446" spans="11:13" hidden="1" x14ac:dyDescent="0.25">
      <c r="K446" s="7">
        <f t="shared" si="20"/>
        <v>0</v>
      </c>
      <c r="L446" s="5">
        <f t="shared" si="22"/>
        <v>0</v>
      </c>
      <c r="M446">
        <f t="shared" si="21"/>
        <v>0</v>
      </c>
    </row>
    <row r="447" spans="11:13" hidden="1" x14ac:dyDescent="0.25">
      <c r="K447" s="7">
        <f t="shared" si="20"/>
        <v>0</v>
      </c>
      <c r="L447" s="5">
        <f t="shared" si="22"/>
        <v>0</v>
      </c>
      <c r="M447">
        <f t="shared" si="21"/>
        <v>0</v>
      </c>
    </row>
    <row r="448" spans="11:13" hidden="1" x14ac:dyDescent="0.25">
      <c r="K448" s="7">
        <f t="shared" si="20"/>
        <v>0</v>
      </c>
      <c r="L448" s="5">
        <f t="shared" si="22"/>
        <v>0</v>
      </c>
      <c r="M448">
        <f t="shared" si="21"/>
        <v>0</v>
      </c>
    </row>
    <row r="449" spans="11:13" hidden="1" x14ac:dyDescent="0.25">
      <c r="K449" s="7">
        <f t="shared" si="20"/>
        <v>0</v>
      </c>
      <c r="L449" s="5">
        <f t="shared" si="22"/>
        <v>0</v>
      </c>
      <c r="M449">
        <f t="shared" si="21"/>
        <v>0</v>
      </c>
    </row>
    <row r="450" spans="11:13" hidden="1" x14ac:dyDescent="0.25">
      <c r="K450" s="7">
        <f t="shared" si="20"/>
        <v>0</v>
      </c>
      <c r="L450" s="5">
        <f t="shared" si="22"/>
        <v>0</v>
      </c>
      <c r="M450">
        <f t="shared" si="21"/>
        <v>0</v>
      </c>
    </row>
    <row r="451" spans="11:13" hidden="1" x14ac:dyDescent="0.25">
      <c r="K451" s="7">
        <f t="shared" si="20"/>
        <v>0</v>
      </c>
      <c r="L451" s="5">
        <f t="shared" si="22"/>
        <v>0</v>
      </c>
      <c r="M451">
        <f t="shared" si="21"/>
        <v>0</v>
      </c>
    </row>
    <row r="452" spans="11:13" hidden="1" x14ac:dyDescent="0.25">
      <c r="K452" s="7">
        <f t="shared" si="20"/>
        <v>0</v>
      </c>
      <c r="L452" s="5">
        <f t="shared" si="22"/>
        <v>0</v>
      </c>
      <c r="M452">
        <f t="shared" si="21"/>
        <v>0</v>
      </c>
    </row>
    <row r="453" spans="11:13" hidden="1" x14ac:dyDescent="0.25">
      <c r="K453" s="7">
        <f t="shared" ref="K453:K498" si="23">SUM(F453:J453)</f>
        <v>0</v>
      </c>
      <c r="L453" s="5">
        <f t="shared" si="22"/>
        <v>0</v>
      </c>
      <c r="M453">
        <f t="shared" ref="M453:M498" si="24">SUM(K453*L453)</f>
        <v>0</v>
      </c>
    </row>
    <row r="454" spans="11:13" hidden="1" x14ac:dyDescent="0.25">
      <c r="K454" s="7">
        <f t="shared" si="23"/>
        <v>0</v>
      </c>
      <c r="L454" s="5">
        <f t="shared" ref="L454:L498" si="25">IF(D454="X",0,IF(E454="",0,IF(E454="X",0,VLOOKUP(E454,$F$539:$G$553,2))))</f>
        <v>0</v>
      </c>
      <c r="M454">
        <f t="shared" si="24"/>
        <v>0</v>
      </c>
    </row>
    <row r="455" spans="11:13" hidden="1" x14ac:dyDescent="0.25">
      <c r="K455" s="7">
        <f t="shared" si="23"/>
        <v>0</v>
      </c>
      <c r="L455" s="5">
        <f t="shared" si="25"/>
        <v>0</v>
      </c>
      <c r="M455">
        <f t="shared" si="24"/>
        <v>0</v>
      </c>
    </row>
    <row r="456" spans="11:13" hidden="1" x14ac:dyDescent="0.25">
      <c r="K456" s="7">
        <f t="shared" si="23"/>
        <v>0</v>
      </c>
      <c r="L456" s="5">
        <f t="shared" si="25"/>
        <v>0</v>
      </c>
      <c r="M456">
        <f t="shared" si="24"/>
        <v>0</v>
      </c>
    </row>
    <row r="457" spans="11:13" hidden="1" x14ac:dyDescent="0.25">
      <c r="K457" s="7">
        <f t="shared" si="23"/>
        <v>0</v>
      </c>
      <c r="L457" s="5">
        <f t="shared" si="25"/>
        <v>0</v>
      </c>
      <c r="M457">
        <f t="shared" si="24"/>
        <v>0</v>
      </c>
    </row>
    <row r="458" spans="11:13" hidden="1" x14ac:dyDescent="0.25">
      <c r="K458" s="7">
        <f t="shared" si="23"/>
        <v>0</v>
      </c>
      <c r="L458" s="5">
        <f t="shared" si="25"/>
        <v>0</v>
      </c>
      <c r="M458">
        <f t="shared" si="24"/>
        <v>0</v>
      </c>
    </row>
    <row r="459" spans="11:13" hidden="1" x14ac:dyDescent="0.25">
      <c r="K459" s="7">
        <f t="shared" si="23"/>
        <v>0</v>
      </c>
      <c r="L459" s="5">
        <f t="shared" si="25"/>
        <v>0</v>
      </c>
      <c r="M459">
        <f t="shared" si="24"/>
        <v>0</v>
      </c>
    </row>
    <row r="460" spans="11:13" hidden="1" x14ac:dyDescent="0.25">
      <c r="K460" s="7">
        <f t="shared" si="23"/>
        <v>0</v>
      </c>
      <c r="L460" s="5">
        <f t="shared" si="25"/>
        <v>0</v>
      </c>
      <c r="M460">
        <f t="shared" si="24"/>
        <v>0</v>
      </c>
    </row>
    <row r="461" spans="11:13" hidden="1" x14ac:dyDescent="0.25">
      <c r="K461" s="7">
        <f t="shared" si="23"/>
        <v>0</v>
      </c>
      <c r="L461" s="5">
        <f t="shared" si="25"/>
        <v>0</v>
      </c>
      <c r="M461">
        <f t="shared" si="24"/>
        <v>0</v>
      </c>
    </row>
    <row r="462" spans="11:13" hidden="1" x14ac:dyDescent="0.25">
      <c r="K462" s="7">
        <f t="shared" si="23"/>
        <v>0</v>
      </c>
      <c r="L462" s="5">
        <f t="shared" si="25"/>
        <v>0</v>
      </c>
      <c r="M462">
        <f t="shared" si="24"/>
        <v>0</v>
      </c>
    </row>
    <row r="463" spans="11:13" hidden="1" x14ac:dyDescent="0.25">
      <c r="K463" s="7">
        <f t="shared" si="23"/>
        <v>0</v>
      </c>
      <c r="L463" s="5">
        <f t="shared" si="25"/>
        <v>0</v>
      </c>
      <c r="M463">
        <f t="shared" si="24"/>
        <v>0</v>
      </c>
    </row>
    <row r="464" spans="11:13" hidden="1" x14ac:dyDescent="0.25">
      <c r="K464" s="7">
        <f t="shared" si="23"/>
        <v>0</v>
      </c>
      <c r="L464" s="5">
        <f t="shared" si="25"/>
        <v>0</v>
      </c>
      <c r="M464">
        <f t="shared" si="24"/>
        <v>0</v>
      </c>
    </row>
    <row r="465" spans="11:13" hidden="1" x14ac:dyDescent="0.25">
      <c r="K465" s="7">
        <f t="shared" si="23"/>
        <v>0</v>
      </c>
      <c r="L465" s="5">
        <f t="shared" si="25"/>
        <v>0</v>
      </c>
      <c r="M465">
        <f t="shared" si="24"/>
        <v>0</v>
      </c>
    </row>
    <row r="466" spans="11:13" hidden="1" x14ac:dyDescent="0.25">
      <c r="K466" s="7">
        <f t="shared" si="23"/>
        <v>0</v>
      </c>
      <c r="L466" s="5">
        <f t="shared" si="25"/>
        <v>0</v>
      </c>
      <c r="M466">
        <f t="shared" si="24"/>
        <v>0</v>
      </c>
    </row>
    <row r="467" spans="11:13" hidden="1" x14ac:dyDescent="0.25">
      <c r="K467" s="7">
        <f t="shared" si="23"/>
        <v>0</v>
      </c>
      <c r="L467" s="5">
        <f t="shared" si="25"/>
        <v>0</v>
      </c>
      <c r="M467">
        <f t="shared" si="24"/>
        <v>0</v>
      </c>
    </row>
    <row r="468" spans="11:13" hidden="1" x14ac:dyDescent="0.25">
      <c r="K468" s="7">
        <f t="shared" si="23"/>
        <v>0</v>
      </c>
      <c r="L468" s="5">
        <f t="shared" si="25"/>
        <v>0</v>
      </c>
      <c r="M468">
        <f t="shared" si="24"/>
        <v>0</v>
      </c>
    </row>
    <row r="469" spans="11:13" hidden="1" x14ac:dyDescent="0.25">
      <c r="K469" s="7">
        <f t="shared" si="23"/>
        <v>0</v>
      </c>
      <c r="L469" s="5">
        <f t="shared" si="25"/>
        <v>0</v>
      </c>
      <c r="M469">
        <f t="shared" si="24"/>
        <v>0</v>
      </c>
    </row>
    <row r="470" spans="11:13" hidden="1" x14ac:dyDescent="0.25">
      <c r="K470" s="7">
        <f t="shared" si="23"/>
        <v>0</v>
      </c>
      <c r="L470" s="5">
        <f t="shared" si="25"/>
        <v>0</v>
      </c>
      <c r="M470">
        <f t="shared" si="24"/>
        <v>0</v>
      </c>
    </row>
    <row r="471" spans="11:13" hidden="1" x14ac:dyDescent="0.25">
      <c r="K471" s="7">
        <f t="shared" si="23"/>
        <v>0</v>
      </c>
      <c r="L471" s="5">
        <f t="shared" si="25"/>
        <v>0</v>
      </c>
      <c r="M471">
        <f t="shared" si="24"/>
        <v>0</v>
      </c>
    </row>
    <row r="472" spans="11:13" hidden="1" x14ac:dyDescent="0.25">
      <c r="K472" s="7">
        <f t="shared" si="23"/>
        <v>0</v>
      </c>
      <c r="L472" s="5">
        <f t="shared" si="25"/>
        <v>0</v>
      </c>
      <c r="M472">
        <f t="shared" si="24"/>
        <v>0</v>
      </c>
    </row>
    <row r="473" spans="11:13" hidden="1" x14ac:dyDescent="0.25">
      <c r="K473" s="7">
        <f t="shared" si="23"/>
        <v>0</v>
      </c>
      <c r="L473" s="5">
        <f t="shared" si="25"/>
        <v>0</v>
      </c>
      <c r="M473">
        <f t="shared" si="24"/>
        <v>0</v>
      </c>
    </row>
    <row r="474" spans="11:13" hidden="1" x14ac:dyDescent="0.25">
      <c r="K474" s="7">
        <f t="shared" si="23"/>
        <v>0</v>
      </c>
      <c r="L474" s="5">
        <f t="shared" si="25"/>
        <v>0</v>
      </c>
      <c r="M474">
        <f t="shared" si="24"/>
        <v>0</v>
      </c>
    </row>
    <row r="475" spans="11:13" hidden="1" x14ac:dyDescent="0.25">
      <c r="K475" s="7">
        <f t="shared" si="23"/>
        <v>0</v>
      </c>
      <c r="L475" s="5">
        <f t="shared" si="25"/>
        <v>0</v>
      </c>
      <c r="M475">
        <f t="shared" si="24"/>
        <v>0</v>
      </c>
    </row>
    <row r="476" spans="11:13" hidden="1" x14ac:dyDescent="0.25">
      <c r="K476" s="7">
        <f t="shared" si="23"/>
        <v>0</v>
      </c>
      <c r="L476" s="5">
        <f t="shared" si="25"/>
        <v>0</v>
      </c>
      <c r="M476">
        <f t="shared" si="24"/>
        <v>0</v>
      </c>
    </row>
    <row r="477" spans="11:13" hidden="1" x14ac:dyDescent="0.25">
      <c r="K477" s="7">
        <f t="shared" si="23"/>
        <v>0</v>
      </c>
      <c r="L477" s="5">
        <f t="shared" si="25"/>
        <v>0</v>
      </c>
      <c r="M477">
        <f t="shared" si="24"/>
        <v>0</v>
      </c>
    </row>
    <row r="478" spans="11:13" hidden="1" x14ac:dyDescent="0.25">
      <c r="K478" s="7">
        <f t="shared" si="23"/>
        <v>0</v>
      </c>
      <c r="L478" s="5">
        <f t="shared" si="25"/>
        <v>0</v>
      </c>
      <c r="M478">
        <f t="shared" si="24"/>
        <v>0</v>
      </c>
    </row>
    <row r="479" spans="11:13" hidden="1" x14ac:dyDescent="0.25">
      <c r="K479" s="7">
        <f t="shared" si="23"/>
        <v>0</v>
      </c>
      <c r="L479" s="5">
        <f t="shared" si="25"/>
        <v>0</v>
      </c>
      <c r="M479">
        <f t="shared" si="24"/>
        <v>0</v>
      </c>
    </row>
    <row r="480" spans="11:13" hidden="1" x14ac:dyDescent="0.25">
      <c r="K480" s="7">
        <f t="shared" si="23"/>
        <v>0</v>
      </c>
      <c r="L480" s="5">
        <f t="shared" si="25"/>
        <v>0</v>
      </c>
      <c r="M480">
        <f t="shared" si="24"/>
        <v>0</v>
      </c>
    </row>
    <row r="481" spans="11:13" hidden="1" x14ac:dyDescent="0.25">
      <c r="K481" s="7">
        <f t="shared" si="23"/>
        <v>0</v>
      </c>
      <c r="L481" s="5">
        <f t="shared" si="25"/>
        <v>0</v>
      </c>
      <c r="M481">
        <f t="shared" si="24"/>
        <v>0</v>
      </c>
    </row>
    <row r="482" spans="11:13" hidden="1" x14ac:dyDescent="0.25">
      <c r="K482" s="7">
        <f t="shared" si="23"/>
        <v>0</v>
      </c>
      <c r="L482" s="5">
        <f t="shared" si="25"/>
        <v>0</v>
      </c>
      <c r="M482">
        <f t="shared" si="24"/>
        <v>0</v>
      </c>
    </row>
    <row r="483" spans="11:13" hidden="1" x14ac:dyDescent="0.25">
      <c r="K483" s="7">
        <f t="shared" si="23"/>
        <v>0</v>
      </c>
      <c r="L483" s="5">
        <f t="shared" si="25"/>
        <v>0</v>
      </c>
      <c r="M483">
        <f t="shared" si="24"/>
        <v>0</v>
      </c>
    </row>
    <row r="484" spans="11:13" hidden="1" x14ac:dyDescent="0.25">
      <c r="K484" s="7">
        <f t="shared" si="23"/>
        <v>0</v>
      </c>
      <c r="L484" s="5">
        <f t="shared" si="25"/>
        <v>0</v>
      </c>
      <c r="M484">
        <f t="shared" si="24"/>
        <v>0</v>
      </c>
    </row>
    <row r="485" spans="11:13" hidden="1" x14ac:dyDescent="0.25">
      <c r="K485" s="7">
        <f t="shared" si="23"/>
        <v>0</v>
      </c>
      <c r="L485" s="5">
        <f t="shared" si="25"/>
        <v>0</v>
      </c>
      <c r="M485">
        <f t="shared" si="24"/>
        <v>0</v>
      </c>
    </row>
    <row r="486" spans="11:13" hidden="1" x14ac:dyDescent="0.25">
      <c r="K486" s="7">
        <f t="shared" si="23"/>
        <v>0</v>
      </c>
      <c r="L486" s="5">
        <f t="shared" si="25"/>
        <v>0</v>
      </c>
      <c r="M486">
        <f t="shared" si="24"/>
        <v>0</v>
      </c>
    </row>
    <row r="487" spans="11:13" hidden="1" x14ac:dyDescent="0.25">
      <c r="K487" s="7">
        <f t="shared" si="23"/>
        <v>0</v>
      </c>
      <c r="L487" s="5">
        <f t="shared" si="25"/>
        <v>0</v>
      </c>
      <c r="M487">
        <f t="shared" si="24"/>
        <v>0</v>
      </c>
    </row>
    <row r="488" spans="11:13" hidden="1" x14ac:dyDescent="0.25">
      <c r="K488" s="7">
        <f t="shared" si="23"/>
        <v>0</v>
      </c>
      <c r="L488" s="5">
        <f t="shared" si="25"/>
        <v>0</v>
      </c>
      <c r="M488">
        <f t="shared" si="24"/>
        <v>0</v>
      </c>
    </row>
    <row r="489" spans="11:13" hidden="1" x14ac:dyDescent="0.25">
      <c r="K489" s="7">
        <f t="shared" si="23"/>
        <v>0</v>
      </c>
      <c r="L489" s="5">
        <f t="shared" si="25"/>
        <v>0</v>
      </c>
      <c r="M489">
        <f t="shared" si="24"/>
        <v>0</v>
      </c>
    </row>
    <row r="490" spans="11:13" hidden="1" x14ac:dyDescent="0.25">
      <c r="K490" s="7">
        <f t="shared" si="23"/>
        <v>0</v>
      </c>
      <c r="L490" s="5">
        <f t="shared" si="25"/>
        <v>0</v>
      </c>
      <c r="M490">
        <f t="shared" si="24"/>
        <v>0</v>
      </c>
    </row>
    <row r="491" spans="11:13" hidden="1" x14ac:dyDescent="0.25">
      <c r="K491" s="7">
        <f t="shared" ref="K491:K494" si="26">SUM(F491:J491)</f>
        <v>0</v>
      </c>
      <c r="L491" s="5">
        <f t="shared" si="25"/>
        <v>0</v>
      </c>
      <c r="M491">
        <f t="shared" ref="M491:M494" si="27">SUM(K491*L491)</f>
        <v>0</v>
      </c>
    </row>
    <row r="492" spans="11:13" hidden="1" x14ac:dyDescent="0.25">
      <c r="K492" s="7">
        <f t="shared" si="26"/>
        <v>0</v>
      </c>
      <c r="L492" s="5">
        <f t="shared" si="25"/>
        <v>0</v>
      </c>
      <c r="M492">
        <f t="shared" si="27"/>
        <v>0</v>
      </c>
    </row>
    <row r="493" spans="11:13" hidden="1" x14ac:dyDescent="0.25">
      <c r="K493" s="7">
        <f t="shared" si="26"/>
        <v>0</v>
      </c>
      <c r="L493" s="5">
        <f t="shared" si="25"/>
        <v>0</v>
      </c>
      <c r="M493">
        <f t="shared" si="27"/>
        <v>0</v>
      </c>
    </row>
    <row r="494" spans="11:13" hidden="1" x14ac:dyDescent="0.25">
      <c r="K494" s="7">
        <f t="shared" si="26"/>
        <v>0</v>
      </c>
      <c r="L494" s="5">
        <f t="shared" si="25"/>
        <v>0</v>
      </c>
      <c r="M494">
        <f t="shared" si="27"/>
        <v>0</v>
      </c>
    </row>
    <row r="495" spans="11:13" hidden="1" x14ac:dyDescent="0.25">
      <c r="K495" s="7">
        <f t="shared" si="23"/>
        <v>0</v>
      </c>
      <c r="L495" s="5">
        <f t="shared" si="25"/>
        <v>0</v>
      </c>
      <c r="M495">
        <f t="shared" si="24"/>
        <v>0</v>
      </c>
    </row>
    <row r="496" spans="11:13" hidden="1" x14ac:dyDescent="0.25">
      <c r="K496" s="7">
        <f t="shared" si="23"/>
        <v>0</v>
      </c>
      <c r="L496" s="5">
        <f t="shared" si="25"/>
        <v>0</v>
      </c>
      <c r="M496">
        <f t="shared" si="24"/>
        <v>0</v>
      </c>
    </row>
    <row r="497" spans="3:13" hidden="1" x14ac:dyDescent="0.25">
      <c r="K497" s="7">
        <f t="shared" si="23"/>
        <v>0</v>
      </c>
      <c r="L497" s="5">
        <f t="shared" si="25"/>
        <v>0</v>
      </c>
      <c r="M497">
        <f t="shared" si="24"/>
        <v>0</v>
      </c>
    </row>
    <row r="498" spans="3:13" hidden="1" x14ac:dyDescent="0.25">
      <c r="K498" s="7">
        <f t="shared" si="23"/>
        <v>0</v>
      </c>
      <c r="L498" s="5">
        <f t="shared" si="25"/>
        <v>0</v>
      </c>
      <c r="M498">
        <f t="shared" si="24"/>
        <v>0</v>
      </c>
    </row>
    <row r="499" spans="3:13" x14ac:dyDescent="0.25">
      <c r="C499" s="100" t="s">
        <v>35</v>
      </c>
      <c r="D499" s="100"/>
      <c r="E499" s="100"/>
      <c r="F499" s="100"/>
      <c r="G499" s="100"/>
      <c r="H499" s="100"/>
      <c r="I499" s="100"/>
      <c r="J499" s="100"/>
      <c r="K499" s="100"/>
      <c r="L499" s="100"/>
      <c r="M499" s="100" t="s">
        <v>34</v>
      </c>
    </row>
    <row r="500" spans="3:13" hidden="1" x14ac:dyDescent="0.25">
      <c r="C500" s="100" t="str">
        <f>IF(F539="","Vrije categorie",F539)</f>
        <v>A</v>
      </c>
      <c r="D500" s="100"/>
      <c r="E500" s="100"/>
      <c r="F500" s="100">
        <f t="shared" ref="F500:F514" si="28">SUMPRODUCT(--($E$4:$E$498=C500),--($D$4:$D$498=""),$F$4:$F$498)</f>
        <v>0</v>
      </c>
      <c r="G500" s="100">
        <f t="shared" ref="G500:G514" si="29">SUMPRODUCT(--($E$4:$E$498=C500),--($D$4:$D$498=""),$G$4:$G$498)</f>
        <v>0</v>
      </c>
      <c r="H500" s="100">
        <f t="shared" ref="H500:H514" si="30">SUMPRODUCT(--($E$4:$E$498=C500),--($D$4:$D$498=""),$H$4:$H$498)</f>
        <v>0</v>
      </c>
      <c r="I500" s="100">
        <f t="shared" ref="I500:I514" si="31">SUMPRODUCT(--($E$4:$E$498=C500),--($D$4:$D$498=""),$I$4:$I$498)</f>
        <v>0</v>
      </c>
      <c r="J500" s="100">
        <f t="shared" ref="J500:J514" si="32">SUMPRODUCT(--($E$4:$E$498=C500),--($D$4:$D$498=""),$J$4:$J$498)</f>
        <v>0</v>
      </c>
      <c r="K500" s="100">
        <f t="shared" ref="K500:K514" si="33">SUM(F500:J500)</f>
        <v>0</v>
      </c>
      <c r="L500" s="100"/>
      <c r="M500" s="100">
        <f t="shared" ref="M500:M507" si="34">SUMPRODUCT(--($E$4:$E$498=C500),--($D$4:$D$498=""),$M$4:$M$498)</f>
        <v>0</v>
      </c>
    </row>
    <row r="501" spans="3:13" x14ac:dyDescent="0.25">
      <c r="C501" s="100" t="str">
        <f t="shared" ref="C501:C514" si="35">IF(F540="","Vrije categorie",F540)</f>
        <v>B</v>
      </c>
      <c r="D501" s="100"/>
      <c r="E501" s="100"/>
      <c r="F501" s="100">
        <f t="shared" si="28"/>
        <v>0</v>
      </c>
      <c r="G501" s="100">
        <f t="shared" si="29"/>
        <v>0</v>
      </c>
      <c r="H501" s="100">
        <f t="shared" si="30"/>
        <v>0</v>
      </c>
      <c r="I501" s="100">
        <f t="shared" si="31"/>
        <v>0</v>
      </c>
      <c r="J501" s="100">
        <f t="shared" si="32"/>
        <v>16</v>
      </c>
      <c r="K501" s="100">
        <f t="shared" si="33"/>
        <v>16</v>
      </c>
      <c r="L501" s="100"/>
      <c r="M501" s="100">
        <f t="shared" si="34"/>
        <v>4160</v>
      </c>
    </row>
    <row r="502" spans="3:13" x14ac:dyDescent="0.25">
      <c r="C502" s="100" t="str">
        <f t="shared" si="35"/>
        <v>C</v>
      </c>
      <c r="D502" s="100"/>
      <c r="E502" s="100"/>
      <c r="F502" s="100">
        <f t="shared" si="28"/>
        <v>0</v>
      </c>
      <c r="G502" s="100">
        <f t="shared" si="29"/>
        <v>0</v>
      </c>
      <c r="H502" s="100">
        <f t="shared" si="30"/>
        <v>0</v>
      </c>
      <c r="I502" s="100">
        <f t="shared" si="31"/>
        <v>0</v>
      </c>
      <c r="J502" s="100">
        <f t="shared" si="32"/>
        <v>42</v>
      </c>
      <c r="K502" s="100">
        <f t="shared" si="33"/>
        <v>42</v>
      </c>
      <c r="L502" s="100"/>
      <c r="M502" s="100">
        <f t="shared" si="34"/>
        <v>10920</v>
      </c>
    </row>
    <row r="503" spans="3:13" x14ac:dyDescent="0.25">
      <c r="C503" s="100" t="str">
        <f t="shared" si="35"/>
        <v>D</v>
      </c>
      <c r="D503" s="100"/>
      <c r="E503" s="100"/>
      <c r="F503" s="100">
        <f t="shared" si="28"/>
        <v>0</v>
      </c>
      <c r="G503" s="100">
        <f t="shared" si="29"/>
        <v>0</v>
      </c>
      <c r="H503" s="100">
        <f t="shared" si="30"/>
        <v>0</v>
      </c>
      <c r="I503" s="100">
        <f t="shared" si="31"/>
        <v>0</v>
      </c>
      <c r="J503" s="100">
        <f t="shared" si="32"/>
        <v>0</v>
      </c>
      <c r="K503" s="100">
        <f t="shared" si="33"/>
        <v>0</v>
      </c>
      <c r="L503" s="100"/>
      <c r="M503" s="100">
        <f t="shared" si="34"/>
        <v>0</v>
      </c>
    </row>
    <row r="504" spans="3:13" x14ac:dyDescent="0.25">
      <c r="C504" s="100" t="str">
        <f t="shared" si="35"/>
        <v>E</v>
      </c>
      <c r="D504" s="100"/>
      <c r="E504" s="100"/>
      <c r="F504" s="100">
        <f t="shared" si="28"/>
        <v>2</v>
      </c>
      <c r="G504" s="100">
        <f t="shared" si="29"/>
        <v>0</v>
      </c>
      <c r="H504" s="100">
        <f t="shared" si="30"/>
        <v>0</v>
      </c>
      <c r="I504" s="100">
        <f t="shared" si="31"/>
        <v>0</v>
      </c>
      <c r="J504" s="100">
        <f t="shared" si="32"/>
        <v>14</v>
      </c>
      <c r="K504" s="100">
        <f t="shared" si="33"/>
        <v>16</v>
      </c>
      <c r="L504" s="100"/>
      <c r="M504" s="100">
        <f t="shared" si="34"/>
        <v>4160</v>
      </c>
    </row>
    <row r="505" spans="3:13" x14ac:dyDescent="0.25">
      <c r="C505" s="100" t="str">
        <f t="shared" si="35"/>
        <v>F</v>
      </c>
      <c r="D505" s="100"/>
      <c r="E505" s="100"/>
      <c r="F505" s="100">
        <f t="shared" si="28"/>
        <v>0</v>
      </c>
      <c r="G505" s="100">
        <f t="shared" si="29"/>
        <v>0</v>
      </c>
      <c r="H505" s="100">
        <f t="shared" si="30"/>
        <v>0</v>
      </c>
      <c r="I505" s="100">
        <f t="shared" si="31"/>
        <v>0</v>
      </c>
      <c r="J505" s="100">
        <f t="shared" si="32"/>
        <v>0</v>
      </c>
      <c r="K505" s="100">
        <f t="shared" si="33"/>
        <v>0</v>
      </c>
      <c r="L505" s="100"/>
      <c r="M505" s="100">
        <f t="shared" si="34"/>
        <v>0</v>
      </c>
    </row>
    <row r="506" spans="3:13" x14ac:dyDescent="0.25">
      <c r="C506" s="100" t="str">
        <f t="shared" si="35"/>
        <v>G</v>
      </c>
      <c r="D506" s="100"/>
      <c r="E506" s="100"/>
      <c r="F506" s="100">
        <f t="shared" si="28"/>
        <v>0</v>
      </c>
      <c r="G506" s="100">
        <f t="shared" si="29"/>
        <v>0</v>
      </c>
      <c r="H506" s="100">
        <f t="shared" si="30"/>
        <v>0</v>
      </c>
      <c r="I506" s="100">
        <f t="shared" si="31"/>
        <v>0</v>
      </c>
      <c r="J506" s="100">
        <f t="shared" si="32"/>
        <v>22</v>
      </c>
      <c r="K506" s="100">
        <f t="shared" si="33"/>
        <v>22</v>
      </c>
      <c r="L506" s="100"/>
      <c r="M506" s="100">
        <f t="shared" si="34"/>
        <v>5720</v>
      </c>
    </row>
    <row r="507" spans="3:13" hidden="1" x14ac:dyDescent="0.25">
      <c r="C507" s="100" t="str">
        <f t="shared" si="35"/>
        <v>H</v>
      </c>
      <c r="D507" s="100"/>
      <c r="E507" s="100"/>
      <c r="F507" s="100">
        <f t="shared" si="28"/>
        <v>0</v>
      </c>
      <c r="G507" s="100">
        <f t="shared" si="29"/>
        <v>0</v>
      </c>
      <c r="H507" s="100">
        <f t="shared" si="30"/>
        <v>0</v>
      </c>
      <c r="I507" s="100">
        <f t="shared" si="31"/>
        <v>0</v>
      </c>
      <c r="J507" s="100">
        <f t="shared" si="32"/>
        <v>0</v>
      </c>
      <c r="K507" s="100">
        <f t="shared" si="33"/>
        <v>0</v>
      </c>
      <c r="L507" s="100"/>
      <c r="M507" s="100">
        <f t="shared" si="34"/>
        <v>0</v>
      </c>
    </row>
    <row r="508" spans="3:13" hidden="1" x14ac:dyDescent="0.25">
      <c r="C508" s="100" t="str">
        <f t="shared" si="35"/>
        <v>I</v>
      </c>
      <c r="D508" s="100"/>
      <c r="E508" s="100"/>
      <c r="F508" s="100">
        <f t="shared" si="28"/>
        <v>0</v>
      </c>
      <c r="G508" s="100">
        <f t="shared" si="29"/>
        <v>0</v>
      </c>
      <c r="H508" s="100">
        <f t="shared" si="30"/>
        <v>0</v>
      </c>
      <c r="I508" s="100">
        <f t="shared" si="31"/>
        <v>0</v>
      </c>
      <c r="J508" s="100">
        <f t="shared" si="32"/>
        <v>0</v>
      </c>
      <c r="K508" s="100">
        <f t="shared" si="33"/>
        <v>0</v>
      </c>
      <c r="L508" s="100"/>
      <c r="M508" s="100">
        <f t="shared" ref="M508:M513" si="36">SUMPRODUCT(--($E$4:$E$498=C508),--($D$4:$D$498=""),$M$4:$M$498)</f>
        <v>0</v>
      </c>
    </row>
    <row r="509" spans="3:13" hidden="1" x14ac:dyDescent="0.25">
      <c r="C509" s="100" t="str">
        <f t="shared" si="35"/>
        <v>J</v>
      </c>
      <c r="D509" s="100"/>
      <c r="E509" s="100"/>
      <c r="F509" s="100">
        <f t="shared" si="28"/>
        <v>0</v>
      </c>
      <c r="G509" s="100">
        <f t="shared" si="29"/>
        <v>0</v>
      </c>
      <c r="H509" s="100">
        <f t="shared" si="30"/>
        <v>0</v>
      </c>
      <c r="I509" s="100">
        <f t="shared" si="31"/>
        <v>0</v>
      </c>
      <c r="J509" s="100">
        <f t="shared" si="32"/>
        <v>0</v>
      </c>
      <c r="K509" s="100">
        <f t="shared" si="33"/>
        <v>0</v>
      </c>
      <c r="L509" s="100"/>
      <c r="M509" s="100">
        <f t="shared" si="36"/>
        <v>0</v>
      </c>
    </row>
    <row r="510" spans="3:13" x14ac:dyDescent="0.25">
      <c r="C510" s="100" t="str">
        <f t="shared" si="35"/>
        <v>K</v>
      </c>
      <c r="D510" s="100"/>
      <c r="E510" s="100"/>
      <c r="F510" s="100">
        <f t="shared" si="28"/>
        <v>0</v>
      </c>
      <c r="G510" s="100">
        <f t="shared" si="29"/>
        <v>0</v>
      </c>
      <c r="H510" s="100">
        <f t="shared" si="30"/>
        <v>0</v>
      </c>
      <c r="I510" s="100">
        <f t="shared" si="31"/>
        <v>0</v>
      </c>
      <c r="J510" s="100">
        <f t="shared" si="32"/>
        <v>0</v>
      </c>
      <c r="K510" s="100">
        <f t="shared" si="33"/>
        <v>0</v>
      </c>
      <c r="L510" s="100"/>
      <c r="M510" s="100">
        <f t="shared" si="36"/>
        <v>0</v>
      </c>
    </row>
    <row r="511" spans="3:13" x14ac:dyDescent="0.25">
      <c r="C511" s="100" t="str">
        <f t="shared" si="35"/>
        <v>X</v>
      </c>
      <c r="D511" s="100"/>
      <c r="E511" s="100"/>
      <c r="F511" s="100">
        <f t="shared" si="28"/>
        <v>0</v>
      </c>
      <c r="G511" s="100">
        <f t="shared" si="29"/>
        <v>0</v>
      </c>
      <c r="H511" s="100">
        <f t="shared" si="30"/>
        <v>0</v>
      </c>
      <c r="I511" s="100">
        <f t="shared" si="31"/>
        <v>0</v>
      </c>
      <c r="J511" s="100">
        <f t="shared" si="32"/>
        <v>322</v>
      </c>
      <c r="K511" s="100">
        <f t="shared" si="33"/>
        <v>322</v>
      </c>
      <c r="L511" s="100"/>
      <c r="M511" s="100">
        <f t="shared" si="36"/>
        <v>0</v>
      </c>
    </row>
    <row r="512" spans="3:13" hidden="1" x14ac:dyDescent="0.25">
      <c r="C512" s="100" t="str">
        <f t="shared" si="35"/>
        <v>Vrije categorie</v>
      </c>
      <c r="D512" s="100"/>
      <c r="E512" s="100"/>
      <c r="F512" s="100">
        <f t="shared" si="28"/>
        <v>0</v>
      </c>
      <c r="G512" s="100">
        <f t="shared" si="29"/>
        <v>0</v>
      </c>
      <c r="H512" s="100">
        <f t="shared" si="30"/>
        <v>0</v>
      </c>
      <c r="I512" s="100">
        <f t="shared" si="31"/>
        <v>0</v>
      </c>
      <c r="J512" s="100">
        <f t="shared" si="32"/>
        <v>0</v>
      </c>
      <c r="K512" s="100">
        <f t="shared" si="33"/>
        <v>0</v>
      </c>
      <c r="L512" s="100"/>
      <c r="M512" s="100">
        <f t="shared" si="36"/>
        <v>0</v>
      </c>
    </row>
    <row r="513" spans="3:13" hidden="1" x14ac:dyDescent="0.25">
      <c r="C513" s="100" t="str">
        <f t="shared" si="35"/>
        <v>Vrije categorie</v>
      </c>
      <c r="D513" s="100"/>
      <c r="E513" s="100"/>
      <c r="F513" s="100">
        <f t="shared" si="28"/>
        <v>0</v>
      </c>
      <c r="G513" s="100">
        <f t="shared" si="29"/>
        <v>0</v>
      </c>
      <c r="H513" s="100">
        <f t="shared" si="30"/>
        <v>0</v>
      </c>
      <c r="I513" s="100">
        <f t="shared" si="31"/>
        <v>0</v>
      </c>
      <c r="J513" s="100">
        <f t="shared" si="32"/>
        <v>0</v>
      </c>
      <c r="K513" s="100">
        <f t="shared" si="33"/>
        <v>0</v>
      </c>
      <c r="L513" s="100"/>
      <c r="M513" s="100">
        <f t="shared" si="36"/>
        <v>0</v>
      </c>
    </row>
    <row r="514" spans="3:13" hidden="1" x14ac:dyDescent="0.25">
      <c r="C514" s="100" t="str">
        <f t="shared" si="35"/>
        <v>Vrije categorie</v>
      </c>
      <c r="D514" s="100"/>
      <c r="E514" s="100"/>
      <c r="F514" s="100">
        <f t="shared" si="28"/>
        <v>0</v>
      </c>
      <c r="G514" s="100">
        <f t="shared" si="29"/>
        <v>0</v>
      </c>
      <c r="H514" s="100">
        <f t="shared" si="30"/>
        <v>0</v>
      </c>
      <c r="I514" s="100">
        <f t="shared" si="31"/>
        <v>0</v>
      </c>
      <c r="J514" s="100">
        <f t="shared" si="32"/>
        <v>0</v>
      </c>
      <c r="K514" s="100">
        <f t="shared" si="33"/>
        <v>0</v>
      </c>
      <c r="L514" s="100"/>
      <c r="M514" s="100">
        <f>SUMPRODUCT(--($E$4:$E$498=C514),--($D$4:$D$498=""),$M$4:$M$498)</f>
        <v>0</v>
      </c>
    </row>
    <row r="515" spans="3:13" ht="15.75" thickBot="1" x14ac:dyDescent="0.3">
      <c r="C515" s="101" t="s">
        <v>38</v>
      </c>
      <c r="D515" s="101"/>
      <c r="E515" s="101"/>
      <c r="F515" s="101">
        <f>SUM(F500:F514)</f>
        <v>2</v>
      </c>
      <c r="G515" s="101">
        <f t="shared" ref="G515:K515" si="37">SUM(G500:G514)</f>
        <v>0</v>
      </c>
      <c r="H515" s="101">
        <f t="shared" si="37"/>
        <v>0</v>
      </c>
      <c r="I515" s="101">
        <f t="shared" si="37"/>
        <v>0</v>
      </c>
      <c r="J515" s="101">
        <f t="shared" si="37"/>
        <v>416</v>
      </c>
      <c r="K515" s="101">
        <f t="shared" si="37"/>
        <v>418</v>
      </c>
      <c r="L515" s="101"/>
      <c r="M515" s="101">
        <f>SUM(M499:M514)</f>
        <v>24960</v>
      </c>
    </row>
    <row r="516" spans="3:13" ht="15.75" thickTop="1" x14ac:dyDescent="0.25">
      <c r="C516" s="102"/>
      <c r="D516" s="102"/>
      <c r="E516" s="102"/>
      <c r="F516" s="103"/>
      <c r="G516" s="103"/>
      <c r="H516" s="103"/>
      <c r="I516" s="103"/>
      <c r="J516" s="103"/>
      <c r="K516" s="104"/>
      <c r="L516" s="105"/>
      <c r="M516" s="103"/>
    </row>
    <row r="517" spans="3:13" ht="15.75" thickBot="1" x14ac:dyDescent="0.3">
      <c r="C517" s="101" t="s">
        <v>298</v>
      </c>
      <c r="D517" s="101"/>
      <c r="E517" s="101"/>
      <c r="F517" s="101" cm="1">
        <f t="array" ref="F517">SUMPRODUCT(--($E$4:$E$498="X"),$F$4:$F$498)</f>
        <v>0</v>
      </c>
      <c r="G517" s="101" cm="1">
        <f t="array" ref="G517">SUMPRODUCT(--($E$4:$E$498="X"),G4:G498)</f>
        <v>0</v>
      </c>
      <c r="H517" s="101" cm="1">
        <f t="array" ref="H517">SUMPRODUCT(--($E$4:$E$498="X"),H4:H498)</f>
        <v>0</v>
      </c>
      <c r="I517" s="101" cm="1">
        <f t="array" ref="I517">SUMPRODUCT(--($E$4:$E$498="X"),I4:I498)</f>
        <v>0</v>
      </c>
      <c r="J517" s="101" cm="1">
        <f t="array" ref="J517">SUMPRODUCT(--($E$4:$E$498="X"),J4:J498)</f>
        <v>322</v>
      </c>
      <c r="K517" s="101">
        <f>SUM(F517:J517)</f>
        <v>322</v>
      </c>
      <c r="L517" s="106"/>
      <c r="M517" s="107"/>
    </row>
    <row r="518" spans="3:13" ht="15.75" thickTop="1" x14ac:dyDescent="0.25"/>
    <row r="519" spans="3:13" hidden="1" x14ac:dyDescent="0.25">
      <c r="C519" s="9" t="s">
        <v>127</v>
      </c>
      <c r="D519" s="9"/>
      <c r="E519" s="9"/>
      <c r="F519" s="9"/>
      <c r="G519" s="9"/>
      <c r="H519" s="9"/>
      <c r="I519" s="9"/>
      <c r="J519" s="9"/>
      <c r="K519" s="9"/>
    </row>
    <row r="520" spans="3:13" hidden="1" x14ac:dyDescent="0.25">
      <c r="C520" s="9" t="str">
        <f t="shared" ref="C520:C534" si="38">C500</f>
        <v>A</v>
      </c>
      <c r="D520" s="9"/>
      <c r="E520" s="9"/>
      <c r="F520" s="9">
        <f t="shared" ref="F520:F534" si="39">SUMPRODUCT(--($E$4:$E$498=C520),--($D$4:$D$498="X"),$F$4:$F$498)</f>
        <v>0</v>
      </c>
      <c r="G520" s="9">
        <f t="shared" ref="G520:G534" si="40">SUMPRODUCT(--($E$4:$E$498=C520),--($D$4:$D$498="X"),$G$4:$G$498)</f>
        <v>0</v>
      </c>
      <c r="H520" s="9">
        <f t="shared" ref="H520:H534" si="41">SUMPRODUCT(--($E$4:$E$498=C520),--($D$4:$D$498="X"),$H$4:$H$498)</f>
        <v>0</v>
      </c>
      <c r="I520" s="9">
        <f t="shared" ref="I520:I534" si="42">SUMPRODUCT(--($E$4:$E$498=C520),--($D$4:$D$498="X"),$I$4:$I$498)</f>
        <v>0</v>
      </c>
      <c r="J520" s="9">
        <f t="shared" ref="J520:J534" si="43">SUMPRODUCT(--($E$4:$E$498=C520),--($D$4:$D$498="X"),$J$4:$J$498)</f>
        <v>0</v>
      </c>
      <c r="K520" s="9">
        <f t="shared" ref="K520:K534" si="44">SUM(F520:J520)</f>
        <v>0</v>
      </c>
    </row>
    <row r="521" spans="3:13" hidden="1" x14ac:dyDescent="0.25">
      <c r="C521" s="9" t="str">
        <f t="shared" si="38"/>
        <v>B</v>
      </c>
      <c r="D521" s="9"/>
      <c r="E521" s="9"/>
      <c r="F521" s="9">
        <f t="shared" si="39"/>
        <v>0</v>
      </c>
      <c r="G521" s="9">
        <f t="shared" si="40"/>
        <v>0</v>
      </c>
      <c r="H521" s="9">
        <f t="shared" si="41"/>
        <v>0</v>
      </c>
      <c r="I521" s="9">
        <f t="shared" si="42"/>
        <v>0</v>
      </c>
      <c r="J521" s="9">
        <f t="shared" si="43"/>
        <v>0</v>
      </c>
      <c r="K521" s="9">
        <f t="shared" si="44"/>
        <v>0</v>
      </c>
    </row>
    <row r="522" spans="3:13" hidden="1" x14ac:dyDescent="0.25">
      <c r="C522" s="9" t="str">
        <f t="shared" si="38"/>
        <v>C</v>
      </c>
      <c r="D522" s="9"/>
      <c r="E522" s="9"/>
      <c r="F522" s="9">
        <f t="shared" si="39"/>
        <v>0</v>
      </c>
      <c r="G522" s="9">
        <f t="shared" si="40"/>
        <v>0</v>
      </c>
      <c r="H522" s="9">
        <f t="shared" si="41"/>
        <v>0</v>
      </c>
      <c r="I522" s="9">
        <f t="shared" si="42"/>
        <v>0</v>
      </c>
      <c r="J522" s="9">
        <f t="shared" si="43"/>
        <v>0</v>
      </c>
      <c r="K522" s="9">
        <f t="shared" si="44"/>
        <v>0</v>
      </c>
    </row>
    <row r="523" spans="3:13" hidden="1" x14ac:dyDescent="0.25">
      <c r="C523" s="9" t="str">
        <f t="shared" si="38"/>
        <v>D</v>
      </c>
      <c r="D523" s="9"/>
      <c r="E523" s="9"/>
      <c r="F523" s="9">
        <f t="shared" si="39"/>
        <v>0</v>
      </c>
      <c r="G523" s="9">
        <f t="shared" si="40"/>
        <v>0</v>
      </c>
      <c r="H523" s="9">
        <f t="shared" si="41"/>
        <v>0</v>
      </c>
      <c r="I523" s="9">
        <f t="shared" si="42"/>
        <v>0</v>
      </c>
      <c r="J523" s="9">
        <f t="shared" si="43"/>
        <v>0</v>
      </c>
      <c r="K523" s="9">
        <f t="shared" si="44"/>
        <v>0</v>
      </c>
    </row>
    <row r="524" spans="3:13" hidden="1" x14ac:dyDescent="0.25">
      <c r="C524" s="9" t="str">
        <f t="shared" si="38"/>
        <v>E</v>
      </c>
      <c r="D524" s="9"/>
      <c r="E524" s="9"/>
      <c r="F524" s="9">
        <f t="shared" si="39"/>
        <v>0</v>
      </c>
      <c r="G524" s="9">
        <f t="shared" si="40"/>
        <v>0</v>
      </c>
      <c r="H524" s="9">
        <f t="shared" si="41"/>
        <v>0</v>
      </c>
      <c r="I524" s="9">
        <f t="shared" si="42"/>
        <v>0</v>
      </c>
      <c r="J524" s="9">
        <f t="shared" si="43"/>
        <v>0</v>
      </c>
      <c r="K524" s="9">
        <f t="shared" si="44"/>
        <v>0</v>
      </c>
    </row>
    <row r="525" spans="3:13" hidden="1" x14ac:dyDescent="0.25">
      <c r="C525" s="9" t="str">
        <f t="shared" si="38"/>
        <v>F</v>
      </c>
      <c r="D525" s="9"/>
      <c r="E525" s="9"/>
      <c r="F525" s="9">
        <f t="shared" si="39"/>
        <v>0</v>
      </c>
      <c r="G525" s="9">
        <f t="shared" si="40"/>
        <v>0</v>
      </c>
      <c r="H525" s="9">
        <f t="shared" si="41"/>
        <v>0</v>
      </c>
      <c r="I525" s="9">
        <f t="shared" si="42"/>
        <v>0</v>
      </c>
      <c r="J525" s="9">
        <f t="shared" si="43"/>
        <v>0</v>
      </c>
      <c r="K525" s="9">
        <f t="shared" si="44"/>
        <v>0</v>
      </c>
    </row>
    <row r="526" spans="3:13" hidden="1" x14ac:dyDescent="0.25">
      <c r="C526" s="9" t="str">
        <f t="shared" si="38"/>
        <v>G</v>
      </c>
      <c r="D526" s="9"/>
      <c r="E526" s="9"/>
      <c r="F526" s="9">
        <f t="shared" si="39"/>
        <v>0</v>
      </c>
      <c r="G526" s="9">
        <f t="shared" si="40"/>
        <v>0</v>
      </c>
      <c r="H526" s="9">
        <f t="shared" si="41"/>
        <v>0</v>
      </c>
      <c r="I526" s="9">
        <f t="shared" si="42"/>
        <v>0</v>
      </c>
      <c r="J526" s="9">
        <f t="shared" si="43"/>
        <v>0</v>
      </c>
      <c r="K526" s="9">
        <f t="shared" si="44"/>
        <v>0</v>
      </c>
    </row>
    <row r="527" spans="3:13" hidden="1" x14ac:dyDescent="0.25">
      <c r="C527" s="9" t="str">
        <f t="shared" si="38"/>
        <v>H</v>
      </c>
      <c r="D527" s="9"/>
      <c r="E527" s="9"/>
      <c r="F527" s="9">
        <f t="shared" si="39"/>
        <v>0</v>
      </c>
      <c r="G527" s="9">
        <f t="shared" si="40"/>
        <v>0</v>
      </c>
      <c r="H527" s="9">
        <f t="shared" si="41"/>
        <v>0</v>
      </c>
      <c r="I527" s="9">
        <f t="shared" si="42"/>
        <v>0</v>
      </c>
      <c r="J527" s="9">
        <f t="shared" si="43"/>
        <v>0</v>
      </c>
      <c r="K527" s="9">
        <f t="shared" si="44"/>
        <v>0</v>
      </c>
    </row>
    <row r="528" spans="3:13" hidden="1" x14ac:dyDescent="0.25">
      <c r="C528" s="9" t="str">
        <f t="shared" si="38"/>
        <v>I</v>
      </c>
      <c r="D528" s="9"/>
      <c r="E528" s="9"/>
      <c r="F528" s="9">
        <f t="shared" si="39"/>
        <v>0</v>
      </c>
      <c r="G528" s="9">
        <f t="shared" si="40"/>
        <v>0</v>
      </c>
      <c r="H528" s="9">
        <f t="shared" si="41"/>
        <v>0</v>
      </c>
      <c r="I528" s="9">
        <f t="shared" si="42"/>
        <v>0</v>
      </c>
      <c r="J528" s="9">
        <f t="shared" si="43"/>
        <v>0</v>
      </c>
      <c r="K528" s="9">
        <f t="shared" si="44"/>
        <v>0</v>
      </c>
    </row>
    <row r="529" spans="3:12" hidden="1" x14ac:dyDescent="0.25">
      <c r="C529" s="9" t="str">
        <f t="shared" si="38"/>
        <v>J</v>
      </c>
      <c r="D529" s="9"/>
      <c r="E529" s="9"/>
      <c r="F529" s="9">
        <f t="shared" si="39"/>
        <v>0</v>
      </c>
      <c r="G529" s="9">
        <f t="shared" si="40"/>
        <v>0</v>
      </c>
      <c r="H529" s="9">
        <f t="shared" si="41"/>
        <v>0</v>
      </c>
      <c r="I529" s="9">
        <f t="shared" si="42"/>
        <v>0</v>
      </c>
      <c r="J529" s="9">
        <f t="shared" si="43"/>
        <v>0</v>
      </c>
      <c r="K529" s="9">
        <f t="shared" si="44"/>
        <v>0</v>
      </c>
    </row>
    <row r="530" spans="3:12" hidden="1" x14ac:dyDescent="0.25">
      <c r="C530" s="9" t="str">
        <f t="shared" si="38"/>
        <v>K</v>
      </c>
      <c r="D530" s="9"/>
      <c r="E530" s="9"/>
      <c r="F530" s="9">
        <f t="shared" si="39"/>
        <v>0</v>
      </c>
      <c r="G530" s="9">
        <f t="shared" si="40"/>
        <v>0</v>
      </c>
      <c r="H530" s="9">
        <f t="shared" si="41"/>
        <v>0</v>
      </c>
      <c r="I530" s="9">
        <f t="shared" si="42"/>
        <v>0</v>
      </c>
      <c r="J530" s="9">
        <f t="shared" si="43"/>
        <v>0</v>
      </c>
      <c r="K530" s="9">
        <f t="shared" si="44"/>
        <v>0</v>
      </c>
    </row>
    <row r="531" spans="3:12" hidden="1" x14ac:dyDescent="0.25">
      <c r="C531" s="9" t="str">
        <f t="shared" si="38"/>
        <v>X</v>
      </c>
      <c r="D531" s="9"/>
      <c r="E531" s="9"/>
      <c r="F531" s="9">
        <f t="shared" si="39"/>
        <v>0</v>
      </c>
      <c r="G531" s="9">
        <f t="shared" si="40"/>
        <v>0</v>
      </c>
      <c r="H531" s="9">
        <f t="shared" si="41"/>
        <v>0</v>
      </c>
      <c r="I531" s="9">
        <f t="shared" si="42"/>
        <v>0</v>
      </c>
      <c r="J531" s="9">
        <f t="shared" si="43"/>
        <v>0</v>
      </c>
      <c r="K531" s="9">
        <f t="shared" si="44"/>
        <v>0</v>
      </c>
    </row>
    <row r="532" spans="3:12" hidden="1" x14ac:dyDescent="0.25">
      <c r="C532" s="9" t="str">
        <f t="shared" si="38"/>
        <v>Vrije categorie</v>
      </c>
      <c r="D532" s="9"/>
      <c r="E532" s="9"/>
      <c r="F532" s="9">
        <f t="shared" si="39"/>
        <v>0</v>
      </c>
      <c r="G532" s="9">
        <f t="shared" si="40"/>
        <v>0</v>
      </c>
      <c r="H532" s="9">
        <f t="shared" si="41"/>
        <v>0</v>
      </c>
      <c r="I532" s="9">
        <f t="shared" si="42"/>
        <v>0</v>
      </c>
      <c r="J532" s="9">
        <f t="shared" si="43"/>
        <v>0</v>
      </c>
      <c r="K532" s="9">
        <f t="shared" si="44"/>
        <v>0</v>
      </c>
    </row>
    <row r="533" spans="3:12" hidden="1" x14ac:dyDescent="0.25">
      <c r="C533" s="9" t="str">
        <f t="shared" si="38"/>
        <v>Vrije categorie</v>
      </c>
      <c r="D533" s="9"/>
      <c r="E533" s="9"/>
      <c r="F533" s="9">
        <f t="shared" si="39"/>
        <v>0</v>
      </c>
      <c r="G533" s="9">
        <f t="shared" si="40"/>
        <v>0</v>
      </c>
      <c r="H533" s="9">
        <f t="shared" si="41"/>
        <v>0</v>
      </c>
      <c r="I533" s="9">
        <f t="shared" si="42"/>
        <v>0</v>
      </c>
      <c r="J533" s="9">
        <f t="shared" si="43"/>
        <v>0</v>
      </c>
      <c r="K533" s="9">
        <f t="shared" si="44"/>
        <v>0</v>
      </c>
    </row>
    <row r="534" spans="3:12" hidden="1" x14ac:dyDescent="0.25">
      <c r="C534" s="9" t="str">
        <f t="shared" si="38"/>
        <v>Vrije categorie</v>
      </c>
      <c r="D534" s="9"/>
      <c r="E534" s="9"/>
      <c r="F534" s="9">
        <f t="shared" si="39"/>
        <v>0</v>
      </c>
      <c r="G534" s="9">
        <f t="shared" si="40"/>
        <v>0</v>
      </c>
      <c r="H534" s="9">
        <f t="shared" si="41"/>
        <v>0</v>
      </c>
      <c r="I534" s="9">
        <f t="shared" si="42"/>
        <v>0</v>
      </c>
      <c r="J534" s="9">
        <f t="shared" si="43"/>
        <v>0</v>
      </c>
      <c r="K534" s="9">
        <f t="shared" si="44"/>
        <v>0</v>
      </c>
    </row>
    <row r="535" spans="3:12" ht="15.75" hidden="1" thickBot="1" x14ac:dyDescent="0.3">
      <c r="C535" s="10" t="s">
        <v>126</v>
      </c>
      <c r="D535" s="10"/>
      <c r="E535" s="10"/>
      <c r="F535" s="10">
        <f t="shared" ref="F535:K535" si="45">SUM(F520:F534)</f>
        <v>0</v>
      </c>
      <c r="G535" s="10">
        <f t="shared" si="45"/>
        <v>0</v>
      </c>
      <c r="H535" s="10">
        <f t="shared" si="45"/>
        <v>0</v>
      </c>
      <c r="I535" s="10">
        <f t="shared" si="45"/>
        <v>0</v>
      </c>
      <c r="J535" s="10">
        <f t="shared" si="45"/>
        <v>0</v>
      </c>
      <c r="K535" s="10">
        <f t="shared" si="45"/>
        <v>0</v>
      </c>
    </row>
    <row r="536" spans="3:12" ht="15.75" thickTop="1" x14ac:dyDescent="0.25">
      <c r="C536" s="18"/>
    </row>
    <row r="537" spans="3:12" x14ac:dyDescent="0.25">
      <c r="C537" s="18"/>
    </row>
    <row r="538" spans="3:12" x14ac:dyDescent="0.25">
      <c r="F538" s="226" t="s">
        <v>36</v>
      </c>
      <c r="G538" s="227" t="s">
        <v>37</v>
      </c>
      <c r="I538" s="507" t="s">
        <v>251</v>
      </c>
      <c r="J538" s="508"/>
      <c r="K538" s="202" t="s">
        <v>206</v>
      </c>
      <c r="L538"/>
    </row>
    <row r="539" spans="3:12" x14ac:dyDescent="0.25">
      <c r="F539" s="228" t="str">
        <f>IF('1a'!F539=0,"",'1a'!F539)</f>
        <v>A</v>
      </c>
      <c r="G539" s="229">
        <f>IF('1a'!G539=0,"",'1a'!G539)</f>
        <v>104</v>
      </c>
      <c r="I539" s="509" t="s">
        <v>310</v>
      </c>
      <c r="J539" s="510"/>
      <c r="K539" s="203">
        <v>62</v>
      </c>
      <c r="L539"/>
    </row>
    <row r="540" spans="3:12" x14ac:dyDescent="0.25">
      <c r="F540" s="228" t="str">
        <f>IF('1a'!F540=0,"",'1a'!F540)</f>
        <v>B</v>
      </c>
      <c r="G540" s="229">
        <f>IF('1a'!G540=0,"",'1a'!G540)</f>
        <v>260</v>
      </c>
      <c r="I540" s="509"/>
      <c r="J540" s="510"/>
      <c r="K540" s="203"/>
      <c r="L540"/>
    </row>
    <row r="541" spans="3:12" x14ac:dyDescent="0.25">
      <c r="F541" s="228" t="str">
        <f>IF('1a'!F541=0,"",'1a'!F541)</f>
        <v>C</v>
      </c>
      <c r="G541" s="229">
        <f>IF('1a'!G541=0,"",'1a'!G541)</f>
        <v>260</v>
      </c>
      <c r="I541" s="509"/>
      <c r="J541" s="510"/>
      <c r="K541" s="203"/>
      <c r="L541"/>
    </row>
    <row r="542" spans="3:12" x14ac:dyDescent="0.25">
      <c r="F542" s="228" t="str">
        <f>IF('1a'!F542=0,"",'1a'!F542)</f>
        <v>D</v>
      </c>
      <c r="G542" s="229">
        <f>IF('1a'!G542=0,"",'1a'!G542)</f>
        <v>260</v>
      </c>
      <c r="I542" s="509" t="s">
        <v>255</v>
      </c>
      <c r="J542" s="510"/>
      <c r="K542" s="203"/>
      <c r="L542"/>
    </row>
    <row r="543" spans="3:12" x14ac:dyDescent="0.25">
      <c r="F543" s="228" t="str">
        <f>IF('1a'!F543=0,"",'1a'!F543)</f>
        <v>E</v>
      </c>
      <c r="G543" s="229">
        <f>IF('1a'!G543=0,"",'1a'!G543)</f>
        <v>260</v>
      </c>
      <c r="I543" s="509" t="s">
        <v>167</v>
      </c>
      <c r="J543" s="510"/>
      <c r="K543" s="203"/>
      <c r="L543"/>
    </row>
    <row r="544" spans="3:12" x14ac:dyDescent="0.25">
      <c r="F544" s="228" t="str">
        <f>IF('1a'!F544=0,"",'1a'!F544)</f>
        <v>F</v>
      </c>
      <c r="G544" s="229">
        <f>IF('1a'!G544=0,"",'1a'!G544)</f>
        <v>260</v>
      </c>
      <c r="I544" s="505" t="s">
        <v>168</v>
      </c>
      <c r="J544" s="506"/>
      <c r="K544" s="204"/>
      <c r="L544"/>
    </row>
    <row r="545" spans="6:7" x14ac:dyDescent="0.25">
      <c r="F545" s="228" t="str">
        <f>IF('1a'!F545=0,"",'1a'!F545)</f>
        <v>G</v>
      </c>
      <c r="G545" s="229">
        <f>IF('1a'!G545=0,"",'1a'!G545)</f>
        <v>260</v>
      </c>
    </row>
    <row r="546" spans="6:7" x14ac:dyDescent="0.25">
      <c r="F546" s="228" t="str">
        <f>IF('1a'!F546=0,"",'1a'!F546)</f>
        <v>H</v>
      </c>
      <c r="G546" s="229">
        <f>IF('1a'!G546=0,"",'1a'!G546)</f>
        <v>260</v>
      </c>
    </row>
    <row r="547" spans="6:7" x14ac:dyDescent="0.25">
      <c r="F547" s="228" t="str">
        <f>IF('1a'!F547=0,"",'1a'!F547)</f>
        <v>I</v>
      </c>
      <c r="G547" s="229">
        <f>IF('1a'!G547=0,"",'1a'!G547)</f>
        <v>260</v>
      </c>
    </row>
    <row r="548" spans="6:7" x14ac:dyDescent="0.25">
      <c r="F548" s="228" t="str">
        <f>IF('1a'!F548=0,"",'1a'!F548)</f>
        <v>J</v>
      </c>
      <c r="G548" s="229">
        <f>IF('1a'!G548=0,"",'1a'!G548)</f>
        <v>260</v>
      </c>
    </row>
    <row r="549" spans="6:7" x14ac:dyDescent="0.25">
      <c r="F549" s="228" t="str">
        <f>IF('1a'!F549=0,"",'1a'!F549)</f>
        <v>K</v>
      </c>
      <c r="G549" s="229">
        <f>IF('1a'!G549=0,"",'1a'!G549)</f>
        <v>12</v>
      </c>
    </row>
    <row r="550" spans="6:7" x14ac:dyDescent="0.25">
      <c r="F550" s="222" t="str">
        <f>IF('1a'!F550=0,"",'1a'!F550)</f>
        <v>X</v>
      </c>
      <c r="G550" s="240" t="str">
        <f>IF('1a'!G550=0,"0",'1a'!G550)</f>
        <v>0</v>
      </c>
    </row>
    <row r="551" spans="6:7" hidden="1" x14ac:dyDescent="0.25">
      <c r="F551" s="222" t="str">
        <f>IF('1a'!F551=0,"",'1a'!F551)</f>
        <v>Vrije categorie</v>
      </c>
      <c r="G551" s="240" t="str">
        <f>IF('1a'!G551=0,"",'1a'!G551)</f>
        <v/>
      </c>
    </row>
    <row r="552" spans="6:7" hidden="1" x14ac:dyDescent="0.25">
      <c r="F552" s="222" t="str">
        <f>IF('1a'!F552=0,"",'1a'!F552)</f>
        <v>Vrije categorie</v>
      </c>
      <c r="G552" s="240" t="str">
        <f>IF('1a'!G552=0,"",'1a'!G552)</f>
        <v/>
      </c>
    </row>
    <row r="553" spans="6:7" hidden="1" x14ac:dyDescent="0.25">
      <c r="F553" s="221" t="str">
        <f>IF('1a'!F553=0,"",'1a'!F553)</f>
        <v>Vrije categorie</v>
      </c>
      <c r="G553" s="236" t="str">
        <f>IF('1a'!G553=0,"",'1a'!G553)</f>
        <v/>
      </c>
    </row>
  </sheetData>
  <mergeCells count="7">
    <mergeCell ref="I543:J543"/>
    <mergeCell ref="I544:J544"/>
    <mergeCell ref="I538:J538"/>
    <mergeCell ref="I539:J539"/>
    <mergeCell ref="I540:J540"/>
    <mergeCell ref="I541:J541"/>
    <mergeCell ref="I542:J542"/>
  </mergeCells>
  <printOptions gridLines="1"/>
  <pageMargins left="0.70866141732283472" right="0.70866141732283472" top="0.94488188976377963" bottom="0.74803149606299213" header="0.31496062992125984" footer="0.31496062992125984"/>
  <pageSetup paperSize="9" scale="87" orientation="portrait" cellComments="asDisplayed" r:id="rId1"/>
  <headerFooter>
    <oddHeader>&amp;L&amp;G</oddHead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10">
    <tabColor rgb="FFC2E76B"/>
  </sheetPr>
  <dimension ref="A1:O121"/>
  <sheetViews>
    <sheetView showGridLines="0" showZeros="0" zoomScaleNormal="100" workbookViewId="0">
      <selection activeCell="K54" sqref="K54"/>
    </sheetView>
  </sheetViews>
  <sheetFormatPr defaultColWidth="0" defaultRowHeight="0" customHeight="1" zeroHeight="1" x14ac:dyDescent="0.25"/>
  <cols>
    <col min="1" max="3" width="9.140625" style="274" customWidth="1"/>
    <col min="4" max="5" width="15.7109375" style="274" customWidth="1"/>
    <col min="6" max="6" width="17.140625" style="274" customWidth="1"/>
    <col min="7" max="9" width="15.7109375" style="274" customWidth="1"/>
    <col min="10" max="10" width="12.140625" style="274" customWidth="1"/>
    <col min="11" max="11" width="15.7109375" style="274" customWidth="1"/>
    <col min="12" max="12" width="16.42578125" style="274" customWidth="1"/>
    <col min="13" max="13" width="2.140625" style="274" customWidth="1"/>
    <col min="14" max="15" width="0" style="274" hidden="1" customWidth="1"/>
    <col min="16" max="16384" width="9.140625" style="274" hidden="1"/>
  </cols>
  <sheetData>
    <row r="1" spans="1:11" ht="15" x14ac:dyDescent="0.25"/>
    <row r="2" spans="1:11" ht="23.25" x14ac:dyDescent="0.35">
      <c r="D2" s="311" t="str">
        <f>CONCATENATE("Uitvoeringsbepaling"," ",H4,", onderdeel van ",Verzamelblad!A2," ",Verzamelblad!A3)</f>
        <v xml:space="preserve">Uitvoeringsbepaling 4, onderdeel van Bestek </v>
      </c>
      <c r="E2" s="289"/>
      <c r="F2" s="289"/>
      <c r="G2" s="289"/>
      <c r="H2" s="312"/>
    </row>
    <row r="3" spans="1:11" ht="15" x14ac:dyDescent="0.25">
      <c r="A3" s="275"/>
      <c r="B3" s="275"/>
      <c r="C3" s="275"/>
      <c r="D3" s="313"/>
      <c r="E3" s="313"/>
      <c r="F3" s="275"/>
      <c r="G3" s="275"/>
      <c r="H3" s="275"/>
    </row>
    <row r="4" spans="1:11" ht="15" customHeight="1" x14ac:dyDescent="0.25">
      <c r="A4" s="328" t="s">
        <v>7</v>
      </c>
      <c r="B4" s="485" t="str">
        <f>VLOOKUP(H4,Verzamelblad!A5:E19,3)</f>
        <v>De Kruidhof</v>
      </c>
      <c r="C4" s="485"/>
      <c r="D4" s="485"/>
      <c r="E4" s="485"/>
      <c r="F4" s="511" t="s">
        <v>11</v>
      </c>
      <c r="G4" s="511"/>
      <c r="H4" s="402">
        <v>4</v>
      </c>
    </row>
    <row r="5" spans="1:11" ht="15" x14ac:dyDescent="0.25">
      <c r="A5" s="335" t="s">
        <v>6</v>
      </c>
      <c r="B5" s="482" t="str">
        <f>VLOOKUP(H4,Verzamelblad!A5:E19,4)</f>
        <v>Schoolstraat 29B</v>
      </c>
      <c r="C5" s="482"/>
      <c r="D5" s="482"/>
      <c r="E5" s="482"/>
      <c r="F5" s="512" t="s">
        <v>12</v>
      </c>
      <c r="G5" s="512"/>
      <c r="H5" s="403" t="str">
        <f>CONCATENATE(H4,"a")</f>
        <v>4a</v>
      </c>
    </row>
    <row r="6" spans="1:11" ht="15" x14ac:dyDescent="0.25">
      <c r="A6" s="344" t="s">
        <v>8</v>
      </c>
      <c r="B6" s="479" t="str">
        <f>VLOOKUP(H4,Verzamelblad!A5:E19,5)</f>
        <v>Buitenpost</v>
      </c>
      <c r="C6" s="479"/>
      <c r="D6" s="479"/>
      <c r="E6" s="479"/>
      <c r="F6" s="513" t="s">
        <v>143</v>
      </c>
      <c r="G6" s="513"/>
      <c r="H6" s="404"/>
      <c r="I6" s="275"/>
    </row>
    <row r="7" spans="1:11" ht="15" x14ac:dyDescent="0.25">
      <c r="A7" s="320"/>
      <c r="B7" s="320"/>
      <c r="C7" s="320"/>
      <c r="D7" s="320"/>
      <c r="E7" s="320"/>
      <c r="F7" s="275"/>
      <c r="G7" s="321"/>
      <c r="H7" s="322"/>
      <c r="I7" s="275"/>
    </row>
    <row r="8" spans="1:11" ht="15" x14ac:dyDescent="0.25">
      <c r="A8" s="314" t="s">
        <v>9</v>
      </c>
      <c r="B8" s="323"/>
      <c r="C8" s="323"/>
      <c r="D8" s="323"/>
      <c r="E8" s="405">
        <f>VLOOKUP($H$4,Verzamelblad!$A$5:$EK$19,14,0)</f>
        <v>0</v>
      </c>
      <c r="F8" s="324"/>
      <c r="G8" s="275"/>
      <c r="H8" s="275"/>
      <c r="I8" s="275"/>
    </row>
    <row r="9" spans="1:11" ht="15" x14ac:dyDescent="0.25">
      <c r="A9" s="318" t="s">
        <v>10</v>
      </c>
      <c r="B9" s="325"/>
      <c r="C9" s="325"/>
      <c r="D9" s="325"/>
      <c r="E9" s="406">
        <f>VLOOKUP($H$4,Verzamelblad!$A$5:$EK$19,6,0)</f>
        <v>52</v>
      </c>
      <c r="F9" s="275"/>
      <c r="G9" s="275"/>
      <c r="H9" s="275"/>
      <c r="I9" s="275"/>
    </row>
    <row r="10" spans="1:11" ht="18.75" customHeight="1" x14ac:dyDescent="0.25">
      <c r="F10" s="327" t="s">
        <v>190</v>
      </c>
      <c r="G10" s="327" t="s">
        <v>191</v>
      </c>
      <c r="H10" s="327" t="s">
        <v>74</v>
      </c>
      <c r="I10" s="327" t="s">
        <v>192</v>
      </c>
      <c r="J10" s="327" t="s">
        <v>193</v>
      </c>
      <c r="K10" s="327" t="s">
        <v>194</v>
      </c>
    </row>
    <row r="11" spans="1:11" ht="15" x14ac:dyDescent="0.25">
      <c r="A11" s="328" t="s">
        <v>18</v>
      </c>
      <c r="B11" s="329"/>
      <c r="C11" s="329"/>
      <c r="D11" s="330"/>
      <c r="E11" s="331"/>
      <c r="F11" s="407" t="str">
        <f>IFERROR(IF(SUM(I11/12)=0,"",SUM(I11/12)),"")</f>
        <v/>
      </c>
      <c r="G11" s="408" t="str">
        <f>IFERROR(SUM(J11/12),"")</f>
        <v/>
      </c>
      <c r="H11" s="334" t="str">
        <f>IFERROR(SUM(J11/E9),"")</f>
        <v/>
      </c>
      <c r="I11" s="407" t="str">
        <f>IFERROR(IF(SUM($I$14*K11)=0,"",SUM($I$14*K11)),"")</f>
        <v/>
      </c>
      <c r="J11" s="408" t="str">
        <f>IFERROR(SUM(J14*K11),"")</f>
        <v/>
      </c>
      <c r="K11" s="190"/>
    </row>
    <row r="12" spans="1:11" ht="15" x14ac:dyDescent="0.25">
      <c r="A12" s="335" t="s">
        <v>19</v>
      </c>
      <c r="B12" s="336"/>
      <c r="C12" s="336"/>
      <c r="D12" s="337"/>
      <c r="E12" s="338"/>
      <c r="F12" s="409" t="str">
        <f>IFERROR(IF(SUM(I12/3)=0,"",SUM(I12/3)),"")</f>
        <v/>
      </c>
      <c r="G12" s="410" t="str">
        <f>IFERROR(SUM(J12/3),"")</f>
        <v/>
      </c>
      <c r="H12" s="341"/>
      <c r="I12" s="411" t="str">
        <f>IFERROR(IF(SUM($I$14*K12)=0,"",SUM($I$14*K12)),"")</f>
        <v/>
      </c>
      <c r="J12" s="412" t="str">
        <f>IFERROR(SUM(J14*K12),"")</f>
        <v/>
      </c>
      <c r="K12" s="191"/>
    </row>
    <row r="13" spans="1:11" ht="15" x14ac:dyDescent="0.25">
      <c r="A13" s="344" t="s">
        <v>20</v>
      </c>
      <c r="B13" s="345"/>
      <c r="C13" s="345"/>
      <c r="D13" s="346"/>
      <c r="E13" s="347"/>
      <c r="F13" s="413" t="str">
        <f>IF(I13=0,"",I13)</f>
        <v/>
      </c>
      <c r="G13" s="414" t="str">
        <f>IFERROR(J13,"")</f>
        <v/>
      </c>
      <c r="H13" s="350"/>
      <c r="I13" s="415" t="str">
        <f>IFERROR(IF(SUM($I$14*K13)=0,"",SUM($I$14*K13)),"")</f>
        <v/>
      </c>
      <c r="J13" s="416" t="str">
        <f>IFERROR(SUM(J14*K13),"")</f>
        <v/>
      </c>
      <c r="K13" s="192"/>
    </row>
    <row r="14" spans="1:11" ht="15.75" thickBot="1" x14ac:dyDescent="0.3">
      <c r="A14" s="275" t="s">
        <v>13</v>
      </c>
      <c r="B14" s="275"/>
      <c r="C14" s="275"/>
      <c r="D14" s="275"/>
      <c r="E14" s="313"/>
      <c r="F14" s="417" t="str">
        <f>IFERROR(IF(SUM(F11:F13)=0,"",SUM(F11:F13)),"")</f>
        <v/>
      </c>
      <c r="G14" s="418">
        <f>IFERROR(SUM(G11:G13),"")</f>
        <v>0</v>
      </c>
      <c r="H14" s="355"/>
      <c r="I14" s="417" t="str">
        <f>IFERROR(IF(E100=0,"",E100),"")</f>
        <v/>
      </c>
      <c r="J14" s="418" t="str">
        <f>IFERROR(SUM(I14/offertetarief),"")</f>
        <v/>
      </c>
      <c r="K14" s="275" t="str">
        <f>IF(SUM(K11:K13)=100%,"","Geen 100%")</f>
        <v>Geen 100%</v>
      </c>
    </row>
    <row r="15" spans="1:11" ht="15.75" thickTop="1" x14ac:dyDescent="0.25">
      <c r="F15" s="327" t="s">
        <v>195</v>
      </c>
      <c r="G15" s="327" t="s">
        <v>196</v>
      </c>
    </row>
    <row r="16" spans="1:11" ht="15" x14ac:dyDescent="0.25">
      <c r="A16" s="277" t="s">
        <v>14</v>
      </c>
      <c r="B16" s="278"/>
      <c r="C16" s="278"/>
      <c r="D16" s="278"/>
      <c r="E16" s="279"/>
      <c r="F16" s="419" t="str">
        <f>IFERROR(SUM((J14*directtoezicht)/E9),"")</f>
        <v/>
      </c>
      <c r="G16" s="420" t="str">
        <f>IF(J14="","",SUM(J14*directtoezicht))</f>
        <v/>
      </c>
    </row>
    <row r="17" spans="1:12" ht="15.75" customHeight="1" x14ac:dyDescent="0.25">
      <c r="K17" s="489" t="s">
        <v>214</v>
      </c>
      <c r="L17" s="489" t="s">
        <v>215</v>
      </c>
    </row>
    <row r="18" spans="1:12" ht="15.75" customHeight="1" x14ac:dyDescent="0.25">
      <c r="A18" s="274" t="s">
        <v>75</v>
      </c>
      <c r="K18" s="490"/>
      <c r="L18" s="490"/>
    </row>
    <row r="19" spans="1:12" ht="15" x14ac:dyDescent="0.25">
      <c r="A19" s="502" t="s">
        <v>197</v>
      </c>
      <c r="B19" s="503"/>
      <c r="C19" s="504"/>
      <c r="D19" s="421">
        <f ca="1">D100</f>
        <v>13737.36</v>
      </c>
      <c r="E19" s="500" t="s">
        <v>198</v>
      </c>
      <c r="F19" s="501"/>
      <c r="G19" s="422">
        <f ca="1">IFERROR(D100/E9,"")</f>
        <v>264.18</v>
      </c>
      <c r="H19" s="361" t="s">
        <v>199</v>
      </c>
      <c r="I19" s="423" t="str">
        <f ca="1">IFERROR(SUM(D19/J14),"")</f>
        <v/>
      </c>
      <c r="K19" s="363" t="str">
        <f ca="1">IF(INDIRECT("'"&amp;$H$5&amp;"'!F539")="X","",IF(INDIRECT("'"&amp;$H$5&amp;"'!F539")="Vrije categorie","",INDIRECT("'"&amp;$H$5&amp;"'!F539")))</f>
        <v>A</v>
      </c>
      <c r="L19" s="187"/>
    </row>
    <row r="20" spans="1:12" ht="15" x14ac:dyDescent="0.25">
      <c r="K20" s="364" t="str">
        <f ca="1">IF(INDIRECT("'"&amp;$H$5&amp;"'!F540")="X","",IF(INDIRECT("'"&amp;$H$5&amp;"'!F540")="Vrije categorie","",INDIRECT("'"&amp;$H$5&amp;"'!F540")))</f>
        <v>B</v>
      </c>
      <c r="L20" s="188"/>
    </row>
    <row r="21" spans="1:12" ht="15" x14ac:dyDescent="0.25">
      <c r="A21" s="274" t="s">
        <v>15</v>
      </c>
      <c r="B21" s="283"/>
      <c r="D21" s="327" t="s">
        <v>200</v>
      </c>
      <c r="E21" s="327" t="s">
        <v>201</v>
      </c>
      <c r="F21" s="327" t="s">
        <v>202</v>
      </c>
      <c r="G21" s="327" t="s">
        <v>203</v>
      </c>
      <c r="H21" s="327" t="s">
        <v>204</v>
      </c>
      <c r="I21" s="327" t="s">
        <v>205</v>
      </c>
      <c r="K21" s="364" t="str">
        <f ca="1">IF(INDIRECT("'"&amp;$H$5&amp;"'!F541")="X","",IF(INDIRECT("'"&amp;$H$5&amp;"'!F541")="Vrije categorie","",INDIRECT("'"&amp;$H$5&amp;"'!F541")))</f>
        <v>C</v>
      </c>
      <c r="L21" s="188"/>
    </row>
    <row r="22" spans="1:12" ht="15" x14ac:dyDescent="0.25">
      <c r="A22" s="314" t="str">
        <f>VLOOKUP($H$4,Verzamelblad!$A$5:$EK$19,32,0)</f>
        <v>Dieptereiniging sanitair</v>
      </c>
      <c r="B22" s="424"/>
      <c r="C22" s="331"/>
      <c r="D22" s="365" t="str">
        <f>VLOOKUP($H$4,Verzamelblad!$A$5:$EK$19,33,0)</f>
        <v>m²</v>
      </c>
      <c r="E22" s="366">
        <f>VLOOKUP($H$4,Verzamelblad!$A$5:$DE$19,34)</f>
        <v>0</v>
      </c>
      <c r="F22" s="217"/>
      <c r="G22" s="407" t="str">
        <f>IF(IF(E22="","",SUM(E22*F22))=0,"",IF(E22="","",SUM(E22*F22)))</f>
        <v/>
      </c>
      <c r="H22" s="365">
        <f>VLOOKUP($H$4,Verzamelblad!$A$5:$EK$19,35,0)</f>
        <v>0</v>
      </c>
      <c r="I22" s="425" t="str">
        <f>IFERROR(IF(IF(H22="op afroep","",SUM(G22*H22))=0,"",IF(H22="op afroep","",SUM(G22*H22))),"")</f>
        <v/>
      </c>
      <c r="K22" s="364" t="str">
        <f ca="1">IF(INDIRECT("'"&amp;$H$5&amp;"'!F542")="X","",IF(INDIRECT("'"&amp;$H$5&amp;"'!F542")="Vrije categorie","",INDIRECT("'"&amp;$H$5&amp;"'!F542")))</f>
        <v>D</v>
      </c>
      <c r="L22" s="188"/>
    </row>
    <row r="23" spans="1:12" ht="15" x14ac:dyDescent="0.25">
      <c r="A23" s="316">
        <f>VLOOKUP($H$4,Verzamelblad!$A$5:$EK$19,36,0)</f>
        <v>0</v>
      </c>
      <c r="B23" s="368"/>
      <c r="C23" s="338"/>
      <c r="D23" s="369">
        <f>VLOOKUP($H$4,Verzamelblad!$A$5:$EK$19,37,0)</f>
        <v>0</v>
      </c>
      <c r="E23" s="369">
        <f>VLOOKUP($H$4,Verzamelblad!$A$5:$DE$19,38)</f>
        <v>0</v>
      </c>
      <c r="F23" s="218"/>
      <c r="G23" s="409" t="str">
        <f>IF(IF(E23="","",SUM(E23*F23))=0,"",IF(E23="","",SUM(E23*F23)))</f>
        <v/>
      </c>
      <c r="H23" s="369">
        <f>VLOOKUP($H$4,Verzamelblad!$A$5:$EK$19,39,0)</f>
        <v>0</v>
      </c>
      <c r="I23" s="426" t="str">
        <f>IFERROR(IF(IF(H23="op afroep","",SUM(G23*H23))=0,"",IF(H23="op afroep","",SUM(G23*H23))),"")</f>
        <v/>
      </c>
      <c r="K23" s="364" t="str">
        <f ca="1">IF(INDIRECT("'"&amp;$H$5&amp;"'!F543")="X","",IF(INDIRECT("'"&amp;$H$5&amp;"'!F543")="Vrije categorie","",INDIRECT("'"&amp;$H$5&amp;"'!F543")))</f>
        <v>E</v>
      </c>
      <c r="L23" s="188"/>
    </row>
    <row r="24" spans="1:12" ht="15" x14ac:dyDescent="0.25">
      <c r="A24" s="316">
        <f>VLOOKUP($H$4,Verzamelblad!$A$5:$EK$19,40,0)</f>
        <v>0</v>
      </c>
      <c r="B24" s="368"/>
      <c r="C24" s="338"/>
      <c r="D24" s="369">
        <f>VLOOKUP($H$4,Verzamelblad!$A$5:$EK$19,41,0)</f>
        <v>0</v>
      </c>
      <c r="E24" s="369">
        <f>VLOOKUP($H$4,Verzamelblad!$A$5:$DE$19,42)</f>
        <v>0</v>
      </c>
      <c r="F24" s="218"/>
      <c r="G24" s="409" t="str">
        <f t="shared" ref="G24:G32" si="0">IF(IF(E24="","",SUM(E24*F24))=0,"",IF(E24="","",SUM(E24*F24)))</f>
        <v/>
      </c>
      <c r="H24" s="369">
        <f>VLOOKUP($H$4,Verzamelblad!$A$5:$EK$19,43,0)</f>
        <v>0</v>
      </c>
      <c r="I24" s="426" t="str">
        <f t="shared" ref="I24:I31" si="1">IFERROR(IF(IF(H24="op afroep","",SUM(G24*H24))=0,"",IF(H24="op afroep","",SUM(G24*H24))),"")</f>
        <v/>
      </c>
      <c r="K24" s="364" t="str">
        <f ca="1">IF(INDIRECT("'"&amp;$H$5&amp;"'!F544")="X","",IF(INDIRECT("'"&amp;$H$5&amp;"'!F544")="Vrije categorie","",INDIRECT("'"&amp;$H$5&amp;"'!F544")))</f>
        <v>F</v>
      </c>
      <c r="L24" s="188"/>
    </row>
    <row r="25" spans="1:12" ht="15" x14ac:dyDescent="0.25">
      <c r="A25" s="316">
        <f>VLOOKUP($H$4,Verzamelblad!$A$5:$EK$19,44,0)</f>
        <v>0</v>
      </c>
      <c r="B25" s="368"/>
      <c r="C25" s="338"/>
      <c r="D25" s="369">
        <f>VLOOKUP($H$4,Verzamelblad!$A$5:$EK$19,45,0)</f>
        <v>0</v>
      </c>
      <c r="E25" s="369">
        <f>VLOOKUP($H$4,Verzamelblad!$A$5:$DE$19,46)</f>
        <v>0</v>
      </c>
      <c r="F25" s="218"/>
      <c r="G25" s="409" t="str">
        <f t="shared" si="0"/>
        <v/>
      </c>
      <c r="H25" s="369">
        <f>VLOOKUP($H$4,Verzamelblad!$A$5:$EK$19,47,0)</f>
        <v>0</v>
      </c>
      <c r="I25" s="426" t="str">
        <f t="shared" si="1"/>
        <v/>
      </c>
      <c r="K25" s="364" t="str">
        <f ca="1">IF(INDIRECT("'"&amp;$H$5&amp;"'!F545")="X","",IF(INDIRECT("'"&amp;$H$5&amp;"'!F545")="Vrije categorie","",INDIRECT("'"&amp;$H$5&amp;"'!F545")))</f>
        <v>G</v>
      </c>
      <c r="L25" s="188"/>
    </row>
    <row r="26" spans="1:12" ht="15" x14ac:dyDescent="0.25">
      <c r="A26" s="316">
        <f>VLOOKUP($H$4,Verzamelblad!$A$5:$EK$19,48,0)</f>
        <v>0</v>
      </c>
      <c r="B26" s="368"/>
      <c r="C26" s="338"/>
      <c r="D26" s="369">
        <f>VLOOKUP($H$4,Verzamelblad!$A$5:$EK$19,49,0)</f>
        <v>0</v>
      </c>
      <c r="E26" s="369">
        <f>VLOOKUP($H$4,Verzamelblad!$A$5:$DE$19,50)</f>
        <v>0</v>
      </c>
      <c r="F26" s="218"/>
      <c r="G26" s="409" t="str">
        <f t="shared" si="0"/>
        <v/>
      </c>
      <c r="H26" s="369">
        <f>VLOOKUP($H$4,Verzamelblad!$A$5:$EK$19,51,0)</f>
        <v>0</v>
      </c>
      <c r="I26" s="426" t="str">
        <f t="shared" si="1"/>
        <v/>
      </c>
      <c r="K26" s="364" t="str">
        <f ca="1">IF(INDIRECT("'"&amp;$H$5&amp;"'!F546")="X","",IF(INDIRECT("'"&amp;$H$5&amp;"'!F546")="Vrije categorie","",INDIRECT("'"&amp;$H$5&amp;"'!F546")))</f>
        <v>H</v>
      </c>
      <c r="L26" s="188"/>
    </row>
    <row r="27" spans="1:12" ht="15" x14ac:dyDescent="0.25">
      <c r="A27" s="316">
        <f>VLOOKUP($H$4,Verzamelblad!$A$5:$EK$19,52,0)</f>
        <v>0</v>
      </c>
      <c r="B27" s="368"/>
      <c r="C27" s="338"/>
      <c r="D27" s="369">
        <f>VLOOKUP($H$4,Verzamelblad!$A$5:$EK$19,53,0)</f>
        <v>0</v>
      </c>
      <c r="E27" s="369">
        <f>VLOOKUP($H$4,Verzamelblad!$A$5:$DE$19,54)</f>
        <v>0</v>
      </c>
      <c r="F27" s="218"/>
      <c r="G27" s="409" t="str">
        <f t="shared" si="0"/>
        <v/>
      </c>
      <c r="H27" s="369">
        <f>VLOOKUP($H$4,Verzamelblad!$A$5:$EK$19,55,0)</f>
        <v>0</v>
      </c>
      <c r="I27" s="426" t="str">
        <f t="shared" si="1"/>
        <v/>
      </c>
      <c r="K27" s="364" t="str">
        <f ca="1">IF(INDIRECT("'"&amp;$H$5&amp;"'!F547")="X","",IF(INDIRECT("'"&amp;$H$5&amp;"'!F547")="Vrije categorie","",INDIRECT("'"&amp;$H$5&amp;"'!F547")))</f>
        <v>I</v>
      </c>
      <c r="L27" s="188"/>
    </row>
    <row r="28" spans="1:12" ht="15" x14ac:dyDescent="0.25">
      <c r="A28" s="316">
        <f>VLOOKUP($H$4,Verzamelblad!$A$5:$EK$19,56,0)</f>
        <v>0</v>
      </c>
      <c r="B28" s="368"/>
      <c r="C28" s="338"/>
      <c r="D28" s="369">
        <f>VLOOKUP($H$4,Verzamelblad!$A$5:$EK$19,57,0)</f>
        <v>0</v>
      </c>
      <c r="E28" s="369">
        <f>VLOOKUP($H$4,Verzamelblad!$A$5:$DE$19,58)</f>
        <v>0</v>
      </c>
      <c r="F28" s="218"/>
      <c r="G28" s="409" t="str">
        <f t="shared" si="0"/>
        <v/>
      </c>
      <c r="H28" s="369">
        <f>VLOOKUP($H$4,Verzamelblad!$A$5:$EK$19,59,0)</f>
        <v>0</v>
      </c>
      <c r="I28" s="426" t="str">
        <f t="shared" si="1"/>
        <v/>
      </c>
      <c r="K28" s="364" t="str">
        <f ca="1">IF(INDIRECT("'"&amp;$H$5&amp;"'!F548")="X","",IF(INDIRECT("'"&amp;$H$5&amp;"'!F548")="Vrije categorie","",INDIRECT("'"&amp;$H$5&amp;"'!F548")))</f>
        <v>J</v>
      </c>
      <c r="L28" s="188"/>
    </row>
    <row r="29" spans="1:12" ht="15" x14ac:dyDescent="0.25">
      <c r="A29" s="316">
        <f>VLOOKUP($H$4,Verzamelblad!$A$5:$EK$19,60,0)</f>
        <v>0</v>
      </c>
      <c r="B29" s="368"/>
      <c r="C29" s="338"/>
      <c r="D29" s="369">
        <f>VLOOKUP($H$4,Verzamelblad!$A$5:$EK$19,61,0)</f>
        <v>0</v>
      </c>
      <c r="E29" s="369">
        <f>VLOOKUP($H$4,Verzamelblad!$A$5:$DE$19,62)</f>
        <v>0</v>
      </c>
      <c r="F29" s="218"/>
      <c r="G29" s="409" t="str">
        <f t="shared" si="0"/>
        <v/>
      </c>
      <c r="H29" s="369">
        <f>VLOOKUP($H$4,Verzamelblad!$A$5:$EK$19,63,0)</f>
        <v>0</v>
      </c>
      <c r="I29" s="426" t="str">
        <f t="shared" si="1"/>
        <v/>
      </c>
      <c r="K29" s="364" t="str">
        <f ca="1">IF(INDIRECT("'"&amp;$H$5&amp;"'!F549")="X","",IF(INDIRECT("'"&amp;$H$5&amp;"'!F549")="Vrije categorie","",INDIRECT("'"&amp;$H$5&amp;"'!F549")))</f>
        <v>K</v>
      </c>
      <c r="L29" s="188"/>
    </row>
    <row r="30" spans="1:12" ht="15" x14ac:dyDescent="0.25">
      <c r="A30" s="316">
        <f>VLOOKUP($H$4,Verzamelblad!$A$5:$EK$19,64,0)</f>
        <v>0</v>
      </c>
      <c r="B30" s="368"/>
      <c r="C30" s="338"/>
      <c r="D30" s="369">
        <f>VLOOKUP($H$4,Verzamelblad!$A$5:$EK$19,65,0)</f>
        <v>0</v>
      </c>
      <c r="E30" s="369">
        <f>VLOOKUP($H$4,Verzamelblad!$A$5:$DE$19,66)</f>
        <v>0</v>
      </c>
      <c r="F30" s="218"/>
      <c r="G30" s="409" t="str">
        <f t="shared" si="0"/>
        <v/>
      </c>
      <c r="H30" s="369">
        <f>VLOOKUP($H$4,Verzamelblad!$A$5:$EK$19,67,0)</f>
        <v>0</v>
      </c>
      <c r="I30" s="426" t="str">
        <f t="shared" si="1"/>
        <v/>
      </c>
      <c r="K30" s="364" t="str">
        <f ca="1">IF(INDIRECT("'"&amp;$H$5&amp;"'!F550")="X","",IF(INDIRECT("'"&amp;$H$5&amp;"'!F550")="Vrije categorie","",INDIRECT("'"&amp;$H$5&amp;"'!F550")))</f>
        <v/>
      </c>
      <c r="L30" s="188"/>
    </row>
    <row r="31" spans="1:12" ht="15" x14ac:dyDescent="0.25">
      <c r="A31" s="316">
        <f>VLOOKUP($H$4,Verzamelblad!$A$5:$EK$19,68,0)</f>
        <v>0</v>
      </c>
      <c r="B31" s="368"/>
      <c r="C31" s="338"/>
      <c r="D31" s="369">
        <f>VLOOKUP($H$4,Verzamelblad!$A$5:$EK$19,69,0)</f>
        <v>0</v>
      </c>
      <c r="E31" s="369">
        <f>VLOOKUP($H$4,Verzamelblad!$A$5:$DE$19,70)</f>
        <v>0</v>
      </c>
      <c r="F31" s="218"/>
      <c r="G31" s="409" t="str">
        <f t="shared" si="0"/>
        <v/>
      </c>
      <c r="H31" s="369">
        <f>VLOOKUP($H$4,Verzamelblad!$A$5:$EK$19,71,0)</f>
        <v>0</v>
      </c>
      <c r="I31" s="426" t="str">
        <f t="shared" si="1"/>
        <v/>
      </c>
      <c r="K31" s="364" t="str">
        <f ca="1">IF(INDIRECT("'"&amp;$H$5&amp;"'!F551")="X","",IF(INDIRECT("'"&amp;$H$5&amp;"'!F551")="Vrije categorie","",INDIRECT("'"&amp;$H$5&amp;"'!F551")))</f>
        <v/>
      </c>
      <c r="L31" s="188"/>
    </row>
    <row r="32" spans="1:12" ht="15" x14ac:dyDescent="0.25">
      <c r="A32" s="318">
        <f>VLOOKUP($H$4,Verzamelblad!$A$5:$EK$19,72,0)</f>
        <v>0</v>
      </c>
      <c r="B32" s="325"/>
      <c r="C32" s="347"/>
      <c r="D32" s="372">
        <f>VLOOKUP($H$4,Verzamelblad!$A$5:$EK$19,73,0)</f>
        <v>0</v>
      </c>
      <c r="E32" s="372">
        <f>VLOOKUP($H$4,Verzamelblad!$A$5:$DE$19,74)</f>
        <v>0</v>
      </c>
      <c r="F32" s="219"/>
      <c r="G32" s="427" t="str">
        <f t="shared" si="0"/>
        <v/>
      </c>
      <c r="H32" s="372">
        <f>VLOOKUP($H$4,Verzamelblad!$A$5:$EK$19,75,0)</f>
        <v>0</v>
      </c>
      <c r="I32" s="428" t="str">
        <f>IFERROR(IF(IF(H32="op afroep","",SUM(G32*H32))=0,"",IF(H32="op afroep","",SUM(G32*H32))),"")</f>
        <v/>
      </c>
      <c r="K32" s="364" t="str">
        <f ca="1">IF(INDIRECT("'"&amp;$H$5&amp;"'!F552")="X","",IF(INDIRECT("'"&amp;$H$5&amp;"'!F552")="Vrije categorie","",INDIRECT("'"&amp;$H$5&amp;"'!F552")))</f>
        <v/>
      </c>
      <c r="L32" s="188"/>
    </row>
    <row r="33" spans="1:12" ht="15.75" thickBot="1" x14ac:dyDescent="0.3">
      <c r="A33" s="275" t="s">
        <v>17</v>
      </c>
      <c r="B33" s="275"/>
      <c r="C33" s="275"/>
      <c r="D33" s="275"/>
      <c r="E33" s="275"/>
      <c r="F33" s="275"/>
      <c r="G33" s="275"/>
      <c r="H33" s="275"/>
      <c r="I33" s="429" t="str">
        <f>IF(SUM(I22:I32)=0,"",SUM(I22:I32))</f>
        <v/>
      </c>
      <c r="K33" s="376" t="str">
        <f ca="1">IF(INDIRECT("'"&amp;$H$5&amp;"'!F553")="X","",IF(INDIRECT("'"&amp;$H$5&amp;"'!F553")="Vrije categorie","",INDIRECT("'"&amp;$H$5&amp;"'!F553")))</f>
        <v/>
      </c>
      <c r="L33" s="189"/>
    </row>
    <row r="34" spans="1:12" ht="15.75" thickTop="1" x14ac:dyDescent="0.25"/>
    <row r="35" spans="1:12" ht="15" x14ac:dyDescent="0.25">
      <c r="A35" s="274" t="s">
        <v>142</v>
      </c>
      <c r="E35" s="327" t="s">
        <v>206</v>
      </c>
      <c r="F35" s="327" t="s">
        <v>207</v>
      </c>
      <c r="G35" s="327" t="s">
        <v>203</v>
      </c>
      <c r="H35" s="327" t="s">
        <v>204</v>
      </c>
      <c r="I35" s="327" t="s">
        <v>205</v>
      </c>
    </row>
    <row r="36" spans="1:12" ht="15" x14ac:dyDescent="0.25">
      <c r="A36" s="314" t="str">
        <f>VLOOKUP($H$4,Verzamelblad!$A$5:$EK$19,16,0)</f>
        <v>Schrobben vloeren (extra)</v>
      </c>
      <c r="B36" s="323"/>
      <c r="C36" s="323"/>
      <c r="D36" s="331"/>
      <c r="E36" s="438">
        <f>'4a'!J11</f>
        <v>188.5</v>
      </c>
      <c r="F36" s="217"/>
      <c r="G36" s="407" t="str">
        <f>IF(IF(E36="","",SUM(E36*F36))=0,"",IF(E36="","",SUM(E36*F36)))</f>
        <v/>
      </c>
      <c r="H36" s="365" t="str">
        <f>VLOOKUP($H$4,Verzamelblad!$A$5:$DE$19,17)</f>
        <v>op afroep</v>
      </c>
      <c r="I36" s="425" t="str">
        <f t="shared" ref="I36:I43" si="2">IFERROR(IF(IF(H36="op afroep","",SUM(G36*H36))=0,"",IF(H36="op afroep","",SUM(G36*H36))),"")</f>
        <v/>
      </c>
    </row>
    <row r="37" spans="1:12" ht="15" x14ac:dyDescent="0.25">
      <c r="A37" s="316">
        <f>VLOOKUP($H$4,Verzamelblad!$A$5:$EK$19,18,0)</f>
        <v>0</v>
      </c>
      <c r="B37" s="368"/>
      <c r="C37" s="368"/>
      <c r="D37" s="338"/>
      <c r="E37" s="412">
        <f ca="1">VLOOKUP($H$4,Verzamelblad!$A$5:$DE$19,106)</f>
        <v>0</v>
      </c>
      <c r="F37" s="218"/>
      <c r="G37" s="409" t="str">
        <f ca="1">IF(IF(E37="","",SUM(E37*F37))=0,"",IF(E37="","",SUM(E37*F37)))</f>
        <v/>
      </c>
      <c r="H37" s="369">
        <f>VLOOKUP($H$4,Verzamelblad!$A$5:$DE$19,19)</f>
        <v>0</v>
      </c>
      <c r="I37" s="426" t="str">
        <f t="shared" ca="1" si="2"/>
        <v/>
      </c>
    </row>
    <row r="38" spans="1:12" ht="15" x14ac:dyDescent="0.25">
      <c r="A38" s="316">
        <f>VLOOKUP($H$4,Verzamelblad!$A$5:$EK$19,20,0)</f>
        <v>0</v>
      </c>
      <c r="B38" s="368"/>
      <c r="C38" s="368"/>
      <c r="D38" s="338"/>
      <c r="E38" s="412">
        <f ca="1">VLOOKUP($H$4,Verzamelblad!$A$5:$DE$19,107)</f>
        <v>0</v>
      </c>
      <c r="F38" s="218"/>
      <c r="G38" s="409" t="str">
        <f t="shared" ref="G38:G43" ca="1" si="3">IF(IF(E38="","",SUM(E38*F38))=0,"",IF(E38="","",SUM(E38*F38)))</f>
        <v/>
      </c>
      <c r="H38" s="369">
        <f>VLOOKUP($H$4,Verzamelblad!$A$5:$DE$19,21)</f>
        <v>0</v>
      </c>
      <c r="I38" s="426" t="str">
        <f t="shared" ca="1" si="2"/>
        <v/>
      </c>
      <c r="K38" s="275"/>
    </row>
    <row r="39" spans="1:12" ht="15" x14ac:dyDescent="0.25">
      <c r="A39" s="316">
        <f>VLOOKUP($H$4,Verzamelblad!$A$5:$EK$19,22,0)</f>
        <v>0</v>
      </c>
      <c r="B39" s="368"/>
      <c r="C39" s="368"/>
      <c r="D39" s="338"/>
      <c r="E39" s="412">
        <f>VLOOKUP($H$4,Verzamelblad!$A$5:$DE$19,108)</f>
        <v>0</v>
      </c>
      <c r="F39" s="218"/>
      <c r="G39" s="409" t="str">
        <f t="shared" si="3"/>
        <v/>
      </c>
      <c r="H39" s="369">
        <f>VLOOKUP($H$4,Verzamelblad!$A$5:$DE$19,23)</f>
        <v>0</v>
      </c>
      <c r="I39" s="426" t="str">
        <f t="shared" si="2"/>
        <v/>
      </c>
    </row>
    <row r="40" spans="1:12" ht="15" x14ac:dyDescent="0.25">
      <c r="A40" s="316">
        <f>VLOOKUP($H$4,Verzamelblad!$A$5:$EK$19,24,0)</f>
        <v>0</v>
      </c>
      <c r="B40" s="368"/>
      <c r="C40" s="368"/>
      <c r="D40" s="338"/>
      <c r="E40" s="439">
        <f>VLOOKUP($H$4,Verzamelblad!$A$5:$DE$19,109)</f>
        <v>0</v>
      </c>
      <c r="F40" s="218"/>
      <c r="G40" s="409" t="str">
        <f t="shared" si="3"/>
        <v/>
      </c>
      <c r="H40" s="369">
        <f>VLOOKUP($H$4,Verzamelblad!$A$5:$DE$19,25)</f>
        <v>0</v>
      </c>
      <c r="I40" s="426" t="str">
        <f t="shared" si="2"/>
        <v/>
      </c>
    </row>
    <row r="41" spans="1:12" ht="15" x14ac:dyDescent="0.25">
      <c r="A41" s="316">
        <f>VLOOKUP($H$4,Verzamelblad!$A$5:$EK$19,26,0)</f>
        <v>0</v>
      </c>
      <c r="B41" s="368"/>
      <c r="C41" s="368"/>
      <c r="D41" s="338"/>
      <c r="E41" s="439">
        <v>0</v>
      </c>
      <c r="F41" s="218"/>
      <c r="G41" s="409" t="str">
        <f t="shared" si="3"/>
        <v/>
      </c>
      <c r="H41" s="369">
        <f>VLOOKUP($H$4,Verzamelblad!$A$5:$DE$19,27)</f>
        <v>0</v>
      </c>
      <c r="I41" s="426" t="str">
        <f t="shared" si="2"/>
        <v/>
      </c>
    </row>
    <row r="42" spans="1:12" ht="15" x14ac:dyDescent="0.25">
      <c r="A42" s="316">
        <f>VLOOKUP($H$4,Verzamelblad!$A$5:$EK$19,28,0)</f>
        <v>0</v>
      </c>
      <c r="B42" s="368"/>
      <c r="C42" s="368"/>
      <c r="D42" s="338"/>
      <c r="E42" s="439">
        <v>0</v>
      </c>
      <c r="F42" s="218"/>
      <c r="G42" s="409" t="str">
        <f t="shared" si="3"/>
        <v/>
      </c>
      <c r="H42" s="369">
        <f>VLOOKUP($H$4,Verzamelblad!$A$5:$DE$19,29)</f>
        <v>0</v>
      </c>
      <c r="I42" s="426" t="str">
        <f t="shared" si="2"/>
        <v/>
      </c>
    </row>
    <row r="43" spans="1:12" ht="15" x14ac:dyDescent="0.25">
      <c r="A43" s="318">
        <f>VLOOKUP($H$4,Verzamelblad!$A$5:$EK$19,30,0)</f>
        <v>0</v>
      </c>
      <c r="B43" s="325"/>
      <c r="C43" s="325"/>
      <c r="D43" s="347"/>
      <c r="E43" s="440">
        <v>0</v>
      </c>
      <c r="F43" s="219"/>
      <c r="G43" s="427" t="str">
        <f t="shared" si="3"/>
        <v/>
      </c>
      <c r="H43" s="372">
        <f>VLOOKUP($H$4,Verzamelblad!$A$5:$DE$19,31)</f>
        <v>0</v>
      </c>
      <c r="I43" s="428" t="str">
        <f t="shared" si="2"/>
        <v/>
      </c>
    </row>
    <row r="44" spans="1:12" ht="15.75" thickBot="1" x14ac:dyDescent="0.3">
      <c r="A44" s="379" t="s">
        <v>17</v>
      </c>
      <c r="B44" s="313"/>
      <c r="C44" s="313"/>
      <c r="D44" s="313"/>
      <c r="E44" s="313"/>
      <c r="F44" s="313"/>
      <c r="G44" s="313"/>
      <c r="H44" s="313"/>
      <c r="I44" s="432" t="str">
        <f ca="1">IF(SUM(I36:I43)=0,"",SUM(I36:I43))</f>
        <v/>
      </c>
    </row>
    <row r="45" spans="1:12" ht="15.75" thickTop="1" x14ac:dyDescent="0.25"/>
    <row r="46" spans="1:12" ht="15" x14ac:dyDescent="0.25">
      <c r="A46" s="274" t="s">
        <v>141</v>
      </c>
      <c r="E46" s="327" t="s">
        <v>206</v>
      </c>
      <c r="F46" s="327" t="s">
        <v>207</v>
      </c>
      <c r="G46" s="327" t="s">
        <v>203</v>
      </c>
      <c r="H46" s="327" t="s">
        <v>204</v>
      </c>
      <c r="I46" s="327" t="s">
        <v>205</v>
      </c>
    </row>
    <row r="47" spans="1:12" ht="15" x14ac:dyDescent="0.25">
      <c r="A47" s="314" t="str">
        <f>VLOOKUP($H$4,Verzamelblad!$A$5:$EK$19,76,0)</f>
        <v>Gevelglas buitenzijde enkelvoudig gemeten</v>
      </c>
      <c r="B47" s="323"/>
      <c r="C47" s="323"/>
      <c r="D47" s="331"/>
      <c r="E47" s="438">
        <f ca="1">VLOOKUP($H$4,Verzamelblad!$A$5:$DE$19,100)</f>
        <v>104.11</v>
      </c>
      <c r="F47" s="217"/>
      <c r="G47" s="407" t="str">
        <f ca="1">IF(IF(E47="","",SUM(E47*F47))=0,"",IF(E47="","",SUM(E47*F47)))</f>
        <v/>
      </c>
      <c r="H47" s="381">
        <f>VLOOKUP($H$4,Verzamelblad!$A$5:$EK$19,77,0)</f>
        <v>2</v>
      </c>
      <c r="I47" s="425" t="str">
        <f t="shared" ref="I47:I55" ca="1" si="4">IFERROR(IF(IF(H47="op afroep","",SUM(G47*H47))=0,"",IF(H47="op afroep","",SUM(G47*H47))),"")</f>
        <v/>
      </c>
    </row>
    <row r="48" spans="1:12" ht="15" x14ac:dyDescent="0.25">
      <c r="A48" s="316" t="str">
        <f>VLOOKUP($H$4,Verzamelblad!$A$5:$EK$19,78,0)</f>
        <v>Gevelglas binnenzijde enkelvoudig gemeten</v>
      </c>
      <c r="B48" s="368"/>
      <c r="C48" s="368"/>
      <c r="D48" s="338"/>
      <c r="E48" s="439">
        <f ca="1">VLOOKUP($H$4,Verzamelblad!$A$5:$DE$19,99)</f>
        <v>104.11</v>
      </c>
      <c r="F48" s="218"/>
      <c r="G48" s="409" t="str">
        <f ca="1">IF(IF(E48="","",SUM(E48*F48))=0,"",IF(E48="","",SUM(E48*F48)))</f>
        <v/>
      </c>
      <c r="H48" s="382">
        <f>VLOOKUP($H$4,Verzamelblad!$A$5:$EK$19,79,0)</f>
        <v>2</v>
      </c>
      <c r="I48" s="426" t="str">
        <f t="shared" ca="1" si="4"/>
        <v/>
      </c>
    </row>
    <row r="49" spans="1:12" ht="15" x14ac:dyDescent="0.25">
      <c r="A49" s="316" t="str">
        <f>VLOOKUP($H$4,Verzamelblad!$A$5:$EK$19,80,0)</f>
        <v>Separatieglas dubbelvoudig gemeten</v>
      </c>
      <c r="B49" s="368"/>
      <c r="C49" s="368"/>
      <c r="D49" s="338"/>
      <c r="E49" s="439">
        <f ca="1">VLOOKUP($H$4,Verzamelblad!$A$5:$DE$19,101)</f>
        <v>14.14</v>
      </c>
      <c r="F49" s="218"/>
      <c r="G49" s="409" t="str">
        <f t="shared" ref="G49:G55" ca="1" si="5">IF(IF(E49="","",SUM(E49*F49))=0,"",IF(E49="","",SUM(E49*F49)))</f>
        <v/>
      </c>
      <c r="H49" s="382">
        <f>VLOOKUP($H$4,Verzamelblad!$A$5:$EK$19,81,0)</f>
        <v>2</v>
      </c>
      <c r="I49" s="426" t="str">
        <f t="shared" ca="1" si="4"/>
        <v/>
      </c>
    </row>
    <row r="50" spans="1:12" ht="15" x14ac:dyDescent="0.25">
      <c r="A50" s="316" t="str">
        <f>VLOOKUP($H$4,Verzamelblad!$A$5:$EK$19,82,0)</f>
        <v>Gevelglas buitenzijde incl. kantoren</v>
      </c>
      <c r="B50" s="368"/>
      <c r="C50" s="368"/>
      <c r="D50" s="338"/>
      <c r="E50" s="439">
        <f ca="1">VLOOKUP($H$4,Verzamelblad!$A$5:$DE$19,102)</f>
        <v>113.43</v>
      </c>
      <c r="F50" s="218"/>
      <c r="G50" s="409" t="str">
        <f t="shared" ca="1" si="5"/>
        <v/>
      </c>
      <c r="H50" s="382">
        <f>VLOOKUP($H$4,Verzamelblad!$A$5:$EK$19,83,0)</f>
        <v>3</v>
      </c>
      <c r="I50" s="426" t="str">
        <f t="shared" ca="1" si="4"/>
        <v/>
      </c>
    </row>
    <row r="51" spans="1:12" ht="15" x14ac:dyDescent="0.25">
      <c r="A51" s="316" t="str">
        <f>VLOOKUP($H$4,Verzamelblad!$A$5:$EK$19,84,0)</f>
        <v>Gevelglas binnenzijde incl. kantoren</v>
      </c>
      <c r="B51" s="368"/>
      <c r="C51" s="368"/>
      <c r="D51" s="338"/>
      <c r="E51" s="439">
        <f ca="1">VLOOKUP($H$4,Verzamelblad!$A$5:$DE$19,103)</f>
        <v>113.43</v>
      </c>
      <c r="F51" s="218"/>
      <c r="G51" s="409" t="str">
        <f t="shared" ca="1" si="5"/>
        <v/>
      </c>
      <c r="H51" s="382">
        <f>VLOOKUP($H$4,Verzamelblad!$A$5:$EK$19,85,0)</f>
        <v>3</v>
      </c>
      <c r="I51" s="426" t="str">
        <f t="shared" ca="1" si="4"/>
        <v/>
      </c>
    </row>
    <row r="52" spans="1:12" ht="15" x14ac:dyDescent="0.25">
      <c r="A52" s="316" t="str">
        <f>VLOOKUP($H$4,Verzamelblad!$A$5:$EK$19,86,0)</f>
        <v>Separatieglas incl. kantoren</v>
      </c>
      <c r="B52" s="368"/>
      <c r="C52" s="368"/>
      <c r="D52" s="338"/>
      <c r="E52" s="439">
        <f ca="1">VLOOKUP($H$4,Verzamelblad!$A$5:$DE$19,104)</f>
        <v>17.54</v>
      </c>
      <c r="F52" s="218"/>
      <c r="G52" s="409" t="str">
        <f t="shared" ca="1" si="5"/>
        <v/>
      </c>
      <c r="H52" s="382">
        <f>VLOOKUP($H$4,Verzamelblad!$A$5:$EK$19,87,0)</f>
        <v>3</v>
      </c>
      <c r="I52" s="426" t="str">
        <f t="shared" ca="1" si="4"/>
        <v/>
      </c>
    </row>
    <row r="53" spans="1:12" ht="15" x14ac:dyDescent="0.25">
      <c r="A53" s="316">
        <f>VLOOKUP($H$4,Verzamelblad!$A$5:$EK$19,88,0)</f>
        <v>0</v>
      </c>
      <c r="B53" s="368"/>
      <c r="C53" s="368"/>
      <c r="D53" s="338"/>
      <c r="E53" s="439"/>
      <c r="F53" s="218"/>
      <c r="G53" s="409" t="str">
        <f t="shared" si="5"/>
        <v/>
      </c>
      <c r="H53" s="382">
        <f>VLOOKUP($H$4,Verzamelblad!$A$5:$EK$19,89,0)</f>
        <v>0</v>
      </c>
      <c r="I53" s="426" t="str">
        <f t="shared" si="4"/>
        <v/>
      </c>
    </row>
    <row r="54" spans="1:12" ht="15" x14ac:dyDescent="0.25">
      <c r="A54" s="316">
        <f>VLOOKUP($H$4,Verzamelblad!$A$5:$EK$19,90,0)</f>
        <v>0</v>
      </c>
      <c r="B54" s="368"/>
      <c r="C54" s="368"/>
      <c r="D54" s="338"/>
      <c r="E54" s="439">
        <v>0</v>
      </c>
      <c r="F54" s="218"/>
      <c r="G54" s="409" t="str">
        <f t="shared" si="5"/>
        <v/>
      </c>
      <c r="H54" s="382">
        <f>VLOOKUP($H$4,Verzamelblad!$A$5:$EK$19,91,0)</f>
        <v>0</v>
      </c>
      <c r="I54" s="426" t="str">
        <f t="shared" si="4"/>
        <v/>
      </c>
    </row>
    <row r="55" spans="1:12" ht="15" x14ac:dyDescent="0.25">
      <c r="A55" s="316">
        <f>VLOOKUP($H$4,Verzamelblad!$A$5:$EK$19,92,0)</f>
        <v>0</v>
      </c>
      <c r="B55" s="368"/>
      <c r="C55" s="368"/>
      <c r="D55" s="338"/>
      <c r="E55" s="439">
        <v>0</v>
      </c>
      <c r="F55" s="218"/>
      <c r="G55" s="409" t="str">
        <f t="shared" si="5"/>
        <v/>
      </c>
      <c r="H55" s="382">
        <f>VLOOKUP($H$4,Verzamelblad!$A$5:$EK$19,93,0)</f>
        <v>0</v>
      </c>
      <c r="I55" s="426" t="str">
        <f t="shared" si="4"/>
        <v/>
      </c>
    </row>
    <row r="56" spans="1:12" ht="61.5" customHeight="1" x14ac:dyDescent="0.25">
      <c r="A56" s="520" t="s">
        <v>316</v>
      </c>
      <c r="B56" s="521"/>
      <c r="C56" s="521"/>
      <c r="D56" s="521"/>
      <c r="E56" s="521"/>
      <c r="F56" s="522"/>
      <c r="G56" s="521"/>
      <c r="H56" s="521"/>
      <c r="I56" s="523"/>
    </row>
    <row r="57" spans="1:12" ht="15.75" thickBot="1" x14ac:dyDescent="0.3">
      <c r="A57" s="313" t="s">
        <v>17</v>
      </c>
      <c r="B57" s="313"/>
      <c r="C57" s="313"/>
      <c r="D57" s="313"/>
      <c r="E57" s="313"/>
      <c r="F57" s="313"/>
      <c r="G57" s="313"/>
      <c r="H57" s="313"/>
      <c r="I57" s="432" t="str">
        <f ca="1">IF(SUM(I47:I56)=0,"",SUM(I47:I56))</f>
        <v/>
      </c>
    </row>
    <row r="58" spans="1:12" ht="15.75" thickTop="1" x14ac:dyDescent="0.25">
      <c r="E58" s="327"/>
      <c r="F58" s="327"/>
      <c r="G58" s="327"/>
      <c r="H58" s="327"/>
      <c r="I58" s="327"/>
    </row>
    <row r="59" spans="1:12" ht="15" hidden="1" customHeight="1" x14ac:dyDescent="0.25">
      <c r="A59" s="385" t="s">
        <v>68</v>
      </c>
      <c r="B59" s="385"/>
      <c r="C59" s="385"/>
      <c r="D59" s="385"/>
      <c r="E59" s="386" t="s">
        <v>208</v>
      </c>
      <c r="F59" s="386" t="s">
        <v>209</v>
      </c>
      <c r="G59" s="386" t="s">
        <v>201</v>
      </c>
      <c r="H59" s="386" t="s">
        <v>210</v>
      </c>
      <c r="I59" s="386" t="s">
        <v>205</v>
      </c>
      <c r="K59" s="275"/>
      <c r="L59" s="275"/>
    </row>
    <row r="60" spans="1:12" ht="15" hidden="1" customHeight="1" x14ac:dyDescent="0.25">
      <c r="A60" s="314"/>
      <c r="B60" s="323"/>
      <c r="C60" s="323"/>
      <c r="D60" s="331"/>
      <c r="E60" s="387"/>
      <c r="F60" s="387"/>
      <c r="G60" s="365"/>
      <c r="H60" s="387"/>
      <c r="I60" s="425" t="str">
        <f t="shared" ref="I60:I65" si="6">IFERROR(IF(IF(H60="op afroep","",SUM(G60*H60))=0,"",IF(H60="op afroep","",SUM(G60*H60))),"")</f>
        <v/>
      </c>
      <c r="K60" s="275" t="s">
        <v>213</v>
      </c>
      <c r="L60" s="275"/>
    </row>
    <row r="61" spans="1:12" ht="15" hidden="1" customHeight="1" x14ac:dyDescent="0.25">
      <c r="A61" s="316"/>
      <c r="B61" s="368"/>
      <c r="C61" s="368"/>
      <c r="D61" s="338"/>
      <c r="E61" s="388"/>
      <c r="F61" s="388"/>
      <c r="G61" s="369"/>
      <c r="H61" s="388"/>
      <c r="I61" s="426" t="str">
        <f t="shared" si="6"/>
        <v/>
      </c>
      <c r="K61" s="314" t="s">
        <v>211</v>
      </c>
      <c r="L61" s="433"/>
    </row>
    <row r="62" spans="1:12" ht="15" hidden="1" x14ac:dyDescent="0.25">
      <c r="A62" s="316"/>
      <c r="B62" s="368"/>
      <c r="C62" s="368"/>
      <c r="D62" s="338"/>
      <c r="E62" s="388"/>
      <c r="F62" s="388"/>
      <c r="G62" s="369"/>
      <c r="H62" s="388"/>
      <c r="I62" s="426" t="str">
        <f t="shared" si="6"/>
        <v/>
      </c>
      <c r="K62" s="318" t="s">
        <v>212</v>
      </c>
      <c r="L62" s="434"/>
    </row>
    <row r="63" spans="1:12" ht="15" hidden="1" x14ac:dyDescent="0.25">
      <c r="A63" s="316"/>
      <c r="B63" s="368"/>
      <c r="C63" s="368"/>
      <c r="D63" s="338"/>
      <c r="E63" s="388"/>
      <c r="F63" s="388"/>
      <c r="G63" s="369"/>
      <c r="H63" s="388"/>
      <c r="I63" s="426" t="str">
        <f t="shared" si="6"/>
        <v/>
      </c>
    </row>
    <row r="64" spans="1:12" ht="15" hidden="1" x14ac:dyDescent="0.25">
      <c r="A64" s="316"/>
      <c r="B64" s="368"/>
      <c r="C64" s="368"/>
      <c r="D64" s="338"/>
      <c r="E64" s="388"/>
      <c r="F64" s="388"/>
      <c r="G64" s="369"/>
      <c r="H64" s="388"/>
      <c r="I64" s="426" t="str">
        <f t="shared" si="6"/>
        <v/>
      </c>
    </row>
    <row r="65" spans="1:12" ht="15" hidden="1" x14ac:dyDescent="0.25">
      <c r="A65" s="318"/>
      <c r="B65" s="325"/>
      <c r="C65" s="325"/>
      <c r="D65" s="347"/>
      <c r="E65" s="391"/>
      <c r="F65" s="391"/>
      <c r="G65" s="372"/>
      <c r="H65" s="391"/>
      <c r="I65" s="428" t="str">
        <f t="shared" si="6"/>
        <v/>
      </c>
    </row>
    <row r="66" spans="1:12" ht="15.75" hidden="1" thickBot="1" x14ac:dyDescent="0.3">
      <c r="A66" s="392" t="s">
        <v>17</v>
      </c>
      <c r="B66" s="392"/>
      <c r="C66" s="392"/>
      <c r="D66" s="392"/>
      <c r="E66" s="392"/>
      <c r="F66" s="392"/>
      <c r="G66" s="393"/>
      <c r="H66" s="392"/>
      <c r="I66" s="429" t="str">
        <f>IF(SUM(I60:I65)=0,"",SUM(I60:I65))</f>
        <v/>
      </c>
    </row>
    <row r="67" spans="1:12" ht="15.75" hidden="1" thickTop="1" x14ac:dyDescent="0.25">
      <c r="B67" s="392"/>
      <c r="C67" s="392"/>
      <c r="D67" s="392"/>
      <c r="E67" s="392"/>
      <c r="F67" s="392"/>
      <c r="G67" s="393"/>
      <c r="H67" s="392"/>
      <c r="I67" s="394"/>
    </row>
    <row r="68" spans="1:12" ht="15" hidden="1" x14ac:dyDescent="0.25">
      <c r="A68" s="320" t="s">
        <v>147</v>
      </c>
      <c r="B68" s="395"/>
      <c r="C68" s="395"/>
      <c r="D68" s="395"/>
      <c r="E68" s="395"/>
      <c r="F68" s="395"/>
      <c r="G68" s="395"/>
      <c r="H68" s="395"/>
      <c r="I68" s="395"/>
    </row>
    <row r="69" spans="1:12" ht="15" hidden="1" x14ac:dyDescent="0.25">
      <c r="A69" s="471"/>
      <c r="B69" s="472"/>
      <c r="C69" s="472"/>
      <c r="D69" s="472"/>
      <c r="E69" s="472"/>
      <c r="F69" s="472"/>
      <c r="G69" s="472"/>
      <c r="H69" s="472"/>
      <c r="I69" s="473"/>
    </row>
    <row r="70" spans="1:12" ht="15" hidden="1" x14ac:dyDescent="0.25">
      <c r="A70" s="491"/>
      <c r="B70" s="492"/>
      <c r="C70" s="492"/>
      <c r="D70" s="492"/>
      <c r="E70" s="492"/>
      <c r="F70" s="492"/>
      <c r="G70" s="492"/>
      <c r="H70" s="492"/>
      <c r="I70" s="493"/>
    </row>
    <row r="71" spans="1:12" ht="15" hidden="1" x14ac:dyDescent="0.25">
      <c r="A71" s="491"/>
      <c r="B71" s="492"/>
      <c r="C71" s="492"/>
      <c r="D71" s="492"/>
      <c r="E71" s="492"/>
      <c r="F71" s="492"/>
      <c r="G71" s="492"/>
      <c r="H71" s="492"/>
      <c r="I71" s="493"/>
    </row>
    <row r="72" spans="1:12" ht="15" hidden="1" x14ac:dyDescent="0.25">
      <c r="A72" s="491"/>
      <c r="B72" s="492"/>
      <c r="C72" s="492"/>
      <c r="D72" s="492"/>
      <c r="E72" s="492"/>
      <c r="F72" s="492"/>
      <c r="G72" s="492"/>
      <c r="H72" s="492"/>
      <c r="I72" s="493"/>
    </row>
    <row r="73" spans="1:12" ht="15" hidden="1" x14ac:dyDescent="0.25">
      <c r="A73" s="494"/>
      <c r="B73" s="495"/>
      <c r="C73" s="495"/>
      <c r="D73" s="495"/>
      <c r="E73" s="495"/>
      <c r="F73" s="495"/>
      <c r="G73" s="495"/>
      <c r="H73" s="495"/>
      <c r="I73" s="496"/>
    </row>
    <row r="74" spans="1:12" ht="15" hidden="1" x14ac:dyDescent="0.25">
      <c r="A74" s="396"/>
      <c r="B74" s="396"/>
      <c r="C74" s="396"/>
      <c r="D74" s="396"/>
      <c r="E74" s="396"/>
      <c r="F74" s="396"/>
      <c r="G74" s="396"/>
      <c r="H74" s="396"/>
    </row>
    <row r="75" spans="1:12" ht="15" x14ac:dyDescent="0.25"/>
    <row r="76" spans="1:12" ht="15" x14ac:dyDescent="0.25">
      <c r="A76" s="277" t="s">
        <v>21</v>
      </c>
      <c r="B76" s="278"/>
      <c r="C76" s="278"/>
      <c r="D76" s="278"/>
      <c r="E76" s="278"/>
      <c r="F76" s="278"/>
      <c r="G76" s="278"/>
      <c r="H76" s="278"/>
      <c r="I76" s="397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ht="15" x14ac:dyDescent="0.25">
      <c r="A77" s="320"/>
      <c r="B77" s="320"/>
      <c r="C77" s="320"/>
      <c r="D77" s="320"/>
      <c r="E77" s="320"/>
      <c r="F77" s="320"/>
      <c r="G77" s="320"/>
      <c r="H77" s="320"/>
      <c r="I77" s="435"/>
    </row>
    <row r="78" spans="1:12" ht="15" x14ac:dyDescent="0.25">
      <c r="A78" s="277" t="s">
        <v>144</v>
      </c>
      <c r="B78" s="278"/>
      <c r="C78" s="278"/>
      <c r="D78" s="278"/>
      <c r="E78" s="278"/>
      <c r="F78" s="278"/>
      <c r="G78" s="278"/>
      <c r="H78" s="278"/>
      <c r="I78" s="436" t="str">
        <f>IFERROR(I11/12,"")</f>
        <v/>
      </c>
    </row>
    <row r="79" spans="1:12" ht="15" x14ac:dyDescent="0.25">
      <c r="A79" s="320"/>
      <c r="B79" s="320"/>
      <c r="C79" s="320"/>
      <c r="D79" s="320"/>
      <c r="E79" s="320"/>
      <c r="F79" s="320"/>
      <c r="G79" s="320"/>
      <c r="H79" s="320"/>
      <c r="I79" s="435"/>
      <c r="J79" s="273"/>
      <c r="K79" s="273"/>
      <c r="L79" s="273"/>
    </row>
    <row r="80" spans="1:12" ht="15" x14ac:dyDescent="0.25">
      <c r="A80" s="274" t="s">
        <v>73</v>
      </c>
      <c r="E80" s="274" t="s">
        <v>216</v>
      </c>
      <c r="F80" s="327" t="s">
        <v>201</v>
      </c>
      <c r="I80" s="274" t="s">
        <v>205</v>
      </c>
    </row>
    <row r="81" spans="1:9" ht="15.75" thickBot="1" x14ac:dyDescent="0.3">
      <c r="A81" s="280" t="str">
        <f>Verzamelblad!D3</f>
        <v>VSR</v>
      </c>
      <c r="B81" s="281"/>
      <c r="C81" s="281"/>
      <c r="D81" s="281"/>
      <c r="E81" s="380">
        <f>VLOOKUP($H$4,Verzamelblad!$A$5:$EK$19,9,0)</f>
        <v>100</v>
      </c>
      <c r="F81" s="399">
        <f>VLOOKUP($H$4,Verzamelblad!$A$5:$EK$19,10,0)</f>
        <v>3</v>
      </c>
      <c r="G81" s="281"/>
      <c r="H81" s="281"/>
      <c r="I81" s="437">
        <f>IFERROR(IF(SUM(E81*F81)=0,"",SUM(E81*F81)),"")</f>
        <v>300</v>
      </c>
    </row>
    <row r="82" spans="1:9" ht="15.75" thickTop="1" x14ac:dyDescent="0.25"/>
    <row r="83" spans="1:9" ht="15" x14ac:dyDescent="0.25"/>
    <row r="84" spans="1:9" ht="15" hidden="1" x14ac:dyDescent="0.25">
      <c r="A84" s="274" t="s">
        <v>22</v>
      </c>
      <c r="D84" s="274" t="s">
        <v>70</v>
      </c>
      <c r="E84" s="274" t="s">
        <v>71</v>
      </c>
    </row>
    <row r="85" spans="1:9" ht="15" hidden="1" x14ac:dyDescent="0.25">
      <c r="A85" s="274" t="str">
        <f t="shared" ref="A85:A99" ca="1" si="7">IF(K19=0,"",K19)</f>
        <v>A</v>
      </c>
      <c r="D85" s="274">
        <f t="shared" ref="D85:D99" ca="1" si="8">IF(A85="",0,VLOOKUP(A85,INDIRECT("'"&amp;$H$5&amp;"'!C500:M515"),11,0))</f>
        <v>0</v>
      </c>
      <c r="E85" s="274" t="str">
        <f>IF(L19=0,"",IF(L19="","",SUM(D85/L19)*Uurtariefopbouw!$F$15))</f>
        <v/>
      </c>
    </row>
    <row r="86" spans="1:9" ht="15" hidden="1" x14ac:dyDescent="0.25">
      <c r="A86" s="274" t="str">
        <f t="shared" ca="1" si="7"/>
        <v>B</v>
      </c>
      <c r="D86" s="274">
        <f t="shared" ca="1" si="8"/>
        <v>10471.76</v>
      </c>
      <c r="E86" s="274" t="str">
        <f>IF(L20=0,"",IF(L20="","",SUM(D86/L20)*Uurtariefopbouw!$F$15))</f>
        <v/>
      </c>
    </row>
    <row r="87" spans="1:9" ht="15" hidden="1" x14ac:dyDescent="0.25">
      <c r="A87" s="274" t="str">
        <f t="shared" ca="1" si="7"/>
        <v>C</v>
      </c>
      <c r="D87" s="274">
        <f t="shared" ca="1" si="8"/>
        <v>0</v>
      </c>
      <c r="E87" s="274" t="str">
        <f>IF(L21=0,"",IF(L21="","",SUM(D87/L21)*Uurtariefopbouw!$F$15))</f>
        <v/>
      </c>
    </row>
    <row r="88" spans="1:9" ht="15" hidden="1" x14ac:dyDescent="0.25">
      <c r="A88" s="274" t="str">
        <f t="shared" ca="1" si="7"/>
        <v>D</v>
      </c>
      <c r="D88" s="274">
        <f t="shared" ca="1" si="8"/>
        <v>0</v>
      </c>
      <c r="E88" s="274" t="str">
        <f>IF(L22=0,"",IF(L22="","",SUM(D88/L22)*Uurtariefopbouw!$F$15))</f>
        <v/>
      </c>
    </row>
    <row r="89" spans="1:9" ht="15" hidden="1" x14ac:dyDescent="0.25">
      <c r="A89" s="274" t="str">
        <f t="shared" ca="1" si="7"/>
        <v>E</v>
      </c>
      <c r="D89" s="274">
        <f t="shared" ca="1" si="8"/>
        <v>3265.6</v>
      </c>
      <c r="E89" s="274" t="str">
        <f>IF(L23=0,"",IF(L23="","",SUM(D89/L23)*Uurtariefopbouw!$F$15))</f>
        <v/>
      </c>
    </row>
    <row r="90" spans="1:9" ht="15" hidden="1" x14ac:dyDescent="0.25">
      <c r="A90" s="274" t="str">
        <f t="shared" ca="1" si="7"/>
        <v>F</v>
      </c>
      <c r="D90" s="274">
        <f t="shared" ca="1" si="8"/>
        <v>0</v>
      </c>
      <c r="E90" s="274" t="str">
        <f>IF(L24=0,"",IF(L24="","",SUM(D90/L24)*Uurtariefopbouw!$F$15))</f>
        <v/>
      </c>
    </row>
    <row r="91" spans="1:9" ht="15" hidden="1" x14ac:dyDescent="0.25">
      <c r="A91" s="274" t="str">
        <f t="shared" ca="1" si="7"/>
        <v>G</v>
      </c>
      <c r="D91" s="274">
        <f t="shared" ca="1" si="8"/>
        <v>0</v>
      </c>
      <c r="E91" s="274" t="str">
        <f>IF(L25=0,"",IF(L25="","",SUM(D91/L25)*Uurtariefopbouw!$F$15))</f>
        <v/>
      </c>
    </row>
    <row r="92" spans="1:9" ht="15" hidden="1" x14ac:dyDescent="0.25">
      <c r="A92" s="274" t="str">
        <f t="shared" ca="1" si="7"/>
        <v>H</v>
      </c>
      <c r="D92" s="274">
        <f t="shared" ca="1" si="8"/>
        <v>0</v>
      </c>
      <c r="E92" s="274" t="str">
        <f>IF(L26=0,"",IF(L26="","",SUM(D92/L26)*Uurtariefopbouw!$F$15))</f>
        <v/>
      </c>
    </row>
    <row r="93" spans="1:9" ht="15" hidden="1" x14ac:dyDescent="0.25">
      <c r="A93" s="274" t="str">
        <f t="shared" ca="1" si="7"/>
        <v>I</v>
      </c>
      <c r="D93" s="274">
        <f t="shared" ca="1" si="8"/>
        <v>0</v>
      </c>
      <c r="E93" s="274" t="str">
        <f>IF(L27=0,"",IF(L27="","",SUM(D93/L27)*Uurtariefopbouw!$F$15))</f>
        <v/>
      </c>
    </row>
    <row r="94" spans="1:9" ht="15" hidden="1" x14ac:dyDescent="0.25">
      <c r="A94" s="274" t="str">
        <f t="shared" ca="1" si="7"/>
        <v>J</v>
      </c>
      <c r="D94" s="274">
        <f t="shared" ca="1" si="8"/>
        <v>0</v>
      </c>
      <c r="E94" s="274" t="str">
        <f>IF(L28=0,"",IF(L28="","",SUM(D94/L28)*Uurtariefopbouw!$F$15))</f>
        <v/>
      </c>
    </row>
    <row r="95" spans="1:9" ht="15" hidden="1" x14ac:dyDescent="0.25">
      <c r="A95" s="274" t="str">
        <f t="shared" ca="1" si="7"/>
        <v>K</v>
      </c>
      <c r="D95" s="274">
        <f t="shared" ca="1" si="8"/>
        <v>0</v>
      </c>
      <c r="E95" s="274" t="str">
        <f>IF(L29=0,"",IF(L29="","",SUM(D95/L29)*Uurtariefopbouw!$F$15))</f>
        <v/>
      </c>
    </row>
    <row r="96" spans="1:9" ht="15" hidden="1" x14ac:dyDescent="0.25">
      <c r="A96" s="274" t="str">
        <f t="shared" ca="1" si="7"/>
        <v/>
      </c>
      <c r="D96" s="274">
        <f t="shared" ca="1" si="8"/>
        <v>0</v>
      </c>
      <c r="E96" s="274" t="str">
        <f>IF(L30=0,"",IF(L30="","",SUM(D96/L30)*Uurtariefopbouw!$F$15))</f>
        <v/>
      </c>
    </row>
    <row r="97" spans="1:5" ht="15" hidden="1" x14ac:dyDescent="0.25">
      <c r="A97" s="274" t="str">
        <f t="shared" ca="1" si="7"/>
        <v/>
      </c>
      <c r="D97" s="274">
        <f t="shared" ca="1" si="8"/>
        <v>0</v>
      </c>
      <c r="E97" s="274" t="str">
        <f>IF(L31=0,"",IF(L31="","",SUM(D97/L31)*Uurtariefopbouw!$F$15))</f>
        <v/>
      </c>
    </row>
    <row r="98" spans="1:5" ht="15" hidden="1" x14ac:dyDescent="0.25">
      <c r="A98" s="274" t="str">
        <f t="shared" ca="1" si="7"/>
        <v/>
      </c>
      <c r="D98" s="274">
        <f t="shared" ca="1" si="8"/>
        <v>0</v>
      </c>
      <c r="E98" s="274" t="str">
        <f>IF(L32=0,"",IF(L32="","",SUM(D98/L32)*Uurtariefopbouw!$F$15))</f>
        <v/>
      </c>
    </row>
    <row r="99" spans="1:5" ht="15" hidden="1" x14ac:dyDescent="0.25">
      <c r="A99" s="274" t="str">
        <f t="shared" ca="1" si="7"/>
        <v/>
      </c>
      <c r="D99" s="274">
        <f t="shared" ca="1" si="8"/>
        <v>0</v>
      </c>
      <c r="E99" s="274" t="str">
        <f>IF(L33=0,"",IF(L33="","",SUM(D99/L33)*Uurtariefopbouw!$F$15))</f>
        <v/>
      </c>
    </row>
    <row r="100" spans="1:5" ht="15.75" hidden="1" thickBot="1" x14ac:dyDescent="0.3">
      <c r="A100" s="401" t="s">
        <v>72</v>
      </c>
      <c r="B100" s="401"/>
      <c r="C100" s="401"/>
      <c r="D100" s="401">
        <f ca="1">SUM(D85:D99)</f>
        <v>13737.36</v>
      </c>
      <c r="E100" s="401">
        <f>SUM(E85:E99)</f>
        <v>0</v>
      </c>
    </row>
    <row r="101" spans="1:5" ht="15.75" hidden="1" thickTop="1" x14ac:dyDescent="0.25"/>
    <row r="102" spans="1:5" ht="15" hidden="1" x14ac:dyDescent="0.25"/>
    <row r="103" spans="1:5" ht="15" hidden="1" x14ac:dyDescent="0.25"/>
    <row r="104" spans="1:5" ht="15" hidden="1" x14ac:dyDescent="0.25"/>
    <row r="105" spans="1:5" ht="15" hidden="1" x14ac:dyDescent="0.25"/>
    <row r="106" spans="1:5" ht="15" hidden="1" x14ac:dyDescent="0.25"/>
    <row r="107" spans="1:5" ht="15" hidden="1" x14ac:dyDescent="0.25"/>
    <row r="108" spans="1:5" ht="15" hidden="1" x14ac:dyDescent="0.25"/>
    <row r="109" spans="1:5" ht="15" hidden="1" x14ac:dyDescent="0.25"/>
    <row r="110" spans="1:5" ht="15" hidden="1" x14ac:dyDescent="0.25"/>
    <row r="111" spans="1:5" ht="15" hidden="1" x14ac:dyDescent="0.25"/>
    <row r="112" spans="1:5" ht="15" hidden="1" x14ac:dyDescent="0.25"/>
    <row r="113" s="274" customFormat="1" ht="15" hidden="1" x14ac:dyDescent="0.25"/>
    <row r="114" s="274" customFormat="1" ht="15" hidden="1" x14ac:dyDescent="0.25"/>
    <row r="115" s="274" customFormat="1" ht="15" hidden="1" x14ac:dyDescent="0.25"/>
    <row r="116" s="274" customFormat="1" ht="15" hidden="1" x14ac:dyDescent="0.25"/>
    <row r="117" s="274" customFormat="1" ht="15" hidden="1" x14ac:dyDescent="0.25"/>
    <row r="118" s="274" customFormat="1" ht="15" hidden="1" x14ac:dyDescent="0.25"/>
    <row r="119" s="274" customFormat="1" ht="15" hidden="1" x14ac:dyDescent="0.25"/>
    <row r="120" s="274" customFormat="1" ht="15" hidden="1" x14ac:dyDescent="0.25"/>
    <row r="121" s="274" customFormat="1" ht="15" hidden="1" x14ac:dyDescent="0.25"/>
  </sheetData>
  <mergeCells count="16">
    <mergeCell ref="K17:K18"/>
    <mergeCell ref="L17:L18"/>
    <mergeCell ref="A19:C19"/>
    <mergeCell ref="E19:F19"/>
    <mergeCell ref="A70:I70"/>
    <mergeCell ref="A69:I69"/>
    <mergeCell ref="A56:I56"/>
    <mergeCell ref="A71:I71"/>
    <mergeCell ref="A72:I72"/>
    <mergeCell ref="A73:I73"/>
    <mergeCell ref="F4:G4"/>
    <mergeCell ref="F5:G5"/>
    <mergeCell ref="B6:E6"/>
    <mergeCell ref="B5:E5"/>
    <mergeCell ref="B4:E4"/>
    <mergeCell ref="F6:G6"/>
  </mergeCells>
  <conditionalFormatting sqref="K14">
    <cfRule type="cellIs" dxfId="7" priority="4" operator="equal">
      <formula>"Geen 100%"</formula>
    </cfRule>
  </conditionalFormatting>
  <conditionalFormatting sqref="G12">
    <cfRule type="containsText" dxfId="6" priority="2" operator="containsText" text="te laag">
      <formula>NOT(ISERROR(SEARCH("te laag",G12)))</formula>
    </cfRule>
  </conditionalFormatting>
  <conditionalFormatting sqref="G13">
    <cfRule type="containsText" dxfId="5" priority="1" operator="containsText" text="te laag">
      <formula>NOT(ISERROR(SEARCH("te laag",G13)))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40695A9E-4FD2-4909-A9C9-F42AFB951616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11">
    <tabColor rgb="FF173583"/>
  </sheetPr>
  <dimension ref="A1:M553"/>
  <sheetViews>
    <sheetView zoomScaleNormal="100" workbookViewId="0">
      <selection activeCell="P510" sqref="P510"/>
    </sheetView>
  </sheetViews>
  <sheetFormatPr defaultRowHeight="15" x14ac:dyDescent="0.25"/>
  <cols>
    <col min="1" max="1" width="6" style="5" customWidth="1"/>
    <col min="2" max="2" width="3.42578125" style="5" customWidth="1"/>
    <col min="3" max="3" width="20.85546875" style="3" customWidth="1"/>
    <col min="4" max="4" width="3" style="3" customWidth="1"/>
    <col min="5" max="5" width="3.7109375" style="3" customWidth="1"/>
    <col min="6" max="6" width="9.42578125" customWidth="1"/>
    <col min="7" max="7" width="10.5703125" customWidth="1"/>
    <col min="8" max="10" width="8.7109375" customWidth="1"/>
    <col min="11" max="11" width="10.7109375" style="7" customWidth="1"/>
    <col min="12" max="12" width="5.7109375" style="5" customWidth="1"/>
    <col min="13" max="13" width="10.7109375" customWidth="1"/>
  </cols>
  <sheetData>
    <row r="1" spans="1:13" x14ac:dyDescent="0.25">
      <c r="A1" s="30">
        <f>'4'!H4</f>
        <v>4</v>
      </c>
      <c r="B1" s="28" t="s">
        <v>7</v>
      </c>
      <c r="C1" s="29"/>
      <c r="D1" s="35" t="str">
        <f>IF(VLOOKUP(A1,Verzamelblad!A5:E19,3)=0,"",VLOOKUP(A1,Verzamelblad!A5:E19,3))</f>
        <v>De Kruidhof</v>
      </c>
      <c r="E1" s="36"/>
      <c r="F1" s="22"/>
      <c r="G1" s="22"/>
      <c r="H1" s="22"/>
      <c r="I1" s="22"/>
      <c r="J1" s="22"/>
      <c r="K1" s="37"/>
    </row>
    <row r="2" spans="1:13" x14ac:dyDescent="0.25">
      <c r="B2" s="28" t="s">
        <v>23</v>
      </c>
      <c r="C2" s="19"/>
      <c r="D2" s="35" t="str">
        <f>IF(CONCATENATE(VLOOKUP(A1,Verzamelblad!A5:E19,4)," te ",VLOOKUP(A1,Verzamelblad!A5:E19,5))=" te ","",CONCATENATE(VLOOKUP(A1,Verzamelblad!A5:E19,4)," te ",VLOOKUP(A1,Verzamelblad!A5:E19,5)))</f>
        <v>Schoolstraat 29B te Buitenpost</v>
      </c>
      <c r="E2" s="36"/>
      <c r="F2" s="22"/>
      <c r="G2" s="22"/>
      <c r="H2" s="22"/>
      <c r="I2" s="22"/>
      <c r="J2" s="22"/>
      <c r="K2" s="37"/>
    </row>
    <row r="3" spans="1:13" ht="30" x14ac:dyDescent="0.25">
      <c r="A3" s="6" t="s">
        <v>146</v>
      </c>
      <c r="B3" s="6" t="s">
        <v>24</v>
      </c>
      <c r="C3" s="3" t="s">
        <v>25</v>
      </c>
      <c r="D3" s="3" t="s">
        <v>26</v>
      </c>
      <c r="E3" s="3" t="s">
        <v>27</v>
      </c>
      <c r="F3" s="8" t="s">
        <v>28</v>
      </c>
      <c r="G3" s="8" t="s">
        <v>29</v>
      </c>
      <c r="H3" s="8" t="s">
        <v>30</v>
      </c>
      <c r="I3" s="8" t="s">
        <v>31</v>
      </c>
      <c r="J3" s="186" t="s">
        <v>257</v>
      </c>
      <c r="K3" s="8" t="s">
        <v>5</v>
      </c>
      <c r="L3" s="6" t="s">
        <v>32</v>
      </c>
      <c r="M3" s="3" t="s">
        <v>33</v>
      </c>
    </row>
    <row r="4" spans="1:13" x14ac:dyDescent="0.25">
      <c r="C4" s="237" t="s">
        <v>301</v>
      </c>
    </row>
    <row r="5" spans="1:13" x14ac:dyDescent="0.25">
      <c r="C5" s="3" t="s">
        <v>279</v>
      </c>
      <c r="E5" s="3" t="s">
        <v>269</v>
      </c>
      <c r="F5" s="7">
        <v>11.63</v>
      </c>
      <c r="G5" s="7"/>
      <c r="H5" s="7"/>
      <c r="I5" s="7"/>
      <c r="J5" s="7"/>
      <c r="K5" s="7">
        <f t="shared" ref="K5:K68" si="0">SUM(F5:J5)</f>
        <v>11.63</v>
      </c>
      <c r="L5" s="5">
        <f>IF(D5="X",0,IF(E5="",0,IF(E5="x",0,VLOOKUP(E5,$F$539:$G$553,2))))</f>
        <v>52</v>
      </c>
      <c r="M5">
        <f t="shared" ref="M5:M68" si="1">SUM(K5*L5)</f>
        <v>604.76</v>
      </c>
    </row>
    <row r="6" spans="1:13" x14ac:dyDescent="0.25">
      <c r="C6" s="3" t="s">
        <v>279</v>
      </c>
      <c r="E6" s="3" t="s">
        <v>269</v>
      </c>
      <c r="F6" s="7">
        <v>23</v>
      </c>
      <c r="G6" s="7"/>
      <c r="H6" s="7"/>
      <c r="I6" s="7"/>
      <c r="J6" s="7"/>
      <c r="K6" s="7">
        <f t="shared" si="0"/>
        <v>23</v>
      </c>
      <c r="L6" s="5">
        <f t="shared" ref="L6:L69" si="2">IF(D6="X",0,IF(E6="",0,IF(E6="x",0,VLOOKUP(E6,$F$539:$G$553,2))))</f>
        <v>52</v>
      </c>
      <c r="M6">
        <f t="shared" si="1"/>
        <v>1196</v>
      </c>
    </row>
    <row r="7" spans="1:13" x14ac:dyDescent="0.25">
      <c r="C7" s="3" t="s">
        <v>311</v>
      </c>
      <c r="E7" s="3" t="s">
        <v>269</v>
      </c>
      <c r="F7" s="7">
        <v>6.75</v>
      </c>
      <c r="G7" s="7"/>
      <c r="H7" s="7"/>
      <c r="I7" s="7"/>
      <c r="J7" s="7">
        <v>160</v>
      </c>
      <c r="K7" s="7">
        <f t="shared" si="0"/>
        <v>166.75</v>
      </c>
      <c r="L7" s="5">
        <f t="shared" si="2"/>
        <v>52</v>
      </c>
      <c r="M7">
        <f t="shared" si="1"/>
        <v>8671</v>
      </c>
    </row>
    <row r="8" spans="1:13" x14ac:dyDescent="0.25">
      <c r="C8" s="3" t="s">
        <v>312</v>
      </c>
      <c r="E8" s="3" t="s">
        <v>291</v>
      </c>
      <c r="F8" s="7">
        <v>25</v>
      </c>
      <c r="G8" s="7"/>
      <c r="H8" s="7"/>
      <c r="I8" s="7"/>
      <c r="J8" s="7"/>
      <c r="K8" s="7">
        <f t="shared" si="0"/>
        <v>25</v>
      </c>
      <c r="L8" s="5">
        <f t="shared" si="2"/>
        <v>52</v>
      </c>
      <c r="M8">
        <f t="shared" si="1"/>
        <v>1300</v>
      </c>
    </row>
    <row r="9" spans="1:13" x14ac:dyDescent="0.25">
      <c r="C9" s="3" t="s">
        <v>313</v>
      </c>
      <c r="E9" s="3" t="s">
        <v>291</v>
      </c>
      <c r="F9" s="7">
        <v>9.3000000000000007</v>
      </c>
      <c r="G9" s="7"/>
      <c r="H9" s="7"/>
      <c r="I9" s="7"/>
      <c r="J9" s="7"/>
      <c r="K9" s="7">
        <f t="shared" si="0"/>
        <v>9.3000000000000007</v>
      </c>
      <c r="L9" s="5">
        <f t="shared" si="2"/>
        <v>52</v>
      </c>
      <c r="M9">
        <f t="shared" si="1"/>
        <v>483.6</v>
      </c>
    </row>
    <row r="10" spans="1:13" x14ac:dyDescent="0.25">
      <c r="C10" s="3" t="s">
        <v>314</v>
      </c>
      <c r="E10" s="3" t="s">
        <v>291</v>
      </c>
      <c r="F10" s="7"/>
      <c r="G10" s="7"/>
      <c r="H10" s="7"/>
      <c r="I10" s="7"/>
      <c r="J10" s="7">
        <v>28.5</v>
      </c>
      <c r="K10" s="7">
        <f t="shared" si="0"/>
        <v>28.5</v>
      </c>
      <c r="L10" s="5">
        <f t="shared" si="2"/>
        <v>52</v>
      </c>
      <c r="M10">
        <f t="shared" si="1"/>
        <v>1482</v>
      </c>
    </row>
    <row r="11" spans="1:13" ht="15.75" thickBot="1" x14ac:dyDescent="0.3">
      <c r="C11" s="223" t="s">
        <v>315</v>
      </c>
      <c r="D11" s="223"/>
      <c r="E11" s="223"/>
      <c r="F11" s="224">
        <f>SUM(F4:F10)</f>
        <v>75.679999999999993</v>
      </c>
      <c r="G11" s="224">
        <f>SUM(G4:G10)</f>
        <v>0</v>
      </c>
      <c r="H11" s="224">
        <f>SUM(H4:H10)</f>
        <v>0</v>
      </c>
      <c r="I11" s="224">
        <f>SUM(I4:I10)</f>
        <v>0</v>
      </c>
      <c r="J11" s="224">
        <f>SUM(J4:J10)</f>
        <v>188.5</v>
      </c>
      <c r="K11" s="225">
        <f t="shared" ref="K11" si="3">SUM(F11:J11)</f>
        <v>264.18</v>
      </c>
    </row>
    <row r="12" spans="1:13" ht="15.75" thickTop="1" x14ac:dyDescent="0.25"/>
    <row r="13" spans="1:13" hidden="1" x14ac:dyDescent="0.25">
      <c r="K13" s="7">
        <f t="shared" si="0"/>
        <v>0</v>
      </c>
      <c r="L13" s="5">
        <f t="shared" si="2"/>
        <v>0</v>
      </c>
      <c r="M13">
        <f t="shared" si="1"/>
        <v>0</v>
      </c>
    </row>
    <row r="14" spans="1:13" hidden="1" x14ac:dyDescent="0.25">
      <c r="K14" s="7">
        <f t="shared" si="0"/>
        <v>0</v>
      </c>
      <c r="L14" s="5">
        <f t="shared" si="2"/>
        <v>0</v>
      </c>
      <c r="M14">
        <f t="shared" si="1"/>
        <v>0</v>
      </c>
    </row>
    <row r="15" spans="1:13" hidden="1" x14ac:dyDescent="0.25">
      <c r="K15" s="7">
        <f t="shared" si="0"/>
        <v>0</v>
      </c>
      <c r="L15" s="5">
        <f t="shared" si="2"/>
        <v>0</v>
      </c>
      <c r="M15">
        <f t="shared" si="1"/>
        <v>0</v>
      </c>
    </row>
    <row r="16" spans="1:13" hidden="1" x14ac:dyDescent="0.25">
      <c r="K16" s="7">
        <f t="shared" si="0"/>
        <v>0</v>
      </c>
      <c r="L16" s="5">
        <f t="shared" si="2"/>
        <v>0</v>
      </c>
      <c r="M16">
        <f t="shared" si="1"/>
        <v>0</v>
      </c>
    </row>
    <row r="17" spans="11:13" hidden="1" x14ac:dyDescent="0.25">
      <c r="K17" s="7">
        <f t="shared" si="0"/>
        <v>0</v>
      </c>
      <c r="L17" s="5">
        <f t="shared" si="2"/>
        <v>0</v>
      </c>
      <c r="M17">
        <f t="shared" si="1"/>
        <v>0</v>
      </c>
    </row>
    <row r="18" spans="11:13" hidden="1" x14ac:dyDescent="0.25">
      <c r="K18" s="7">
        <f t="shared" si="0"/>
        <v>0</v>
      </c>
      <c r="L18" s="5">
        <f t="shared" si="2"/>
        <v>0</v>
      </c>
      <c r="M18">
        <f t="shared" si="1"/>
        <v>0</v>
      </c>
    </row>
    <row r="19" spans="11:13" hidden="1" x14ac:dyDescent="0.25">
      <c r="K19" s="7">
        <f t="shared" si="0"/>
        <v>0</v>
      </c>
      <c r="L19" s="5">
        <f t="shared" si="2"/>
        <v>0</v>
      </c>
      <c r="M19">
        <f t="shared" si="1"/>
        <v>0</v>
      </c>
    </row>
    <row r="20" spans="11:13" hidden="1" x14ac:dyDescent="0.25">
      <c r="K20" s="7">
        <f t="shared" si="0"/>
        <v>0</v>
      </c>
      <c r="L20" s="5">
        <f t="shared" si="2"/>
        <v>0</v>
      </c>
      <c r="M20">
        <f t="shared" si="1"/>
        <v>0</v>
      </c>
    </row>
    <row r="21" spans="11:13" hidden="1" x14ac:dyDescent="0.25">
      <c r="K21" s="7">
        <f t="shared" si="0"/>
        <v>0</v>
      </c>
      <c r="L21" s="5">
        <f t="shared" si="2"/>
        <v>0</v>
      </c>
      <c r="M21">
        <f t="shared" si="1"/>
        <v>0</v>
      </c>
    </row>
    <row r="22" spans="11:13" hidden="1" x14ac:dyDescent="0.25">
      <c r="K22" s="7">
        <f t="shared" si="0"/>
        <v>0</v>
      </c>
      <c r="L22" s="5">
        <f t="shared" si="2"/>
        <v>0</v>
      </c>
      <c r="M22">
        <f t="shared" si="1"/>
        <v>0</v>
      </c>
    </row>
    <row r="23" spans="11:13" hidden="1" x14ac:dyDescent="0.25">
      <c r="K23" s="7">
        <f t="shared" si="0"/>
        <v>0</v>
      </c>
      <c r="L23" s="5">
        <f t="shared" si="2"/>
        <v>0</v>
      </c>
      <c r="M23">
        <f t="shared" si="1"/>
        <v>0</v>
      </c>
    </row>
    <row r="24" spans="11:13" hidden="1" x14ac:dyDescent="0.25">
      <c r="K24" s="7">
        <f t="shared" si="0"/>
        <v>0</v>
      </c>
      <c r="L24" s="5">
        <f t="shared" si="2"/>
        <v>0</v>
      </c>
      <c r="M24">
        <f t="shared" si="1"/>
        <v>0</v>
      </c>
    </row>
    <row r="25" spans="11:13" hidden="1" x14ac:dyDescent="0.25">
      <c r="K25" s="7">
        <f t="shared" si="0"/>
        <v>0</v>
      </c>
      <c r="L25" s="5">
        <f t="shared" si="2"/>
        <v>0</v>
      </c>
      <c r="M25">
        <f t="shared" si="1"/>
        <v>0</v>
      </c>
    </row>
    <row r="26" spans="11:13" hidden="1" x14ac:dyDescent="0.25">
      <c r="K26" s="7">
        <f t="shared" si="0"/>
        <v>0</v>
      </c>
      <c r="L26" s="5">
        <f t="shared" si="2"/>
        <v>0</v>
      </c>
      <c r="M26">
        <f t="shared" si="1"/>
        <v>0</v>
      </c>
    </row>
    <row r="27" spans="11:13" hidden="1" x14ac:dyDescent="0.25">
      <c r="K27" s="7">
        <f t="shared" si="0"/>
        <v>0</v>
      </c>
      <c r="L27" s="5">
        <f t="shared" si="2"/>
        <v>0</v>
      </c>
      <c r="M27">
        <f t="shared" si="1"/>
        <v>0</v>
      </c>
    </row>
    <row r="28" spans="11:13" hidden="1" x14ac:dyDescent="0.25">
      <c r="K28" s="7">
        <f t="shared" si="0"/>
        <v>0</v>
      </c>
      <c r="L28" s="5">
        <f t="shared" si="2"/>
        <v>0</v>
      </c>
      <c r="M28">
        <f t="shared" si="1"/>
        <v>0</v>
      </c>
    </row>
    <row r="29" spans="11:13" hidden="1" x14ac:dyDescent="0.25">
      <c r="K29" s="7">
        <f t="shared" si="0"/>
        <v>0</v>
      </c>
      <c r="L29" s="5">
        <f t="shared" si="2"/>
        <v>0</v>
      </c>
      <c r="M29">
        <f t="shared" si="1"/>
        <v>0</v>
      </c>
    </row>
    <row r="30" spans="11:13" hidden="1" x14ac:dyDescent="0.25">
      <c r="K30" s="7">
        <f t="shared" si="0"/>
        <v>0</v>
      </c>
      <c r="L30" s="5">
        <f t="shared" si="2"/>
        <v>0</v>
      </c>
      <c r="M30">
        <f t="shared" si="1"/>
        <v>0</v>
      </c>
    </row>
    <row r="31" spans="11:13" hidden="1" x14ac:dyDescent="0.25">
      <c r="K31" s="7">
        <f t="shared" si="0"/>
        <v>0</v>
      </c>
      <c r="L31" s="5">
        <f t="shared" si="2"/>
        <v>0</v>
      </c>
      <c r="M31">
        <f t="shared" si="1"/>
        <v>0</v>
      </c>
    </row>
    <row r="32" spans="11:13" hidden="1" x14ac:dyDescent="0.25">
      <c r="K32" s="7">
        <f t="shared" si="0"/>
        <v>0</v>
      </c>
      <c r="L32" s="5">
        <f t="shared" si="2"/>
        <v>0</v>
      </c>
      <c r="M32">
        <f t="shared" si="1"/>
        <v>0</v>
      </c>
    </row>
    <row r="33" spans="11:13" hidden="1" x14ac:dyDescent="0.25">
      <c r="K33" s="7">
        <f t="shared" si="0"/>
        <v>0</v>
      </c>
      <c r="L33" s="5">
        <f t="shared" si="2"/>
        <v>0</v>
      </c>
      <c r="M33">
        <f t="shared" si="1"/>
        <v>0</v>
      </c>
    </row>
    <row r="34" spans="11:13" hidden="1" x14ac:dyDescent="0.25">
      <c r="K34" s="7">
        <f t="shared" si="0"/>
        <v>0</v>
      </c>
      <c r="L34" s="5">
        <f t="shared" si="2"/>
        <v>0</v>
      </c>
      <c r="M34">
        <f t="shared" si="1"/>
        <v>0</v>
      </c>
    </row>
    <row r="35" spans="11:13" hidden="1" x14ac:dyDescent="0.25">
      <c r="K35" s="7">
        <f t="shared" si="0"/>
        <v>0</v>
      </c>
      <c r="L35" s="5">
        <f t="shared" si="2"/>
        <v>0</v>
      </c>
      <c r="M35">
        <f t="shared" si="1"/>
        <v>0</v>
      </c>
    </row>
    <row r="36" spans="11:13" hidden="1" x14ac:dyDescent="0.25">
      <c r="K36" s="7">
        <f t="shared" si="0"/>
        <v>0</v>
      </c>
      <c r="L36" s="5">
        <f t="shared" si="2"/>
        <v>0</v>
      </c>
      <c r="M36">
        <f t="shared" si="1"/>
        <v>0</v>
      </c>
    </row>
    <row r="37" spans="11:13" hidden="1" x14ac:dyDescent="0.25">
      <c r="K37" s="7">
        <f t="shared" si="0"/>
        <v>0</v>
      </c>
      <c r="L37" s="5">
        <f t="shared" si="2"/>
        <v>0</v>
      </c>
      <c r="M37">
        <f t="shared" si="1"/>
        <v>0</v>
      </c>
    </row>
    <row r="38" spans="11:13" hidden="1" x14ac:dyDescent="0.25">
      <c r="K38" s="7">
        <f t="shared" si="0"/>
        <v>0</v>
      </c>
      <c r="L38" s="5">
        <f t="shared" si="2"/>
        <v>0</v>
      </c>
      <c r="M38">
        <f t="shared" si="1"/>
        <v>0</v>
      </c>
    </row>
    <row r="39" spans="11:13" hidden="1" x14ac:dyDescent="0.25">
      <c r="K39" s="7">
        <f t="shared" si="0"/>
        <v>0</v>
      </c>
      <c r="L39" s="5">
        <f t="shared" si="2"/>
        <v>0</v>
      </c>
      <c r="M39">
        <f t="shared" si="1"/>
        <v>0</v>
      </c>
    </row>
    <row r="40" spans="11:13" hidden="1" x14ac:dyDescent="0.25">
      <c r="K40" s="7">
        <f t="shared" si="0"/>
        <v>0</v>
      </c>
      <c r="L40" s="5">
        <f t="shared" si="2"/>
        <v>0</v>
      </c>
      <c r="M40">
        <f t="shared" si="1"/>
        <v>0</v>
      </c>
    </row>
    <row r="41" spans="11:13" hidden="1" x14ac:dyDescent="0.25">
      <c r="K41" s="7">
        <f t="shared" si="0"/>
        <v>0</v>
      </c>
      <c r="L41" s="5">
        <f t="shared" si="2"/>
        <v>0</v>
      </c>
      <c r="M41">
        <f t="shared" si="1"/>
        <v>0</v>
      </c>
    </row>
    <row r="42" spans="11:13" hidden="1" x14ac:dyDescent="0.25">
      <c r="K42" s="7">
        <f t="shared" si="0"/>
        <v>0</v>
      </c>
      <c r="L42" s="5">
        <f t="shared" si="2"/>
        <v>0</v>
      </c>
      <c r="M42">
        <f t="shared" si="1"/>
        <v>0</v>
      </c>
    </row>
    <row r="43" spans="11:13" hidden="1" x14ac:dyDescent="0.25">
      <c r="K43" s="7">
        <f t="shared" si="0"/>
        <v>0</v>
      </c>
      <c r="L43" s="5">
        <f t="shared" si="2"/>
        <v>0</v>
      </c>
      <c r="M43">
        <f t="shared" si="1"/>
        <v>0</v>
      </c>
    </row>
    <row r="44" spans="11:13" hidden="1" x14ac:dyDescent="0.25">
      <c r="K44" s="7">
        <f t="shared" si="0"/>
        <v>0</v>
      </c>
      <c r="L44" s="5">
        <f t="shared" si="2"/>
        <v>0</v>
      </c>
      <c r="M44">
        <f t="shared" si="1"/>
        <v>0</v>
      </c>
    </row>
    <row r="45" spans="11:13" hidden="1" x14ac:dyDescent="0.25">
      <c r="K45" s="7">
        <f t="shared" si="0"/>
        <v>0</v>
      </c>
      <c r="L45" s="5">
        <f t="shared" si="2"/>
        <v>0</v>
      </c>
      <c r="M45">
        <f t="shared" si="1"/>
        <v>0</v>
      </c>
    </row>
    <row r="46" spans="11:13" hidden="1" x14ac:dyDescent="0.25">
      <c r="K46" s="7">
        <f t="shared" si="0"/>
        <v>0</v>
      </c>
      <c r="L46" s="5">
        <f t="shared" si="2"/>
        <v>0</v>
      </c>
      <c r="M46">
        <f t="shared" si="1"/>
        <v>0</v>
      </c>
    </row>
    <row r="47" spans="11:13" hidden="1" x14ac:dyDescent="0.25">
      <c r="K47" s="7">
        <f t="shared" si="0"/>
        <v>0</v>
      </c>
      <c r="L47" s="5">
        <f t="shared" si="2"/>
        <v>0</v>
      </c>
      <c r="M47">
        <f t="shared" si="1"/>
        <v>0</v>
      </c>
    </row>
    <row r="48" spans="11:13" hidden="1" x14ac:dyDescent="0.25">
      <c r="K48" s="7">
        <f t="shared" si="0"/>
        <v>0</v>
      </c>
      <c r="L48" s="5">
        <f t="shared" si="2"/>
        <v>0</v>
      </c>
      <c r="M48">
        <f t="shared" si="1"/>
        <v>0</v>
      </c>
    </row>
    <row r="49" spans="11:13" hidden="1" x14ac:dyDescent="0.25">
      <c r="K49" s="7">
        <f t="shared" si="0"/>
        <v>0</v>
      </c>
      <c r="L49" s="5">
        <f t="shared" si="2"/>
        <v>0</v>
      </c>
      <c r="M49">
        <f t="shared" si="1"/>
        <v>0</v>
      </c>
    </row>
    <row r="50" spans="11:13" hidden="1" x14ac:dyDescent="0.25">
      <c r="K50" s="7">
        <f t="shared" si="0"/>
        <v>0</v>
      </c>
      <c r="L50" s="5">
        <f t="shared" si="2"/>
        <v>0</v>
      </c>
      <c r="M50">
        <f t="shared" si="1"/>
        <v>0</v>
      </c>
    </row>
    <row r="51" spans="11:13" hidden="1" x14ac:dyDescent="0.25">
      <c r="K51" s="7">
        <f t="shared" si="0"/>
        <v>0</v>
      </c>
      <c r="L51" s="5">
        <f t="shared" si="2"/>
        <v>0</v>
      </c>
      <c r="M51">
        <f t="shared" si="1"/>
        <v>0</v>
      </c>
    </row>
    <row r="52" spans="11:13" hidden="1" x14ac:dyDescent="0.25">
      <c r="K52" s="7">
        <f t="shared" si="0"/>
        <v>0</v>
      </c>
      <c r="L52" s="5">
        <f t="shared" si="2"/>
        <v>0</v>
      </c>
      <c r="M52">
        <f t="shared" si="1"/>
        <v>0</v>
      </c>
    </row>
    <row r="53" spans="11:13" hidden="1" x14ac:dyDescent="0.25">
      <c r="K53" s="7">
        <f t="shared" si="0"/>
        <v>0</v>
      </c>
      <c r="L53" s="5">
        <f t="shared" si="2"/>
        <v>0</v>
      </c>
      <c r="M53">
        <f t="shared" si="1"/>
        <v>0</v>
      </c>
    </row>
    <row r="54" spans="11:13" hidden="1" x14ac:dyDescent="0.25">
      <c r="K54" s="7">
        <f t="shared" si="0"/>
        <v>0</v>
      </c>
      <c r="L54" s="5">
        <f t="shared" si="2"/>
        <v>0</v>
      </c>
      <c r="M54">
        <f t="shared" si="1"/>
        <v>0</v>
      </c>
    </row>
    <row r="55" spans="11:13" hidden="1" x14ac:dyDescent="0.25">
      <c r="K55" s="7">
        <f t="shared" si="0"/>
        <v>0</v>
      </c>
      <c r="L55" s="5">
        <f t="shared" si="2"/>
        <v>0</v>
      </c>
      <c r="M55">
        <f t="shared" si="1"/>
        <v>0</v>
      </c>
    </row>
    <row r="56" spans="11:13" hidden="1" x14ac:dyDescent="0.25">
      <c r="K56" s="7">
        <f t="shared" si="0"/>
        <v>0</v>
      </c>
      <c r="L56" s="5">
        <f t="shared" si="2"/>
        <v>0</v>
      </c>
      <c r="M56">
        <f t="shared" si="1"/>
        <v>0</v>
      </c>
    </row>
    <row r="57" spans="11:13" hidden="1" x14ac:dyDescent="0.25">
      <c r="K57" s="7">
        <f t="shared" si="0"/>
        <v>0</v>
      </c>
      <c r="L57" s="5">
        <f t="shared" si="2"/>
        <v>0</v>
      </c>
      <c r="M57">
        <f t="shared" si="1"/>
        <v>0</v>
      </c>
    </row>
    <row r="58" spans="11:13" hidden="1" x14ac:dyDescent="0.25">
      <c r="K58" s="7">
        <f t="shared" si="0"/>
        <v>0</v>
      </c>
      <c r="L58" s="5">
        <f t="shared" si="2"/>
        <v>0</v>
      </c>
      <c r="M58">
        <f t="shared" si="1"/>
        <v>0</v>
      </c>
    </row>
    <row r="59" spans="11:13" hidden="1" x14ac:dyDescent="0.25">
      <c r="K59" s="7">
        <f t="shared" si="0"/>
        <v>0</v>
      </c>
      <c r="L59" s="5">
        <f t="shared" si="2"/>
        <v>0</v>
      </c>
      <c r="M59">
        <f t="shared" si="1"/>
        <v>0</v>
      </c>
    </row>
    <row r="60" spans="11:13" hidden="1" x14ac:dyDescent="0.25">
      <c r="K60" s="7">
        <f t="shared" si="0"/>
        <v>0</v>
      </c>
      <c r="L60" s="5">
        <f t="shared" si="2"/>
        <v>0</v>
      </c>
      <c r="M60">
        <f t="shared" si="1"/>
        <v>0</v>
      </c>
    </row>
    <row r="61" spans="11:13" hidden="1" x14ac:dyDescent="0.25">
      <c r="K61" s="7">
        <f t="shared" si="0"/>
        <v>0</v>
      </c>
      <c r="L61" s="5">
        <f t="shared" si="2"/>
        <v>0</v>
      </c>
      <c r="M61">
        <f t="shared" si="1"/>
        <v>0</v>
      </c>
    </row>
    <row r="62" spans="11:13" hidden="1" x14ac:dyDescent="0.25">
      <c r="K62" s="7">
        <f t="shared" si="0"/>
        <v>0</v>
      </c>
      <c r="L62" s="5">
        <f t="shared" si="2"/>
        <v>0</v>
      </c>
      <c r="M62">
        <f t="shared" si="1"/>
        <v>0</v>
      </c>
    </row>
    <row r="63" spans="11:13" hidden="1" x14ac:dyDescent="0.25">
      <c r="K63" s="7">
        <f t="shared" si="0"/>
        <v>0</v>
      </c>
      <c r="L63" s="5">
        <f t="shared" si="2"/>
        <v>0</v>
      </c>
      <c r="M63">
        <f t="shared" si="1"/>
        <v>0</v>
      </c>
    </row>
    <row r="64" spans="11:13" hidden="1" x14ac:dyDescent="0.25">
      <c r="K64" s="7">
        <f t="shared" si="0"/>
        <v>0</v>
      </c>
      <c r="L64" s="5">
        <f t="shared" si="2"/>
        <v>0</v>
      </c>
      <c r="M64">
        <f t="shared" si="1"/>
        <v>0</v>
      </c>
    </row>
    <row r="65" spans="11:13" hidden="1" x14ac:dyDescent="0.25">
      <c r="K65" s="7">
        <f t="shared" si="0"/>
        <v>0</v>
      </c>
      <c r="L65" s="5">
        <f t="shared" si="2"/>
        <v>0</v>
      </c>
      <c r="M65">
        <f t="shared" si="1"/>
        <v>0</v>
      </c>
    </row>
    <row r="66" spans="11:13" hidden="1" x14ac:dyDescent="0.25">
      <c r="K66" s="7">
        <f t="shared" si="0"/>
        <v>0</v>
      </c>
      <c r="L66" s="5">
        <f t="shared" si="2"/>
        <v>0</v>
      </c>
      <c r="M66">
        <f t="shared" si="1"/>
        <v>0</v>
      </c>
    </row>
    <row r="67" spans="11:13" hidden="1" x14ac:dyDescent="0.25">
      <c r="K67" s="7">
        <f t="shared" si="0"/>
        <v>0</v>
      </c>
      <c r="L67" s="5">
        <f t="shared" si="2"/>
        <v>0</v>
      </c>
      <c r="M67">
        <f t="shared" si="1"/>
        <v>0</v>
      </c>
    </row>
    <row r="68" spans="11:13" hidden="1" x14ac:dyDescent="0.25">
      <c r="K68" s="7">
        <f t="shared" si="0"/>
        <v>0</v>
      </c>
      <c r="L68" s="5">
        <f t="shared" si="2"/>
        <v>0</v>
      </c>
      <c r="M68">
        <f t="shared" si="1"/>
        <v>0</v>
      </c>
    </row>
    <row r="69" spans="11:13" hidden="1" x14ac:dyDescent="0.25">
      <c r="K69" s="7">
        <f t="shared" ref="K69:K132" si="4">SUM(F69:J69)</f>
        <v>0</v>
      </c>
      <c r="L69" s="5">
        <f t="shared" si="2"/>
        <v>0</v>
      </c>
      <c r="M69">
        <f t="shared" ref="M69:M132" si="5">SUM(K69*L69)</f>
        <v>0</v>
      </c>
    </row>
    <row r="70" spans="11:13" hidden="1" x14ac:dyDescent="0.25">
      <c r="K70" s="7">
        <f t="shared" si="4"/>
        <v>0</v>
      </c>
      <c r="L70" s="5">
        <f t="shared" ref="L70:L133" si="6">IF(D70="X",0,IF(E70="",0,IF(E70="x",0,VLOOKUP(E70,$F$539:$G$553,2))))</f>
        <v>0</v>
      </c>
      <c r="M70">
        <f t="shared" si="5"/>
        <v>0</v>
      </c>
    </row>
    <row r="71" spans="11:13" hidden="1" x14ac:dyDescent="0.25">
      <c r="K71" s="7">
        <f t="shared" si="4"/>
        <v>0</v>
      </c>
      <c r="L71" s="5">
        <f t="shared" si="6"/>
        <v>0</v>
      </c>
      <c r="M71">
        <f t="shared" si="5"/>
        <v>0</v>
      </c>
    </row>
    <row r="72" spans="11:13" hidden="1" x14ac:dyDescent="0.25">
      <c r="K72" s="7">
        <f t="shared" si="4"/>
        <v>0</v>
      </c>
      <c r="L72" s="5">
        <f t="shared" si="6"/>
        <v>0</v>
      </c>
      <c r="M72">
        <f t="shared" si="5"/>
        <v>0</v>
      </c>
    </row>
    <row r="73" spans="11:13" hidden="1" x14ac:dyDescent="0.25">
      <c r="K73" s="7">
        <f t="shared" si="4"/>
        <v>0</v>
      </c>
      <c r="L73" s="5">
        <f t="shared" si="6"/>
        <v>0</v>
      </c>
      <c r="M73">
        <f t="shared" si="5"/>
        <v>0</v>
      </c>
    </row>
    <row r="74" spans="11:13" hidden="1" x14ac:dyDescent="0.25">
      <c r="K74" s="7">
        <f t="shared" si="4"/>
        <v>0</v>
      </c>
      <c r="L74" s="5">
        <f t="shared" si="6"/>
        <v>0</v>
      </c>
      <c r="M74">
        <f t="shared" si="5"/>
        <v>0</v>
      </c>
    </row>
    <row r="75" spans="11:13" hidden="1" x14ac:dyDescent="0.25">
      <c r="K75" s="7">
        <f t="shared" si="4"/>
        <v>0</v>
      </c>
      <c r="L75" s="5">
        <f t="shared" si="6"/>
        <v>0</v>
      </c>
      <c r="M75">
        <f t="shared" si="5"/>
        <v>0</v>
      </c>
    </row>
    <row r="76" spans="11:13" hidden="1" x14ac:dyDescent="0.25">
      <c r="K76" s="7">
        <f t="shared" si="4"/>
        <v>0</v>
      </c>
      <c r="L76" s="5">
        <f t="shared" si="6"/>
        <v>0</v>
      </c>
      <c r="M76">
        <f t="shared" si="5"/>
        <v>0</v>
      </c>
    </row>
    <row r="77" spans="11:13" hidden="1" x14ac:dyDescent="0.25">
      <c r="K77" s="7">
        <f t="shared" si="4"/>
        <v>0</v>
      </c>
      <c r="L77" s="5">
        <f t="shared" si="6"/>
        <v>0</v>
      </c>
      <c r="M77">
        <f t="shared" si="5"/>
        <v>0</v>
      </c>
    </row>
    <row r="78" spans="11:13" hidden="1" x14ac:dyDescent="0.25">
      <c r="K78" s="7">
        <f t="shared" si="4"/>
        <v>0</v>
      </c>
      <c r="L78" s="5">
        <f t="shared" si="6"/>
        <v>0</v>
      </c>
      <c r="M78">
        <f t="shared" si="5"/>
        <v>0</v>
      </c>
    </row>
    <row r="79" spans="11:13" hidden="1" x14ac:dyDescent="0.25">
      <c r="K79" s="7">
        <f t="shared" si="4"/>
        <v>0</v>
      </c>
      <c r="L79" s="5">
        <f t="shared" si="6"/>
        <v>0</v>
      </c>
      <c r="M79">
        <f t="shared" si="5"/>
        <v>0</v>
      </c>
    </row>
    <row r="80" spans="11:13" hidden="1" x14ac:dyDescent="0.25">
      <c r="K80" s="7">
        <f t="shared" si="4"/>
        <v>0</v>
      </c>
      <c r="L80" s="5">
        <f t="shared" si="6"/>
        <v>0</v>
      </c>
      <c r="M80">
        <f t="shared" si="5"/>
        <v>0</v>
      </c>
    </row>
    <row r="81" spans="11:13" hidden="1" x14ac:dyDescent="0.25">
      <c r="K81" s="7">
        <f t="shared" si="4"/>
        <v>0</v>
      </c>
      <c r="L81" s="5">
        <f t="shared" si="6"/>
        <v>0</v>
      </c>
      <c r="M81">
        <f t="shared" si="5"/>
        <v>0</v>
      </c>
    </row>
    <row r="82" spans="11:13" hidden="1" x14ac:dyDescent="0.25">
      <c r="K82" s="7">
        <f t="shared" si="4"/>
        <v>0</v>
      </c>
      <c r="L82" s="5">
        <f t="shared" si="6"/>
        <v>0</v>
      </c>
      <c r="M82">
        <f t="shared" si="5"/>
        <v>0</v>
      </c>
    </row>
    <row r="83" spans="11:13" hidden="1" x14ac:dyDescent="0.25">
      <c r="K83" s="7">
        <f t="shared" si="4"/>
        <v>0</v>
      </c>
      <c r="L83" s="5">
        <f t="shared" si="6"/>
        <v>0</v>
      </c>
      <c r="M83">
        <f t="shared" si="5"/>
        <v>0</v>
      </c>
    </row>
    <row r="84" spans="11:13" hidden="1" x14ac:dyDescent="0.25">
      <c r="K84" s="7">
        <f t="shared" si="4"/>
        <v>0</v>
      </c>
      <c r="L84" s="5">
        <f t="shared" si="6"/>
        <v>0</v>
      </c>
      <c r="M84">
        <f t="shared" si="5"/>
        <v>0</v>
      </c>
    </row>
    <row r="85" spans="11:13" hidden="1" x14ac:dyDescent="0.25">
      <c r="K85" s="7">
        <f t="shared" si="4"/>
        <v>0</v>
      </c>
      <c r="L85" s="5">
        <f t="shared" si="6"/>
        <v>0</v>
      </c>
      <c r="M85">
        <f t="shared" si="5"/>
        <v>0</v>
      </c>
    </row>
    <row r="86" spans="11:13" hidden="1" x14ac:dyDescent="0.25">
      <c r="K86" s="7">
        <f t="shared" si="4"/>
        <v>0</v>
      </c>
      <c r="L86" s="5">
        <f t="shared" si="6"/>
        <v>0</v>
      </c>
      <c r="M86">
        <f t="shared" si="5"/>
        <v>0</v>
      </c>
    </row>
    <row r="87" spans="11:13" hidden="1" x14ac:dyDescent="0.25">
      <c r="K87" s="7">
        <f t="shared" si="4"/>
        <v>0</v>
      </c>
      <c r="L87" s="5">
        <f t="shared" si="6"/>
        <v>0</v>
      </c>
      <c r="M87">
        <f t="shared" si="5"/>
        <v>0</v>
      </c>
    </row>
    <row r="88" spans="11:13" hidden="1" x14ac:dyDescent="0.25">
      <c r="K88" s="7">
        <f t="shared" si="4"/>
        <v>0</v>
      </c>
      <c r="L88" s="5">
        <f t="shared" si="6"/>
        <v>0</v>
      </c>
      <c r="M88">
        <f t="shared" si="5"/>
        <v>0</v>
      </c>
    </row>
    <row r="89" spans="11:13" hidden="1" x14ac:dyDescent="0.25">
      <c r="K89" s="7">
        <f t="shared" si="4"/>
        <v>0</v>
      </c>
      <c r="L89" s="5">
        <f t="shared" si="6"/>
        <v>0</v>
      </c>
      <c r="M89">
        <f t="shared" si="5"/>
        <v>0</v>
      </c>
    </row>
    <row r="90" spans="11:13" hidden="1" x14ac:dyDescent="0.25">
      <c r="K90" s="7">
        <f t="shared" si="4"/>
        <v>0</v>
      </c>
      <c r="L90" s="5">
        <f t="shared" si="6"/>
        <v>0</v>
      </c>
      <c r="M90">
        <f t="shared" si="5"/>
        <v>0</v>
      </c>
    </row>
    <row r="91" spans="11:13" hidden="1" x14ac:dyDescent="0.25">
      <c r="K91" s="7">
        <f t="shared" si="4"/>
        <v>0</v>
      </c>
      <c r="L91" s="5">
        <f t="shared" si="6"/>
        <v>0</v>
      </c>
      <c r="M91">
        <f t="shared" si="5"/>
        <v>0</v>
      </c>
    </row>
    <row r="92" spans="11:13" hidden="1" x14ac:dyDescent="0.25">
      <c r="K92" s="7">
        <f t="shared" si="4"/>
        <v>0</v>
      </c>
      <c r="L92" s="5">
        <f t="shared" si="6"/>
        <v>0</v>
      </c>
      <c r="M92">
        <f t="shared" si="5"/>
        <v>0</v>
      </c>
    </row>
    <row r="93" spans="11:13" hidden="1" x14ac:dyDescent="0.25">
      <c r="K93" s="7">
        <f t="shared" si="4"/>
        <v>0</v>
      </c>
      <c r="L93" s="5">
        <f t="shared" si="6"/>
        <v>0</v>
      </c>
      <c r="M93">
        <f t="shared" si="5"/>
        <v>0</v>
      </c>
    </row>
    <row r="94" spans="11:13" hidden="1" x14ac:dyDescent="0.25">
      <c r="K94" s="7">
        <f t="shared" si="4"/>
        <v>0</v>
      </c>
      <c r="L94" s="5">
        <f t="shared" si="6"/>
        <v>0</v>
      </c>
      <c r="M94">
        <f t="shared" si="5"/>
        <v>0</v>
      </c>
    </row>
    <row r="95" spans="11:13" hidden="1" x14ac:dyDescent="0.25">
      <c r="K95" s="7">
        <f t="shared" si="4"/>
        <v>0</v>
      </c>
      <c r="L95" s="5">
        <f t="shared" si="6"/>
        <v>0</v>
      </c>
      <c r="M95">
        <f t="shared" si="5"/>
        <v>0</v>
      </c>
    </row>
    <row r="96" spans="11:13" hidden="1" x14ac:dyDescent="0.25">
      <c r="K96" s="7">
        <f t="shared" si="4"/>
        <v>0</v>
      </c>
      <c r="L96" s="5">
        <f t="shared" si="6"/>
        <v>0</v>
      </c>
      <c r="M96">
        <f t="shared" si="5"/>
        <v>0</v>
      </c>
    </row>
    <row r="97" spans="11:13" hidden="1" x14ac:dyDescent="0.25">
      <c r="K97" s="7">
        <f t="shared" si="4"/>
        <v>0</v>
      </c>
      <c r="L97" s="5">
        <f t="shared" si="6"/>
        <v>0</v>
      </c>
      <c r="M97">
        <f t="shared" si="5"/>
        <v>0</v>
      </c>
    </row>
    <row r="98" spans="11:13" hidden="1" x14ac:dyDescent="0.25">
      <c r="K98" s="7">
        <f t="shared" si="4"/>
        <v>0</v>
      </c>
      <c r="L98" s="5">
        <f t="shared" si="6"/>
        <v>0</v>
      </c>
      <c r="M98">
        <f t="shared" si="5"/>
        <v>0</v>
      </c>
    </row>
    <row r="99" spans="11:13" hidden="1" x14ac:dyDescent="0.25">
      <c r="K99" s="7">
        <f t="shared" si="4"/>
        <v>0</v>
      </c>
      <c r="L99" s="5">
        <f t="shared" si="6"/>
        <v>0</v>
      </c>
      <c r="M99">
        <f t="shared" si="5"/>
        <v>0</v>
      </c>
    </row>
    <row r="100" spans="11:13" hidden="1" x14ac:dyDescent="0.25">
      <c r="K100" s="7">
        <f t="shared" si="4"/>
        <v>0</v>
      </c>
      <c r="L100" s="5">
        <f t="shared" si="6"/>
        <v>0</v>
      </c>
      <c r="M100">
        <f t="shared" si="5"/>
        <v>0</v>
      </c>
    </row>
    <row r="101" spans="11:13" hidden="1" x14ac:dyDescent="0.25">
      <c r="K101" s="7">
        <f t="shared" si="4"/>
        <v>0</v>
      </c>
      <c r="L101" s="5">
        <f t="shared" si="6"/>
        <v>0</v>
      </c>
      <c r="M101">
        <f t="shared" si="5"/>
        <v>0</v>
      </c>
    </row>
    <row r="102" spans="11:13" hidden="1" x14ac:dyDescent="0.25">
      <c r="K102" s="7">
        <f t="shared" si="4"/>
        <v>0</v>
      </c>
      <c r="L102" s="5">
        <f t="shared" si="6"/>
        <v>0</v>
      </c>
      <c r="M102">
        <f t="shared" si="5"/>
        <v>0</v>
      </c>
    </row>
    <row r="103" spans="11:13" hidden="1" x14ac:dyDescent="0.25">
      <c r="K103" s="7">
        <f t="shared" si="4"/>
        <v>0</v>
      </c>
      <c r="L103" s="5">
        <f t="shared" si="6"/>
        <v>0</v>
      </c>
      <c r="M103">
        <f t="shared" si="5"/>
        <v>0</v>
      </c>
    </row>
    <row r="104" spans="11:13" hidden="1" x14ac:dyDescent="0.25">
      <c r="K104" s="7">
        <f t="shared" si="4"/>
        <v>0</v>
      </c>
      <c r="L104" s="5">
        <f t="shared" si="6"/>
        <v>0</v>
      </c>
      <c r="M104">
        <f t="shared" si="5"/>
        <v>0</v>
      </c>
    </row>
    <row r="105" spans="11:13" hidden="1" x14ac:dyDescent="0.25">
      <c r="K105" s="7">
        <f t="shared" si="4"/>
        <v>0</v>
      </c>
      <c r="L105" s="5">
        <f t="shared" si="6"/>
        <v>0</v>
      </c>
      <c r="M105">
        <f t="shared" si="5"/>
        <v>0</v>
      </c>
    </row>
    <row r="106" spans="11:13" hidden="1" x14ac:dyDescent="0.25">
      <c r="K106" s="7">
        <f t="shared" si="4"/>
        <v>0</v>
      </c>
      <c r="L106" s="5">
        <f t="shared" si="6"/>
        <v>0</v>
      </c>
      <c r="M106">
        <f t="shared" si="5"/>
        <v>0</v>
      </c>
    </row>
    <row r="107" spans="11:13" hidden="1" x14ac:dyDescent="0.25">
      <c r="K107" s="7">
        <f t="shared" si="4"/>
        <v>0</v>
      </c>
      <c r="L107" s="5">
        <f t="shared" si="6"/>
        <v>0</v>
      </c>
      <c r="M107">
        <f t="shared" si="5"/>
        <v>0</v>
      </c>
    </row>
    <row r="108" spans="11:13" hidden="1" x14ac:dyDescent="0.25">
      <c r="K108" s="7">
        <f t="shared" si="4"/>
        <v>0</v>
      </c>
      <c r="L108" s="5">
        <f t="shared" si="6"/>
        <v>0</v>
      </c>
      <c r="M108">
        <f t="shared" si="5"/>
        <v>0</v>
      </c>
    </row>
    <row r="109" spans="11:13" hidden="1" x14ac:dyDescent="0.25">
      <c r="K109" s="7">
        <f t="shared" si="4"/>
        <v>0</v>
      </c>
      <c r="L109" s="5">
        <f t="shared" si="6"/>
        <v>0</v>
      </c>
      <c r="M109">
        <f t="shared" si="5"/>
        <v>0</v>
      </c>
    </row>
    <row r="110" spans="11:13" hidden="1" x14ac:dyDescent="0.25">
      <c r="K110" s="7">
        <f t="shared" si="4"/>
        <v>0</v>
      </c>
      <c r="L110" s="5">
        <f t="shared" si="6"/>
        <v>0</v>
      </c>
      <c r="M110">
        <f t="shared" si="5"/>
        <v>0</v>
      </c>
    </row>
    <row r="111" spans="11:13" hidden="1" x14ac:dyDescent="0.25">
      <c r="K111" s="7">
        <f t="shared" si="4"/>
        <v>0</v>
      </c>
      <c r="L111" s="5">
        <f t="shared" si="6"/>
        <v>0</v>
      </c>
      <c r="M111">
        <f t="shared" si="5"/>
        <v>0</v>
      </c>
    </row>
    <row r="112" spans="11:13" hidden="1" x14ac:dyDescent="0.25">
      <c r="K112" s="7">
        <f t="shared" si="4"/>
        <v>0</v>
      </c>
      <c r="L112" s="5">
        <f t="shared" si="6"/>
        <v>0</v>
      </c>
      <c r="M112">
        <f t="shared" si="5"/>
        <v>0</v>
      </c>
    </row>
    <row r="113" spans="11:13" hidden="1" x14ac:dyDescent="0.25">
      <c r="K113" s="7">
        <f t="shared" si="4"/>
        <v>0</v>
      </c>
      <c r="L113" s="5">
        <f t="shared" si="6"/>
        <v>0</v>
      </c>
      <c r="M113">
        <f t="shared" si="5"/>
        <v>0</v>
      </c>
    </row>
    <row r="114" spans="11:13" hidden="1" x14ac:dyDescent="0.25">
      <c r="K114" s="7">
        <f t="shared" si="4"/>
        <v>0</v>
      </c>
      <c r="L114" s="5">
        <f t="shared" si="6"/>
        <v>0</v>
      </c>
      <c r="M114">
        <f t="shared" si="5"/>
        <v>0</v>
      </c>
    </row>
    <row r="115" spans="11:13" hidden="1" x14ac:dyDescent="0.25">
      <c r="K115" s="7">
        <f t="shared" si="4"/>
        <v>0</v>
      </c>
      <c r="L115" s="5">
        <f t="shared" si="6"/>
        <v>0</v>
      </c>
      <c r="M115">
        <f t="shared" si="5"/>
        <v>0</v>
      </c>
    </row>
    <row r="116" spans="11:13" hidden="1" x14ac:dyDescent="0.25">
      <c r="K116" s="7">
        <f t="shared" si="4"/>
        <v>0</v>
      </c>
      <c r="L116" s="5">
        <f t="shared" si="6"/>
        <v>0</v>
      </c>
      <c r="M116">
        <f t="shared" si="5"/>
        <v>0</v>
      </c>
    </row>
    <row r="117" spans="11:13" hidden="1" x14ac:dyDescent="0.25">
      <c r="K117" s="7">
        <f t="shared" si="4"/>
        <v>0</v>
      </c>
      <c r="L117" s="5">
        <f t="shared" si="6"/>
        <v>0</v>
      </c>
      <c r="M117">
        <f t="shared" si="5"/>
        <v>0</v>
      </c>
    </row>
    <row r="118" spans="11:13" hidden="1" x14ac:dyDescent="0.25">
      <c r="K118" s="7">
        <f t="shared" si="4"/>
        <v>0</v>
      </c>
      <c r="L118" s="5">
        <f t="shared" si="6"/>
        <v>0</v>
      </c>
      <c r="M118">
        <f t="shared" si="5"/>
        <v>0</v>
      </c>
    </row>
    <row r="119" spans="11:13" hidden="1" x14ac:dyDescent="0.25">
      <c r="K119" s="7">
        <f t="shared" si="4"/>
        <v>0</v>
      </c>
      <c r="L119" s="5">
        <f t="shared" si="6"/>
        <v>0</v>
      </c>
      <c r="M119">
        <f t="shared" si="5"/>
        <v>0</v>
      </c>
    </row>
    <row r="120" spans="11:13" hidden="1" x14ac:dyDescent="0.25">
      <c r="K120" s="7">
        <f t="shared" si="4"/>
        <v>0</v>
      </c>
      <c r="L120" s="5">
        <f t="shared" si="6"/>
        <v>0</v>
      </c>
      <c r="M120">
        <f t="shared" si="5"/>
        <v>0</v>
      </c>
    </row>
    <row r="121" spans="11:13" hidden="1" x14ac:dyDescent="0.25">
      <c r="K121" s="7">
        <f t="shared" si="4"/>
        <v>0</v>
      </c>
      <c r="L121" s="5">
        <f t="shared" si="6"/>
        <v>0</v>
      </c>
      <c r="M121">
        <f t="shared" si="5"/>
        <v>0</v>
      </c>
    </row>
    <row r="122" spans="11:13" hidden="1" x14ac:dyDescent="0.25">
      <c r="K122" s="7">
        <f t="shared" si="4"/>
        <v>0</v>
      </c>
      <c r="L122" s="5">
        <f t="shared" si="6"/>
        <v>0</v>
      </c>
      <c r="M122">
        <f t="shared" si="5"/>
        <v>0</v>
      </c>
    </row>
    <row r="123" spans="11:13" hidden="1" x14ac:dyDescent="0.25">
      <c r="K123" s="7">
        <f t="shared" si="4"/>
        <v>0</v>
      </c>
      <c r="L123" s="5">
        <f t="shared" si="6"/>
        <v>0</v>
      </c>
      <c r="M123">
        <f t="shared" si="5"/>
        <v>0</v>
      </c>
    </row>
    <row r="124" spans="11:13" hidden="1" x14ac:dyDescent="0.25">
      <c r="K124" s="7">
        <f t="shared" si="4"/>
        <v>0</v>
      </c>
      <c r="L124" s="5">
        <f t="shared" si="6"/>
        <v>0</v>
      </c>
      <c r="M124">
        <f t="shared" si="5"/>
        <v>0</v>
      </c>
    </row>
    <row r="125" spans="11:13" hidden="1" x14ac:dyDescent="0.25">
      <c r="K125" s="7">
        <f t="shared" si="4"/>
        <v>0</v>
      </c>
      <c r="L125" s="5">
        <f t="shared" si="6"/>
        <v>0</v>
      </c>
      <c r="M125">
        <f t="shared" si="5"/>
        <v>0</v>
      </c>
    </row>
    <row r="126" spans="11:13" hidden="1" x14ac:dyDescent="0.25">
      <c r="K126" s="7">
        <f t="shared" si="4"/>
        <v>0</v>
      </c>
      <c r="L126" s="5">
        <f t="shared" si="6"/>
        <v>0</v>
      </c>
      <c r="M126">
        <f t="shared" si="5"/>
        <v>0</v>
      </c>
    </row>
    <row r="127" spans="11:13" hidden="1" x14ac:dyDescent="0.25">
      <c r="K127" s="7">
        <f t="shared" si="4"/>
        <v>0</v>
      </c>
      <c r="L127" s="5">
        <f t="shared" si="6"/>
        <v>0</v>
      </c>
      <c r="M127">
        <f t="shared" si="5"/>
        <v>0</v>
      </c>
    </row>
    <row r="128" spans="11:13" hidden="1" x14ac:dyDescent="0.25">
      <c r="K128" s="7">
        <f t="shared" si="4"/>
        <v>0</v>
      </c>
      <c r="L128" s="5">
        <f t="shared" si="6"/>
        <v>0</v>
      </c>
      <c r="M128">
        <f t="shared" si="5"/>
        <v>0</v>
      </c>
    </row>
    <row r="129" spans="11:13" hidden="1" x14ac:dyDescent="0.25">
      <c r="K129" s="7">
        <f t="shared" si="4"/>
        <v>0</v>
      </c>
      <c r="L129" s="5">
        <f t="shared" si="6"/>
        <v>0</v>
      </c>
      <c r="M129">
        <f t="shared" si="5"/>
        <v>0</v>
      </c>
    </row>
    <row r="130" spans="11:13" hidden="1" x14ac:dyDescent="0.25">
      <c r="K130" s="7">
        <f t="shared" si="4"/>
        <v>0</v>
      </c>
      <c r="L130" s="5">
        <f t="shared" si="6"/>
        <v>0</v>
      </c>
      <c r="M130">
        <f t="shared" si="5"/>
        <v>0</v>
      </c>
    </row>
    <row r="131" spans="11:13" hidden="1" x14ac:dyDescent="0.25">
      <c r="K131" s="7">
        <f t="shared" si="4"/>
        <v>0</v>
      </c>
      <c r="L131" s="5">
        <f t="shared" si="6"/>
        <v>0</v>
      </c>
      <c r="M131">
        <f t="shared" si="5"/>
        <v>0</v>
      </c>
    </row>
    <row r="132" spans="11:13" hidden="1" x14ac:dyDescent="0.25">
      <c r="K132" s="7">
        <f t="shared" si="4"/>
        <v>0</v>
      </c>
      <c r="L132" s="5">
        <f t="shared" si="6"/>
        <v>0</v>
      </c>
      <c r="M132">
        <f t="shared" si="5"/>
        <v>0</v>
      </c>
    </row>
    <row r="133" spans="11:13" hidden="1" x14ac:dyDescent="0.25">
      <c r="K133" s="7">
        <f t="shared" ref="K133:K196" si="7">SUM(F133:J133)</f>
        <v>0</v>
      </c>
      <c r="L133" s="5">
        <f t="shared" si="6"/>
        <v>0</v>
      </c>
      <c r="M133">
        <f t="shared" ref="M133:M196" si="8">SUM(K133*L133)</f>
        <v>0</v>
      </c>
    </row>
    <row r="134" spans="11:13" hidden="1" x14ac:dyDescent="0.25">
      <c r="K134" s="7">
        <f t="shared" si="7"/>
        <v>0</v>
      </c>
      <c r="L134" s="5">
        <f t="shared" ref="L134:L197" si="9">IF(D134="X",0,IF(E134="",0,IF(E134="x",0,VLOOKUP(E134,$F$539:$G$553,2))))</f>
        <v>0</v>
      </c>
      <c r="M134">
        <f t="shared" si="8"/>
        <v>0</v>
      </c>
    </row>
    <row r="135" spans="11:13" hidden="1" x14ac:dyDescent="0.25">
      <c r="K135" s="7">
        <f t="shared" si="7"/>
        <v>0</v>
      </c>
      <c r="L135" s="5">
        <f t="shared" si="9"/>
        <v>0</v>
      </c>
      <c r="M135">
        <f t="shared" si="8"/>
        <v>0</v>
      </c>
    </row>
    <row r="136" spans="11:13" hidden="1" x14ac:dyDescent="0.25">
      <c r="K136" s="7">
        <f t="shared" si="7"/>
        <v>0</v>
      </c>
      <c r="L136" s="5">
        <f t="shared" si="9"/>
        <v>0</v>
      </c>
      <c r="M136">
        <f t="shared" si="8"/>
        <v>0</v>
      </c>
    </row>
    <row r="137" spans="11:13" hidden="1" x14ac:dyDescent="0.25">
      <c r="K137" s="7">
        <f t="shared" si="7"/>
        <v>0</v>
      </c>
      <c r="L137" s="5">
        <f t="shared" si="9"/>
        <v>0</v>
      </c>
      <c r="M137">
        <f t="shared" si="8"/>
        <v>0</v>
      </c>
    </row>
    <row r="138" spans="11:13" hidden="1" x14ac:dyDescent="0.25">
      <c r="K138" s="7">
        <f t="shared" si="7"/>
        <v>0</v>
      </c>
      <c r="L138" s="5">
        <f t="shared" si="9"/>
        <v>0</v>
      </c>
      <c r="M138">
        <f t="shared" si="8"/>
        <v>0</v>
      </c>
    </row>
    <row r="139" spans="11:13" hidden="1" x14ac:dyDescent="0.25">
      <c r="K139" s="7">
        <f t="shared" si="7"/>
        <v>0</v>
      </c>
      <c r="L139" s="5">
        <f t="shared" si="9"/>
        <v>0</v>
      </c>
      <c r="M139">
        <f t="shared" si="8"/>
        <v>0</v>
      </c>
    </row>
    <row r="140" spans="11:13" hidden="1" x14ac:dyDescent="0.25">
      <c r="K140" s="7">
        <f t="shared" si="7"/>
        <v>0</v>
      </c>
      <c r="L140" s="5">
        <f t="shared" si="9"/>
        <v>0</v>
      </c>
      <c r="M140">
        <f t="shared" si="8"/>
        <v>0</v>
      </c>
    </row>
    <row r="141" spans="11:13" hidden="1" x14ac:dyDescent="0.25">
      <c r="K141" s="7">
        <f t="shared" si="7"/>
        <v>0</v>
      </c>
      <c r="L141" s="5">
        <f t="shared" si="9"/>
        <v>0</v>
      </c>
      <c r="M141">
        <f t="shared" si="8"/>
        <v>0</v>
      </c>
    </row>
    <row r="142" spans="11:13" hidden="1" x14ac:dyDescent="0.25">
      <c r="K142" s="7">
        <f t="shared" si="7"/>
        <v>0</v>
      </c>
      <c r="L142" s="5">
        <f t="shared" si="9"/>
        <v>0</v>
      </c>
      <c r="M142">
        <f t="shared" si="8"/>
        <v>0</v>
      </c>
    </row>
    <row r="143" spans="11:13" hidden="1" x14ac:dyDescent="0.25">
      <c r="K143" s="7">
        <f t="shared" si="7"/>
        <v>0</v>
      </c>
      <c r="L143" s="5">
        <f t="shared" si="9"/>
        <v>0</v>
      </c>
      <c r="M143">
        <f t="shared" si="8"/>
        <v>0</v>
      </c>
    </row>
    <row r="144" spans="11:13" hidden="1" x14ac:dyDescent="0.25">
      <c r="K144" s="7">
        <f t="shared" si="7"/>
        <v>0</v>
      </c>
      <c r="L144" s="5">
        <f t="shared" si="9"/>
        <v>0</v>
      </c>
      <c r="M144">
        <f t="shared" si="8"/>
        <v>0</v>
      </c>
    </row>
    <row r="145" spans="11:13" hidden="1" x14ac:dyDescent="0.25">
      <c r="K145" s="7">
        <f t="shared" si="7"/>
        <v>0</v>
      </c>
      <c r="L145" s="5">
        <f t="shared" si="9"/>
        <v>0</v>
      </c>
      <c r="M145">
        <f t="shared" si="8"/>
        <v>0</v>
      </c>
    </row>
    <row r="146" spans="11:13" hidden="1" x14ac:dyDescent="0.25">
      <c r="K146" s="7">
        <f t="shared" si="7"/>
        <v>0</v>
      </c>
      <c r="L146" s="5">
        <f t="shared" si="9"/>
        <v>0</v>
      </c>
      <c r="M146">
        <f t="shared" si="8"/>
        <v>0</v>
      </c>
    </row>
    <row r="147" spans="11:13" hidden="1" x14ac:dyDescent="0.25">
      <c r="K147" s="7">
        <f t="shared" si="7"/>
        <v>0</v>
      </c>
      <c r="L147" s="5">
        <f t="shared" si="9"/>
        <v>0</v>
      </c>
      <c r="M147">
        <f t="shared" si="8"/>
        <v>0</v>
      </c>
    </row>
    <row r="148" spans="11:13" hidden="1" x14ac:dyDescent="0.25">
      <c r="K148" s="7">
        <f t="shared" si="7"/>
        <v>0</v>
      </c>
      <c r="L148" s="5">
        <f t="shared" si="9"/>
        <v>0</v>
      </c>
      <c r="M148">
        <f t="shared" si="8"/>
        <v>0</v>
      </c>
    </row>
    <row r="149" spans="11:13" hidden="1" x14ac:dyDescent="0.25">
      <c r="K149" s="7">
        <f t="shared" si="7"/>
        <v>0</v>
      </c>
      <c r="L149" s="5">
        <f t="shared" si="9"/>
        <v>0</v>
      </c>
      <c r="M149">
        <f t="shared" si="8"/>
        <v>0</v>
      </c>
    </row>
    <row r="150" spans="11:13" hidden="1" x14ac:dyDescent="0.25">
      <c r="K150" s="7">
        <f t="shared" si="7"/>
        <v>0</v>
      </c>
      <c r="L150" s="5">
        <f t="shared" si="9"/>
        <v>0</v>
      </c>
      <c r="M150">
        <f t="shared" si="8"/>
        <v>0</v>
      </c>
    </row>
    <row r="151" spans="11:13" hidden="1" x14ac:dyDescent="0.25">
      <c r="K151" s="7">
        <f t="shared" si="7"/>
        <v>0</v>
      </c>
      <c r="L151" s="5">
        <f t="shared" si="9"/>
        <v>0</v>
      </c>
      <c r="M151">
        <f t="shared" si="8"/>
        <v>0</v>
      </c>
    </row>
    <row r="152" spans="11:13" hidden="1" x14ac:dyDescent="0.25">
      <c r="K152" s="7">
        <f t="shared" si="7"/>
        <v>0</v>
      </c>
      <c r="L152" s="5">
        <f t="shared" si="9"/>
        <v>0</v>
      </c>
      <c r="M152">
        <f t="shared" si="8"/>
        <v>0</v>
      </c>
    </row>
    <row r="153" spans="11:13" hidden="1" x14ac:dyDescent="0.25">
      <c r="K153" s="7">
        <f t="shared" si="7"/>
        <v>0</v>
      </c>
      <c r="L153" s="5">
        <f t="shared" si="9"/>
        <v>0</v>
      </c>
      <c r="M153">
        <f t="shared" si="8"/>
        <v>0</v>
      </c>
    </row>
    <row r="154" spans="11:13" hidden="1" x14ac:dyDescent="0.25">
      <c r="K154" s="7">
        <f t="shared" si="7"/>
        <v>0</v>
      </c>
      <c r="L154" s="5">
        <f t="shared" si="9"/>
        <v>0</v>
      </c>
      <c r="M154">
        <f t="shared" si="8"/>
        <v>0</v>
      </c>
    </row>
    <row r="155" spans="11:13" hidden="1" x14ac:dyDescent="0.25">
      <c r="K155" s="7">
        <f t="shared" si="7"/>
        <v>0</v>
      </c>
      <c r="L155" s="5">
        <f t="shared" si="9"/>
        <v>0</v>
      </c>
      <c r="M155">
        <f t="shared" si="8"/>
        <v>0</v>
      </c>
    </row>
    <row r="156" spans="11:13" hidden="1" x14ac:dyDescent="0.25">
      <c r="K156" s="7">
        <f t="shared" si="7"/>
        <v>0</v>
      </c>
      <c r="L156" s="5">
        <f t="shared" si="9"/>
        <v>0</v>
      </c>
      <c r="M156">
        <f t="shared" si="8"/>
        <v>0</v>
      </c>
    </row>
    <row r="157" spans="11:13" hidden="1" x14ac:dyDescent="0.25">
      <c r="K157" s="7">
        <f t="shared" si="7"/>
        <v>0</v>
      </c>
      <c r="L157" s="5">
        <f t="shared" si="9"/>
        <v>0</v>
      </c>
      <c r="M157">
        <f t="shared" si="8"/>
        <v>0</v>
      </c>
    </row>
    <row r="158" spans="11:13" hidden="1" x14ac:dyDescent="0.25">
      <c r="K158" s="7">
        <f t="shared" si="7"/>
        <v>0</v>
      </c>
      <c r="L158" s="5">
        <f t="shared" si="9"/>
        <v>0</v>
      </c>
      <c r="M158">
        <f t="shared" si="8"/>
        <v>0</v>
      </c>
    </row>
    <row r="159" spans="11:13" hidden="1" x14ac:dyDescent="0.25">
      <c r="K159" s="7">
        <f t="shared" si="7"/>
        <v>0</v>
      </c>
      <c r="L159" s="5">
        <f t="shared" si="9"/>
        <v>0</v>
      </c>
      <c r="M159">
        <f t="shared" si="8"/>
        <v>0</v>
      </c>
    </row>
    <row r="160" spans="11:13" hidden="1" x14ac:dyDescent="0.25">
      <c r="K160" s="7">
        <f t="shared" si="7"/>
        <v>0</v>
      </c>
      <c r="L160" s="5">
        <f t="shared" si="9"/>
        <v>0</v>
      </c>
      <c r="M160">
        <f t="shared" si="8"/>
        <v>0</v>
      </c>
    </row>
    <row r="161" spans="11:13" hidden="1" x14ac:dyDescent="0.25">
      <c r="K161" s="7">
        <f t="shared" si="7"/>
        <v>0</v>
      </c>
      <c r="L161" s="5">
        <f t="shared" si="9"/>
        <v>0</v>
      </c>
      <c r="M161">
        <f t="shared" si="8"/>
        <v>0</v>
      </c>
    </row>
    <row r="162" spans="11:13" hidden="1" x14ac:dyDescent="0.25">
      <c r="K162" s="7">
        <f t="shared" si="7"/>
        <v>0</v>
      </c>
      <c r="L162" s="5">
        <f t="shared" si="9"/>
        <v>0</v>
      </c>
      <c r="M162">
        <f t="shared" si="8"/>
        <v>0</v>
      </c>
    </row>
    <row r="163" spans="11:13" hidden="1" x14ac:dyDescent="0.25">
      <c r="K163" s="7">
        <f t="shared" si="7"/>
        <v>0</v>
      </c>
      <c r="L163" s="5">
        <f t="shared" si="9"/>
        <v>0</v>
      </c>
      <c r="M163">
        <f t="shared" si="8"/>
        <v>0</v>
      </c>
    </row>
    <row r="164" spans="11:13" hidden="1" x14ac:dyDescent="0.25">
      <c r="K164" s="7">
        <f t="shared" si="7"/>
        <v>0</v>
      </c>
      <c r="L164" s="5">
        <f t="shared" si="9"/>
        <v>0</v>
      </c>
      <c r="M164">
        <f t="shared" si="8"/>
        <v>0</v>
      </c>
    </row>
    <row r="165" spans="11:13" hidden="1" x14ac:dyDescent="0.25">
      <c r="K165" s="7">
        <f t="shared" si="7"/>
        <v>0</v>
      </c>
      <c r="L165" s="5">
        <f t="shared" si="9"/>
        <v>0</v>
      </c>
      <c r="M165">
        <f t="shared" si="8"/>
        <v>0</v>
      </c>
    </row>
    <row r="166" spans="11:13" hidden="1" x14ac:dyDescent="0.25">
      <c r="K166" s="7">
        <f t="shared" si="7"/>
        <v>0</v>
      </c>
      <c r="L166" s="5">
        <f t="shared" si="9"/>
        <v>0</v>
      </c>
      <c r="M166">
        <f t="shared" si="8"/>
        <v>0</v>
      </c>
    </row>
    <row r="167" spans="11:13" hidden="1" x14ac:dyDescent="0.25">
      <c r="K167" s="7">
        <f t="shared" si="7"/>
        <v>0</v>
      </c>
      <c r="L167" s="5">
        <f t="shared" si="9"/>
        <v>0</v>
      </c>
      <c r="M167">
        <f t="shared" si="8"/>
        <v>0</v>
      </c>
    </row>
    <row r="168" spans="11:13" hidden="1" x14ac:dyDescent="0.25">
      <c r="K168" s="7">
        <f t="shared" si="7"/>
        <v>0</v>
      </c>
      <c r="L168" s="5">
        <f t="shared" si="9"/>
        <v>0</v>
      </c>
      <c r="M168">
        <f t="shared" si="8"/>
        <v>0</v>
      </c>
    </row>
    <row r="169" spans="11:13" hidden="1" x14ac:dyDescent="0.25">
      <c r="K169" s="7">
        <f t="shared" si="7"/>
        <v>0</v>
      </c>
      <c r="L169" s="5">
        <f t="shared" si="9"/>
        <v>0</v>
      </c>
      <c r="M169">
        <f t="shared" si="8"/>
        <v>0</v>
      </c>
    </row>
    <row r="170" spans="11:13" hidden="1" x14ac:dyDescent="0.25">
      <c r="K170" s="7">
        <f t="shared" si="7"/>
        <v>0</v>
      </c>
      <c r="L170" s="5">
        <f t="shared" si="9"/>
        <v>0</v>
      </c>
      <c r="M170">
        <f t="shared" si="8"/>
        <v>0</v>
      </c>
    </row>
    <row r="171" spans="11:13" hidden="1" x14ac:dyDescent="0.25">
      <c r="K171" s="7">
        <f t="shared" si="7"/>
        <v>0</v>
      </c>
      <c r="L171" s="5">
        <f t="shared" si="9"/>
        <v>0</v>
      </c>
      <c r="M171">
        <f t="shared" si="8"/>
        <v>0</v>
      </c>
    </row>
    <row r="172" spans="11:13" hidden="1" x14ac:dyDescent="0.25">
      <c r="K172" s="7">
        <f t="shared" si="7"/>
        <v>0</v>
      </c>
      <c r="L172" s="5">
        <f t="shared" si="9"/>
        <v>0</v>
      </c>
      <c r="M172">
        <f t="shared" si="8"/>
        <v>0</v>
      </c>
    </row>
    <row r="173" spans="11:13" hidden="1" x14ac:dyDescent="0.25">
      <c r="K173" s="7">
        <f t="shared" si="7"/>
        <v>0</v>
      </c>
      <c r="L173" s="5">
        <f t="shared" si="9"/>
        <v>0</v>
      </c>
      <c r="M173">
        <f t="shared" si="8"/>
        <v>0</v>
      </c>
    </row>
    <row r="174" spans="11:13" hidden="1" x14ac:dyDescent="0.25">
      <c r="K174" s="7">
        <f t="shared" si="7"/>
        <v>0</v>
      </c>
      <c r="L174" s="5">
        <f t="shared" si="9"/>
        <v>0</v>
      </c>
      <c r="M174">
        <f t="shared" si="8"/>
        <v>0</v>
      </c>
    </row>
    <row r="175" spans="11:13" hidden="1" x14ac:dyDescent="0.25">
      <c r="K175" s="7">
        <f t="shared" si="7"/>
        <v>0</v>
      </c>
      <c r="L175" s="5">
        <f t="shared" si="9"/>
        <v>0</v>
      </c>
      <c r="M175">
        <f t="shared" si="8"/>
        <v>0</v>
      </c>
    </row>
    <row r="176" spans="11:13" hidden="1" x14ac:dyDescent="0.25">
      <c r="K176" s="7">
        <f t="shared" si="7"/>
        <v>0</v>
      </c>
      <c r="L176" s="5">
        <f t="shared" si="9"/>
        <v>0</v>
      </c>
      <c r="M176">
        <f t="shared" si="8"/>
        <v>0</v>
      </c>
    </row>
    <row r="177" spans="11:13" hidden="1" x14ac:dyDescent="0.25">
      <c r="K177" s="7">
        <f t="shared" si="7"/>
        <v>0</v>
      </c>
      <c r="L177" s="5">
        <f t="shared" si="9"/>
        <v>0</v>
      </c>
      <c r="M177">
        <f t="shared" si="8"/>
        <v>0</v>
      </c>
    </row>
    <row r="178" spans="11:13" hidden="1" x14ac:dyDescent="0.25">
      <c r="K178" s="7">
        <f t="shared" si="7"/>
        <v>0</v>
      </c>
      <c r="L178" s="5">
        <f t="shared" si="9"/>
        <v>0</v>
      </c>
      <c r="M178">
        <f t="shared" si="8"/>
        <v>0</v>
      </c>
    </row>
    <row r="179" spans="11:13" hidden="1" x14ac:dyDescent="0.25">
      <c r="K179" s="7">
        <f t="shared" si="7"/>
        <v>0</v>
      </c>
      <c r="L179" s="5">
        <f t="shared" si="9"/>
        <v>0</v>
      </c>
      <c r="M179">
        <f t="shared" si="8"/>
        <v>0</v>
      </c>
    </row>
    <row r="180" spans="11:13" hidden="1" x14ac:dyDescent="0.25">
      <c r="K180" s="7">
        <f t="shared" si="7"/>
        <v>0</v>
      </c>
      <c r="L180" s="5">
        <f t="shared" si="9"/>
        <v>0</v>
      </c>
      <c r="M180">
        <f t="shared" si="8"/>
        <v>0</v>
      </c>
    </row>
    <row r="181" spans="11:13" hidden="1" x14ac:dyDescent="0.25">
      <c r="K181" s="7">
        <f t="shared" si="7"/>
        <v>0</v>
      </c>
      <c r="L181" s="5">
        <f t="shared" si="9"/>
        <v>0</v>
      </c>
      <c r="M181">
        <f t="shared" si="8"/>
        <v>0</v>
      </c>
    </row>
    <row r="182" spans="11:13" hidden="1" x14ac:dyDescent="0.25">
      <c r="K182" s="7">
        <f t="shared" si="7"/>
        <v>0</v>
      </c>
      <c r="L182" s="5">
        <f t="shared" si="9"/>
        <v>0</v>
      </c>
      <c r="M182">
        <f t="shared" si="8"/>
        <v>0</v>
      </c>
    </row>
    <row r="183" spans="11:13" hidden="1" x14ac:dyDescent="0.25">
      <c r="K183" s="7">
        <f t="shared" si="7"/>
        <v>0</v>
      </c>
      <c r="L183" s="5">
        <f t="shared" si="9"/>
        <v>0</v>
      </c>
      <c r="M183">
        <f t="shared" si="8"/>
        <v>0</v>
      </c>
    </row>
    <row r="184" spans="11:13" hidden="1" x14ac:dyDescent="0.25">
      <c r="K184" s="7">
        <f t="shared" si="7"/>
        <v>0</v>
      </c>
      <c r="L184" s="5">
        <f t="shared" si="9"/>
        <v>0</v>
      </c>
      <c r="M184">
        <f t="shared" si="8"/>
        <v>0</v>
      </c>
    </row>
    <row r="185" spans="11:13" hidden="1" x14ac:dyDescent="0.25">
      <c r="K185" s="7">
        <f t="shared" si="7"/>
        <v>0</v>
      </c>
      <c r="L185" s="5">
        <f t="shared" si="9"/>
        <v>0</v>
      </c>
      <c r="M185">
        <f t="shared" si="8"/>
        <v>0</v>
      </c>
    </row>
    <row r="186" spans="11:13" hidden="1" x14ac:dyDescent="0.25">
      <c r="K186" s="7">
        <f t="shared" si="7"/>
        <v>0</v>
      </c>
      <c r="L186" s="5">
        <f t="shared" si="9"/>
        <v>0</v>
      </c>
      <c r="M186">
        <f t="shared" si="8"/>
        <v>0</v>
      </c>
    </row>
    <row r="187" spans="11:13" hidden="1" x14ac:dyDescent="0.25">
      <c r="K187" s="7">
        <f t="shared" si="7"/>
        <v>0</v>
      </c>
      <c r="L187" s="5">
        <f t="shared" si="9"/>
        <v>0</v>
      </c>
      <c r="M187">
        <f t="shared" si="8"/>
        <v>0</v>
      </c>
    </row>
    <row r="188" spans="11:13" hidden="1" x14ac:dyDescent="0.25">
      <c r="K188" s="7">
        <f t="shared" si="7"/>
        <v>0</v>
      </c>
      <c r="L188" s="5">
        <f t="shared" si="9"/>
        <v>0</v>
      </c>
      <c r="M188">
        <f t="shared" si="8"/>
        <v>0</v>
      </c>
    </row>
    <row r="189" spans="11:13" hidden="1" x14ac:dyDescent="0.25">
      <c r="K189" s="7">
        <f t="shared" si="7"/>
        <v>0</v>
      </c>
      <c r="L189" s="5">
        <f t="shared" si="9"/>
        <v>0</v>
      </c>
      <c r="M189">
        <f t="shared" si="8"/>
        <v>0</v>
      </c>
    </row>
    <row r="190" spans="11:13" hidden="1" x14ac:dyDescent="0.25">
      <c r="K190" s="7">
        <f t="shared" si="7"/>
        <v>0</v>
      </c>
      <c r="L190" s="5">
        <f t="shared" si="9"/>
        <v>0</v>
      </c>
      <c r="M190">
        <f t="shared" si="8"/>
        <v>0</v>
      </c>
    </row>
    <row r="191" spans="11:13" hidden="1" x14ac:dyDescent="0.25">
      <c r="K191" s="7">
        <f t="shared" si="7"/>
        <v>0</v>
      </c>
      <c r="L191" s="5">
        <f t="shared" si="9"/>
        <v>0</v>
      </c>
      <c r="M191">
        <f t="shared" si="8"/>
        <v>0</v>
      </c>
    </row>
    <row r="192" spans="11:13" hidden="1" x14ac:dyDescent="0.25">
      <c r="K192" s="7">
        <f t="shared" si="7"/>
        <v>0</v>
      </c>
      <c r="L192" s="5">
        <f t="shared" si="9"/>
        <v>0</v>
      </c>
      <c r="M192">
        <f t="shared" si="8"/>
        <v>0</v>
      </c>
    </row>
    <row r="193" spans="11:13" hidden="1" x14ac:dyDescent="0.25">
      <c r="K193" s="7">
        <f t="shared" si="7"/>
        <v>0</v>
      </c>
      <c r="L193" s="5">
        <f t="shared" si="9"/>
        <v>0</v>
      </c>
      <c r="M193">
        <f t="shared" si="8"/>
        <v>0</v>
      </c>
    </row>
    <row r="194" spans="11:13" hidden="1" x14ac:dyDescent="0.25">
      <c r="K194" s="7">
        <f t="shared" si="7"/>
        <v>0</v>
      </c>
      <c r="L194" s="5">
        <f t="shared" si="9"/>
        <v>0</v>
      </c>
      <c r="M194">
        <f t="shared" si="8"/>
        <v>0</v>
      </c>
    </row>
    <row r="195" spans="11:13" hidden="1" x14ac:dyDescent="0.25">
      <c r="K195" s="7">
        <f t="shared" si="7"/>
        <v>0</v>
      </c>
      <c r="L195" s="5">
        <f t="shared" si="9"/>
        <v>0</v>
      </c>
      <c r="M195">
        <f t="shared" si="8"/>
        <v>0</v>
      </c>
    </row>
    <row r="196" spans="11:13" hidden="1" x14ac:dyDescent="0.25">
      <c r="K196" s="7">
        <f t="shared" si="7"/>
        <v>0</v>
      </c>
      <c r="L196" s="5">
        <f t="shared" si="9"/>
        <v>0</v>
      </c>
      <c r="M196">
        <f t="shared" si="8"/>
        <v>0</v>
      </c>
    </row>
    <row r="197" spans="11:13" hidden="1" x14ac:dyDescent="0.25">
      <c r="K197" s="7">
        <f t="shared" ref="K197:K260" si="10">SUM(F197:J197)</f>
        <v>0</v>
      </c>
      <c r="L197" s="5">
        <f t="shared" si="9"/>
        <v>0</v>
      </c>
      <c r="M197">
        <f t="shared" ref="M197:M260" si="11">SUM(K197*L197)</f>
        <v>0</v>
      </c>
    </row>
    <row r="198" spans="11:13" hidden="1" x14ac:dyDescent="0.25">
      <c r="K198" s="7">
        <f t="shared" si="10"/>
        <v>0</v>
      </c>
      <c r="L198" s="5">
        <f t="shared" ref="L198:L261" si="12">IF(D198="X",0,IF(E198="",0,IF(E198="x",0,VLOOKUP(E198,$F$539:$G$553,2))))</f>
        <v>0</v>
      </c>
      <c r="M198">
        <f t="shared" si="11"/>
        <v>0</v>
      </c>
    </row>
    <row r="199" spans="11:13" hidden="1" x14ac:dyDescent="0.25">
      <c r="K199" s="7">
        <f t="shared" si="10"/>
        <v>0</v>
      </c>
      <c r="L199" s="5">
        <f t="shared" si="12"/>
        <v>0</v>
      </c>
      <c r="M199">
        <f t="shared" si="11"/>
        <v>0</v>
      </c>
    </row>
    <row r="200" spans="11:13" hidden="1" x14ac:dyDescent="0.25">
      <c r="K200" s="7">
        <f t="shared" si="10"/>
        <v>0</v>
      </c>
      <c r="L200" s="5">
        <f t="shared" si="12"/>
        <v>0</v>
      </c>
      <c r="M200">
        <f t="shared" si="11"/>
        <v>0</v>
      </c>
    </row>
    <row r="201" spans="11:13" hidden="1" x14ac:dyDescent="0.25">
      <c r="K201" s="7">
        <f t="shared" si="10"/>
        <v>0</v>
      </c>
      <c r="L201" s="5">
        <f t="shared" si="12"/>
        <v>0</v>
      </c>
      <c r="M201">
        <f t="shared" si="11"/>
        <v>0</v>
      </c>
    </row>
    <row r="202" spans="11:13" hidden="1" x14ac:dyDescent="0.25">
      <c r="K202" s="7">
        <f t="shared" si="10"/>
        <v>0</v>
      </c>
      <c r="L202" s="5">
        <f t="shared" si="12"/>
        <v>0</v>
      </c>
      <c r="M202">
        <f t="shared" si="11"/>
        <v>0</v>
      </c>
    </row>
    <row r="203" spans="11:13" hidden="1" x14ac:dyDescent="0.25">
      <c r="K203" s="7">
        <f t="shared" si="10"/>
        <v>0</v>
      </c>
      <c r="L203" s="5">
        <f t="shared" si="12"/>
        <v>0</v>
      </c>
      <c r="M203">
        <f t="shared" si="11"/>
        <v>0</v>
      </c>
    </row>
    <row r="204" spans="11:13" hidden="1" x14ac:dyDescent="0.25">
      <c r="K204" s="7">
        <f t="shared" si="10"/>
        <v>0</v>
      </c>
      <c r="L204" s="5">
        <f t="shared" si="12"/>
        <v>0</v>
      </c>
      <c r="M204">
        <f t="shared" si="11"/>
        <v>0</v>
      </c>
    </row>
    <row r="205" spans="11:13" hidden="1" x14ac:dyDescent="0.25">
      <c r="K205" s="7">
        <f t="shared" si="10"/>
        <v>0</v>
      </c>
      <c r="L205" s="5">
        <f t="shared" si="12"/>
        <v>0</v>
      </c>
      <c r="M205">
        <f t="shared" si="11"/>
        <v>0</v>
      </c>
    </row>
    <row r="206" spans="11:13" hidden="1" x14ac:dyDescent="0.25">
      <c r="K206" s="7">
        <f t="shared" si="10"/>
        <v>0</v>
      </c>
      <c r="L206" s="5">
        <f t="shared" si="12"/>
        <v>0</v>
      </c>
      <c r="M206">
        <f t="shared" si="11"/>
        <v>0</v>
      </c>
    </row>
    <row r="207" spans="11:13" hidden="1" x14ac:dyDescent="0.25">
      <c r="K207" s="7">
        <f t="shared" si="10"/>
        <v>0</v>
      </c>
      <c r="L207" s="5">
        <f t="shared" si="12"/>
        <v>0</v>
      </c>
      <c r="M207">
        <f t="shared" si="11"/>
        <v>0</v>
      </c>
    </row>
    <row r="208" spans="11:13" hidden="1" x14ac:dyDescent="0.25">
      <c r="K208" s="7">
        <f t="shared" si="10"/>
        <v>0</v>
      </c>
      <c r="L208" s="5">
        <f t="shared" si="12"/>
        <v>0</v>
      </c>
      <c r="M208">
        <f t="shared" si="11"/>
        <v>0</v>
      </c>
    </row>
    <row r="209" spans="11:13" hidden="1" x14ac:dyDescent="0.25">
      <c r="K209" s="7">
        <f t="shared" si="10"/>
        <v>0</v>
      </c>
      <c r="L209" s="5">
        <f t="shared" si="12"/>
        <v>0</v>
      </c>
      <c r="M209">
        <f t="shared" si="11"/>
        <v>0</v>
      </c>
    </row>
    <row r="210" spans="11:13" hidden="1" x14ac:dyDescent="0.25">
      <c r="K210" s="7">
        <f t="shared" si="10"/>
        <v>0</v>
      </c>
      <c r="L210" s="5">
        <f t="shared" si="12"/>
        <v>0</v>
      </c>
      <c r="M210">
        <f t="shared" si="11"/>
        <v>0</v>
      </c>
    </row>
    <row r="211" spans="11:13" hidden="1" x14ac:dyDescent="0.25">
      <c r="K211" s="7">
        <f t="shared" si="10"/>
        <v>0</v>
      </c>
      <c r="L211" s="5">
        <f t="shared" si="12"/>
        <v>0</v>
      </c>
      <c r="M211">
        <f t="shared" si="11"/>
        <v>0</v>
      </c>
    </row>
    <row r="212" spans="11:13" hidden="1" x14ac:dyDescent="0.25">
      <c r="K212" s="7">
        <f t="shared" si="10"/>
        <v>0</v>
      </c>
      <c r="L212" s="5">
        <f t="shared" si="12"/>
        <v>0</v>
      </c>
      <c r="M212">
        <f t="shared" si="11"/>
        <v>0</v>
      </c>
    </row>
    <row r="213" spans="11:13" hidden="1" x14ac:dyDescent="0.25">
      <c r="K213" s="7">
        <f t="shared" si="10"/>
        <v>0</v>
      </c>
      <c r="L213" s="5">
        <f t="shared" si="12"/>
        <v>0</v>
      </c>
      <c r="M213">
        <f t="shared" si="11"/>
        <v>0</v>
      </c>
    </row>
    <row r="214" spans="11:13" hidden="1" x14ac:dyDescent="0.25">
      <c r="K214" s="7">
        <f t="shared" si="10"/>
        <v>0</v>
      </c>
      <c r="L214" s="5">
        <f t="shared" si="12"/>
        <v>0</v>
      </c>
      <c r="M214">
        <f t="shared" si="11"/>
        <v>0</v>
      </c>
    </row>
    <row r="215" spans="11:13" hidden="1" x14ac:dyDescent="0.25">
      <c r="K215" s="7">
        <f t="shared" si="10"/>
        <v>0</v>
      </c>
      <c r="L215" s="5">
        <f t="shared" si="12"/>
        <v>0</v>
      </c>
      <c r="M215">
        <f t="shared" si="11"/>
        <v>0</v>
      </c>
    </row>
    <row r="216" spans="11:13" hidden="1" x14ac:dyDescent="0.25">
      <c r="K216" s="7">
        <f t="shared" si="10"/>
        <v>0</v>
      </c>
      <c r="L216" s="5">
        <f t="shared" si="12"/>
        <v>0</v>
      </c>
      <c r="M216">
        <f t="shared" si="11"/>
        <v>0</v>
      </c>
    </row>
    <row r="217" spans="11:13" hidden="1" x14ac:dyDescent="0.25">
      <c r="K217" s="7">
        <f t="shared" si="10"/>
        <v>0</v>
      </c>
      <c r="L217" s="5">
        <f t="shared" si="12"/>
        <v>0</v>
      </c>
      <c r="M217">
        <f t="shared" si="11"/>
        <v>0</v>
      </c>
    </row>
    <row r="218" spans="11:13" hidden="1" x14ac:dyDescent="0.25">
      <c r="K218" s="7">
        <f t="shared" si="10"/>
        <v>0</v>
      </c>
      <c r="L218" s="5">
        <f t="shared" si="12"/>
        <v>0</v>
      </c>
      <c r="M218">
        <f t="shared" si="11"/>
        <v>0</v>
      </c>
    </row>
    <row r="219" spans="11:13" hidden="1" x14ac:dyDescent="0.25">
      <c r="K219" s="7">
        <f t="shared" si="10"/>
        <v>0</v>
      </c>
      <c r="L219" s="5">
        <f t="shared" si="12"/>
        <v>0</v>
      </c>
      <c r="M219">
        <f t="shared" si="11"/>
        <v>0</v>
      </c>
    </row>
    <row r="220" spans="11:13" hidden="1" x14ac:dyDescent="0.25">
      <c r="K220" s="7">
        <f t="shared" si="10"/>
        <v>0</v>
      </c>
      <c r="L220" s="5">
        <f t="shared" si="12"/>
        <v>0</v>
      </c>
      <c r="M220">
        <f t="shared" si="11"/>
        <v>0</v>
      </c>
    </row>
    <row r="221" spans="11:13" hidden="1" x14ac:dyDescent="0.25">
      <c r="K221" s="7">
        <f t="shared" si="10"/>
        <v>0</v>
      </c>
      <c r="L221" s="5">
        <f t="shared" si="12"/>
        <v>0</v>
      </c>
      <c r="M221">
        <f t="shared" si="11"/>
        <v>0</v>
      </c>
    </row>
    <row r="222" spans="11:13" hidden="1" x14ac:dyDescent="0.25">
      <c r="K222" s="7">
        <f t="shared" si="10"/>
        <v>0</v>
      </c>
      <c r="L222" s="5">
        <f t="shared" si="12"/>
        <v>0</v>
      </c>
      <c r="M222">
        <f t="shared" si="11"/>
        <v>0</v>
      </c>
    </row>
    <row r="223" spans="11:13" hidden="1" x14ac:dyDescent="0.25">
      <c r="K223" s="7">
        <f t="shared" si="10"/>
        <v>0</v>
      </c>
      <c r="L223" s="5">
        <f t="shared" si="12"/>
        <v>0</v>
      </c>
      <c r="M223">
        <f t="shared" si="11"/>
        <v>0</v>
      </c>
    </row>
    <row r="224" spans="11:13" hidden="1" x14ac:dyDescent="0.25">
      <c r="K224" s="7">
        <f t="shared" si="10"/>
        <v>0</v>
      </c>
      <c r="L224" s="5">
        <f t="shared" si="12"/>
        <v>0</v>
      </c>
      <c r="M224">
        <f t="shared" si="11"/>
        <v>0</v>
      </c>
    </row>
    <row r="225" spans="11:13" hidden="1" x14ac:dyDescent="0.25">
      <c r="K225" s="7">
        <f t="shared" si="10"/>
        <v>0</v>
      </c>
      <c r="L225" s="5">
        <f t="shared" si="12"/>
        <v>0</v>
      </c>
      <c r="M225">
        <f t="shared" si="11"/>
        <v>0</v>
      </c>
    </row>
    <row r="226" spans="11:13" hidden="1" x14ac:dyDescent="0.25">
      <c r="K226" s="7">
        <f t="shared" si="10"/>
        <v>0</v>
      </c>
      <c r="L226" s="5">
        <f t="shared" si="12"/>
        <v>0</v>
      </c>
      <c r="M226">
        <f t="shared" si="11"/>
        <v>0</v>
      </c>
    </row>
    <row r="227" spans="11:13" hidden="1" x14ac:dyDescent="0.25">
      <c r="K227" s="7">
        <f t="shared" si="10"/>
        <v>0</v>
      </c>
      <c r="L227" s="5">
        <f t="shared" si="12"/>
        <v>0</v>
      </c>
      <c r="M227">
        <f t="shared" si="11"/>
        <v>0</v>
      </c>
    </row>
    <row r="228" spans="11:13" hidden="1" x14ac:dyDescent="0.25">
      <c r="K228" s="7">
        <f t="shared" si="10"/>
        <v>0</v>
      </c>
      <c r="L228" s="5">
        <f t="shared" si="12"/>
        <v>0</v>
      </c>
      <c r="M228">
        <f t="shared" si="11"/>
        <v>0</v>
      </c>
    </row>
    <row r="229" spans="11:13" hidden="1" x14ac:dyDescent="0.25">
      <c r="K229" s="7">
        <f t="shared" si="10"/>
        <v>0</v>
      </c>
      <c r="L229" s="5">
        <f t="shared" si="12"/>
        <v>0</v>
      </c>
      <c r="M229">
        <f t="shared" si="11"/>
        <v>0</v>
      </c>
    </row>
    <row r="230" spans="11:13" hidden="1" x14ac:dyDescent="0.25">
      <c r="K230" s="7">
        <f t="shared" si="10"/>
        <v>0</v>
      </c>
      <c r="L230" s="5">
        <f t="shared" si="12"/>
        <v>0</v>
      </c>
      <c r="M230">
        <f t="shared" si="11"/>
        <v>0</v>
      </c>
    </row>
    <row r="231" spans="11:13" hidden="1" x14ac:dyDescent="0.25">
      <c r="K231" s="7">
        <f t="shared" si="10"/>
        <v>0</v>
      </c>
      <c r="L231" s="5">
        <f t="shared" si="12"/>
        <v>0</v>
      </c>
      <c r="M231">
        <f t="shared" si="11"/>
        <v>0</v>
      </c>
    </row>
    <row r="232" spans="11:13" hidden="1" x14ac:dyDescent="0.25">
      <c r="K232" s="7">
        <f t="shared" si="10"/>
        <v>0</v>
      </c>
      <c r="L232" s="5">
        <f t="shared" si="12"/>
        <v>0</v>
      </c>
      <c r="M232">
        <f t="shared" si="11"/>
        <v>0</v>
      </c>
    </row>
    <row r="233" spans="11:13" hidden="1" x14ac:dyDescent="0.25">
      <c r="K233" s="7">
        <f t="shared" si="10"/>
        <v>0</v>
      </c>
      <c r="L233" s="5">
        <f t="shared" si="12"/>
        <v>0</v>
      </c>
      <c r="M233">
        <f t="shared" si="11"/>
        <v>0</v>
      </c>
    </row>
    <row r="234" spans="11:13" hidden="1" x14ac:dyDescent="0.25">
      <c r="K234" s="7">
        <f t="shared" si="10"/>
        <v>0</v>
      </c>
      <c r="L234" s="5">
        <f t="shared" si="12"/>
        <v>0</v>
      </c>
      <c r="M234">
        <f t="shared" si="11"/>
        <v>0</v>
      </c>
    </row>
    <row r="235" spans="11:13" hidden="1" x14ac:dyDescent="0.25">
      <c r="K235" s="7">
        <f t="shared" si="10"/>
        <v>0</v>
      </c>
      <c r="L235" s="5">
        <f t="shared" si="12"/>
        <v>0</v>
      </c>
      <c r="M235">
        <f t="shared" si="11"/>
        <v>0</v>
      </c>
    </row>
    <row r="236" spans="11:13" hidden="1" x14ac:dyDescent="0.25">
      <c r="K236" s="7">
        <f t="shared" si="10"/>
        <v>0</v>
      </c>
      <c r="L236" s="5">
        <f t="shared" si="12"/>
        <v>0</v>
      </c>
      <c r="M236">
        <f t="shared" si="11"/>
        <v>0</v>
      </c>
    </row>
    <row r="237" spans="11:13" hidden="1" x14ac:dyDescent="0.25">
      <c r="K237" s="7">
        <f t="shared" si="10"/>
        <v>0</v>
      </c>
      <c r="L237" s="5">
        <f t="shared" si="12"/>
        <v>0</v>
      </c>
      <c r="M237">
        <f t="shared" si="11"/>
        <v>0</v>
      </c>
    </row>
    <row r="238" spans="11:13" hidden="1" x14ac:dyDescent="0.25">
      <c r="K238" s="7">
        <f t="shared" si="10"/>
        <v>0</v>
      </c>
      <c r="L238" s="5">
        <f t="shared" si="12"/>
        <v>0</v>
      </c>
      <c r="M238">
        <f t="shared" si="11"/>
        <v>0</v>
      </c>
    </row>
    <row r="239" spans="11:13" hidden="1" x14ac:dyDescent="0.25">
      <c r="K239" s="7">
        <f t="shared" si="10"/>
        <v>0</v>
      </c>
      <c r="L239" s="5">
        <f t="shared" si="12"/>
        <v>0</v>
      </c>
      <c r="M239">
        <f t="shared" si="11"/>
        <v>0</v>
      </c>
    </row>
    <row r="240" spans="11:13" hidden="1" x14ac:dyDescent="0.25">
      <c r="K240" s="7">
        <f t="shared" si="10"/>
        <v>0</v>
      </c>
      <c r="L240" s="5">
        <f t="shared" si="12"/>
        <v>0</v>
      </c>
      <c r="M240">
        <f t="shared" si="11"/>
        <v>0</v>
      </c>
    </row>
    <row r="241" spans="11:13" hidden="1" x14ac:dyDescent="0.25">
      <c r="K241" s="7">
        <f t="shared" si="10"/>
        <v>0</v>
      </c>
      <c r="L241" s="5">
        <f t="shared" si="12"/>
        <v>0</v>
      </c>
      <c r="M241">
        <f t="shared" si="11"/>
        <v>0</v>
      </c>
    </row>
    <row r="242" spans="11:13" hidden="1" x14ac:dyDescent="0.25">
      <c r="K242" s="7">
        <f t="shared" si="10"/>
        <v>0</v>
      </c>
      <c r="L242" s="5">
        <f t="shared" si="12"/>
        <v>0</v>
      </c>
      <c r="M242">
        <f t="shared" si="11"/>
        <v>0</v>
      </c>
    </row>
    <row r="243" spans="11:13" hidden="1" x14ac:dyDescent="0.25">
      <c r="K243" s="7">
        <f t="shared" si="10"/>
        <v>0</v>
      </c>
      <c r="L243" s="5">
        <f t="shared" si="12"/>
        <v>0</v>
      </c>
      <c r="M243">
        <f t="shared" si="11"/>
        <v>0</v>
      </c>
    </row>
    <row r="244" spans="11:13" hidden="1" x14ac:dyDescent="0.25">
      <c r="K244" s="7">
        <f t="shared" si="10"/>
        <v>0</v>
      </c>
      <c r="L244" s="5">
        <f t="shared" si="12"/>
        <v>0</v>
      </c>
      <c r="M244">
        <f t="shared" si="11"/>
        <v>0</v>
      </c>
    </row>
    <row r="245" spans="11:13" hidden="1" x14ac:dyDescent="0.25">
      <c r="K245" s="7">
        <f t="shared" si="10"/>
        <v>0</v>
      </c>
      <c r="L245" s="5">
        <f t="shared" si="12"/>
        <v>0</v>
      </c>
      <c r="M245">
        <f t="shared" si="11"/>
        <v>0</v>
      </c>
    </row>
    <row r="246" spans="11:13" hidden="1" x14ac:dyDescent="0.25">
      <c r="K246" s="7">
        <f t="shared" si="10"/>
        <v>0</v>
      </c>
      <c r="L246" s="5">
        <f t="shared" si="12"/>
        <v>0</v>
      </c>
      <c r="M246">
        <f t="shared" si="11"/>
        <v>0</v>
      </c>
    </row>
    <row r="247" spans="11:13" hidden="1" x14ac:dyDescent="0.25">
      <c r="K247" s="7">
        <f t="shared" si="10"/>
        <v>0</v>
      </c>
      <c r="L247" s="5">
        <f t="shared" si="12"/>
        <v>0</v>
      </c>
      <c r="M247">
        <f t="shared" si="11"/>
        <v>0</v>
      </c>
    </row>
    <row r="248" spans="11:13" hidden="1" x14ac:dyDescent="0.25">
      <c r="K248" s="7">
        <f t="shared" si="10"/>
        <v>0</v>
      </c>
      <c r="L248" s="5">
        <f t="shared" si="12"/>
        <v>0</v>
      </c>
      <c r="M248">
        <f t="shared" si="11"/>
        <v>0</v>
      </c>
    </row>
    <row r="249" spans="11:13" hidden="1" x14ac:dyDescent="0.25">
      <c r="K249" s="7">
        <f t="shared" si="10"/>
        <v>0</v>
      </c>
      <c r="L249" s="5">
        <f t="shared" si="12"/>
        <v>0</v>
      </c>
      <c r="M249">
        <f t="shared" si="11"/>
        <v>0</v>
      </c>
    </row>
    <row r="250" spans="11:13" hidden="1" x14ac:dyDescent="0.25">
      <c r="K250" s="7">
        <f t="shared" si="10"/>
        <v>0</v>
      </c>
      <c r="L250" s="5">
        <f t="shared" si="12"/>
        <v>0</v>
      </c>
      <c r="M250">
        <f t="shared" si="11"/>
        <v>0</v>
      </c>
    </row>
    <row r="251" spans="11:13" hidden="1" x14ac:dyDescent="0.25">
      <c r="K251" s="7">
        <f t="shared" si="10"/>
        <v>0</v>
      </c>
      <c r="L251" s="5">
        <f t="shared" si="12"/>
        <v>0</v>
      </c>
      <c r="M251">
        <f t="shared" si="11"/>
        <v>0</v>
      </c>
    </row>
    <row r="252" spans="11:13" hidden="1" x14ac:dyDescent="0.25">
      <c r="K252" s="7">
        <f t="shared" si="10"/>
        <v>0</v>
      </c>
      <c r="L252" s="5">
        <f t="shared" si="12"/>
        <v>0</v>
      </c>
      <c r="M252">
        <f t="shared" si="11"/>
        <v>0</v>
      </c>
    </row>
    <row r="253" spans="11:13" hidden="1" x14ac:dyDescent="0.25">
      <c r="K253" s="7">
        <f t="shared" si="10"/>
        <v>0</v>
      </c>
      <c r="L253" s="5">
        <f t="shared" si="12"/>
        <v>0</v>
      </c>
      <c r="M253">
        <f t="shared" si="11"/>
        <v>0</v>
      </c>
    </row>
    <row r="254" spans="11:13" hidden="1" x14ac:dyDescent="0.25">
      <c r="K254" s="7">
        <f t="shared" si="10"/>
        <v>0</v>
      </c>
      <c r="L254" s="5">
        <f t="shared" si="12"/>
        <v>0</v>
      </c>
      <c r="M254">
        <f t="shared" si="11"/>
        <v>0</v>
      </c>
    </row>
    <row r="255" spans="11:13" hidden="1" x14ac:dyDescent="0.25">
      <c r="K255" s="7">
        <f t="shared" si="10"/>
        <v>0</v>
      </c>
      <c r="L255" s="5">
        <f t="shared" si="12"/>
        <v>0</v>
      </c>
      <c r="M255">
        <f t="shared" si="11"/>
        <v>0</v>
      </c>
    </row>
    <row r="256" spans="11:13" hidden="1" x14ac:dyDescent="0.25">
      <c r="K256" s="7">
        <f t="shared" si="10"/>
        <v>0</v>
      </c>
      <c r="L256" s="5">
        <f t="shared" si="12"/>
        <v>0</v>
      </c>
      <c r="M256">
        <f t="shared" si="11"/>
        <v>0</v>
      </c>
    </row>
    <row r="257" spans="11:13" hidden="1" x14ac:dyDescent="0.25">
      <c r="K257" s="7">
        <f t="shared" si="10"/>
        <v>0</v>
      </c>
      <c r="L257" s="5">
        <f t="shared" si="12"/>
        <v>0</v>
      </c>
      <c r="M257">
        <f t="shared" si="11"/>
        <v>0</v>
      </c>
    </row>
    <row r="258" spans="11:13" hidden="1" x14ac:dyDescent="0.25">
      <c r="K258" s="7">
        <f t="shared" si="10"/>
        <v>0</v>
      </c>
      <c r="L258" s="5">
        <f t="shared" si="12"/>
        <v>0</v>
      </c>
      <c r="M258">
        <f t="shared" si="11"/>
        <v>0</v>
      </c>
    </row>
    <row r="259" spans="11:13" hidden="1" x14ac:dyDescent="0.25">
      <c r="K259" s="7">
        <f t="shared" si="10"/>
        <v>0</v>
      </c>
      <c r="L259" s="5">
        <f t="shared" si="12"/>
        <v>0</v>
      </c>
      <c r="M259">
        <f t="shared" si="11"/>
        <v>0</v>
      </c>
    </row>
    <row r="260" spans="11:13" hidden="1" x14ac:dyDescent="0.25">
      <c r="K260" s="7">
        <f t="shared" si="10"/>
        <v>0</v>
      </c>
      <c r="L260" s="5">
        <f t="shared" si="12"/>
        <v>0</v>
      </c>
      <c r="M260">
        <f t="shared" si="11"/>
        <v>0</v>
      </c>
    </row>
    <row r="261" spans="11:13" hidden="1" x14ac:dyDescent="0.25">
      <c r="K261" s="7">
        <f t="shared" ref="K261:K324" si="13">SUM(F261:J261)</f>
        <v>0</v>
      </c>
      <c r="L261" s="5">
        <f t="shared" si="12"/>
        <v>0</v>
      </c>
      <c r="M261">
        <f t="shared" ref="M261:M324" si="14">SUM(K261*L261)</f>
        <v>0</v>
      </c>
    </row>
    <row r="262" spans="11:13" hidden="1" x14ac:dyDescent="0.25">
      <c r="K262" s="7">
        <f t="shared" si="13"/>
        <v>0</v>
      </c>
      <c r="L262" s="5">
        <f t="shared" ref="L262:L325" si="15">IF(D262="X",0,IF(E262="",0,IF(E262="x",0,VLOOKUP(E262,$F$539:$G$553,2))))</f>
        <v>0</v>
      </c>
      <c r="M262">
        <f t="shared" si="14"/>
        <v>0</v>
      </c>
    </row>
    <row r="263" spans="11:13" hidden="1" x14ac:dyDescent="0.25">
      <c r="K263" s="7">
        <f t="shared" si="13"/>
        <v>0</v>
      </c>
      <c r="L263" s="5">
        <f t="shared" si="15"/>
        <v>0</v>
      </c>
      <c r="M263">
        <f t="shared" si="14"/>
        <v>0</v>
      </c>
    </row>
    <row r="264" spans="11:13" hidden="1" x14ac:dyDescent="0.25">
      <c r="K264" s="7">
        <f t="shared" si="13"/>
        <v>0</v>
      </c>
      <c r="L264" s="5">
        <f t="shared" si="15"/>
        <v>0</v>
      </c>
      <c r="M264">
        <f t="shared" si="14"/>
        <v>0</v>
      </c>
    </row>
    <row r="265" spans="11:13" hidden="1" x14ac:dyDescent="0.25">
      <c r="K265" s="7">
        <f t="shared" si="13"/>
        <v>0</v>
      </c>
      <c r="L265" s="5">
        <f t="shared" si="15"/>
        <v>0</v>
      </c>
      <c r="M265">
        <f t="shared" si="14"/>
        <v>0</v>
      </c>
    </row>
    <row r="266" spans="11:13" hidden="1" x14ac:dyDescent="0.25">
      <c r="K266" s="7">
        <f t="shared" si="13"/>
        <v>0</v>
      </c>
      <c r="L266" s="5">
        <f t="shared" si="15"/>
        <v>0</v>
      </c>
      <c r="M266">
        <f t="shared" si="14"/>
        <v>0</v>
      </c>
    </row>
    <row r="267" spans="11:13" hidden="1" x14ac:dyDescent="0.25">
      <c r="K267" s="7">
        <f t="shared" si="13"/>
        <v>0</v>
      </c>
      <c r="L267" s="5">
        <f t="shared" si="15"/>
        <v>0</v>
      </c>
      <c r="M267">
        <f t="shared" si="14"/>
        <v>0</v>
      </c>
    </row>
    <row r="268" spans="11:13" hidden="1" x14ac:dyDescent="0.25">
      <c r="K268" s="7">
        <f t="shared" si="13"/>
        <v>0</v>
      </c>
      <c r="L268" s="5">
        <f t="shared" si="15"/>
        <v>0</v>
      </c>
      <c r="M268">
        <f t="shared" si="14"/>
        <v>0</v>
      </c>
    </row>
    <row r="269" spans="11:13" hidden="1" x14ac:dyDescent="0.25">
      <c r="K269" s="7">
        <f t="shared" si="13"/>
        <v>0</v>
      </c>
      <c r="L269" s="5">
        <f t="shared" si="15"/>
        <v>0</v>
      </c>
      <c r="M269">
        <f t="shared" si="14"/>
        <v>0</v>
      </c>
    </row>
    <row r="270" spans="11:13" hidden="1" x14ac:dyDescent="0.25">
      <c r="K270" s="7">
        <f t="shared" si="13"/>
        <v>0</v>
      </c>
      <c r="L270" s="5">
        <f t="shared" si="15"/>
        <v>0</v>
      </c>
      <c r="M270">
        <f t="shared" si="14"/>
        <v>0</v>
      </c>
    </row>
    <row r="271" spans="11:13" hidden="1" x14ac:dyDescent="0.25">
      <c r="K271" s="7">
        <f t="shared" si="13"/>
        <v>0</v>
      </c>
      <c r="L271" s="5">
        <f t="shared" si="15"/>
        <v>0</v>
      </c>
      <c r="M271">
        <f t="shared" si="14"/>
        <v>0</v>
      </c>
    </row>
    <row r="272" spans="11:13" hidden="1" x14ac:dyDescent="0.25">
      <c r="K272" s="7">
        <f t="shared" si="13"/>
        <v>0</v>
      </c>
      <c r="L272" s="5">
        <f t="shared" si="15"/>
        <v>0</v>
      </c>
      <c r="M272">
        <f t="shared" si="14"/>
        <v>0</v>
      </c>
    </row>
    <row r="273" spans="11:13" hidden="1" x14ac:dyDescent="0.25">
      <c r="K273" s="7">
        <f t="shared" si="13"/>
        <v>0</v>
      </c>
      <c r="L273" s="5">
        <f t="shared" si="15"/>
        <v>0</v>
      </c>
      <c r="M273">
        <f t="shared" si="14"/>
        <v>0</v>
      </c>
    </row>
    <row r="274" spans="11:13" hidden="1" x14ac:dyDescent="0.25">
      <c r="K274" s="7">
        <f t="shared" si="13"/>
        <v>0</v>
      </c>
      <c r="L274" s="5">
        <f t="shared" si="15"/>
        <v>0</v>
      </c>
      <c r="M274">
        <f t="shared" si="14"/>
        <v>0</v>
      </c>
    </row>
    <row r="275" spans="11:13" hidden="1" x14ac:dyDescent="0.25">
      <c r="K275" s="7">
        <f t="shared" si="13"/>
        <v>0</v>
      </c>
      <c r="L275" s="5">
        <f t="shared" si="15"/>
        <v>0</v>
      </c>
      <c r="M275">
        <f t="shared" si="14"/>
        <v>0</v>
      </c>
    </row>
    <row r="276" spans="11:13" hidden="1" x14ac:dyDescent="0.25">
      <c r="K276" s="7">
        <f t="shared" si="13"/>
        <v>0</v>
      </c>
      <c r="L276" s="5">
        <f t="shared" si="15"/>
        <v>0</v>
      </c>
      <c r="M276">
        <f t="shared" si="14"/>
        <v>0</v>
      </c>
    </row>
    <row r="277" spans="11:13" hidden="1" x14ac:dyDescent="0.25">
      <c r="K277" s="7">
        <f t="shared" si="13"/>
        <v>0</v>
      </c>
      <c r="L277" s="5">
        <f t="shared" si="15"/>
        <v>0</v>
      </c>
      <c r="M277">
        <f t="shared" si="14"/>
        <v>0</v>
      </c>
    </row>
    <row r="278" spans="11:13" hidden="1" x14ac:dyDescent="0.25">
      <c r="K278" s="7">
        <f t="shared" si="13"/>
        <v>0</v>
      </c>
      <c r="L278" s="5">
        <f t="shared" si="15"/>
        <v>0</v>
      </c>
      <c r="M278">
        <f t="shared" si="14"/>
        <v>0</v>
      </c>
    </row>
    <row r="279" spans="11:13" hidden="1" x14ac:dyDescent="0.25">
      <c r="K279" s="7">
        <f t="shared" si="13"/>
        <v>0</v>
      </c>
      <c r="L279" s="5">
        <f t="shared" si="15"/>
        <v>0</v>
      </c>
      <c r="M279">
        <f t="shared" si="14"/>
        <v>0</v>
      </c>
    </row>
    <row r="280" spans="11:13" hidden="1" x14ac:dyDescent="0.25">
      <c r="K280" s="7">
        <f t="shared" si="13"/>
        <v>0</v>
      </c>
      <c r="L280" s="5">
        <f t="shared" si="15"/>
        <v>0</v>
      </c>
      <c r="M280">
        <f t="shared" si="14"/>
        <v>0</v>
      </c>
    </row>
    <row r="281" spans="11:13" hidden="1" x14ac:dyDescent="0.25">
      <c r="K281" s="7">
        <f t="shared" si="13"/>
        <v>0</v>
      </c>
      <c r="L281" s="5">
        <f t="shared" si="15"/>
        <v>0</v>
      </c>
      <c r="M281">
        <f t="shared" si="14"/>
        <v>0</v>
      </c>
    </row>
    <row r="282" spans="11:13" hidden="1" x14ac:dyDescent="0.25">
      <c r="K282" s="7">
        <f t="shared" si="13"/>
        <v>0</v>
      </c>
      <c r="L282" s="5">
        <f t="shared" si="15"/>
        <v>0</v>
      </c>
      <c r="M282">
        <f t="shared" si="14"/>
        <v>0</v>
      </c>
    </row>
    <row r="283" spans="11:13" hidden="1" x14ac:dyDescent="0.25">
      <c r="K283" s="7">
        <f t="shared" si="13"/>
        <v>0</v>
      </c>
      <c r="L283" s="5">
        <f t="shared" si="15"/>
        <v>0</v>
      </c>
      <c r="M283">
        <f t="shared" si="14"/>
        <v>0</v>
      </c>
    </row>
    <row r="284" spans="11:13" hidden="1" x14ac:dyDescent="0.25">
      <c r="K284" s="7">
        <f t="shared" si="13"/>
        <v>0</v>
      </c>
      <c r="L284" s="5">
        <f t="shared" si="15"/>
        <v>0</v>
      </c>
      <c r="M284">
        <f t="shared" si="14"/>
        <v>0</v>
      </c>
    </row>
    <row r="285" spans="11:13" hidden="1" x14ac:dyDescent="0.25">
      <c r="K285" s="7">
        <f t="shared" si="13"/>
        <v>0</v>
      </c>
      <c r="L285" s="5">
        <f t="shared" si="15"/>
        <v>0</v>
      </c>
      <c r="M285">
        <f t="shared" si="14"/>
        <v>0</v>
      </c>
    </row>
    <row r="286" spans="11:13" hidden="1" x14ac:dyDescent="0.25">
      <c r="K286" s="7">
        <f t="shared" si="13"/>
        <v>0</v>
      </c>
      <c r="L286" s="5">
        <f t="shared" si="15"/>
        <v>0</v>
      </c>
      <c r="M286">
        <f t="shared" si="14"/>
        <v>0</v>
      </c>
    </row>
    <row r="287" spans="11:13" hidden="1" x14ac:dyDescent="0.25">
      <c r="K287" s="7">
        <f t="shared" si="13"/>
        <v>0</v>
      </c>
      <c r="L287" s="5">
        <f t="shared" si="15"/>
        <v>0</v>
      </c>
      <c r="M287">
        <f t="shared" si="14"/>
        <v>0</v>
      </c>
    </row>
    <row r="288" spans="11:13" hidden="1" x14ac:dyDescent="0.25">
      <c r="K288" s="7">
        <f t="shared" si="13"/>
        <v>0</v>
      </c>
      <c r="L288" s="5">
        <f t="shared" si="15"/>
        <v>0</v>
      </c>
      <c r="M288">
        <f t="shared" si="14"/>
        <v>0</v>
      </c>
    </row>
    <row r="289" spans="11:13" hidden="1" x14ac:dyDescent="0.25">
      <c r="K289" s="7">
        <f t="shared" si="13"/>
        <v>0</v>
      </c>
      <c r="L289" s="5">
        <f t="shared" si="15"/>
        <v>0</v>
      </c>
      <c r="M289">
        <f t="shared" si="14"/>
        <v>0</v>
      </c>
    </row>
    <row r="290" spans="11:13" hidden="1" x14ac:dyDescent="0.25">
      <c r="K290" s="7">
        <f t="shared" si="13"/>
        <v>0</v>
      </c>
      <c r="L290" s="5">
        <f t="shared" si="15"/>
        <v>0</v>
      </c>
      <c r="M290">
        <f t="shared" si="14"/>
        <v>0</v>
      </c>
    </row>
    <row r="291" spans="11:13" hidden="1" x14ac:dyDescent="0.25">
      <c r="K291" s="7">
        <f t="shared" si="13"/>
        <v>0</v>
      </c>
      <c r="L291" s="5">
        <f t="shared" si="15"/>
        <v>0</v>
      </c>
      <c r="M291">
        <f t="shared" si="14"/>
        <v>0</v>
      </c>
    </row>
    <row r="292" spans="11:13" hidden="1" x14ac:dyDescent="0.25">
      <c r="K292" s="7">
        <f t="shared" si="13"/>
        <v>0</v>
      </c>
      <c r="L292" s="5">
        <f t="shared" si="15"/>
        <v>0</v>
      </c>
      <c r="M292">
        <f t="shared" si="14"/>
        <v>0</v>
      </c>
    </row>
    <row r="293" spans="11:13" hidden="1" x14ac:dyDescent="0.25">
      <c r="K293" s="7">
        <f t="shared" si="13"/>
        <v>0</v>
      </c>
      <c r="L293" s="5">
        <f t="shared" si="15"/>
        <v>0</v>
      </c>
      <c r="M293">
        <f t="shared" si="14"/>
        <v>0</v>
      </c>
    </row>
    <row r="294" spans="11:13" hidden="1" x14ac:dyDescent="0.25">
      <c r="K294" s="7">
        <f t="shared" si="13"/>
        <v>0</v>
      </c>
      <c r="L294" s="5">
        <f t="shared" si="15"/>
        <v>0</v>
      </c>
      <c r="M294">
        <f t="shared" si="14"/>
        <v>0</v>
      </c>
    </row>
    <row r="295" spans="11:13" hidden="1" x14ac:dyDescent="0.25">
      <c r="K295" s="7">
        <f t="shared" si="13"/>
        <v>0</v>
      </c>
      <c r="L295" s="5">
        <f t="shared" si="15"/>
        <v>0</v>
      </c>
      <c r="M295">
        <f t="shared" si="14"/>
        <v>0</v>
      </c>
    </row>
    <row r="296" spans="11:13" hidden="1" x14ac:dyDescent="0.25">
      <c r="K296" s="7">
        <f t="shared" si="13"/>
        <v>0</v>
      </c>
      <c r="L296" s="5">
        <f t="shared" si="15"/>
        <v>0</v>
      </c>
      <c r="M296">
        <f t="shared" si="14"/>
        <v>0</v>
      </c>
    </row>
    <row r="297" spans="11:13" hidden="1" x14ac:dyDescent="0.25">
      <c r="K297" s="7">
        <f t="shared" si="13"/>
        <v>0</v>
      </c>
      <c r="L297" s="5">
        <f t="shared" si="15"/>
        <v>0</v>
      </c>
      <c r="M297">
        <f t="shared" si="14"/>
        <v>0</v>
      </c>
    </row>
    <row r="298" spans="11:13" hidden="1" x14ac:dyDescent="0.25">
      <c r="K298" s="7">
        <f t="shared" si="13"/>
        <v>0</v>
      </c>
      <c r="L298" s="5">
        <f t="shared" si="15"/>
        <v>0</v>
      </c>
      <c r="M298">
        <f t="shared" si="14"/>
        <v>0</v>
      </c>
    </row>
    <row r="299" spans="11:13" hidden="1" x14ac:dyDescent="0.25">
      <c r="K299" s="7">
        <f t="shared" si="13"/>
        <v>0</v>
      </c>
      <c r="L299" s="5">
        <f t="shared" si="15"/>
        <v>0</v>
      </c>
      <c r="M299">
        <f t="shared" si="14"/>
        <v>0</v>
      </c>
    </row>
    <row r="300" spans="11:13" hidden="1" x14ac:dyDescent="0.25">
      <c r="K300" s="7">
        <f t="shared" si="13"/>
        <v>0</v>
      </c>
      <c r="L300" s="5">
        <f t="shared" si="15"/>
        <v>0</v>
      </c>
      <c r="M300">
        <f t="shared" si="14"/>
        <v>0</v>
      </c>
    </row>
    <row r="301" spans="11:13" hidden="1" x14ac:dyDescent="0.25">
      <c r="K301" s="7">
        <f t="shared" si="13"/>
        <v>0</v>
      </c>
      <c r="L301" s="5">
        <f t="shared" si="15"/>
        <v>0</v>
      </c>
      <c r="M301">
        <f t="shared" si="14"/>
        <v>0</v>
      </c>
    </row>
    <row r="302" spans="11:13" hidden="1" x14ac:dyDescent="0.25">
      <c r="K302" s="7">
        <f t="shared" si="13"/>
        <v>0</v>
      </c>
      <c r="L302" s="5">
        <f t="shared" si="15"/>
        <v>0</v>
      </c>
      <c r="M302">
        <f t="shared" si="14"/>
        <v>0</v>
      </c>
    </row>
    <row r="303" spans="11:13" hidden="1" x14ac:dyDescent="0.25">
      <c r="K303" s="7">
        <f t="shared" si="13"/>
        <v>0</v>
      </c>
      <c r="L303" s="5">
        <f t="shared" si="15"/>
        <v>0</v>
      </c>
      <c r="M303">
        <f t="shared" si="14"/>
        <v>0</v>
      </c>
    </row>
    <row r="304" spans="11:13" hidden="1" x14ac:dyDescent="0.25">
      <c r="K304" s="7">
        <f t="shared" si="13"/>
        <v>0</v>
      </c>
      <c r="L304" s="5">
        <f t="shared" si="15"/>
        <v>0</v>
      </c>
      <c r="M304">
        <f t="shared" si="14"/>
        <v>0</v>
      </c>
    </row>
    <row r="305" spans="11:13" hidden="1" x14ac:dyDescent="0.25">
      <c r="K305" s="7">
        <f t="shared" si="13"/>
        <v>0</v>
      </c>
      <c r="L305" s="5">
        <f t="shared" si="15"/>
        <v>0</v>
      </c>
      <c r="M305">
        <f t="shared" si="14"/>
        <v>0</v>
      </c>
    </row>
    <row r="306" spans="11:13" hidden="1" x14ac:dyDescent="0.25">
      <c r="K306" s="7">
        <f t="shared" si="13"/>
        <v>0</v>
      </c>
      <c r="L306" s="5">
        <f t="shared" si="15"/>
        <v>0</v>
      </c>
      <c r="M306">
        <f t="shared" si="14"/>
        <v>0</v>
      </c>
    </row>
    <row r="307" spans="11:13" hidden="1" x14ac:dyDescent="0.25">
      <c r="K307" s="7">
        <f t="shared" si="13"/>
        <v>0</v>
      </c>
      <c r="L307" s="5">
        <f t="shared" si="15"/>
        <v>0</v>
      </c>
      <c r="M307">
        <f t="shared" si="14"/>
        <v>0</v>
      </c>
    </row>
    <row r="308" spans="11:13" hidden="1" x14ac:dyDescent="0.25">
      <c r="K308" s="7">
        <f t="shared" si="13"/>
        <v>0</v>
      </c>
      <c r="L308" s="5">
        <f t="shared" si="15"/>
        <v>0</v>
      </c>
      <c r="M308">
        <f t="shared" si="14"/>
        <v>0</v>
      </c>
    </row>
    <row r="309" spans="11:13" hidden="1" x14ac:dyDescent="0.25">
      <c r="K309" s="7">
        <f t="shared" si="13"/>
        <v>0</v>
      </c>
      <c r="L309" s="5">
        <f t="shared" si="15"/>
        <v>0</v>
      </c>
      <c r="M309">
        <f t="shared" si="14"/>
        <v>0</v>
      </c>
    </row>
    <row r="310" spans="11:13" hidden="1" x14ac:dyDescent="0.25">
      <c r="K310" s="7">
        <f t="shared" si="13"/>
        <v>0</v>
      </c>
      <c r="L310" s="5">
        <f t="shared" si="15"/>
        <v>0</v>
      </c>
      <c r="M310">
        <f t="shared" si="14"/>
        <v>0</v>
      </c>
    </row>
    <row r="311" spans="11:13" hidden="1" x14ac:dyDescent="0.25">
      <c r="K311" s="7">
        <f t="shared" si="13"/>
        <v>0</v>
      </c>
      <c r="L311" s="5">
        <f t="shared" si="15"/>
        <v>0</v>
      </c>
      <c r="M311">
        <f t="shared" si="14"/>
        <v>0</v>
      </c>
    </row>
    <row r="312" spans="11:13" hidden="1" x14ac:dyDescent="0.25">
      <c r="K312" s="7">
        <f t="shared" si="13"/>
        <v>0</v>
      </c>
      <c r="L312" s="5">
        <f t="shared" si="15"/>
        <v>0</v>
      </c>
      <c r="M312">
        <f t="shared" si="14"/>
        <v>0</v>
      </c>
    </row>
    <row r="313" spans="11:13" hidden="1" x14ac:dyDescent="0.25">
      <c r="K313" s="7">
        <f t="shared" si="13"/>
        <v>0</v>
      </c>
      <c r="L313" s="5">
        <f t="shared" si="15"/>
        <v>0</v>
      </c>
      <c r="M313">
        <f t="shared" si="14"/>
        <v>0</v>
      </c>
    </row>
    <row r="314" spans="11:13" hidden="1" x14ac:dyDescent="0.25">
      <c r="K314" s="7">
        <f t="shared" si="13"/>
        <v>0</v>
      </c>
      <c r="L314" s="5">
        <f t="shared" si="15"/>
        <v>0</v>
      </c>
      <c r="M314">
        <f t="shared" si="14"/>
        <v>0</v>
      </c>
    </row>
    <row r="315" spans="11:13" hidden="1" x14ac:dyDescent="0.25">
      <c r="K315" s="7">
        <f t="shared" si="13"/>
        <v>0</v>
      </c>
      <c r="L315" s="5">
        <f t="shared" si="15"/>
        <v>0</v>
      </c>
      <c r="M315">
        <f t="shared" si="14"/>
        <v>0</v>
      </c>
    </row>
    <row r="316" spans="11:13" hidden="1" x14ac:dyDescent="0.25">
      <c r="K316" s="7">
        <f t="shared" si="13"/>
        <v>0</v>
      </c>
      <c r="L316" s="5">
        <f t="shared" si="15"/>
        <v>0</v>
      </c>
      <c r="M316">
        <f t="shared" si="14"/>
        <v>0</v>
      </c>
    </row>
    <row r="317" spans="11:13" hidden="1" x14ac:dyDescent="0.25">
      <c r="K317" s="7">
        <f t="shared" si="13"/>
        <v>0</v>
      </c>
      <c r="L317" s="5">
        <f t="shared" si="15"/>
        <v>0</v>
      </c>
      <c r="M317">
        <f t="shared" si="14"/>
        <v>0</v>
      </c>
    </row>
    <row r="318" spans="11:13" hidden="1" x14ac:dyDescent="0.25">
      <c r="K318" s="7">
        <f t="shared" si="13"/>
        <v>0</v>
      </c>
      <c r="L318" s="5">
        <f t="shared" si="15"/>
        <v>0</v>
      </c>
      <c r="M318">
        <f t="shared" si="14"/>
        <v>0</v>
      </c>
    </row>
    <row r="319" spans="11:13" hidden="1" x14ac:dyDescent="0.25">
      <c r="K319" s="7">
        <f t="shared" si="13"/>
        <v>0</v>
      </c>
      <c r="L319" s="5">
        <f t="shared" si="15"/>
        <v>0</v>
      </c>
      <c r="M319">
        <f t="shared" si="14"/>
        <v>0</v>
      </c>
    </row>
    <row r="320" spans="11:13" hidden="1" x14ac:dyDescent="0.25">
      <c r="K320" s="7">
        <f t="shared" si="13"/>
        <v>0</v>
      </c>
      <c r="L320" s="5">
        <f t="shared" si="15"/>
        <v>0</v>
      </c>
      <c r="M320">
        <f t="shared" si="14"/>
        <v>0</v>
      </c>
    </row>
    <row r="321" spans="11:13" hidden="1" x14ac:dyDescent="0.25">
      <c r="K321" s="7">
        <f t="shared" si="13"/>
        <v>0</v>
      </c>
      <c r="L321" s="5">
        <f t="shared" si="15"/>
        <v>0</v>
      </c>
      <c r="M321">
        <f t="shared" si="14"/>
        <v>0</v>
      </c>
    </row>
    <row r="322" spans="11:13" hidden="1" x14ac:dyDescent="0.25">
      <c r="K322" s="7">
        <f t="shared" si="13"/>
        <v>0</v>
      </c>
      <c r="L322" s="5">
        <f t="shared" si="15"/>
        <v>0</v>
      </c>
      <c r="M322">
        <f t="shared" si="14"/>
        <v>0</v>
      </c>
    </row>
    <row r="323" spans="11:13" hidden="1" x14ac:dyDescent="0.25">
      <c r="K323" s="7">
        <f t="shared" si="13"/>
        <v>0</v>
      </c>
      <c r="L323" s="5">
        <f t="shared" si="15"/>
        <v>0</v>
      </c>
      <c r="M323">
        <f t="shared" si="14"/>
        <v>0</v>
      </c>
    </row>
    <row r="324" spans="11:13" hidden="1" x14ac:dyDescent="0.25">
      <c r="K324" s="7">
        <f t="shared" si="13"/>
        <v>0</v>
      </c>
      <c r="L324" s="5">
        <f t="shared" si="15"/>
        <v>0</v>
      </c>
      <c r="M324">
        <f t="shared" si="14"/>
        <v>0</v>
      </c>
    </row>
    <row r="325" spans="11:13" hidden="1" x14ac:dyDescent="0.25">
      <c r="K325" s="7">
        <f t="shared" ref="K325:K388" si="16">SUM(F325:J325)</f>
        <v>0</v>
      </c>
      <c r="L325" s="5">
        <f t="shared" si="15"/>
        <v>0</v>
      </c>
      <c r="M325">
        <f t="shared" ref="M325:M388" si="17">SUM(K325*L325)</f>
        <v>0</v>
      </c>
    </row>
    <row r="326" spans="11:13" hidden="1" x14ac:dyDescent="0.25">
      <c r="K326" s="7">
        <f t="shared" si="16"/>
        <v>0</v>
      </c>
      <c r="L326" s="5">
        <f t="shared" ref="L326:L389" si="18">IF(D326="X",0,IF(E326="",0,IF(E326="x",0,VLOOKUP(E326,$F$539:$G$553,2))))</f>
        <v>0</v>
      </c>
      <c r="M326">
        <f t="shared" si="17"/>
        <v>0</v>
      </c>
    </row>
    <row r="327" spans="11:13" hidden="1" x14ac:dyDescent="0.25">
      <c r="K327" s="7">
        <f t="shared" si="16"/>
        <v>0</v>
      </c>
      <c r="L327" s="5">
        <f t="shared" si="18"/>
        <v>0</v>
      </c>
      <c r="M327">
        <f t="shared" si="17"/>
        <v>0</v>
      </c>
    </row>
    <row r="328" spans="11:13" hidden="1" x14ac:dyDescent="0.25">
      <c r="K328" s="7">
        <f t="shared" si="16"/>
        <v>0</v>
      </c>
      <c r="L328" s="5">
        <f t="shared" si="18"/>
        <v>0</v>
      </c>
      <c r="M328">
        <f t="shared" si="17"/>
        <v>0</v>
      </c>
    </row>
    <row r="329" spans="11:13" hidden="1" x14ac:dyDescent="0.25">
      <c r="K329" s="7">
        <f t="shared" si="16"/>
        <v>0</v>
      </c>
      <c r="L329" s="5">
        <f t="shared" si="18"/>
        <v>0</v>
      </c>
      <c r="M329">
        <f t="shared" si="17"/>
        <v>0</v>
      </c>
    </row>
    <row r="330" spans="11:13" hidden="1" x14ac:dyDescent="0.25">
      <c r="K330" s="7">
        <f t="shared" si="16"/>
        <v>0</v>
      </c>
      <c r="L330" s="5">
        <f t="shared" si="18"/>
        <v>0</v>
      </c>
      <c r="M330">
        <f t="shared" si="17"/>
        <v>0</v>
      </c>
    </row>
    <row r="331" spans="11:13" hidden="1" x14ac:dyDescent="0.25">
      <c r="K331" s="7">
        <f t="shared" si="16"/>
        <v>0</v>
      </c>
      <c r="L331" s="5">
        <f t="shared" si="18"/>
        <v>0</v>
      </c>
      <c r="M331">
        <f t="shared" si="17"/>
        <v>0</v>
      </c>
    </row>
    <row r="332" spans="11:13" hidden="1" x14ac:dyDescent="0.25">
      <c r="K332" s="7">
        <f t="shared" si="16"/>
        <v>0</v>
      </c>
      <c r="L332" s="5">
        <f t="shared" si="18"/>
        <v>0</v>
      </c>
      <c r="M332">
        <f t="shared" si="17"/>
        <v>0</v>
      </c>
    </row>
    <row r="333" spans="11:13" hidden="1" x14ac:dyDescent="0.25">
      <c r="K333" s="7">
        <f t="shared" si="16"/>
        <v>0</v>
      </c>
      <c r="L333" s="5">
        <f t="shared" si="18"/>
        <v>0</v>
      </c>
      <c r="M333">
        <f t="shared" si="17"/>
        <v>0</v>
      </c>
    </row>
    <row r="334" spans="11:13" hidden="1" x14ac:dyDescent="0.25">
      <c r="K334" s="7">
        <f t="shared" si="16"/>
        <v>0</v>
      </c>
      <c r="L334" s="5">
        <f t="shared" si="18"/>
        <v>0</v>
      </c>
      <c r="M334">
        <f t="shared" si="17"/>
        <v>0</v>
      </c>
    </row>
    <row r="335" spans="11:13" hidden="1" x14ac:dyDescent="0.25">
      <c r="K335" s="7">
        <f t="shared" si="16"/>
        <v>0</v>
      </c>
      <c r="L335" s="5">
        <f t="shared" si="18"/>
        <v>0</v>
      </c>
      <c r="M335">
        <f t="shared" si="17"/>
        <v>0</v>
      </c>
    </row>
    <row r="336" spans="11:13" hidden="1" x14ac:dyDescent="0.25">
      <c r="K336" s="7">
        <f t="shared" si="16"/>
        <v>0</v>
      </c>
      <c r="L336" s="5">
        <f t="shared" si="18"/>
        <v>0</v>
      </c>
      <c r="M336">
        <f t="shared" si="17"/>
        <v>0</v>
      </c>
    </row>
    <row r="337" spans="11:13" hidden="1" x14ac:dyDescent="0.25">
      <c r="K337" s="7">
        <f t="shared" si="16"/>
        <v>0</v>
      </c>
      <c r="L337" s="5">
        <f t="shared" si="18"/>
        <v>0</v>
      </c>
      <c r="M337">
        <f t="shared" si="17"/>
        <v>0</v>
      </c>
    </row>
    <row r="338" spans="11:13" hidden="1" x14ac:dyDescent="0.25">
      <c r="K338" s="7">
        <f t="shared" si="16"/>
        <v>0</v>
      </c>
      <c r="L338" s="5">
        <f t="shared" si="18"/>
        <v>0</v>
      </c>
      <c r="M338">
        <f t="shared" si="17"/>
        <v>0</v>
      </c>
    </row>
    <row r="339" spans="11:13" hidden="1" x14ac:dyDescent="0.25">
      <c r="K339" s="7">
        <f t="shared" si="16"/>
        <v>0</v>
      </c>
      <c r="L339" s="5">
        <f t="shared" si="18"/>
        <v>0</v>
      </c>
      <c r="M339">
        <f t="shared" si="17"/>
        <v>0</v>
      </c>
    </row>
    <row r="340" spans="11:13" hidden="1" x14ac:dyDescent="0.25">
      <c r="K340" s="7">
        <f t="shared" si="16"/>
        <v>0</v>
      </c>
      <c r="L340" s="5">
        <f t="shared" si="18"/>
        <v>0</v>
      </c>
      <c r="M340">
        <f t="shared" si="17"/>
        <v>0</v>
      </c>
    </row>
    <row r="341" spans="11:13" hidden="1" x14ac:dyDescent="0.25">
      <c r="K341" s="7">
        <f t="shared" si="16"/>
        <v>0</v>
      </c>
      <c r="L341" s="5">
        <f t="shared" si="18"/>
        <v>0</v>
      </c>
      <c r="M341">
        <f t="shared" si="17"/>
        <v>0</v>
      </c>
    </row>
    <row r="342" spans="11:13" hidden="1" x14ac:dyDescent="0.25">
      <c r="K342" s="7">
        <f t="shared" si="16"/>
        <v>0</v>
      </c>
      <c r="L342" s="5">
        <f t="shared" si="18"/>
        <v>0</v>
      </c>
      <c r="M342">
        <f t="shared" si="17"/>
        <v>0</v>
      </c>
    </row>
    <row r="343" spans="11:13" hidden="1" x14ac:dyDescent="0.25">
      <c r="K343" s="7">
        <f t="shared" si="16"/>
        <v>0</v>
      </c>
      <c r="L343" s="5">
        <f t="shared" si="18"/>
        <v>0</v>
      </c>
      <c r="M343">
        <f t="shared" si="17"/>
        <v>0</v>
      </c>
    </row>
    <row r="344" spans="11:13" hidden="1" x14ac:dyDescent="0.25">
      <c r="K344" s="7">
        <f t="shared" si="16"/>
        <v>0</v>
      </c>
      <c r="L344" s="5">
        <f t="shared" si="18"/>
        <v>0</v>
      </c>
      <c r="M344">
        <f t="shared" si="17"/>
        <v>0</v>
      </c>
    </row>
    <row r="345" spans="11:13" hidden="1" x14ac:dyDescent="0.25">
      <c r="K345" s="7">
        <f t="shared" si="16"/>
        <v>0</v>
      </c>
      <c r="L345" s="5">
        <f t="shared" si="18"/>
        <v>0</v>
      </c>
      <c r="M345">
        <f t="shared" si="17"/>
        <v>0</v>
      </c>
    </row>
    <row r="346" spans="11:13" hidden="1" x14ac:dyDescent="0.25">
      <c r="K346" s="7">
        <f t="shared" si="16"/>
        <v>0</v>
      </c>
      <c r="L346" s="5">
        <f t="shared" si="18"/>
        <v>0</v>
      </c>
      <c r="M346">
        <f t="shared" si="17"/>
        <v>0</v>
      </c>
    </row>
    <row r="347" spans="11:13" hidden="1" x14ac:dyDescent="0.25">
      <c r="K347" s="7">
        <f t="shared" si="16"/>
        <v>0</v>
      </c>
      <c r="L347" s="5">
        <f t="shared" si="18"/>
        <v>0</v>
      </c>
      <c r="M347">
        <f t="shared" si="17"/>
        <v>0</v>
      </c>
    </row>
    <row r="348" spans="11:13" hidden="1" x14ac:dyDescent="0.25">
      <c r="K348" s="7">
        <f t="shared" si="16"/>
        <v>0</v>
      </c>
      <c r="L348" s="5">
        <f t="shared" si="18"/>
        <v>0</v>
      </c>
      <c r="M348">
        <f t="shared" si="17"/>
        <v>0</v>
      </c>
    </row>
    <row r="349" spans="11:13" hidden="1" x14ac:dyDescent="0.25">
      <c r="K349" s="7">
        <f t="shared" si="16"/>
        <v>0</v>
      </c>
      <c r="L349" s="5">
        <f t="shared" si="18"/>
        <v>0</v>
      </c>
      <c r="M349">
        <f t="shared" si="17"/>
        <v>0</v>
      </c>
    </row>
    <row r="350" spans="11:13" hidden="1" x14ac:dyDescent="0.25">
      <c r="K350" s="7">
        <f t="shared" si="16"/>
        <v>0</v>
      </c>
      <c r="L350" s="5">
        <f t="shared" si="18"/>
        <v>0</v>
      </c>
      <c r="M350">
        <f t="shared" si="17"/>
        <v>0</v>
      </c>
    </row>
    <row r="351" spans="11:13" hidden="1" x14ac:dyDescent="0.25">
      <c r="K351" s="7">
        <f t="shared" si="16"/>
        <v>0</v>
      </c>
      <c r="L351" s="5">
        <f t="shared" si="18"/>
        <v>0</v>
      </c>
      <c r="M351">
        <f t="shared" si="17"/>
        <v>0</v>
      </c>
    </row>
    <row r="352" spans="11:13" hidden="1" x14ac:dyDescent="0.25">
      <c r="K352" s="7">
        <f t="shared" si="16"/>
        <v>0</v>
      </c>
      <c r="L352" s="5">
        <f t="shared" si="18"/>
        <v>0</v>
      </c>
      <c r="M352">
        <f t="shared" si="17"/>
        <v>0</v>
      </c>
    </row>
    <row r="353" spans="11:13" hidden="1" x14ac:dyDescent="0.25">
      <c r="K353" s="7">
        <f t="shared" si="16"/>
        <v>0</v>
      </c>
      <c r="L353" s="5">
        <f t="shared" si="18"/>
        <v>0</v>
      </c>
      <c r="M353">
        <f t="shared" si="17"/>
        <v>0</v>
      </c>
    </row>
    <row r="354" spans="11:13" hidden="1" x14ac:dyDescent="0.25">
      <c r="K354" s="7">
        <f t="shared" si="16"/>
        <v>0</v>
      </c>
      <c r="L354" s="5">
        <f t="shared" si="18"/>
        <v>0</v>
      </c>
      <c r="M354">
        <f t="shared" si="17"/>
        <v>0</v>
      </c>
    </row>
    <row r="355" spans="11:13" hidden="1" x14ac:dyDescent="0.25">
      <c r="K355" s="7">
        <f t="shared" si="16"/>
        <v>0</v>
      </c>
      <c r="L355" s="5">
        <f t="shared" si="18"/>
        <v>0</v>
      </c>
      <c r="M355">
        <f t="shared" si="17"/>
        <v>0</v>
      </c>
    </row>
    <row r="356" spans="11:13" hidden="1" x14ac:dyDescent="0.25">
      <c r="K356" s="7">
        <f t="shared" si="16"/>
        <v>0</v>
      </c>
      <c r="L356" s="5">
        <f t="shared" si="18"/>
        <v>0</v>
      </c>
      <c r="M356">
        <f t="shared" si="17"/>
        <v>0</v>
      </c>
    </row>
    <row r="357" spans="11:13" hidden="1" x14ac:dyDescent="0.25">
      <c r="K357" s="7">
        <f t="shared" si="16"/>
        <v>0</v>
      </c>
      <c r="L357" s="5">
        <f t="shared" si="18"/>
        <v>0</v>
      </c>
      <c r="M357">
        <f t="shared" si="17"/>
        <v>0</v>
      </c>
    </row>
    <row r="358" spans="11:13" hidden="1" x14ac:dyDescent="0.25">
      <c r="K358" s="7">
        <f t="shared" si="16"/>
        <v>0</v>
      </c>
      <c r="L358" s="5">
        <f t="shared" si="18"/>
        <v>0</v>
      </c>
      <c r="M358">
        <f t="shared" si="17"/>
        <v>0</v>
      </c>
    </row>
    <row r="359" spans="11:13" hidden="1" x14ac:dyDescent="0.25">
      <c r="K359" s="7">
        <f t="shared" si="16"/>
        <v>0</v>
      </c>
      <c r="L359" s="5">
        <f t="shared" si="18"/>
        <v>0</v>
      </c>
      <c r="M359">
        <f t="shared" si="17"/>
        <v>0</v>
      </c>
    </row>
    <row r="360" spans="11:13" hidden="1" x14ac:dyDescent="0.25">
      <c r="K360" s="7">
        <f t="shared" si="16"/>
        <v>0</v>
      </c>
      <c r="L360" s="5">
        <f t="shared" si="18"/>
        <v>0</v>
      </c>
      <c r="M360">
        <f t="shared" si="17"/>
        <v>0</v>
      </c>
    </row>
    <row r="361" spans="11:13" hidden="1" x14ac:dyDescent="0.25">
      <c r="K361" s="7">
        <f t="shared" si="16"/>
        <v>0</v>
      </c>
      <c r="L361" s="5">
        <f t="shared" si="18"/>
        <v>0</v>
      </c>
      <c r="M361">
        <f t="shared" si="17"/>
        <v>0</v>
      </c>
    </row>
    <row r="362" spans="11:13" hidden="1" x14ac:dyDescent="0.25">
      <c r="K362" s="7">
        <f t="shared" si="16"/>
        <v>0</v>
      </c>
      <c r="L362" s="5">
        <f t="shared" si="18"/>
        <v>0</v>
      </c>
      <c r="M362">
        <f t="shared" si="17"/>
        <v>0</v>
      </c>
    </row>
    <row r="363" spans="11:13" hidden="1" x14ac:dyDescent="0.25">
      <c r="K363" s="7">
        <f t="shared" si="16"/>
        <v>0</v>
      </c>
      <c r="L363" s="5">
        <f t="shared" si="18"/>
        <v>0</v>
      </c>
      <c r="M363">
        <f t="shared" si="17"/>
        <v>0</v>
      </c>
    </row>
    <row r="364" spans="11:13" hidden="1" x14ac:dyDescent="0.25">
      <c r="K364" s="7">
        <f t="shared" si="16"/>
        <v>0</v>
      </c>
      <c r="L364" s="5">
        <f t="shared" si="18"/>
        <v>0</v>
      </c>
      <c r="M364">
        <f t="shared" si="17"/>
        <v>0</v>
      </c>
    </row>
    <row r="365" spans="11:13" hidden="1" x14ac:dyDescent="0.25">
      <c r="K365" s="7">
        <f t="shared" si="16"/>
        <v>0</v>
      </c>
      <c r="L365" s="5">
        <f t="shared" si="18"/>
        <v>0</v>
      </c>
      <c r="M365">
        <f t="shared" si="17"/>
        <v>0</v>
      </c>
    </row>
    <row r="366" spans="11:13" hidden="1" x14ac:dyDescent="0.25">
      <c r="K366" s="7">
        <f t="shared" si="16"/>
        <v>0</v>
      </c>
      <c r="L366" s="5">
        <f t="shared" si="18"/>
        <v>0</v>
      </c>
      <c r="M366">
        <f t="shared" si="17"/>
        <v>0</v>
      </c>
    </row>
    <row r="367" spans="11:13" hidden="1" x14ac:dyDescent="0.25">
      <c r="K367" s="7">
        <f t="shared" si="16"/>
        <v>0</v>
      </c>
      <c r="L367" s="5">
        <f t="shared" si="18"/>
        <v>0</v>
      </c>
      <c r="M367">
        <f t="shared" si="17"/>
        <v>0</v>
      </c>
    </row>
    <row r="368" spans="11:13" hidden="1" x14ac:dyDescent="0.25">
      <c r="K368" s="7">
        <f t="shared" si="16"/>
        <v>0</v>
      </c>
      <c r="L368" s="5">
        <f t="shared" si="18"/>
        <v>0</v>
      </c>
      <c r="M368">
        <f t="shared" si="17"/>
        <v>0</v>
      </c>
    </row>
    <row r="369" spans="11:13" hidden="1" x14ac:dyDescent="0.25">
      <c r="K369" s="7">
        <f t="shared" si="16"/>
        <v>0</v>
      </c>
      <c r="L369" s="5">
        <f t="shared" si="18"/>
        <v>0</v>
      </c>
      <c r="M369">
        <f t="shared" si="17"/>
        <v>0</v>
      </c>
    </row>
    <row r="370" spans="11:13" hidden="1" x14ac:dyDescent="0.25">
      <c r="K370" s="7">
        <f t="shared" si="16"/>
        <v>0</v>
      </c>
      <c r="L370" s="5">
        <f t="shared" si="18"/>
        <v>0</v>
      </c>
      <c r="M370">
        <f t="shared" si="17"/>
        <v>0</v>
      </c>
    </row>
    <row r="371" spans="11:13" hidden="1" x14ac:dyDescent="0.25">
      <c r="K371" s="7">
        <f t="shared" si="16"/>
        <v>0</v>
      </c>
      <c r="L371" s="5">
        <f t="shared" si="18"/>
        <v>0</v>
      </c>
      <c r="M371">
        <f t="shared" si="17"/>
        <v>0</v>
      </c>
    </row>
    <row r="372" spans="11:13" hidden="1" x14ac:dyDescent="0.25">
      <c r="K372" s="7">
        <f t="shared" si="16"/>
        <v>0</v>
      </c>
      <c r="L372" s="5">
        <f t="shared" si="18"/>
        <v>0</v>
      </c>
      <c r="M372">
        <f t="shared" si="17"/>
        <v>0</v>
      </c>
    </row>
    <row r="373" spans="11:13" hidden="1" x14ac:dyDescent="0.25">
      <c r="K373" s="7">
        <f t="shared" si="16"/>
        <v>0</v>
      </c>
      <c r="L373" s="5">
        <f t="shared" si="18"/>
        <v>0</v>
      </c>
      <c r="M373">
        <f t="shared" si="17"/>
        <v>0</v>
      </c>
    </row>
    <row r="374" spans="11:13" hidden="1" x14ac:dyDescent="0.25">
      <c r="K374" s="7">
        <f t="shared" si="16"/>
        <v>0</v>
      </c>
      <c r="L374" s="5">
        <f t="shared" si="18"/>
        <v>0</v>
      </c>
      <c r="M374">
        <f t="shared" si="17"/>
        <v>0</v>
      </c>
    </row>
    <row r="375" spans="11:13" hidden="1" x14ac:dyDescent="0.25">
      <c r="K375" s="7">
        <f t="shared" si="16"/>
        <v>0</v>
      </c>
      <c r="L375" s="5">
        <f t="shared" si="18"/>
        <v>0</v>
      </c>
      <c r="M375">
        <f t="shared" si="17"/>
        <v>0</v>
      </c>
    </row>
    <row r="376" spans="11:13" hidden="1" x14ac:dyDescent="0.25">
      <c r="K376" s="7">
        <f t="shared" si="16"/>
        <v>0</v>
      </c>
      <c r="L376" s="5">
        <f t="shared" si="18"/>
        <v>0</v>
      </c>
      <c r="M376">
        <f t="shared" si="17"/>
        <v>0</v>
      </c>
    </row>
    <row r="377" spans="11:13" hidden="1" x14ac:dyDescent="0.25">
      <c r="K377" s="7">
        <f t="shared" si="16"/>
        <v>0</v>
      </c>
      <c r="L377" s="5">
        <f t="shared" si="18"/>
        <v>0</v>
      </c>
      <c r="M377">
        <f t="shared" si="17"/>
        <v>0</v>
      </c>
    </row>
    <row r="378" spans="11:13" hidden="1" x14ac:dyDescent="0.25">
      <c r="K378" s="7">
        <f t="shared" si="16"/>
        <v>0</v>
      </c>
      <c r="L378" s="5">
        <f t="shared" si="18"/>
        <v>0</v>
      </c>
      <c r="M378">
        <f t="shared" si="17"/>
        <v>0</v>
      </c>
    </row>
    <row r="379" spans="11:13" hidden="1" x14ac:dyDescent="0.25">
      <c r="K379" s="7">
        <f t="shared" si="16"/>
        <v>0</v>
      </c>
      <c r="L379" s="5">
        <f t="shared" si="18"/>
        <v>0</v>
      </c>
      <c r="M379">
        <f t="shared" si="17"/>
        <v>0</v>
      </c>
    </row>
    <row r="380" spans="11:13" hidden="1" x14ac:dyDescent="0.25">
      <c r="K380" s="7">
        <f t="shared" si="16"/>
        <v>0</v>
      </c>
      <c r="L380" s="5">
        <f t="shared" si="18"/>
        <v>0</v>
      </c>
      <c r="M380">
        <f t="shared" si="17"/>
        <v>0</v>
      </c>
    </row>
    <row r="381" spans="11:13" hidden="1" x14ac:dyDescent="0.25">
      <c r="K381" s="7">
        <f t="shared" si="16"/>
        <v>0</v>
      </c>
      <c r="L381" s="5">
        <f t="shared" si="18"/>
        <v>0</v>
      </c>
      <c r="M381">
        <f t="shared" si="17"/>
        <v>0</v>
      </c>
    </row>
    <row r="382" spans="11:13" hidden="1" x14ac:dyDescent="0.25">
      <c r="K382" s="7">
        <f t="shared" si="16"/>
        <v>0</v>
      </c>
      <c r="L382" s="5">
        <f t="shared" si="18"/>
        <v>0</v>
      </c>
      <c r="M382">
        <f t="shared" si="17"/>
        <v>0</v>
      </c>
    </row>
    <row r="383" spans="11:13" hidden="1" x14ac:dyDescent="0.25">
      <c r="K383" s="7">
        <f t="shared" si="16"/>
        <v>0</v>
      </c>
      <c r="L383" s="5">
        <f t="shared" si="18"/>
        <v>0</v>
      </c>
      <c r="M383">
        <f t="shared" si="17"/>
        <v>0</v>
      </c>
    </row>
    <row r="384" spans="11:13" hidden="1" x14ac:dyDescent="0.25">
      <c r="K384" s="7">
        <f t="shared" si="16"/>
        <v>0</v>
      </c>
      <c r="L384" s="5">
        <f t="shared" si="18"/>
        <v>0</v>
      </c>
      <c r="M384">
        <f t="shared" si="17"/>
        <v>0</v>
      </c>
    </row>
    <row r="385" spans="11:13" hidden="1" x14ac:dyDescent="0.25">
      <c r="K385" s="7">
        <f t="shared" si="16"/>
        <v>0</v>
      </c>
      <c r="L385" s="5">
        <f t="shared" si="18"/>
        <v>0</v>
      </c>
      <c r="M385">
        <f t="shared" si="17"/>
        <v>0</v>
      </c>
    </row>
    <row r="386" spans="11:13" hidden="1" x14ac:dyDescent="0.25">
      <c r="K386" s="7">
        <f t="shared" si="16"/>
        <v>0</v>
      </c>
      <c r="L386" s="5">
        <f t="shared" si="18"/>
        <v>0</v>
      </c>
      <c r="M386">
        <f t="shared" si="17"/>
        <v>0</v>
      </c>
    </row>
    <row r="387" spans="11:13" hidden="1" x14ac:dyDescent="0.25">
      <c r="K387" s="7">
        <f t="shared" si="16"/>
        <v>0</v>
      </c>
      <c r="L387" s="5">
        <f t="shared" si="18"/>
        <v>0</v>
      </c>
      <c r="M387">
        <f t="shared" si="17"/>
        <v>0</v>
      </c>
    </row>
    <row r="388" spans="11:13" hidden="1" x14ac:dyDescent="0.25">
      <c r="K388" s="7">
        <f t="shared" si="16"/>
        <v>0</v>
      </c>
      <c r="L388" s="5">
        <f t="shared" si="18"/>
        <v>0</v>
      </c>
      <c r="M388">
        <f t="shared" si="17"/>
        <v>0</v>
      </c>
    </row>
    <row r="389" spans="11:13" hidden="1" x14ac:dyDescent="0.25">
      <c r="K389" s="7">
        <f t="shared" ref="K389:K452" si="19">SUM(F389:J389)</f>
        <v>0</v>
      </c>
      <c r="L389" s="5">
        <f t="shared" si="18"/>
        <v>0</v>
      </c>
      <c r="M389">
        <f t="shared" ref="M389:M452" si="20">SUM(K389*L389)</f>
        <v>0</v>
      </c>
    </row>
    <row r="390" spans="11:13" hidden="1" x14ac:dyDescent="0.25">
      <c r="K390" s="7">
        <f t="shared" si="19"/>
        <v>0</v>
      </c>
      <c r="L390" s="5">
        <f t="shared" ref="L390:L453" si="21">IF(D390="X",0,IF(E390="",0,IF(E390="x",0,VLOOKUP(E390,$F$539:$G$553,2))))</f>
        <v>0</v>
      </c>
      <c r="M390">
        <f t="shared" si="20"/>
        <v>0</v>
      </c>
    </row>
    <row r="391" spans="11:13" hidden="1" x14ac:dyDescent="0.25">
      <c r="K391" s="7">
        <f t="shared" si="19"/>
        <v>0</v>
      </c>
      <c r="L391" s="5">
        <f t="shared" si="21"/>
        <v>0</v>
      </c>
      <c r="M391">
        <f t="shared" si="20"/>
        <v>0</v>
      </c>
    </row>
    <row r="392" spans="11:13" hidden="1" x14ac:dyDescent="0.25">
      <c r="K392" s="7">
        <f t="shared" si="19"/>
        <v>0</v>
      </c>
      <c r="L392" s="5">
        <f t="shared" si="21"/>
        <v>0</v>
      </c>
      <c r="M392">
        <f t="shared" si="20"/>
        <v>0</v>
      </c>
    </row>
    <row r="393" spans="11:13" hidden="1" x14ac:dyDescent="0.25">
      <c r="K393" s="7">
        <f t="shared" si="19"/>
        <v>0</v>
      </c>
      <c r="L393" s="5">
        <f t="shared" si="21"/>
        <v>0</v>
      </c>
      <c r="M393">
        <f t="shared" si="20"/>
        <v>0</v>
      </c>
    </row>
    <row r="394" spans="11:13" hidden="1" x14ac:dyDescent="0.25">
      <c r="K394" s="7">
        <f t="shared" si="19"/>
        <v>0</v>
      </c>
      <c r="L394" s="5">
        <f t="shared" si="21"/>
        <v>0</v>
      </c>
      <c r="M394">
        <f t="shared" si="20"/>
        <v>0</v>
      </c>
    </row>
    <row r="395" spans="11:13" hidden="1" x14ac:dyDescent="0.25">
      <c r="K395" s="7">
        <f t="shared" si="19"/>
        <v>0</v>
      </c>
      <c r="L395" s="5">
        <f t="shared" si="21"/>
        <v>0</v>
      </c>
      <c r="M395">
        <f t="shared" si="20"/>
        <v>0</v>
      </c>
    </row>
    <row r="396" spans="11:13" hidden="1" x14ac:dyDescent="0.25">
      <c r="K396" s="7">
        <f t="shared" si="19"/>
        <v>0</v>
      </c>
      <c r="L396" s="5">
        <f t="shared" si="21"/>
        <v>0</v>
      </c>
      <c r="M396">
        <f t="shared" si="20"/>
        <v>0</v>
      </c>
    </row>
    <row r="397" spans="11:13" hidden="1" x14ac:dyDescent="0.25">
      <c r="K397" s="7">
        <f t="shared" si="19"/>
        <v>0</v>
      </c>
      <c r="L397" s="5">
        <f t="shared" si="21"/>
        <v>0</v>
      </c>
      <c r="M397">
        <f t="shared" si="20"/>
        <v>0</v>
      </c>
    </row>
    <row r="398" spans="11:13" hidden="1" x14ac:dyDescent="0.25">
      <c r="K398" s="7">
        <f t="shared" si="19"/>
        <v>0</v>
      </c>
      <c r="L398" s="5">
        <f t="shared" si="21"/>
        <v>0</v>
      </c>
      <c r="M398">
        <f t="shared" si="20"/>
        <v>0</v>
      </c>
    </row>
    <row r="399" spans="11:13" hidden="1" x14ac:dyDescent="0.25">
      <c r="K399" s="7">
        <f t="shared" si="19"/>
        <v>0</v>
      </c>
      <c r="L399" s="5">
        <f t="shared" si="21"/>
        <v>0</v>
      </c>
      <c r="M399">
        <f t="shared" si="20"/>
        <v>0</v>
      </c>
    </row>
    <row r="400" spans="11:13" hidden="1" x14ac:dyDescent="0.25">
      <c r="K400" s="7">
        <f t="shared" si="19"/>
        <v>0</v>
      </c>
      <c r="L400" s="5">
        <f t="shared" si="21"/>
        <v>0</v>
      </c>
      <c r="M400">
        <f t="shared" si="20"/>
        <v>0</v>
      </c>
    </row>
    <row r="401" spans="11:13" hidden="1" x14ac:dyDescent="0.25">
      <c r="K401" s="7">
        <f t="shared" si="19"/>
        <v>0</v>
      </c>
      <c r="L401" s="5">
        <f t="shared" si="21"/>
        <v>0</v>
      </c>
      <c r="M401">
        <f t="shared" si="20"/>
        <v>0</v>
      </c>
    </row>
    <row r="402" spans="11:13" hidden="1" x14ac:dyDescent="0.25">
      <c r="K402" s="7">
        <f t="shared" si="19"/>
        <v>0</v>
      </c>
      <c r="L402" s="5">
        <f t="shared" si="21"/>
        <v>0</v>
      </c>
      <c r="M402">
        <f t="shared" si="20"/>
        <v>0</v>
      </c>
    </row>
    <row r="403" spans="11:13" hidden="1" x14ac:dyDescent="0.25">
      <c r="K403" s="7">
        <f t="shared" si="19"/>
        <v>0</v>
      </c>
      <c r="L403" s="5">
        <f t="shared" si="21"/>
        <v>0</v>
      </c>
      <c r="M403">
        <f t="shared" si="20"/>
        <v>0</v>
      </c>
    </row>
    <row r="404" spans="11:13" hidden="1" x14ac:dyDescent="0.25">
      <c r="K404" s="7">
        <f t="shared" si="19"/>
        <v>0</v>
      </c>
      <c r="L404" s="5">
        <f t="shared" si="21"/>
        <v>0</v>
      </c>
      <c r="M404">
        <f t="shared" si="20"/>
        <v>0</v>
      </c>
    </row>
    <row r="405" spans="11:13" hidden="1" x14ac:dyDescent="0.25">
      <c r="K405" s="7">
        <f t="shared" si="19"/>
        <v>0</v>
      </c>
      <c r="L405" s="5">
        <f t="shared" si="21"/>
        <v>0</v>
      </c>
      <c r="M405">
        <f t="shared" si="20"/>
        <v>0</v>
      </c>
    </row>
    <row r="406" spans="11:13" hidden="1" x14ac:dyDescent="0.25">
      <c r="K406" s="7">
        <f t="shared" si="19"/>
        <v>0</v>
      </c>
      <c r="L406" s="5">
        <f t="shared" si="21"/>
        <v>0</v>
      </c>
      <c r="M406">
        <f t="shared" si="20"/>
        <v>0</v>
      </c>
    </row>
    <row r="407" spans="11:13" hidden="1" x14ac:dyDescent="0.25">
      <c r="K407" s="7">
        <f t="shared" si="19"/>
        <v>0</v>
      </c>
      <c r="L407" s="5">
        <f t="shared" si="21"/>
        <v>0</v>
      </c>
      <c r="M407">
        <f t="shared" si="20"/>
        <v>0</v>
      </c>
    </row>
    <row r="408" spans="11:13" hidden="1" x14ac:dyDescent="0.25">
      <c r="K408" s="7">
        <f t="shared" si="19"/>
        <v>0</v>
      </c>
      <c r="L408" s="5">
        <f t="shared" si="21"/>
        <v>0</v>
      </c>
      <c r="M408">
        <f t="shared" si="20"/>
        <v>0</v>
      </c>
    </row>
    <row r="409" spans="11:13" hidden="1" x14ac:dyDescent="0.25">
      <c r="K409" s="7">
        <f t="shared" si="19"/>
        <v>0</v>
      </c>
      <c r="L409" s="5">
        <f t="shared" si="21"/>
        <v>0</v>
      </c>
      <c r="M409">
        <f t="shared" si="20"/>
        <v>0</v>
      </c>
    </row>
    <row r="410" spans="11:13" hidden="1" x14ac:dyDescent="0.25">
      <c r="K410" s="7">
        <f t="shared" si="19"/>
        <v>0</v>
      </c>
      <c r="L410" s="5">
        <f t="shared" si="21"/>
        <v>0</v>
      </c>
      <c r="M410">
        <f t="shared" si="20"/>
        <v>0</v>
      </c>
    </row>
    <row r="411" spans="11:13" hidden="1" x14ac:dyDescent="0.25">
      <c r="K411" s="7">
        <f t="shared" si="19"/>
        <v>0</v>
      </c>
      <c r="L411" s="5">
        <f t="shared" si="21"/>
        <v>0</v>
      </c>
      <c r="M411">
        <f t="shared" si="20"/>
        <v>0</v>
      </c>
    </row>
    <row r="412" spans="11:13" hidden="1" x14ac:dyDescent="0.25">
      <c r="K412" s="7">
        <f t="shared" si="19"/>
        <v>0</v>
      </c>
      <c r="L412" s="5">
        <f t="shared" si="21"/>
        <v>0</v>
      </c>
      <c r="M412">
        <f t="shared" si="20"/>
        <v>0</v>
      </c>
    </row>
    <row r="413" spans="11:13" hidden="1" x14ac:dyDescent="0.25">
      <c r="K413" s="7">
        <f t="shared" si="19"/>
        <v>0</v>
      </c>
      <c r="L413" s="5">
        <f t="shared" si="21"/>
        <v>0</v>
      </c>
      <c r="M413">
        <f t="shared" si="20"/>
        <v>0</v>
      </c>
    </row>
    <row r="414" spans="11:13" hidden="1" x14ac:dyDescent="0.25">
      <c r="K414" s="7">
        <f t="shared" si="19"/>
        <v>0</v>
      </c>
      <c r="L414" s="5">
        <f t="shared" si="21"/>
        <v>0</v>
      </c>
      <c r="M414">
        <f t="shared" si="20"/>
        <v>0</v>
      </c>
    </row>
    <row r="415" spans="11:13" hidden="1" x14ac:dyDescent="0.25">
      <c r="K415" s="7">
        <f t="shared" si="19"/>
        <v>0</v>
      </c>
      <c r="L415" s="5">
        <f t="shared" si="21"/>
        <v>0</v>
      </c>
      <c r="M415">
        <f t="shared" si="20"/>
        <v>0</v>
      </c>
    </row>
    <row r="416" spans="11:13" hidden="1" x14ac:dyDescent="0.25">
      <c r="K416" s="7">
        <f t="shared" si="19"/>
        <v>0</v>
      </c>
      <c r="L416" s="5">
        <f t="shared" si="21"/>
        <v>0</v>
      </c>
      <c r="M416">
        <f t="shared" si="20"/>
        <v>0</v>
      </c>
    </row>
    <row r="417" spans="11:13" hidden="1" x14ac:dyDescent="0.25">
      <c r="K417" s="7">
        <f t="shared" si="19"/>
        <v>0</v>
      </c>
      <c r="L417" s="5">
        <f t="shared" si="21"/>
        <v>0</v>
      </c>
      <c r="M417">
        <f t="shared" si="20"/>
        <v>0</v>
      </c>
    </row>
    <row r="418" spans="11:13" hidden="1" x14ac:dyDescent="0.25">
      <c r="K418" s="7">
        <f t="shared" si="19"/>
        <v>0</v>
      </c>
      <c r="L418" s="5">
        <f t="shared" si="21"/>
        <v>0</v>
      </c>
      <c r="M418">
        <f t="shared" si="20"/>
        <v>0</v>
      </c>
    </row>
    <row r="419" spans="11:13" hidden="1" x14ac:dyDescent="0.25">
      <c r="K419" s="7">
        <f t="shared" si="19"/>
        <v>0</v>
      </c>
      <c r="L419" s="5">
        <f t="shared" si="21"/>
        <v>0</v>
      </c>
      <c r="M419">
        <f t="shared" si="20"/>
        <v>0</v>
      </c>
    </row>
    <row r="420" spans="11:13" hidden="1" x14ac:dyDescent="0.25">
      <c r="K420" s="7">
        <f t="shared" si="19"/>
        <v>0</v>
      </c>
      <c r="L420" s="5">
        <f t="shared" si="21"/>
        <v>0</v>
      </c>
      <c r="M420">
        <f t="shared" si="20"/>
        <v>0</v>
      </c>
    </row>
    <row r="421" spans="11:13" hidden="1" x14ac:dyDescent="0.25">
      <c r="K421" s="7">
        <f t="shared" si="19"/>
        <v>0</v>
      </c>
      <c r="L421" s="5">
        <f t="shared" si="21"/>
        <v>0</v>
      </c>
      <c r="M421">
        <f t="shared" si="20"/>
        <v>0</v>
      </c>
    </row>
    <row r="422" spans="11:13" hidden="1" x14ac:dyDescent="0.25">
      <c r="K422" s="7">
        <f t="shared" si="19"/>
        <v>0</v>
      </c>
      <c r="L422" s="5">
        <f t="shared" si="21"/>
        <v>0</v>
      </c>
      <c r="M422">
        <f t="shared" si="20"/>
        <v>0</v>
      </c>
    </row>
    <row r="423" spans="11:13" hidden="1" x14ac:dyDescent="0.25">
      <c r="K423" s="7">
        <f t="shared" si="19"/>
        <v>0</v>
      </c>
      <c r="L423" s="5">
        <f t="shared" si="21"/>
        <v>0</v>
      </c>
      <c r="M423">
        <f t="shared" si="20"/>
        <v>0</v>
      </c>
    </row>
    <row r="424" spans="11:13" hidden="1" x14ac:dyDescent="0.25">
      <c r="K424" s="7">
        <f t="shared" si="19"/>
        <v>0</v>
      </c>
      <c r="L424" s="5">
        <f t="shared" si="21"/>
        <v>0</v>
      </c>
      <c r="M424">
        <f t="shared" si="20"/>
        <v>0</v>
      </c>
    </row>
    <row r="425" spans="11:13" hidden="1" x14ac:dyDescent="0.25">
      <c r="K425" s="7">
        <f t="shared" si="19"/>
        <v>0</v>
      </c>
      <c r="L425" s="5">
        <f t="shared" si="21"/>
        <v>0</v>
      </c>
      <c r="M425">
        <f t="shared" si="20"/>
        <v>0</v>
      </c>
    </row>
    <row r="426" spans="11:13" hidden="1" x14ac:dyDescent="0.25">
      <c r="K426" s="7">
        <f t="shared" si="19"/>
        <v>0</v>
      </c>
      <c r="L426" s="5">
        <f t="shared" si="21"/>
        <v>0</v>
      </c>
      <c r="M426">
        <f t="shared" si="20"/>
        <v>0</v>
      </c>
    </row>
    <row r="427" spans="11:13" hidden="1" x14ac:dyDescent="0.25">
      <c r="K427" s="7">
        <f t="shared" si="19"/>
        <v>0</v>
      </c>
      <c r="L427" s="5">
        <f t="shared" si="21"/>
        <v>0</v>
      </c>
      <c r="M427">
        <f t="shared" si="20"/>
        <v>0</v>
      </c>
    </row>
    <row r="428" spans="11:13" hidden="1" x14ac:dyDescent="0.25">
      <c r="K428" s="7">
        <f t="shared" si="19"/>
        <v>0</v>
      </c>
      <c r="L428" s="5">
        <f t="shared" si="21"/>
        <v>0</v>
      </c>
      <c r="M428">
        <f t="shared" si="20"/>
        <v>0</v>
      </c>
    </row>
    <row r="429" spans="11:13" hidden="1" x14ac:dyDescent="0.25">
      <c r="K429" s="7">
        <f t="shared" si="19"/>
        <v>0</v>
      </c>
      <c r="L429" s="5">
        <f t="shared" si="21"/>
        <v>0</v>
      </c>
      <c r="M429">
        <f t="shared" si="20"/>
        <v>0</v>
      </c>
    </row>
    <row r="430" spans="11:13" hidden="1" x14ac:dyDescent="0.25">
      <c r="K430" s="7">
        <f t="shared" si="19"/>
        <v>0</v>
      </c>
      <c r="L430" s="5">
        <f t="shared" si="21"/>
        <v>0</v>
      </c>
      <c r="M430">
        <f t="shared" si="20"/>
        <v>0</v>
      </c>
    </row>
    <row r="431" spans="11:13" hidden="1" x14ac:dyDescent="0.25">
      <c r="K431" s="7">
        <f t="shared" si="19"/>
        <v>0</v>
      </c>
      <c r="L431" s="5">
        <f t="shared" si="21"/>
        <v>0</v>
      </c>
      <c r="M431">
        <f t="shared" si="20"/>
        <v>0</v>
      </c>
    </row>
    <row r="432" spans="11:13" hidden="1" x14ac:dyDescent="0.25">
      <c r="K432" s="7">
        <f t="shared" si="19"/>
        <v>0</v>
      </c>
      <c r="L432" s="5">
        <f t="shared" si="21"/>
        <v>0</v>
      </c>
      <c r="M432">
        <f t="shared" si="20"/>
        <v>0</v>
      </c>
    </row>
    <row r="433" spans="11:13" hidden="1" x14ac:dyDescent="0.25">
      <c r="K433" s="7">
        <f t="shared" si="19"/>
        <v>0</v>
      </c>
      <c r="L433" s="5">
        <f t="shared" si="21"/>
        <v>0</v>
      </c>
      <c r="M433">
        <f t="shared" si="20"/>
        <v>0</v>
      </c>
    </row>
    <row r="434" spans="11:13" hidden="1" x14ac:dyDescent="0.25">
      <c r="K434" s="7">
        <f t="shared" si="19"/>
        <v>0</v>
      </c>
      <c r="L434" s="5">
        <f t="shared" si="21"/>
        <v>0</v>
      </c>
      <c r="M434">
        <f t="shared" si="20"/>
        <v>0</v>
      </c>
    </row>
    <row r="435" spans="11:13" hidden="1" x14ac:dyDescent="0.25">
      <c r="K435" s="7">
        <f t="shared" si="19"/>
        <v>0</v>
      </c>
      <c r="L435" s="5">
        <f t="shared" si="21"/>
        <v>0</v>
      </c>
      <c r="M435">
        <f t="shared" si="20"/>
        <v>0</v>
      </c>
    </row>
    <row r="436" spans="11:13" hidden="1" x14ac:dyDescent="0.25">
      <c r="K436" s="7">
        <f t="shared" si="19"/>
        <v>0</v>
      </c>
      <c r="L436" s="5">
        <f t="shared" si="21"/>
        <v>0</v>
      </c>
      <c r="M436">
        <f t="shared" si="20"/>
        <v>0</v>
      </c>
    </row>
    <row r="437" spans="11:13" hidden="1" x14ac:dyDescent="0.25">
      <c r="K437" s="7">
        <f t="shared" si="19"/>
        <v>0</v>
      </c>
      <c r="L437" s="5">
        <f t="shared" si="21"/>
        <v>0</v>
      </c>
      <c r="M437">
        <f t="shared" si="20"/>
        <v>0</v>
      </c>
    </row>
    <row r="438" spans="11:13" hidden="1" x14ac:dyDescent="0.25">
      <c r="K438" s="7">
        <f t="shared" si="19"/>
        <v>0</v>
      </c>
      <c r="L438" s="5">
        <f t="shared" si="21"/>
        <v>0</v>
      </c>
      <c r="M438">
        <f t="shared" si="20"/>
        <v>0</v>
      </c>
    </row>
    <row r="439" spans="11:13" hidden="1" x14ac:dyDescent="0.25">
      <c r="K439" s="7">
        <f t="shared" si="19"/>
        <v>0</v>
      </c>
      <c r="L439" s="5">
        <f t="shared" si="21"/>
        <v>0</v>
      </c>
      <c r="M439">
        <f t="shared" si="20"/>
        <v>0</v>
      </c>
    </row>
    <row r="440" spans="11:13" hidden="1" x14ac:dyDescent="0.25">
      <c r="K440" s="7">
        <f t="shared" si="19"/>
        <v>0</v>
      </c>
      <c r="L440" s="5">
        <f t="shared" si="21"/>
        <v>0</v>
      </c>
      <c r="M440">
        <f t="shared" si="20"/>
        <v>0</v>
      </c>
    </row>
    <row r="441" spans="11:13" hidden="1" x14ac:dyDescent="0.25">
      <c r="K441" s="7">
        <f t="shared" si="19"/>
        <v>0</v>
      </c>
      <c r="L441" s="5">
        <f t="shared" si="21"/>
        <v>0</v>
      </c>
      <c r="M441">
        <f t="shared" si="20"/>
        <v>0</v>
      </c>
    </row>
    <row r="442" spans="11:13" hidden="1" x14ac:dyDescent="0.25">
      <c r="K442" s="7">
        <f t="shared" si="19"/>
        <v>0</v>
      </c>
      <c r="L442" s="5">
        <f t="shared" si="21"/>
        <v>0</v>
      </c>
      <c r="M442">
        <f t="shared" si="20"/>
        <v>0</v>
      </c>
    </row>
    <row r="443" spans="11:13" hidden="1" x14ac:dyDescent="0.25">
      <c r="K443" s="7">
        <f t="shared" si="19"/>
        <v>0</v>
      </c>
      <c r="L443" s="5">
        <f t="shared" si="21"/>
        <v>0</v>
      </c>
      <c r="M443">
        <f t="shared" si="20"/>
        <v>0</v>
      </c>
    </row>
    <row r="444" spans="11:13" hidden="1" x14ac:dyDescent="0.25">
      <c r="K444" s="7">
        <f t="shared" si="19"/>
        <v>0</v>
      </c>
      <c r="L444" s="5">
        <f t="shared" si="21"/>
        <v>0</v>
      </c>
      <c r="M444">
        <f t="shared" si="20"/>
        <v>0</v>
      </c>
    </row>
    <row r="445" spans="11:13" hidden="1" x14ac:dyDescent="0.25">
      <c r="K445" s="7">
        <f t="shared" si="19"/>
        <v>0</v>
      </c>
      <c r="L445" s="5">
        <f t="shared" si="21"/>
        <v>0</v>
      </c>
      <c r="M445">
        <f t="shared" si="20"/>
        <v>0</v>
      </c>
    </row>
    <row r="446" spans="11:13" hidden="1" x14ac:dyDescent="0.25">
      <c r="K446" s="7">
        <f t="shared" si="19"/>
        <v>0</v>
      </c>
      <c r="L446" s="5">
        <f t="shared" si="21"/>
        <v>0</v>
      </c>
      <c r="M446">
        <f t="shared" si="20"/>
        <v>0</v>
      </c>
    </row>
    <row r="447" spans="11:13" hidden="1" x14ac:dyDescent="0.25">
      <c r="K447" s="7">
        <f t="shared" si="19"/>
        <v>0</v>
      </c>
      <c r="L447" s="5">
        <f t="shared" si="21"/>
        <v>0</v>
      </c>
      <c r="M447">
        <f t="shared" si="20"/>
        <v>0</v>
      </c>
    </row>
    <row r="448" spans="11:13" hidden="1" x14ac:dyDescent="0.25">
      <c r="K448" s="7">
        <f t="shared" si="19"/>
        <v>0</v>
      </c>
      <c r="L448" s="5">
        <f t="shared" si="21"/>
        <v>0</v>
      </c>
      <c r="M448">
        <f t="shared" si="20"/>
        <v>0</v>
      </c>
    </row>
    <row r="449" spans="11:13" hidden="1" x14ac:dyDescent="0.25">
      <c r="K449" s="7">
        <f t="shared" si="19"/>
        <v>0</v>
      </c>
      <c r="L449" s="5">
        <f t="shared" si="21"/>
        <v>0</v>
      </c>
      <c r="M449">
        <f t="shared" si="20"/>
        <v>0</v>
      </c>
    </row>
    <row r="450" spans="11:13" hidden="1" x14ac:dyDescent="0.25">
      <c r="K450" s="7">
        <f t="shared" si="19"/>
        <v>0</v>
      </c>
      <c r="L450" s="5">
        <f t="shared" si="21"/>
        <v>0</v>
      </c>
      <c r="M450">
        <f t="shared" si="20"/>
        <v>0</v>
      </c>
    </row>
    <row r="451" spans="11:13" hidden="1" x14ac:dyDescent="0.25">
      <c r="K451" s="7">
        <f t="shared" si="19"/>
        <v>0</v>
      </c>
      <c r="L451" s="5">
        <f t="shared" si="21"/>
        <v>0</v>
      </c>
      <c r="M451">
        <f t="shared" si="20"/>
        <v>0</v>
      </c>
    </row>
    <row r="452" spans="11:13" hidden="1" x14ac:dyDescent="0.25">
      <c r="K452" s="7">
        <f t="shared" si="19"/>
        <v>0</v>
      </c>
      <c r="L452" s="5">
        <f t="shared" si="21"/>
        <v>0</v>
      </c>
      <c r="M452">
        <f t="shared" si="20"/>
        <v>0</v>
      </c>
    </row>
    <row r="453" spans="11:13" hidden="1" x14ac:dyDescent="0.25">
      <c r="K453" s="7">
        <f t="shared" ref="K453:K498" si="22">SUM(F453:J453)</f>
        <v>0</v>
      </c>
      <c r="L453" s="5">
        <f t="shared" si="21"/>
        <v>0</v>
      </c>
      <c r="M453">
        <f t="shared" ref="M453:M498" si="23">SUM(K453*L453)</f>
        <v>0</v>
      </c>
    </row>
    <row r="454" spans="11:13" hidden="1" x14ac:dyDescent="0.25">
      <c r="K454" s="7">
        <f t="shared" si="22"/>
        <v>0</v>
      </c>
      <c r="L454" s="5">
        <f t="shared" ref="L454:L498" si="24">IF(D454="X",0,IF(E454="",0,IF(E454="x",0,VLOOKUP(E454,$F$539:$G$553,2))))</f>
        <v>0</v>
      </c>
      <c r="M454">
        <f t="shared" si="23"/>
        <v>0</v>
      </c>
    </row>
    <row r="455" spans="11:13" hidden="1" x14ac:dyDescent="0.25">
      <c r="K455" s="7">
        <f t="shared" si="22"/>
        <v>0</v>
      </c>
      <c r="L455" s="5">
        <f t="shared" si="24"/>
        <v>0</v>
      </c>
      <c r="M455">
        <f t="shared" si="23"/>
        <v>0</v>
      </c>
    </row>
    <row r="456" spans="11:13" hidden="1" x14ac:dyDescent="0.25">
      <c r="K456" s="7">
        <f t="shared" si="22"/>
        <v>0</v>
      </c>
      <c r="L456" s="5">
        <f t="shared" si="24"/>
        <v>0</v>
      </c>
      <c r="M456">
        <f t="shared" si="23"/>
        <v>0</v>
      </c>
    </row>
    <row r="457" spans="11:13" hidden="1" x14ac:dyDescent="0.25">
      <c r="K457" s="7">
        <f t="shared" si="22"/>
        <v>0</v>
      </c>
      <c r="L457" s="5">
        <f t="shared" si="24"/>
        <v>0</v>
      </c>
      <c r="M457">
        <f t="shared" si="23"/>
        <v>0</v>
      </c>
    </row>
    <row r="458" spans="11:13" hidden="1" x14ac:dyDescent="0.25">
      <c r="K458" s="7">
        <f t="shared" si="22"/>
        <v>0</v>
      </c>
      <c r="L458" s="5">
        <f t="shared" si="24"/>
        <v>0</v>
      </c>
      <c r="M458">
        <f t="shared" si="23"/>
        <v>0</v>
      </c>
    </row>
    <row r="459" spans="11:13" hidden="1" x14ac:dyDescent="0.25">
      <c r="K459" s="7">
        <f t="shared" si="22"/>
        <v>0</v>
      </c>
      <c r="L459" s="5">
        <f t="shared" si="24"/>
        <v>0</v>
      </c>
      <c r="M459">
        <f t="shared" si="23"/>
        <v>0</v>
      </c>
    </row>
    <row r="460" spans="11:13" hidden="1" x14ac:dyDescent="0.25">
      <c r="K460" s="7">
        <f t="shared" si="22"/>
        <v>0</v>
      </c>
      <c r="L460" s="5">
        <f t="shared" si="24"/>
        <v>0</v>
      </c>
      <c r="M460">
        <f t="shared" si="23"/>
        <v>0</v>
      </c>
    </row>
    <row r="461" spans="11:13" hidden="1" x14ac:dyDescent="0.25">
      <c r="K461" s="7">
        <f t="shared" si="22"/>
        <v>0</v>
      </c>
      <c r="L461" s="5">
        <f t="shared" si="24"/>
        <v>0</v>
      </c>
      <c r="M461">
        <f t="shared" si="23"/>
        <v>0</v>
      </c>
    </row>
    <row r="462" spans="11:13" hidden="1" x14ac:dyDescent="0.25">
      <c r="K462" s="7">
        <f t="shared" si="22"/>
        <v>0</v>
      </c>
      <c r="L462" s="5">
        <f t="shared" si="24"/>
        <v>0</v>
      </c>
      <c r="M462">
        <f t="shared" si="23"/>
        <v>0</v>
      </c>
    </row>
    <row r="463" spans="11:13" hidden="1" x14ac:dyDescent="0.25">
      <c r="K463" s="7">
        <f t="shared" si="22"/>
        <v>0</v>
      </c>
      <c r="L463" s="5">
        <f t="shared" si="24"/>
        <v>0</v>
      </c>
      <c r="M463">
        <f t="shared" si="23"/>
        <v>0</v>
      </c>
    </row>
    <row r="464" spans="11:13" hidden="1" x14ac:dyDescent="0.25">
      <c r="K464" s="7">
        <f t="shared" si="22"/>
        <v>0</v>
      </c>
      <c r="L464" s="5">
        <f t="shared" si="24"/>
        <v>0</v>
      </c>
      <c r="M464">
        <f t="shared" si="23"/>
        <v>0</v>
      </c>
    </row>
    <row r="465" spans="11:13" hidden="1" x14ac:dyDescent="0.25">
      <c r="K465" s="7">
        <f t="shared" si="22"/>
        <v>0</v>
      </c>
      <c r="L465" s="5">
        <f t="shared" si="24"/>
        <v>0</v>
      </c>
      <c r="M465">
        <f t="shared" si="23"/>
        <v>0</v>
      </c>
    </row>
    <row r="466" spans="11:13" hidden="1" x14ac:dyDescent="0.25">
      <c r="K466" s="7">
        <f t="shared" si="22"/>
        <v>0</v>
      </c>
      <c r="L466" s="5">
        <f t="shared" si="24"/>
        <v>0</v>
      </c>
      <c r="M466">
        <f t="shared" si="23"/>
        <v>0</v>
      </c>
    </row>
    <row r="467" spans="11:13" hidden="1" x14ac:dyDescent="0.25">
      <c r="K467" s="7">
        <f t="shared" si="22"/>
        <v>0</v>
      </c>
      <c r="L467" s="5">
        <f t="shared" si="24"/>
        <v>0</v>
      </c>
      <c r="M467">
        <f t="shared" si="23"/>
        <v>0</v>
      </c>
    </row>
    <row r="468" spans="11:13" hidden="1" x14ac:dyDescent="0.25">
      <c r="K468" s="7">
        <f t="shared" si="22"/>
        <v>0</v>
      </c>
      <c r="L468" s="5">
        <f t="shared" si="24"/>
        <v>0</v>
      </c>
      <c r="M468">
        <f t="shared" si="23"/>
        <v>0</v>
      </c>
    </row>
    <row r="469" spans="11:13" hidden="1" x14ac:dyDescent="0.25">
      <c r="K469" s="7">
        <f t="shared" si="22"/>
        <v>0</v>
      </c>
      <c r="L469" s="5">
        <f t="shared" si="24"/>
        <v>0</v>
      </c>
      <c r="M469">
        <f t="shared" si="23"/>
        <v>0</v>
      </c>
    </row>
    <row r="470" spans="11:13" hidden="1" x14ac:dyDescent="0.25">
      <c r="K470" s="7">
        <f t="shared" si="22"/>
        <v>0</v>
      </c>
      <c r="L470" s="5">
        <f t="shared" si="24"/>
        <v>0</v>
      </c>
      <c r="M470">
        <f t="shared" si="23"/>
        <v>0</v>
      </c>
    </row>
    <row r="471" spans="11:13" hidden="1" x14ac:dyDescent="0.25">
      <c r="K471" s="7">
        <f t="shared" si="22"/>
        <v>0</v>
      </c>
      <c r="L471" s="5">
        <f t="shared" si="24"/>
        <v>0</v>
      </c>
      <c r="M471">
        <f t="shared" si="23"/>
        <v>0</v>
      </c>
    </row>
    <row r="472" spans="11:13" hidden="1" x14ac:dyDescent="0.25">
      <c r="K472" s="7">
        <f t="shared" si="22"/>
        <v>0</v>
      </c>
      <c r="L472" s="5">
        <f t="shared" si="24"/>
        <v>0</v>
      </c>
      <c r="M472">
        <f t="shared" si="23"/>
        <v>0</v>
      </c>
    </row>
    <row r="473" spans="11:13" hidden="1" x14ac:dyDescent="0.25">
      <c r="K473" s="7">
        <f t="shared" si="22"/>
        <v>0</v>
      </c>
      <c r="L473" s="5">
        <f t="shared" si="24"/>
        <v>0</v>
      </c>
      <c r="M473">
        <f t="shared" si="23"/>
        <v>0</v>
      </c>
    </row>
    <row r="474" spans="11:13" hidden="1" x14ac:dyDescent="0.25">
      <c r="K474" s="7">
        <f t="shared" si="22"/>
        <v>0</v>
      </c>
      <c r="L474" s="5">
        <f t="shared" si="24"/>
        <v>0</v>
      </c>
      <c r="M474">
        <f t="shared" si="23"/>
        <v>0</v>
      </c>
    </row>
    <row r="475" spans="11:13" hidden="1" x14ac:dyDescent="0.25">
      <c r="K475" s="7">
        <f t="shared" si="22"/>
        <v>0</v>
      </c>
      <c r="L475" s="5">
        <f t="shared" si="24"/>
        <v>0</v>
      </c>
      <c r="M475">
        <f t="shared" si="23"/>
        <v>0</v>
      </c>
    </row>
    <row r="476" spans="11:13" hidden="1" x14ac:dyDescent="0.25">
      <c r="K476" s="7">
        <f t="shared" si="22"/>
        <v>0</v>
      </c>
      <c r="L476" s="5">
        <f t="shared" si="24"/>
        <v>0</v>
      </c>
      <c r="M476">
        <f t="shared" si="23"/>
        <v>0</v>
      </c>
    </row>
    <row r="477" spans="11:13" hidden="1" x14ac:dyDescent="0.25">
      <c r="K477" s="7">
        <f t="shared" si="22"/>
        <v>0</v>
      </c>
      <c r="L477" s="5">
        <f t="shared" si="24"/>
        <v>0</v>
      </c>
      <c r="M477">
        <f t="shared" si="23"/>
        <v>0</v>
      </c>
    </row>
    <row r="478" spans="11:13" hidden="1" x14ac:dyDescent="0.25">
      <c r="K478" s="7">
        <f t="shared" si="22"/>
        <v>0</v>
      </c>
      <c r="L478" s="5">
        <f t="shared" si="24"/>
        <v>0</v>
      </c>
      <c r="M478">
        <f t="shared" si="23"/>
        <v>0</v>
      </c>
    </row>
    <row r="479" spans="11:13" hidden="1" x14ac:dyDescent="0.25">
      <c r="K479" s="7">
        <f t="shared" si="22"/>
        <v>0</v>
      </c>
      <c r="L479" s="5">
        <f t="shared" si="24"/>
        <v>0</v>
      </c>
      <c r="M479">
        <f t="shared" si="23"/>
        <v>0</v>
      </c>
    </row>
    <row r="480" spans="11:13" hidden="1" x14ac:dyDescent="0.25">
      <c r="K480" s="7">
        <f t="shared" si="22"/>
        <v>0</v>
      </c>
      <c r="L480" s="5">
        <f t="shared" si="24"/>
        <v>0</v>
      </c>
      <c r="M480">
        <f t="shared" si="23"/>
        <v>0</v>
      </c>
    </row>
    <row r="481" spans="11:13" hidden="1" x14ac:dyDescent="0.25">
      <c r="K481" s="7">
        <f t="shared" si="22"/>
        <v>0</v>
      </c>
      <c r="L481" s="5">
        <f t="shared" si="24"/>
        <v>0</v>
      </c>
      <c r="M481">
        <f t="shared" si="23"/>
        <v>0</v>
      </c>
    </row>
    <row r="482" spans="11:13" hidden="1" x14ac:dyDescent="0.25">
      <c r="K482" s="7">
        <f t="shared" si="22"/>
        <v>0</v>
      </c>
      <c r="L482" s="5">
        <f t="shared" si="24"/>
        <v>0</v>
      </c>
      <c r="M482">
        <f t="shared" si="23"/>
        <v>0</v>
      </c>
    </row>
    <row r="483" spans="11:13" hidden="1" x14ac:dyDescent="0.25">
      <c r="K483" s="7">
        <f t="shared" si="22"/>
        <v>0</v>
      </c>
      <c r="L483" s="5">
        <f t="shared" si="24"/>
        <v>0</v>
      </c>
      <c r="M483">
        <f t="shared" si="23"/>
        <v>0</v>
      </c>
    </row>
    <row r="484" spans="11:13" hidden="1" x14ac:dyDescent="0.25">
      <c r="K484" s="7">
        <f t="shared" si="22"/>
        <v>0</v>
      </c>
      <c r="L484" s="5">
        <f t="shared" si="24"/>
        <v>0</v>
      </c>
      <c r="M484">
        <f t="shared" si="23"/>
        <v>0</v>
      </c>
    </row>
    <row r="485" spans="11:13" hidden="1" x14ac:dyDescent="0.25">
      <c r="K485" s="7">
        <f t="shared" si="22"/>
        <v>0</v>
      </c>
      <c r="L485" s="5">
        <f t="shared" si="24"/>
        <v>0</v>
      </c>
      <c r="M485">
        <f t="shared" si="23"/>
        <v>0</v>
      </c>
    </row>
    <row r="486" spans="11:13" hidden="1" x14ac:dyDescent="0.25">
      <c r="K486" s="7">
        <f t="shared" si="22"/>
        <v>0</v>
      </c>
      <c r="L486" s="5">
        <f t="shared" si="24"/>
        <v>0</v>
      </c>
      <c r="M486">
        <f t="shared" si="23"/>
        <v>0</v>
      </c>
    </row>
    <row r="487" spans="11:13" hidden="1" x14ac:dyDescent="0.25">
      <c r="K487" s="7">
        <f t="shared" si="22"/>
        <v>0</v>
      </c>
      <c r="L487" s="5">
        <f t="shared" si="24"/>
        <v>0</v>
      </c>
      <c r="M487">
        <f t="shared" si="23"/>
        <v>0</v>
      </c>
    </row>
    <row r="488" spans="11:13" hidden="1" x14ac:dyDescent="0.25">
      <c r="K488" s="7">
        <f t="shared" si="22"/>
        <v>0</v>
      </c>
      <c r="L488" s="5">
        <f t="shared" si="24"/>
        <v>0</v>
      </c>
      <c r="M488">
        <f t="shared" si="23"/>
        <v>0</v>
      </c>
    </row>
    <row r="489" spans="11:13" hidden="1" x14ac:dyDescent="0.25">
      <c r="K489" s="7">
        <f t="shared" si="22"/>
        <v>0</v>
      </c>
      <c r="L489" s="5">
        <f t="shared" si="24"/>
        <v>0</v>
      </c>
      <c r="M489">
        <f t="shared" si="23"/>
        <v>0</v>
      </c>
    </row>
    <row r="490" spans="11:13" hidden="1" x14ac:dyDescent="0.25">
      <c r="K490" s="7">
        <f t="shared" si="22"/>
        <v>0</v>
      </c>
      <c r="L490" s="5">
        <f t="shared" si="24"/>
        <v>0</v>
      </c>
      <c r="M490">
        <f t="shared" si="23"/>
        <v>0</v>
      </c>
    </row>
    <row r="491" spans="11:13" hidden="1" x14ac:dyDescent="0.25">
      <c r="K491" s="7">
        <f t="shared" ref="K491:K494" si="25">SUM(F491:J491)</f>
        <v>0</v>
      </c>
      <c r="L491" s="5">
        <f t="shared" si="24"/>
        <v>0</v>
      </c>
      <c r="M491">
        <f t="shared" ref="M491:M494" si="26">SUM(K491*L491)</f>
        <v>0</v>
      </c>
    </row>
    <row r="492" spans="11:13" hidden="1" x14ac:dyDescent="0.25">
      <c r="K492" s="7">
        <f t="shared" si="25"/>
        <v>0</v>
      </c>
      <c r="L492" s="5">
        <f t="shared" si="24"/>
        <v>0</v>
      </c>
      <c r="M492">
        <f t="shared" si="26"/>
        <v>0</v>
      </c>
    </row>
    <row r="493" spans="11:13" hidden="1" x14ac:dyDescent="0.25">
      <c r="K493" s="7">
        <f t="shared" si="25"/>
        <v>0</v>
      </c>
      <c r="L493" s="5">
        <f t="shared" si="24"/>
        <v>0</v>
      </c>
      <c r="M493">
        <f t="shared" si="26"/>
        <v>0</v>
      </c>
    </row>
    <row r="494" spans="11:13" hidden="1" x14ac:dyDescent="0.25">
      <c r="K494" s="7">
        <f t="shared" si="25"/>
        <v>0</v>
      </c>
      <c r="L494" s="5">
        <f t="shared" si="24"/>
        <v>0</v>
      </c>
      <c r="M494">
        <f t="shared" si="26"/>
        <v>0</v>
      </c>
    </row>
    <row r="495" spans="11:13" hidden="1" x14ac:dyDescent="0.25">
      <c r="K495" s="7">
        <f t="shared" si="22"/>
        <v>0</v>
      </c>
      <c r="L495" s="5">
        <f t="shared" si="24"/>
        <v>0</v>
      </c>
      <c r="M495">
        <f t="shared" si="23"/>
        <v>0</v>
      </c>
    </row>
    <row r="496" spans="11:13" hidden="1" x14ac:dyDescent="0.25">
      <c r="K496" s="7">
        <f t="shared" si="22"/>
        <v>0</v>
      </c>
      <c r="L496" s="5">
        <f t="shared" si="24"/>
        <v>0</v>
      </c>
      <c r="M496">
        <f t="shared" si="23"/>
        <v>0</v>
      </c>
    </row>
    <row r="497" spans="3:13" hidden="1" x14ac:dyDescent="0.25">
      <c r="K497" s="7">
        <f t="shared" si="22"/>
        <v>0</v>
      </c>
      <c r="L497" s="5">
        <f t="shared" si="24"/>
        <v>0</v>
      </c>
      <c r="M497">
        <f t="shared" si="23"/>
        <v>0</v>
      </c>
    </row>
    <row r="498" spans="3:13" hidden="1" x14ac:dyDescent="0.25">
      <c r="K498" s="7">
        <f t="shared" si="22"/>
        <v>0</v>
      </c>
      <c r="L498" s="5">
        <f t="shared" si="24"/>
        <v>0</v>
      </c>
      <c r="M498">
        <f t="shared" si="23"/>
        <v>0</v>
      </c>
    </row>
    <row r="499" spans="3:13" x14ac:dyDescent="0.25">
      <c r="C499" s="100" t="s">
        <v>35</v>
      </c>
      <c r="D499" s="100"/>
      <c r="E499" s="100"/>
      <c r="F499" s="100"/>
      <c r="G499" s="100"/>
      <c r="H499" s="100"/>
      <c r="I499" s="100"/>
      <c r="J499" s="100"/>
      <c r="K499" s="100"/>
      <c r="L499" s="100"/>
      <c r="M499" s="100" t="s">
        <v>34</v>
      </c>
    </row>
    <row r="500" spans="3:13" hidden="1" x14ac:dyDescent="0.25">
      <c r="C500" s="100" t="str">
        <f>IF(F539="","Vrije categorie",F539)</f>
        <v>A</v>
      </c>
      <c r="D500" s="100"/>
      <c r="E500" s="100"/>
      <c r="F500" s="100">
        <f t="shared" ref="F500:F514" si="27">SUMPRODUCT(--($E$4:$E$498=C500),--($D$4:$D$498=""),$F$4:$F$498)</f>
        <v>0</v>
      </c>
      <c r="G500" s="100">
        <f t="shared" ref="G500:G514" si="28">SUMPRODUCT(--($E$4:$E$498=C500),--($D$4:$D$498=""),$G$4:$G$498)</f>
        <v>0</v>
      </c>
      <c r="H500" s="100">
        <f t="shared" ref="H500:H514" si="29">SUMPRODUCT(--($E$4:$E$498=C500),--($D$4:$D$498=""),$H$4:$H$498)</f>
        <v>0</v>
      </c>
      <c r="I500" s="100">
        <f t="shared" ref="I500:I514" si="30">SUMPRODUCT(--($E$4:$E$498=C500),--($D$4:$D$498=""),$I$4:$I$498)</f>
        <v>0</v>
      </c>
      <c r="J500" s="100">
        <f t="shared" ref="J500:J514" si="31">SUMPRODUCT(--($E$4:$E$498=C500),--($D$4:$D$498=""),$J$4:$J$498)</f>
        <v>0</v>
      </c>
      <c r="K500" s="100">
        <f t="shared" ref="K500:K514" si="32">SUM(F500:J500)</f>
        <v>0</v>
      </c>
      <c r="L500" s="100"/>
      <c r="M500" s="100">
        <f t="shared" ref="M500:M507" si="33">SUMPRODUCT(--($E$4:$E$498=C500),--($D$4:$D$498=""),$M$4:$M$498)</f>
        <v>0</v>
      </c>
    </row>
    <row r="501" spans="3:13" x14ac:dyDescent="0.25">
      <c r="C501" s="100" t="str">
        <f t="shared" ref="C501:C514" si="34">IF(F540="","Vrije categorie",F540)</f>
        <v>B</v>
      </c>
      <c r="D501" s="100"/>
      <c r="E501" s="100"/>
      <c r="F501" s="100">
        <f t="shared" si="27"/>
        <v>41.38</v>
      </c>
      <c r="G501" s="100">
        <f t="shared" si="28"/>
        <v>0</v>
      </c>
      <c r="H501" s="100">
        <f t="shared" si="29"/>
        <v>0</v>
      </c>
      <c r="I501" s="100">
        <f t="shared" si="30"/>
        <v>0</v>
      </c>
      <c r="J501" s="100">
        <f t="shared" si="31"/>
        <v>160</v>
      </c>
      <c r="K501" s="100">
        <f t="shared" si="32"/>
        <v>201.38</v>
      </c>
      <c r="L501" s="100"/>
      <c r="M501" s="100">
        <f t="shared" si="33"/>
        <v>10471.76</v>
      </c>
    </row>
    <row r="502" spans="3:13" x14ac:dyDescent="0.25">
      <c r="C502" s="100" t="str">
        <f t="shared" si="34"/>
        <v>C</v>
      </c>
      <c r="D502" s="100"/>
      <c r="E502" s="100"/>
      <c r="F502" s="100">
        <f t="shared" si="27"/>
        <v>0</v>
      </c>
      <c r="G502" s="100">
        <f t="shared" si="28"/>
        <v>0</v>
      </c>
      <c r="H502" s="100">
        <f t="shared" si="29"/>
        <v>0</v>
      </c>
      <c r="I502" s="100">
        <f t="shared" si="30"/>
        <v>0</v>
      </c>
      <c r="J502" s="100">
        <f t="shared" si="31"/>
        <v>0</v>
      </c>
      <c r="K502" s="100">
        <f t="shared" si="32"/>
        <v>0</v>
      </c>
      <c r="L502" s="100"/>
      <c r="M502" s="100">
        <f t="shared" si="33"/>
        <v>0</v>
      </c>
    </row>
    <row r="503" spans="3:13" x14ac:dyDescent="0.25">
      <c r="C503" s="100" t="str">
        <f t="shared" si="34"/>
        <v>D</v>
      </c>
      <c r="D503" s="100"/>
      <c r="E503" s="100"/>
      <c r="F503" s="100">
        <f t="shared" si="27"/>
        <v>0</v>
      </c>
      <c r="G503" s="100">
        <f t="shared" si="28"/>
        <v>0</v>
      </c>
      <c r="H503" s="100">
        <f t="shared" si="29"/>
        <v>0</v>
      </c>
      <c r="I503" s="100">
        <f t="shared" si="30"/>
        <v>0</v>
      </c>
      <c r="J503" s="100">
        <f t="shared" si="31"/>
        <v>0</v>
      </c>
      <c r="K503" s="100">
        <f t="shared" si="32"/>
        <v>0</v>
      </c>
      <c r="L503" s="100"/>
      <c r="M503" s="100">
        <f t="shared" si="33"/>
        <v>0</v>
      </c>
    </row>
    <row r="504" spans="3:13" x14ac:dyDescent="0.25">
      <c r="C504" s="100" t="str">
        <f t="shared" si="34"/>
        <v>E</v>
      </c>
      <c r="D504" s="100"/>
      <c r="E504" s="100"/>
      <c r="F504" s="100">
        <f t="shared" si="27"/>
        <v>34.299999999999997</v>
      </c>
      <c r="G504" s="100">
        <f t="shared" si="28"/>
        <v>0</v>
      </c>
      <c r="H504" s="100">
        <f t="shared" si="29"/>
        <v>0</v>
      </c>
      <c r="I504" s="100">
        <f t="shared" si="30"/>
        <v>0</v>
      </c>
      <c r="J504" s="100">
        <f t="shared" si="31"/>
        <v>28.5</v>
      </c>
      <c r="K504" s="100">
        <f t="shared" si="32"/>
        <v>62.8</v>
      </c>
      <c r="L504" s="100"/>
      <c r="M504" s="100">
        <f t="shared" si="33"/>
        <v>3265.6</v>
      </c>
    </row>
    <row r="505" spans="3:13" x14ac:dyDescent="0.25">
      <c r="C505" s="100" t="str">
        <f t="shared" si="34"/>
        <v>F</v>
      </c>
      <c r="D505" s="100"/>
      <c r="E505" s="100"/>
      <c r="F505" s="100">
        <f t="shared" si="27"/>
        <v>0</v>
      </c>
      <c r="G505" s="100">
        <f t="shared" si="28"/>
        <v>0</v>
      </c>
      <c r="H505" s="100">
        <f t="shared" si="29"/>
        <v>0</v>
      </c>
      <c r="I505" s="100">
        <f t="shared" si="30"/>
        <v>0</v>
      </c>
      <c r="J505" s="100">
        <f t="shared" si="31"/>
        <v>0</v>
      </c>
      <c r="K505" s="100">
        <f t="shared" si="32"/>
        <v>0</v>
      </c>
      <c r="L505" s="100"/>
      <c r="M505" s="100">
        <f t="shared" si="33"/>
        <v>0</v>
      </c>
    </row>
    <row r="506" spans="3:13" x14ac:dyDescent="0.25">
      <c r="C506" s="100" t="str">
        <f t="shared" si="34"/>
        <v>G</v>
      </c>
      <c r="D506" s="100"/>
      <c r="E506" s="100"/>
      <c r="F506" s="100">
        <f t="shared" si="27"/>
        <v>0</v>
      </c>
      <c r="G506" s="100">
        <f t="shared" si="28"/>
        <v>0</v>
      </c>
      <c r="H506" s="100">
        <f t="shared" si="29"/>
        <v>0</v>
      </c>
      <c r="I506" s="100">
        <f t="shared" si="30"/>
        <v>0</v>
      </c>
      <c r="J506" s="100">
        <f t="shared" si="31"/>
        <v>0</v>
      </c>
      <c r="K506" s="100">
        <f t="shared" si="32"/>
        <v>0</v>
      </c>
      <c r="L506" s="100"/>
      <c r="M506" s="100">
        <f t="shared" si="33"/>
        <v>0</v>
      </c>
    </row>
    <row r="507" spans="3:13" hidden="1" x14ac:dyDescent="0.25">
      <c r="C507" s="100" t="str">
        <f t="shared" si="34"/>
        <v>H</v>
      </c>
      <c r="D507" s="100"/>
      <c r="E507" s="100"/>
      <c r="F507" s="100">
        <f t="shared" si="27"/>
        <v>0</v>
      </c>
      <c r="G507" s="100">
        <f t="shared" si="28"/>
        <v>0</v>
      </c>
      <c r="H507" s="100">
        <f t="shared" si="29"/>
        <v>0</v>
      </c>
      <c r="I507" s="100">
        <f t="shared" si="30"/>
        <v>0</v>
      </c>
      <c r="J507" s="100">
        <f t="shared" si="31"/>
        <v>0</v>
      </c>
      <c r="K507" s="100">
        <f t="shared" si="32"/>
        <v>0</v>
      </c>
      <c r="L507" s="100"/>
      <c r="M507" s="100">
        <f t="shared" si="33"/>
        <v>0</v>
      </c>
    </row>
    <row r="508" spans="3:13" hidden="1" x14ac:dyDescent="0.25">
      <c r="C508" s="100" t="str">
        <f t="shared" si="34"/>
        <v>I</v>
      </c>
      <c r="D508" s="100"/>
      <c r="E508" s="100"/>
      <c r="F508" s="100">
        <f t="shared" si="27"/>
        <v>0</v>
      </c>
      <c r="G508" s="100">
        <f t="shared" si="28"/>
        <v>0</v>
      </c>
      <c r="H508" s="100">
        <f t="shared" si="29"/>
        <v>0</v>
      </c>
      <c r="I508" s="100">
        <f t="shared" si="30"/>
        <v>0</v>
      </c>
      <c r="J508" s="100">
        <f t="shared" si="31"/>
        <v>0</v>
      </c>
      <c r="K508" s="100">
        <f t="shared" si="32"/>
        <v>0</v>
      </c>
      <c r="L508" s="100"/>
      <c r="M508" s="100">
        <f t="shared" ref="M508:M513" si="35">SUMPRODUCT(--($E$4:$E$498=C508),--($D$4:$D$498=""),$M$4:$M$498)</f>
        <v>0</v>
      </c>
    </row>
    <row r="509" spans="3:13" hidden="1" x14ac:dyDescent="0.25">
      <c r="C509" s="100" t="str">
        <f t="shared" si="34"/>
        <v>J</v>
      </c>
      <c r="D509" s="100"/>
      <c r="E509" s="100"/>
      <c r="F509" s="100">
        <f t="shared" si="27"/>
        <v>0</v>
      </c>
      <c r="G509" s="100">
        <f t="shared" si="28"/>
        <v>0</v>
      </c>
      <c r="H509" s="100">
        <f t="shared" si="29"/>
        <v>0</v>
      </c>
      <c r="I509" s="100">
        <f t="shared" si="30"/>
        <v>0</v>
      </c>
      <c r="J509" s="100">
        <f t="shared" si="31"/>
        <v>0</v>
      </c>
      <c r="K509" s="100">
        <f t="shared" si="32"/>
        <v>0</v>
      </c>
      <c r="L509" s="100"/>
      <c r="M509" s="100">
        <f t="shared" si="35"/>
        <v>0</v>
      </c>
    </row>
    <row r="510" spans="3:13" x14ac:dyDescent="0.25">
      <c r="C510" s="100" t="str">
        <f t="shared" si="34"/>
        <v>K</v>
      </c>
      <c r="D510" s="100"/>
      <c r="E510" s="100"/>
      <c r="F510" s="100">
        <f t="shared" si="27"/>
        <v>0</v>
      </c>
      <c r="G510" s="100">
        <f t="shared" si="28"/>
        <v>0</v>
      </c>
      <c r="H510" s="100">
        <f t="shared" si="29"/>
        <v>0</v>
      </c>
      <c r="I510" s="100">
        <f t="shared" si="30"/>
        <v>0</v>
      </c>
      <c r="J510" s="100">
        <f t="shared" si="31"/>
        <v>0</v>
      </c>
      <c r="K510" s="100">
        <f t="shared" si="32"/>
        <v>0</v>
      </c>
      <c r="L510" s="100"/>
      <c r="M510" s="100">
        <f t="shared" si="35"/>
        <v>0</v>
      </c>
    </row>
    <row r="511" spans="3:13" x14ac:dyDescent="0.25">
      <c r="C511" s="100" t="str">
        <f t="shared" si="34"/>
        <v>X</v>
      </c>
      <c r="D511" s="100"/>
      <c r="E511" s="100"/>
      <c r="F511" s="100">
        <f t="shared" si="27"/>
        <v>0</v>
      </c>
      <c r="G511" s="100">
        <f t="shared" si="28"/>
        <v>0</v>
      </c>
      <c r="H511" s="100">
        <f t="shared" si="29"/>
        <v>0</v>
      </c>
      <c r="I511" s="100">
        <f t="shared" si="30"/>
        <v>0</v>
      </c>
      <c r="J511" s="100">
        <f t="shared" si="31"/>
        <v>0</v>
      </c>
      <c r="K511" s="100">
        <f t="shared" si="32"/>
        <v>0</v>
      </c>
      <c r="L511" s="100"/>
      <c r="M511" s="100">
        <f t="shared" si="35"/>
        <v>0</v>
      </c>
    </row>
    <row r="512" spans="3:13" hidden="1" x14ac:dyDescent="0.25">
      <c r="C512" s="100" t="str">
        <f t="shared" si="34"/>
        <v>Vrije categorie</v>
      </c>
      <c r="D512" s="100"/>
      <c r="E512" s="100"/>
      <c r="F512" s="100">
        <f t="shared" si="27"/>
        <v>0</v>
      </c>
      <c r="G512" s="100">
        <f t="shared" si="28"/>
        <v>0</v>
      </c>
      <c r="H512" s="100">
        <f t="shared" si="29"/>
        <v>0</v>
      </c>
      <c r="I512" s="100">
        <f t="shared" si="30"/>
        <v>0</v>
      </c>
      <c r="J512" s="100">
        <f t="shared" si="31"/>
        <v>0</v>
      </c>
      <c r="K512" s="100">
        <f t="shared" si="32"/>
        <v>0</v>
      </c>
      <c r="L512" s="100"/>
      <c r="M512" s="100">
        <f t="shared" si="35"/>
        <v>0</v>
      </c>
    </row>
    <row r="513" spans="3:13" hidden="1" x14ac:dyDescent="0.25">
      <c r="C513" s="100" t="str">
        <f t="shared" si="34"/>
        <v>Vrije categorie</v>
      </c>
      <c r="D513" s="100"/>
      <c r="E513" s="100"/>
      <c r="F513" s="100">
        <f t="shared" si="27"/>
        <v>0</v>
      </c>
      <c r="G513" s="100">
        <f t="shared" si="28"/>
        <v>0</v>
      </c>
      <c r="H513" s="100">
        <f t="shared" si="29"/>
        <v>0</v>
      </c>
      <c r="I513" s="100">
        <f t="shared" si="30"/>
        <v>0</v>
      </c>
      <c r="J513" s="100">
        <f t="shared" si="31"/>
        <v>0</v>
      </c>
      <c r="K513" s="100">
        <f t="shared" si="32"/>
        <v>0</v>
      </c>
      <c r="L513" s="100"/>
      <c r="M513" s="100">
        <f t="shared" si="35"/>
        <v>0</v>
      </c>
    </row>
    <row r="514" spans="3:13" hidden="1" x14ac:dyDescent="0.25">
      <c r="C514" s="100" t="str">
        <f t="shared" si="34"/>
        <v>Vrije categorie</v>
      </c>
      <c r="D514" s="100"/>
      <c r="E514" s="100"/>
      <c r="F514" s="100">
        <f t="shared" si="27"/>
        <v>0</v>
      </c>
      <c r="G514" s="100">
        <f t="shared" si="28"/>
        <v>0</v>
      </c>
      <c r="H514" s="100">
        <f t="shared" si="29"/>
        <v>0</v>
      </c>
      <c r="I514" s="100">
        <f t="shared" si="30"/>
        <v>0</v>
      </c>
      <c r="J514" s="100">
        <f t="shared" si="31"/>
        <v>0</v>
      </c>
      <c r="K514" s="100">
        <f t="shared" si="32"/>
        <v>0</v>
      </c>
      <c r="L514" s="100"/>
      <c r="M514" s="100">
        <f>SUMPRODUCT(--($E$4:$E$498=C514),--($D$4:$D$498=""),$M$4:$M$498)</f>
        <v>0</v>
      </c>
    </row>
    <row r="515" spans="3:13" ht="15.75" thickBot="1" x14ac:dyDescent="0.3">
      <c r="C515" s="101" t="s">
        <v>38</v>
      </c>
      <c r="D515" s="101"/>
      <c r="E515" s="101"/>
      <c r="F515" s="101">
        <f>SUM(F500:F514)</f>
        <v>75.680000000000007</v>
      </c>
      <c r="G515" s="101">
        <f t="shared" ref="G515:K515" si="36">SUM(G500:G514)</f>
        <v>0</v>
      </c>
      <c r="H515" s="101">
        <f t="shared" si="36"/>
        <v>0</v>
      </c>
      <c r="I515" s="101">
        <f t="shared" si="36"/>
        <v>0</v>
      </c>
      <c r="J515" s="101">
        <f t="shared" si="36"/>
        <v>188.5</v>
      </c>
      <c r="K515" s="101">
        <f t="shared" si="36"/>
        <v>264.18</v>
      </c>
      <c r="L515" s="101"/>
      <c r="M515" s="101">
        <f>SUM(M499:M514)</f>
        <v>13737.36</v>
      </c>
    </row>
    <row r="516" spans="3:13" ht="15.75" thickTop="1" x14ac:dyDescent="0.25">
      <c r="C516" s="102"/>
      <c r="D516" s="102"/>
      <c r="E516" s="102"/>
      <c r="F516" s="103"/>
      <c r="G516" s="103"/>
      <c r="H516" s="103"/>
      <c r="I516" s="103"/>
      <c r="J516" s="103"/>
      <c r="K516" s="104"/>
      <c r="L516" s="105"/>
      <c r="M516" s="103"/>
    </row>
    <row r="517" spans="3:13" ht="15.75" thickBot="1" x14ac:dyDescent="0.3">
      <c r="C517" s="101" t="s">
        <v>298</v>
      </c>
      <c r="D517" s="101"/>
      <c r="E517" s="101"/>
      <c r="F517" s="101" cm="1">
        <f t="array" ref="F517">SUMPRODUCT(--($E$4:$E$498="X"),$F$4:$F$498)</f>
        <v>0</v>
      </c>
      <c r="G517" s="101" cm="1">
        <f t="array" ref="G517">SUMPRODUCT(--($E$4:$E$498="X"),G4:G498)</f>
        <v>0</v>
      </c>
      <c r="H517" s="101" cm="1">
        <f t="array" ref="H517">SUMPRODUCT(--($E$4:$E$498="X"),H4:H498)</f>
        <v>0</v>
      </c>
      <c r="I517" s="101" cm="1">
        <f t="array" ref="I517">SUMPRODUCT(--($E$4:$E$498="X"),I4:I498)</f>
        <v>0</v>
      </c>
      <c r="J517" s="101" cm="1">
        <f t="array" ref="J517">SUMPRODUCT(--($E$4:$E$498="X"),J4:J498)</f>
        <v>0</v>
      </c>
      <c r="K517" s="101">
        <f>SUM(F517:J517)</f>
        <v>0</v>
      </c>
      <c r="L517" s="106"/>
      <c r="M517" s="107"/>
    </row>
    <row r="518" spans="3:13" ht="15.75" thickTop="1" x14ac:dyDescent="0.25"/>
    <row r="519" spans="3:13" hidden="1" x14ac:dyDescent="0.25">
      <c r="C519" s="9" t="s">
        <v>127</v>
      </c>
      <c r="D519" s="9"/>
      <c r="E519" s="9"/>
      <c r="F519" s="9"/>
      <c r="G519" s="9"/>
      <c r="H519" s="9"/>
      <c r="I519" s="9"/>
      <c r="J519" s="9"/>
      <c r="K519" s="9"/>
    </row>
    <row r="520" spans="3:13" hidden="1" x14ac:dyDescent="0.25">
      <c r="C520" s="9" t="str">
        <f t="shared" ref="C520:C534" si="37">C500</f>
        <v>A</v>
      </c>
      <c r="D520" s="9"/>
      <c r="E520" s="9"/>
      <c r="F520" s="9">
        <f t="shared" ref="F520:F534" si="38">SUMPRODUCT(--($E$4:$E$498=C520),--($D$4:$D$498="X"),$F$4:$F$498)</f>
        <v>0</v>
      </c>
      <c r="G520" s="9">
        <f t="shared" ref="G520:G534" si="39">SUMPRODUCT(--($E$4:$E$498=C520),--($D$4:$D$498="X"),$G$4:$G$498)</f>
        <v>0</v>
      </c>
      <c r="H520" s="9">
        <f t="shared" ref="H520:H534" si="40">SUMPRODUCT(--($E$4:$E$498=C520),--($D$4:$D$498="X"),$H$4:$H$498)</f>
        <v>0</v>
      </c>
      <c r="I520" s="9">
        <f t="shared" ref="I520:I534" si="41">SUMPRODUCT(--($E$4:$E$498=C520),--($D$4:$D$498="X"),$I$4:$I$498)</f>
        <v>0</v>
      </c>
      <c r="J520" s="9">
        <f t="shared" ref="J520:J534" si="42">SUMPRODUCT(--($E$4:$E$498=C520),--($D$4:$D$498="X"),$J$4:$J$498)</f>
        <v>0</v>
      </c>
      <c r="K520" s="9">
        <f t="shared" ref="K520:K534" si="43">SUM(F520:J520)</f>
        <v>0</v>
      </c>
    </row>
    <row r="521" spans="3:13" hidden="1" x14ac:dyDescent="0.25">
      <c r="C521" s="9" t="str">
        <f t="shared" si="37"/>
        <v>B</v>
      </c>
      <c r="D521" s="9"/>
      <c r="E521" s="9"/>
      <c r="F521" s="9">
        <f t="shared" si="38"/>
        <v>0</v>
      </c>
      <c r="G521" s="9">
        <f t="shared" si="39"/>
        <v>0</v>
      </c>
      <c r="H521" s="9">
        <f t="shared" si="40"/>
        <v>0</v>
      </c>
      <c r="I521" s="9">
        <f t="shared" si="41"/>
        <v>0</v>
      </c>
      <c r="J521" s="9">
        <f t="shared" si="42"/>
        <v>0</v>
      </c>
      <c r="K521" s="9">
        <f t="shared" si="43"/>
        <v>0</v>
      </c>
    </row>
    <row r="522" spans="3:13" hidden="1" x14ac:dyDescent="0.25">
      <c r="C522" s="9" t="str">
        <f t="shared" si="37"/>
        <v>C</v>
      </c>
      <c r="D522" s="9"/>
      <c r="E522" s="9"/>
      <c r="F522" s="9">
        <f t="shared" si="38"/>
        <v>0</v>
      </c>
      <c r="G522" s="9">
        <f t="shared" si="39"/>
        <v>0</v>
      </c>
      <c r="H522" s="9">
        <f t="shared" si="40"/>
        <v>0</v>
      </c>
      <c r="I522" s="9">
        <f t="shared" si="41"/>
        <v>0</v>
      </c>
      <c r="J522" s="9">
        <f t="shared" si="42"/>
        <v>0</v>
      </c>
      <c r="K522" s="9">
        <f t="shared" si="43"/>
        <v>0</v>
      </c>
    </row>
    <row r="523" spans="3:13" hidden="1" x14ac:dyDescent="0.25">
      <c r="C523" s="9" t="str">
        <f t="shared" si="37"/>
        <v>D</v>
      </c>
      <c r="D523" s="9"/>
      <c r="E523" s="9"/>
      <c r="F523" s="9">
        <f t="shared" si="38"/>
        <v>0</v>
      </c>
      <c r="G523" s="9">
        <f t="shared" si="39"/>
        <v>0</v>
      </c>
      <c r="H523" s="9">
        <f t="shared" si="40"/>
        <v>0</v>
      </c>
      <c r="I523" s="9">
        <f t="shared" si="41"/>
        <v>0</v>
      </c>
      <c r="J523" s="9">
        <f t="shared" si="42"/>
        <v>0</v>
      </c>
      <c r="K523" s="9">
        <f t="shared" si="43"/>
        <v>0</v>
      </c>
    </row>
    <row r="524" spans="3:13" hidden="1" x14ac:dyDescent="0.25">
      <c r="C524" s="9" t="str">
        <f t="shared" si="37"/>
        <v>E</v>
      </c>
      <c r="D524" s="9"/>
      <c r="E524" s="9"/>
      <c r="F524" s="9">
        <f t="shared" si="38"/>
        <v>0</v>
      </c>
      <c r="G524" s="9">
        <f t="shared" si="39"/>
        <v>0</v>
      </c>
      <c r="H524" s="9">
        <f t="shared" si="40"/>
        <v>0</v>
      </c>
      <c r="I524" s="9">
        <f t="shared" si="41"/>
        <v>0</v>
      </c>
      <c r="J524" s="9">
        <f t="shared" si="42"/>
        <v>0</v>
      </c>
      <c r="K524" s="9">
        <f t="shared" si="43"/>
        <v>0</v>
      </c>
    </row>
    <row r="525" spans="3:13" hidden="1" x14ac:dyDescent="0.25">
      <c r="C525" s="9" t="str">
        <f t="shared" si="37"/>
        <v>F</v>
      </c>
      <c r="D525" s="9"/>
      <c r="E525" s="9"/>
      <c r="F525" s="9">
        <f t="shared" si="38"/>
        <v>0</v>
      </c>
      <c r="G525" s="9">
        <f t="shared" si="39"/>
        <v>0</v>
      </c>
      <c r="H525" s="9">
        <f t="shared" si="40"/>
        <v>0</v>
      </c>
      <c r="I525" s="9">
        <f t="shared" si="41"/>
        <v>0</v>
      </c>
      <c r="J525" s="9">
        <f t="shared" si="42"/>
        <v>0</v>
      </c>
      <c r="K525" s="9">
        <f t="shared" si="43"/>
        <v>0</v>
      </c>
    </row>
    <row r="526" spans="3:13" hidden="1" x14ac:dyDescent="0.25">
      <c r="C526" s="9" t="str">
        <f t="shared" si="37"/>
        <v>G</v>
      </c>
      <c r="D526" s="9"/>
      <c r="E526" s="9"/>
      <c r="F526" s="9">
        <f t="shared" si="38"/>
        <v>0</v>
      </c>
      <c r="G526" s="9">
        <f t="shared" si="39"/>
        <v>0</v>
      </c>
      <c r="H526" s="9">
        <f t="shared" si="40"/>
        <v>0</v>
      </c>
      <c r="I526" s="9">
        <f t="shared" si="41"/>
        <v>0</v>
      </c>
      <c r="J526" s="9">
        <f t="shared" si="42"/>
        <v>0</v>
      </c>
      <c r="K526" s="9">
        <f t="shared" si="43"/>
        <v>0</v>
      </c>
    </row>
    <row r="527" spans="3:13" hidden="1" x14ac:dyDescent="0.25">
      <c r="C527" s="9" t="str">
        <f t="shared" si="37"/>
        <v>H</v>
      </c>
      <c r="D527" s="9"/>
      <c r="E527" s="9"/>
      <c r="F527" s="9">
        <f t="shared" si="38"/>
        <v>0</v>
      </c>
      <c r="G527" s="9">
        <f t="shared" si="39"/>
        <v>0</v>
      </c>
      <c r="H527" s="9">
        <f t="shared" si="40"/>
        <v>0</v>
      </c>
      <c r="I527" s="9">
        <f t="shared" si="41"/>
        <v>0</v>
      </c>
      <c r="J527" s="9">
        <f t="shared" si="42"/>
        <v>0</v>
      </c>
      <c r="K527" s="9">
        <f t="shared" si="43"/>
        <v>0</v>
      </c>
    </row>
    <row r="528" spans="3:13" hidden="1" x14ac:dyDescent="0.25">
      <c r="C528" s="9" t="str">
        <f t="shared" si="37"/>
        <v>I</v>
      </c>
      <c r="D528" s="9"/>
      <c r="E528" s="9"/>
      <c r="F528" s="9">
        <f t="shared" si="38"/>
        <v>0</v>
      </c>
      <c r="G528" s="9">
        <f t="shared" si="39"/>
        <v>0</v>
      </c>
      <c r="H528" s="9">
        <f t="shared" si="40"/>
        <v>0</v>
      </c>
      <c r="I528" s="9">
        <f t="shared" si="41"/>
        <v>0</v>
      </c>
      <c r="J528" s="9">
        <f t="shared" si="42"/>
        <v>0</v>
      </c>
      <c r="K528" s="9">
        <f t="shared" si="43"/>
        <v>0</v>
      </c>
    </row>
    <row r="529" spans="3:12" hidden="1" x14ac:dyDescent="0.25">
      <c r="C529" s="9" t="str">
        <f t="shared" si="37"/>
        <v>J</v>
      </c>
      <c r="D529" s="9"/>
      <c r="E529" s="9"/>
      <c r="F529" s="9">
        <f t="shared" si="38"/>
        <v>0</v>
      </c>
      <c r="G529" s="9">
        <f t="shared" si="39"/>
        <v>0</v>
      </c>
      <c r="H529" s="9">
        <f t="shared" si="40"/>
        <v>0</v>
      </c>
      <c r="I529" s="9">
        <f t="shared" si="41"/>
        <v>0</v>
      </c>
      <c r="J529" s="9">
        <f t="shared" si="42"/>
        <v>0</v>
      </c>
      <c r="K529" s="9">
        <f t="shared" si="43"/>
        <v>0</v>
      </c>
    </row>
    <row r="530" spans="3:12" hidden="1" x14ac:dyDescent="0.25">
      <c r="C530" s="9" t="str">
        <f t="shared" si="37"/>
        <v>K</v>
      </c>
      <c r="D530" s="9"/>
      <c r="E530" s="9"/>
      <c r="F530" s="9">
        <f t="shared" si="38"/>
        <v>0</v>
      </c>
      <c r="G530" s="9">
        <f t="shared" si="39"/>
        <v>0</v>
      </c>
      <c r="H530" s="9">
        <f t="shared" si="40"/>
        <v>0</v>
      </c>
      <c r="I530" s="9">
        <f t="shared" si="41"/>
        <v>0</v>
      </c>
      <c r="J530" s="9">
        <f t="shared" si="42"/>
        <v>0</v>
      </c>
      <c r="K530" s="9">
        <f t="shared" si="43"/>
        <v>0</v>
      </c>
    </row>
    <row r="531" spans="3:12" hidden="1" x14ac:dyDescent="0.25">
      <c r="C531" s="9" t="str">
        <f t="shared" si="37"/>
        <v>X</v>
      </c>
      <c r="D531" s="9"/>
      <c r="E531" s="9"/>
      <c r="F531" s="9">
        <f t="shared" si="38"/>
        <v>0</v>
      </c>
      <c r="G531" s="9">
        <f t="shared" si="39"/>
        <v>0</v>
      </c>
      <c r="H531" s="9">
        <f t="shared" si="40"/>
        <v>0</v>
      </c>
      <c r="I531" s="9">
        <f t="shared" si="41"/>
        <v>0</v>
      </c>
      <c r="J531" s="9">
        <f t="shared" si="42"/>
        <v>0</v>
      </c>
      <c r="K531" s="9">
        <f t="shared" si="43"/>
        <v>0</v>
      </c>
    </row>
    <row r="532" spans="3:12" hidden="1" x14ac:dyDescent="0.25">
      <c r="C532" s="9" t="str">
        <f t="shared" si="37"/>
        <v>Vrije categorie</v>
      </c>
      <c r="D532" s="9"/>
      <c r="E532" s="9"/>
      <c r="F532" s="9">
        <f t="shared" si="38"/>
        <v>0</v>
      </c>
      <c r="G532" s="9">
        <f t="shared" si="39"/>
        <v>0</v>
      </c>
      <c r="H532" s="9">
        <f t="shared" si="40"/>
        <v>0</v>
      </c>
      <c r="I532" s="9">
        <f t="shared" si="41"/>
        <v>0</v>
      </c>
      <c r="J532" s="9">
        <f t="shared" si="42"/>
        <v>0</v>
      </c>
      <c r="K532" s="9">
        <f t="shared" si="43"/>
        <v>0</v>
      </c>
    </row>
    <row r="533" spans="3:12" hidden="1" x14ac:dyDescent="0.25">
      <c r="C533" s="9" t="str">
        <f t="shared" si="37"/>
        <v>Vrije categorie</v>
      </c>
      <c r="D533" s="9"/>
      <c r="E533" s="9"/>
      <c r="F533" s="9">
        <f t="shared" si="38"/>
        <v>0</v>
      </c>
      <c r="G533" s="9">
        <f t="shared" si="39"/>
        <v>0</v>
      </c>
      <c r="H533" s="9">
        <f t="shared" si="40"/>
        <v>0</v>
      </c>
      <c r="I533" s="9">
        <f t="shared" si="41"/>
        <v>0</v>
      </c>
      <c r="J533" s="9">
        <f t="shared" si="42"/>
        <v>0</v>
      </c>
      <c r="K533" s="9">
        <f t="shared" si="43"/>
        <v>0</v>
      </c>
    </row>
    <row r="534" spans="3:12" hidden="1" x14ac:dyDescent="0.25">
      <c r="C534" s="9" t="str">
        <f t="shared" si="37"/>
        <v>Vrije categorie</v>
      </c>
      <c r="D534" s="9"/>
      <c r="E534" s="9"/>
      <c r="F534" s="9">
        <f t="shared" si="38"/>
        <v>0</v>
      </c>
      <c r="G534" s="9">
        <f t="shared" si="39"/>
        <v>0</v>
      </c>
      <c r="H534" s="9">
        <f t="shared" si="40"/>
        <v>0</v>
      </c>
      <c r="I534" s="9">
        <f t="shared" si="41"/>
        <v>0</v>
      </c>
      <c r="J534" s="9">
        <f t="shared" si="42"/>
        <v>0</v>
      </c>
      <c r="K534" s="9">
        <f t="shared" si="43"/>
        <v>0</v>
      </c>
    </row>
    <row r="535" spans="3:12" ht="15.75" hidden="1" thickBot="1" x14ac:dyDescent="0.3">
      <c r="C535" s="10" t="s">
        <v>126</v>
      </c>
      <c r="D535" s="10"/>
      <c r="E535" s="10"/>
      <c r="F535" s="10">
        <f t="shared" ref="F535:K535" si="44">SUM(F520:F534)</f>
        <v>0</v>
      </c>
      <c r="G535" s="10">
        <f t="shared" si="44"/>
        <v>0</v>
      </c>
      <c r="H535" s="10">
        <f t="shared" si="44"/>
        <v>0</v>
      </c>
      <c r="I535" s="10">
        <f t="shared" si="44"/>
        <v>0</v>
      </c>
      <c r="J535" s="10">
        <f t="shared" si="44"/>
        <v>0</v>
      </c>
      <c r="K535" s="10">
        <f t="shared" si="44"/>
        <v>0</v>
      </c>
    </row>
    <row r="536" spans="3:12" x14ac:dyDescent="0.25">
      <c r="C536" s="18"/>
    </row>
    <row r="537" spans="3:12" x14ac:dyDescent="0.25">
      <c r="C537" s="18"/>
    </row>
    <row r="538" spans="3:12" x14ac:dyDescent="0.25">
      <c r="F538" s="226" t="s">
        <v>36</v>
      </c>
      <c r="G538" s="227" t="s">
        <v>37</v>
      </c>
      <c r="I538" s="507" t="s">
        <v>251</v>
      </c>
      <c r="J538" s="508"/>
      <c r="K538" s="202" t="s">
        <v>206</v>
      </c>
      <c r="L538"/>
    </row>
    <row r="539" spans="3:12" x14ac:dyDescent="0.25">
      <c r="F539" s="228" t="str">
        <f>IF('1a'!F539=0,"",'1a'!F539)</f>
        <v>A</v>
      </c>
      <c r="G539" s="229">
        <v>52</v>
      </c>
      <c r="I539" s="509" t="s">
        <v>252</v>
      </c>
      <c r="J539" s="510"/>
      <c r="K539" s="203">
        <v>104.11</v>
      </c>
      <c r="L539"/>
    </row>
    <row r="540" spans="3:12" x14ac:dyDescent="0.25">
      <c r="F540" s="228" t="str">
        <f>IF('1a'!F540=0,"",'1a'!F540)</f>
        <v>B</v>
      </c>
      <c r="G540" s="229">
        <v>52</v>
      </c>
      <c r="I540" s="509" t="s">
        <v>253</v>
      </c>
      <c r="J540" s="510"/>
      <c r="K540" s="203">
        <v>104.11</v>
      </c>
      <c r="L540"/>
    </row>
    <row r="541" spans="3:12" x14ac:dyDescent="0.25">
      <c r="F541" s="228" t="str">
        <f>IF('1a'!F541=0,"",'1a'!F541)</f>
        <v>C</v>
      </c>
      <c r="G541" s="229">
        <v>52</v>
      </c>
      <c r="I541" s="509" t="s">
        <v>254</v>
      </c>
      <c r="J541" s="510"/>
      <c r="K541" s="203">
        <v>14.14</v>
      </c>
      <c r="L541"/>
    </row>
    <row r="542" spans="3:12" x14ac:dyDescent="0.25">
      <c r="F542" s="228" t="str">
        <f>IF('1a'!F542=0,"",'1a'!F542)</f>
        <v>D</v>
      </c>
      <c r="G542" s="229">
        <v>52</v>
      </c>
      <c r="I542" s="509" t="s">
        <v>317</v>
      </c>
      <c r="J542" s="510"/>
      <c r="K542" s="203">
        <v>113.43</v>
      </c>
      <c r="L542"/>
    </row>
    <row r="543" spans="3:12" x14ac:dyDescent="0.25">
      <c r="F543" s="228" t="str">
        <f>IF('1a'!F543=0,"",'1a'!F543)</f>
        <v>E</v>
      </c>
      <c r="G543" s="229">
        <v>52</v>
      </c>
      <c r="I543" s="509" t="s">
        <v>318</v>
      </c>
      <c r="J543" s="510"/>
      <c r="K543" s="203">
        <v>113.43</v>
      </c>
      <c r="L543"/>
    </row>
    <row r="544" spans="3:12" x14ac:dyDescent="0.25">
      <c r="F544" s="228" t="str">
        <f>IF('1a'!F544=0,"",'1a'!F544)</f>
        <v>F</v>
      </c>
      <c r="G544" s="229">
        <v>52</v>
      </c>
      <c r="I544" s="505" t="s">
        <v>319</v>
      </c>
      <c r="J544" s="506"/>
      <c r="K544" s="204">
        <v>17.54</v>
      </c>
      <c r="L544"/>
    </row>
    <row r="545" spans="6:7" x14ac:dyDescent="0.25">
      <c r="F545" s="228" t="str">
        <f>IF('1a'!F545=0,"",'1a'!F545)</f>
        <v>G</v>
      </c>
      <c r="G545" s="229">
        <v>52</v>
      </c>
    </row>
    <row r="546" spans="6:7" x14ac:dyDescent="0.25">
      <c r="F546" s="228" t="str">
        <f>IF('1a'!F546=0,"",'1a'!F546)</f>
        <v>H</v>
      </c>
      <c r="G546" s="229">
        <v>52</v>
      </c>
    </row>
    <row r="547" spans="6:7" x14ac:dyDescent="0.25">
      <c r="F547" s="228" t="str">
        <f>IF('1a'!F547=0,"",'1a'!F547)</f>
        <v>I</v>
      </c>
      <c r="G547" s="229">
        <v>52</v>
      </c>
    </row>
    <row r="548" spans="6:7" x14ac:dyDescent="0.25">
      <c r="F548" s="228" t="str">
        <f>IF('1a'!F548=0,"",'1a'!F548)</f>
        <v>J</v>
      </c>
      <c r="G548" s="229">
        <v>52</v>
      </c>
    </row>
    <row r="549" spans="6:7" x14ac:dyDescent="0.25">
      <c r="F549" s="228" t="str">
        <f>IF('1a'!F549=0,"",'1a'!F549)</f>
        <v>K</v>
      </c>
      <c r="G549" s="229">
        <v>12</v>
      </c>
    </row>
    <row r="550" spans="6:7" x14ac:dyDescent="0.25">
      <c r="F550" s="222" t="str">
        <f>IF('1a'!F550=0,"",'1a'!F550)</f>
        <v>X</v>
      </c>
      <c r="G550" s="240" t="str">
        <f>IF('1a'!G550=0,"0",'1a'!G550)</f>
        <v>0</v>
      </c>
    </row>
    <row r="551" spans="6:7" hidden="1" x14ac:dyDescent="0.25">
      <c r="F551" s="222" t="str">
        <f>IF('1a'!F551=0,"",'1a'!F551)</f>
        <v>Vrije categorie</v>
      </c>
      <c r="G551" s="240" t="str">
        <f>IF('1a'!G551=0,"",'1a'!G551)</f>
        <v/>
      </c>
    </row>
    <row r="552" spans="6:7" hidden="1" x14ac:dyDescent="0.25">
      <c r="F552" s="222" t="str">
        <f>IF('1a'!F552=0,"",'1a'!F552)</f>
        <v>Vrije categorie</v>
      </c>
      <c r="G552" s="240" t="str">
        <f>IF('1a'!G552=0,"",'1a'!G552)</f>
        <v/>
      </c>
    </row>
    <row r="553" spans="6:7" hidden="1" x14ac:dyDescent="0.25">
      <c r="F553" s="221" t="str">
        <f>IF('1a'!F553=0,"",'1a'!F553)</f>
        <v>Vrije categorie</v>
      </c>
      <c r="G553" s="236" t="str">
        <f>IF('1a'!G553=0,"",'1a'!G553)</f>
        <v/>
      </c>
    </row>
  </sheetData>
  <mergeCells count="7">
    <mergeCell ref="I543:J543"/>
    <mergeCell ref="I544:J544"/>
    <mergeCell ref="I538:J538"/>
    <mergeCell ref="I539:J539"/>
    <mergeCell ref="I540:J540"/>
    <mergeCell ref="I541:J541"/>
    <mergeCell ref="I542:J542"/>
  </mergeCells>
  <printOptions gridLines="1"/>
  <pageMargins left="0.70866141732283472" right="0.70866141732283472" top="0.94488188976377963" bottom="0.74803149606299213" header="0.31496062992125984" footer="0.31496062992125984"/>
  <pageSetup paperSize="9" scale="87" orientation="portrait" cellComments="asDisplayed" r:id="rId1"/>
  <headerFooter>
    <oddHeader>&amp;L&amp;G</oddHeader>
  </headerFooter>
  <legacy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52">
    <tabColor rgb="FFC2E76B"/>
    <pageSetUpPr fitToPage="1"/>
  </sheetPr>
  <dimension ref="A1:XFC49"/>
  <sheetViews>
    <sheetView showGridLines="0" showZeros="0" zoomScaleNormal="100" workbookViewId="0">
      <selection activeCell="E11" sqref="E11"/>
    </sheetView>
  </sheetViews>
  <sheetFormatPr defaultColWidth="9.140625" defaultRowHeight="15" zeroHeight="1" x14ac:dyDescent="0.25"/>
  <cols>
    <col min="1" max="1" width="3.7109375" customWidth="1"/>
    <col min="2" max="2" width="29.28515625" customWidth="1"/>
    <col min="3" max="17" width="15.5703125" customWidth="1"/>
    <col min="18" max="18" width="13.5703125" hidden="1" customWidth="1"/>
    <col min="19" max="19" width="4" hidden="1" customWidth="1"/>
    <col min="20" max="25" width="9.140625" hidden="1" customWidth="1"/>
    <col min="26" max="26" width="15.28515625" hidden="1" customWidth="1"/>
    <col min="27" max="83" width="9.140625" hidden="1" customWidth="1"/>
    <col min="84" max="84" width="17.7109375" hidden="1" customWidth="1"/>
    <col min="85" max="85" width="17.140625" hidden="1" customWidth="1"/>
    <col min="86" max="16378" width="0" hidden="1" customWidth="1"/>
    <col min="16379" max="16379" width="4.28515625" hidden="1" customWidth="1"/>
    <col min="16380" max="16380" width="6.42578125" hidden="1" customWidth="1"/>
    <col min="16381" max="16381" width="6" hidden="1" customWidth="1"/>
    <col min="16382" max="16382" width="8.7109375" hidden="1" customWidth="1"/>
    <col min="16383" max="16383" width="9.28515625" hidden="1" customWidth="1"/>
    <col min="16384" max="16384" width="0" hidden="1" customWidth="1"/>
  </cols>
  <sheetData>
    <row r="1" spans="1:116" ht="26.25" customHeight="1" x14ac:dyDescent="0.4">
      <c r="A1" s="20"/>
      <c r="B1" s="524" t="s">
        <v>152</v>
      </c>
      <c r="C1" s="524"/>
      <c r="D1" s="524"/>
      <c r="E1" s="524"/>
      <c r="F1" s="524"/>
      <c r="G1" s="524"/>
      <c r="H1" s="524"/>
      <c r="I1" s="524"/>
      <c r="J1" s="524"/>
      <c r="K1" s="524"/>
      <c r="L1" s="524"/>
      <c r="M1" s="524"/>
      <c r="N1" s="524"/>
      <c r="O1" s="524"/>
      <c r="P1" s="524"/>
      <c r="Q1" s="524"/>
    </row>
    <row r="2" spans="1:116" ht="23.25" x14ac:dyDescent="0.35">
      <c r="D2" s="12"/>
      <c r="E2" s="163"/>
      <c r="F2" s="12"/>
      <c r="G2" s="12"/>
      <c r="H2" s="12"/>
      <c r="I2" s="12"/>
      <c r="J2" s="12"/>
      <c r="K2" s="165"/>
      <c r="L2" s="16"/>
      <c r="M2" s="16"/>
      <c r="N2" s="16"/>
      <c r="O2" s="16"/>
      <c r="P2" s="16"/>
      <c r="Q2" s="16"/>
      <c r="DK2" t="s">
        <v>139</v>
      </c>
    </row>
    <row r="3" spans="1:116" ht="23.25" x14ac:dyDescent="0.35">
      <c r="D3" s="12"/>
      <c r="E3" s="16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V3" t="s">
        <v>96</v>
      </c>
      <c r="AA3" t="s">
        <v>97</v>
      </c>
      <c r="AB3" t="s">
        <v>97</v>
      </c>
      <c r="AC3" t="s">
        <v>98</v>
      </c>
      <c r="AE3" t="s">
        <v>99</v>
      </c>
      <c r="AG3" t="s">
        <v>100</v>
      </c>
      <c r="AI3" t="s">
        <v>101</v>
      </c>
      <c r="AK3" t="s">
        <v>102</v>
      </c>
      <c r="AM3" t="s">
        <v>103</v>
      </c>
      <c r="AO3" t="s">
        <v>104</v>
      </c>
      <c r="AQ3" t="s">
        <v>105</v>
      </c>
      <c r="AS3" t="s">
        <v>106</v>
      </c>
      <c r="AU3" t="s">
        <v>107</v>
      </c>
      <c r="AW3" t="s">
        <v>108</v>
      </c>
      <c r="AY3" t="s">
        <v>109</v>
      </c>
      <c r="BA3" t="s">
        <v>110</v>
      </c>
      <c r="BC3" t="s">
        <v>111</v>
      </c>
      <c r="BE3" t="s">
        <v>112</v>
      </c>
      <c r="BG3" t="s">
        <v>113</v>
      </c>
      <c r="BI3" t="s">
        <v>114</v>
      </c>
      <c r="BK3" t="s">
        <v>115</v>
      </c>
      <c r="BM3" t="s">
        <v>116</v>
      </c>
      <c r="BO3" t="s">
        <v>117</v>
      </c>
      <c r="BQ3" t="s">
        <v>118</v>
      </c>
      <c r="BS3" t="s">
        <v>119</v>
      </c>
      <c r="BU3" t="s">
        <v>120</v>
      </c>
      <c r="BW3" t="s">
        <v>121</v>
      </c>
      <c r="BY3" t="s">
        <v>122</v>
      </c>
      <c r="CA3" t="s">
        <v>123</v>
      </c>
      <c r="CC3" t="s">
        <v>124</v>
      </c>
      <c r="DK3" t="s">
        <v>140</v>
      </c>
    </row>
    <row r="4" spans="1:116" s="17" customFormat="1" ht="30" customHeight="1" x14ac:dyDescent="0.25">
      <c r="B4" s="220" t="s">
        <v>128</v>
      </c>
      <c r="C4" s="220" t="s">
        <v>145</v>
      </c>
      <c r="D4" s="220" t="s">
        <v>217</v>
      </c>
      <c r="E4" s="220" t="s">
        <v>182</v>
      </c>
      <c r="F4" s="220" t="s">
        <v>183</v>
      </c>
      <c r="G4" s="220" t="s">
        <v>181</v>
      </c>
      <c r="H4" s="220" t="s">
        <v>184</v>
      </c>
      <c r="I4" s="220" t="s">
        <v>178</v>
      </c>
      <c r="J4" s="220" t="s">
        <v>185</v>
      </c>
      <c r="K4" s="220" t="s">
        <v>186</v>
      </c>
      <c r="L4" s="220" t="s">
        <v>68</v>
      </c>
      <c r="M4" s="220" t="s">
        <v>179</v>
      </c>
      <c r="N4" s="220" t="s">
        <v>180</v>
      </c>
      <c r="O4" s="220" t="s">
        <v>187</v>
      </c>
      <c r="P4" s="220" t="s">
        <v>69</v>
      </c>
      <c r="Q4" s="220" t="s">
        <v>135</v>
      </c>
      <c r="R4" s="113"/>
      <c r="T4" s="17" t="s">
        <v>136</v>
      </c>
      <c r="U4" s="17" t="s">
        <v>137</v>
      </c>
      <c r="V4" s="17" t="s">
        <v>47</v>
      </c>
      <c r="W4" s="17" t="s">
        <v>76</v>
      </c>
      <c r="X4" s="17" t="s">
        <v>48</v>
      </c>
      <c r="Y4" s="17" t="s">
        <v>125</v>
      </c>
      <c r="Z4" s="17" t="s">
        <v>77</v>
      </c>
      <c r="AB4" s="17" t="s">
        <v>16</v>
      </c>
      <c r="AD4" s="17" t="s">
        <v>16</v>
      </c>
      <c r="AE4" s="17">
        <v>0</v>
      </c>
      <c r="AF4" s="17" t="s">
        <v>16</v>
      </c>
      <c r="AG4" s="17">
        <v>0</v>
      </c>
      <c r="AH4" s="17" t="s">
        <v>16</v>
      </c>
      <c r="AI4" s="17">
        <v>0</v>
      </c>
      <c r="AJ4" s="17" t="s">
        <v>16</v>
      </c>
      <c r="AK4" s="17">
        <v>0</v>
      </c>
      <c r="AL4" s="17" t="s">
        <v>16</v>
      </c>
      <c r="AM4" s="17">
        <v>0</v>
      </c>
      <c r="AN4" s="17" t="s">
        <v>16</v>
      </c>
      <c r="AO4" s="17">
        <v>0</v>
      </c>
      <c r="AP4" s="17" t="s">
        <v>16</v>
      </c>
      <c r="AQ4" s="17">
        <v>0</v>
      </c>
      <c r="AR4" s="17" t="s">
        <v>16</v>
      </c>
      <c r="AS4" s="17">
        <v>0</v>
      </c>
      <c r="AT4" s="17" t="s">
        <v>16</v>
      </c>
      <c r="AU4" s="17">
        <v>0</v>
      </c>
      <c r="AV4" s="17" t="s">
        <v>16</v>
      </c>
      <c r="AW4" s="17" t="s">
        <v>2</v>
      </c>
      <c r="AX4" s="17" t="s">
        <v>16</v>
      </c>
      <c r="AY4" s="17" t="s">
        <v>3</v>
      </c>
      <c r="AZ4" s="17" t="s">
        <v>16</v>
      </c>
      <c r="BA4" s="17" t="s">
        <v>4</v>
      </c>
      <c r="BB4" s="17" t="s">
        <v>16</v>
      </c>
      <c r="BC4" s="17">
        <v>0</v>
      </c>
      <c r="BD4" s="17" t="s">
        <v>16</v>
      </c>
      <c r="BE4" s="17">
        <v>0</v>
      </c>
      <c r="BF4" s="17" t="s">
        <v>16</v>
      </c>
      <c r="BG4" s="17">
        <v>0</v>
      </c>
      <c r="BH4" s="17" t="s">
        <v>16</v>
      </c>
      <c r="BI4" s="17">
        <v>0</v>
      </c>
      <c r="BJ4" s="17" t="s">
        <v>16</v>
      </c>
      <c r="BL4" s="17" t="s">
        <v>16</v>
      </c>
      <c r="BN4" s="17" t="s">
        <v>16</v>
      </c>
      <c r="BP4" s="17" t="s">
        <v>16</v>
      </c>
      <c r="BR4" s="17" t="s">
        <v>16</v>
      </c>
      <c r="BS4" s="17">
        <v>0</v>
      </c>
      <c r="BT4" s="17" t="s">
        <v>16</v>
      </c>
      <c r="BU4" s="17">
        <v>0</v>
      </c>
      <c r="BV4" s="17" t="s">
        <v>16</v>
      </c>
      <c r="BW4" s="17">
        <v>0</v>
      </c>
      <c r="BX4" s="17" t="s">
        <v>16</v>
      </c>
      <c r="BY4" s="17">
        <v>0</v>
      </c>
      <c r="BZ4" s="17" t="s">
        <v>16</v>
      </c>
      <c r="CA4" s="17">
        <v>0</v>
      </c>
      <c r="CB4" s="17" t="s">
        <v>16</v>
      </c>
      <c r="CC4" s="17">
        <v>0</v>
      </c>
      <c r="CD4" s="17" t="s">
        <v>16</v>
      </c>
      <c r="CE4" s="17" t="s">
        <v>21</v>
      </c>
      <c r="CF4" s="17" t="s">
        <v>78</v>
      </c>
      <c r="CG4" s="17" t="s">
        <v>79</v>
      </c>
      <c r="CH4" s="17" t="s">
        <v>80</v>
      </c>
      <c r="CI4" s="17" t="s">
        <v>81</v>
      </c>
      <c r="CJ4" s="17" t="s">
        <v>82</v>
      </c>
      <c r="CL4" s="17" t="s">
        <v>83</v>
      </c>
      <c r="CN4" s="17" t="s">
        <v>84</v>
      </c>
      <c r="CP4" s="17" t="s">
        <v>85</v>
      </c>
      <c r="CR4" s="17" t="s">
        <v>86</v>
      </c>
      <c r="CT4" s="17" t="s">
        <v>87</v>
      </c>
      <c r="CV4" s="17" t="s">
        <v>88</v>
      </c>
      <c r="CX4" s="17" t="s">
        <v>89</v>
      </c>
      <c r="CZ4" s="17" t="s">
        <v>90</v>
      </c>
      <c r="DB4" s="17" t="s">
        <v>91</v>
      </c>
      <c r="DD4" s="17" t="s">
        <v>92</v>
      </c>
      <c r="DF4" s="17" t="s">
        <v>93</v>
      </c>
      <c r="DH4" s="17" t="s">
        <v>94</v>
      </c>
      <c r="DJ4" s="17" t="s">
        <v>95</v>
      </c>
      <c r="DK4" s="17" t="s">
        <v>138</v>
      </c>
    </row>
    <row r="5" spans="1:116" x14ac:dyDescent="0.25">
      <c r="A5">
        <v>1</v>
      </c>
      <c r="B5" s="14" t="str">
        <f ca="1">INDIRECT("'" &amp; A5 &amp; "'!$B$4")</f>
        <v>Gemeentehuis</v>
      </c>
      <c r="C5" s="154" t="str">
        <f ca="1">IF(INDIRECT("'" &amp; A5 &amp; "'!$I$78")=0,"",INDIRECT("'" &amp; A5 &amp; "'!$I$78"))</f>
        <v/>
      </c>
      <c r="D5" s="154" t="str">
        <f ca="1">IF(INDIRECT("'" &amp; A5 &amp; "'!$F$11")=0,"",INDIRECT("'" &amp; A5 &amp; "'!$F$11"))</f>
        <v/>
      </c>
      <c r="E5" s="154" t="str">
        <f ca="1">IF(INDIRECT("'" &amp; A5 &amp; "'!$I$11")=0,"",INDIRECT("'" &amp; A5 &amp; "'!$I$11"))</f>
        <v/>
      </c>
      <c r="F5" s="154" t="str">
        <f ca="1">IF(INDIRECT("'" &amp; A5 &amp; "'!$F$12")=0,"",INDIRECT("'" &amp; A5 &amp; "'!$F$12"))</f>
        <v/>
      </c>
      <c r="G5" s="154" t="str">
        <f ca="1">IF(INDIRECT("'" &amp; A5 &amp; "'!$I$12")=0,"",INDIRECT("'" &amp; A5 &amp; "'!$I$12"))</f>
        <v/>
      </c>
      <c r="H5" s="154" t="str">
        <f ca="1">IF(INDIRECT("'" &amp; A5 &amp; "'!$F$13")=0,"",INDIRECT("'" &amp; A5 &amp; "'!$F$13"))</f>
        <v/>
      </c>
      <c r="I5" s="154" t="str">
        <f ca="1">IF(INDIRECT("'" &amp; A5 &amp; "'!$I$33")=0,"",INDIRECT("'" &amp; A5 &amp; "'!$I$33"))</f>
        <v/>
      </c>
      <c r="J5" s="154" t="str">
        <f ca="1">IF(INDIRECT("'" &amp; A5 &amp; "'!$I$44")=0,"",INDIRECT("'" &amp; A5 &amp; "'!$I$44"))</f>
        <v/>
      </c>
      <c r="K5" s="154" t="str">
        <f ca="1">IF(INDIRECT("'" &amp; A5 &amp; "'!$I$57")=0,"",INDIRECT("'" &amp; A5 &amp; "'!$I$57"))</f>
        <v/>
      </c>
      <c r="L5" s="154" t="str">
        <f ca="1">IF(INDIRECT("'" &amp; A5 &amp; "'!$I$66")=0,"",INDIRECT("'" &amp; A5 &amp; "'!$I$66"))</f>
        <v/>
      </c>
      <c r="M5" s="21" t="str">
        <f ca="1">IFERROR(INDIRECT("'" &amp; A5 &amp; "'!$J$11"),"")</f>
        <v/>
      </c>
      <c r="N5" s="21" t="str">
        <f ca="1">IFERROR(INDIRECT("'" &amp; A5 &amp; "'!$J$12"),"")</f>
        <v/>
      </c>
      <c r="O5" s="21" t="str">
        <f ca="1">IFERROR(INDIRECT("'" &amp; A5 &amp; "'!$J$13"),"")</f>
        <v/>
      </c>
      <c r="P5" s="21" t="str">
        <f ca="1">IFERROR(INDIRECT("'" &amp; A5 &amp; "'!$F$16"),"")</f>
        <v/>
      </c>
      <c r="Q5" s="154" t="str">
        <f ca="1">IF(INDIRECT("'" &amp; A5 &amp; "'!$I$76")=0,"",INDIRECT("'" &amp; A5 &amp; "'!$I$76"))</f>
        <v/>
      </c>
      <c r="R5" s="110"/>
      <c r="T5" s="116" t="str">
        <f ca="1">M5</f>
        <v/>
      </c>
      <c r="U5" s="116" t="str">
        <f ca="1">N5</f>
        <v/>
      </c>
      <c r="V5">
        <f t="shared" ref="V5:V9" si="0">offertetarief</f>
        <v>0</v>
      </c>
      <c r="W5">
        <f t="shared" ref="W5:W9" si="1">regietarief</f>
        <v>0</v>
      </c>
      <c r="X5">
        <f t="shared" ref="X5:X9" si="2">spectarief</f>
        <v>0</v>
      </c>
      <c r="Y5" t="str">
        <f ca="1">INDIRECT("'" &amp; A5 &amp; "'!$I$14")</f>
        <v/>
      </c>
      <c r="Z5" t="str">
        <f ca="1">INDIRECT("'" &amp; A5 &amp; "'!$I$19")</f>
        <v/>
      </c>
      <c r="AA5" t="str">
        <f ca="1">INDIRECT("'" &amp; A5 &amp; "'!$I$22")</f>
        <v/>
      </c>
      <c r="AB5">
        <f ca="1">INDIRECT("'" &amp; A5 &amp; "'!$F$22")</f>
        <v>0</v>
      </c>
      <c r="AC5" t="str">
        <f ca="1">INDIRECT("'" &amp; A5 &amp; "'!$I$23")</f>
        <v/>
      </c>
      <c r="AD5">
        <f ca="1">INDIRECT("'" &amp; A5 &amp; "'!$F$23")</f>
        <v>0</v>
      </c>
      <c r="AE5">
        <f ca="1">INDIRECT("'" &amp; A5 &amp; "'!$I$24")</f>
        <v>0</v>
      </c>
      <c r="AF5">
        <f ca="1">INDIRECT("'" &amp; A5 &amp; "'!$F$24")</f>
        <v>0</v>
      </c>
      <c r="AG5" t="str">
        <f ca="1">INDIRECT("'" &amp; A5 &amp; "'!$I$25")</f>
        <v/>
      </c>
      <c r="AH5">
        <f ca="1">INDIRECT("'" &amp; A5 &amp; "'!$F$25")</f>
        <v>0</v>
      </c>
      <c r="AI5" t="str">
        <f ca="1">INDIRECT("'" &amp; A5 &amp; "'!$I$26")</f>
        <v/>
      </c>
      <c r="AJ5">
        <f ca="1">INDIRECT("'" &amp; A5 &amp; "'!$F$26")</f>
        <v>0</v>
      </c>
      <c r="AK5" t="str">
        <f ca="1">INDIRECT("'" &amp; A5 &amp; "'!$I$27")</f>
        <v/>
      </c>
      <c r="AL5">
        <f ca="1">INDIRECT("'" &amp; A5 &amp; "'!$F$27")</f>
        <v>0</v>
      </c>
      <c r="AM5" t="str">
        <f ca="1">INDIRECT("'" &amp; A5 &amp; "'!$I$28")</f>
        <v/>
      </c>
      <c r="AN5">
        <f ca="1">INDIRECT("'" &amp; A5 &amp; "'!$F$28")</f>
        <v>0</v>
      </c>
      <c r="AO5" t="str">
        <f ca="1">INDIRECT("'" &amp; A5 &amp; "'!$I$29")</f>
        <v/>
      </c>
      <c r="AP5">
        <f ca="1">INDIRECT("'" &amp; A5 &amp; "'!$F$29")</f>
        <v>0</v>
      </c>
      <c r="AQ5" t="str">
        <f ca="1">INDIRECT("'" &amp; A5 &amp; "'!$I$30")</f>
        <v/>
      </c>
      <c r="AR5">
        <f ca="1">INDIRECT("'" &amp; A5 &amp; "'!$F$30")</f>
        <v>0</v>
      </c>
      <c r="AS5" t="str">
        <f ca="1">INDIRECT("'" &amp; A5 &amp; "'!$I$31")</f>
        <v/>
      </c>
      <c r="AT5">
        <f ca="1">INDIRECT("'" &amp; A5 &amp; "'!$F$31")</f>
        <v>0</v>
      </c>
      <c r="AU5" t="str">
        <f ca="1">INDIRECT("'" &amp; A5 &amp; "'!$I$32")</f>
        <v/>
      </c>
      <c r="AV5">
        <f ca="1">INDIRECT("'" &amp; A5 &amp; "'!$F$32")</f>
        <v>0</v>
      </c>
      <c r="AW5" t="str">
        <f ca="1">INDIRECT("'" &amp; A5 &amp; "'!$I$36")</f>
        <v/>
      </c>
      <c r="AX5">
        <f ca="1">INDIRECT("'" &amp; A5 &amp; "'!$F$36")</f>
        <v>0</v>
      </c>
      <c r="AY5" t="str">
        <f ca="1">INDIRECT("'" &amp; A5 &amp; "'!$I$37")</f>
        <v/>
      </c>
      <c r="AZ5">
        <f ca="1">INDIRECT("'" &amp; A5 &amp; "'!$F$37")</f>
        <v>0</v>
      </c>
      <c r="BA5" t="str">
        <f ca="1">INDIRECT("'" &amp; A5 &amp; "'!$I$38")</f>
        <v/>
      </c>
      <c r="BB5">
        <f ca="1">INDIRECT("'" &amp; A5 &amp; "'!$F$38")</f>
        <v>0</v>
      </c>
      <c r="BC5" t="str">
        <f ca="1">INDIRECT("'" &amp; A5 &amp; "'!$I$39")</f>
        <v/>
      </c>
      <c r="BD5">
        <f ca="1">INDIRECT("'" &amp; A5 &amp; "'!$F$39")</f>
        <v>0</v>
      </c>
      <c r="BE5" t="str">
        <f ca="1">INDIRECT("'" &amp; A5 &amp; "'!$I$40")</f>
        <v/>
      </c>
      <c r="BF5">
        <f ca="1">INDIRECT("'" &amp; A5 &amp; "'!$F$40")</f>
        <v>0</v>
      </c>
      <c r="BG5" t="str">
        <f ca="1">INDIRECT("'" &amp; A5 &amp; "'!$I$41")</f>
        <v/>
      </c>
      <c r="BH5">
        <f ca="1">INDIRECT("'" &amp; A5 &amp; "'!$F$41")</f>
        <v>0</v>
      </c>
      <c r="BI5" t="str">
        <f ca="1">INDIRECT("'" &amp; A5 &amp; "'!$I$42")</f>
        <v/>
      </c>
      <c r="BJ5">
        <f ca="1">INDIRECT("'" &amp; A5 &amp; "'!$F$42")</f>
        <v>0</v>
      </c>
      <c r="BK5" t="str">
        <f ca="1">INDIRECT("'" &amp; A5 &amp; "'!$I$47")</f>
        <v/>
      </c>
      <c r="BL5">
        <f ca="1">INDIRECT("'" &amp; A5 &amp; "'!$F$47")</f>
        <v>0</v>
      </c>
      <c r="BM5" t="str">
        <f ca="1">INDIRECT("'" &amp; A5 &amp; "'!$I$48")</f>
        <v/>
      </c>
      <c r="BN5">
        <f ca="1">INDIRECT("'" &amp; A5 &amp; "'!$F$48")</f>
        <v>0</v>
      </c>
      <c r="BO5" t="str">
        <f ca="1">INDIRECT("'" &amp; A5 &amp; "'!$I$49")</f>
        <v/>
      </c>
      <c r="BP5">
        <f ca="1">INDIRECT("'" &amp; A5 &amp; "'!$F$49")</f>
        <v>0</v>
      </c>
      <c r="BQ5" t="str">
        <f ca="1">INDIRECT("'" &amp; A5 &amp; "'!$I$50")</f>
        <v/>
      </c>
      <c r="BR5">
        <f ca="1">INDIRECT("'" &amp; A5 &amp; "'!$F$50")</f>
        <v>0</v>
      </c>
      <c r="BS5" t="str">
        <f ca="1">INDIRECT("'" &amp; A5 &amp; "'!$I$51")</f>
        <v/>
      </c>
      <c r="BT5">
        <f ca="1">INDIRECT("'" &amp; A5 &amp; "'!$F$51")</f>
        <v>0</v>
      </c>
      <c r="BU5" t="str">
        <f ca="1">INDIRECT("'" &amp; A5 &amp; "'!$I$52")</f>
        <v/>
      </c>
      <c r="BV5">
        <f ca="1">INDIRECT("'" &amp; A5 &amp; "'!$F$52")</f>
        <v>0</v>
      </c>
      <c r="BW5" t="str">
        <f ca="1">INDIRECT("'" &amp; A5 &amp; "'!$I$53")</f>
        <v/>
      </c>
      <c r="BX5">
        <f ca="1">INDIRECT("'" &amp; A5 &amp; "'!$F$53")</f>
        <v>0</v>
      </c>
      <c r="BY5" t="str">
        <f ca="1">INDIRECT("'" &amp; A5 &amp; "'!$I$54")</f>
        <v/>
      </c>
      <c r="BZ5">
        <f ca="1">INDIRECT("'" &amp; A5 &amp; "'!$F$54")</f>
        <v>0</v>
      </c>
      <c r="CA5" t="str">
        <f ca="1">INDIRECT("'" &amp; A5 &amp; "'!$I$55")</f>
        <v/>
      </c>
      <c r="CB5">
        <f ca="1">INDIRECT("'" &amp; A5 &amp; "'!$F$55")</f>
        <v>0</v>
      </c>
      <c r="CC5" t="str">
        <f ca="1">INDIRECT("'" &amp; A5 &amp; "'!$I$56")</f>
        <v/>
      </c>
      <c r="CD5">
        <f ca="1">INDIRECT("'" &amp; A5 &amp; "'!$F$56")</f>
        <v>0</v>
      </c>
      <c r="CE5" t="str">
        <f ca="1">INDIRECT("'" &amp; A5 &amp; "'!$I$76")</f>
        <v/>
      </c>
      <c r="CF5">
        <f ca="1">INDIRECT("'" &amp; A5 &amp; "'!$G$19")</f>
        <v>4084.6153846153848</v>
      </c>
      <c r="CG5">
        <f ca="1">INDIRECT("'" &amp; A5 &amp; "'!$D$19")</f>
        <v>1062000</v>
      </c>
      <c r="CH5">
        <f ca="1">INDIRECT("'" &amp; A5 &amp; "'!$M$19")</f>
        <v>0</v>
      </c>
      <c r="CI5">
        <f ca="1">INDIRECT("'" &amp; A5 &amp; "'!$N$19")</f>
        <v>0</v>
      </c>
      <c r="CJ5">
        <f ca="1">INDIRECT("'" &amp; A5 &amp; "'!$M$20")</f>
        <v>0</v>
      </c>
      <c r="CK5">
        <f ca="1">INDIRECT("'" &amp; A5 &amp; "'!$N$20")</f>
        <v>0</v>
      </c>
      <c r="CL5">
        <f ca="1">INDIRECT("'" &amp; A5 &amp; "'!$M$21")</f>
        <v>0</v>
      </c>
      <c r="CM5">
        <f ca="1">INDIRECT("'" &amp; A5 &amp; "'!$N$21")</f>
        <v>0</v>
      </c>
      <c r="CN5">
        <f ca="1">INDIRECT("'" &amp; A5 &amp; "'!$M$22")</f>
        <v>0</v>
      </c>
      <c r="CO5">
        <f ca="1">INDIRECT("'" &amp; A5 &amp; "'!$N$22")</f>
        <v>0</v>
      </c>
      <c r="CP5">
        <f ca="1">INDIRECT("'" &amp; A5 &amp; "'!$M$23")</f>
        <v>0</v>
      </c>
      <c r="CQ5">
        <f ca="1">INDIRECT("'" &amp; A5 &amp; "'!$N$23")</f>
        <v>0</v>
      </c>
      <c r="CR5">
        <f ca="1">INDIRECT("'" &amp; A5 &amp; "'!$M$24")</f>
        <v>0</v>
      </c>
      <c r="CS5">
        <f ca="1">INDIRECT("'" &amp; A5 &amp; "'!$N$24")</f>
        <v>0</v>
      </c>
      <c r="CT5">
        <f ca="1">INDIRECT("'" &amp; A5 &amp; "'!$M$25")</f>
        <v>0</v>
      </c>
      <c r="CU5">
        <f ca="1">INDIRECT("'" &amp; A5 &amp; "'!$N$25")</f>
        <v>0</v>
      </c>
      <c r="CV5">
        <f ca="1">INDIRECT("'" &amp; A5 &amp; "'!$M$26")</f>
        <v>0</v>
      </c>
      <c r="CW5">
        <f ca="1">INDIRECT("'" &amp; A5 &amp; "'!$N$26")</f>
        <v>0</v>
      </c>
      <c r="CX5">
        <f ca="1">INDIRECT("'" &amp; A5 &amp; "'!$M$27")</f>
        <v>0</v>
      </c>
      <c r="CY5">
        <f ca="1">INDIRECT("'" &amp; A5 &amp; "'!$N$27")</f>
        <v>0</v>
      </c>
      <c r="CZ5">
        <f ca="1">INDIRECT("'" &amp; A5 &amp; "'!$M$28")</f>
        <v>0</v>
      </c>
      <c r="DA5">
        <f ca="1">INDIRECT("'" &amp; A5 &amp; "'!$N$28")</f>
        <v>0</v>
      </c>
      <c r="DB5">
        <f ca="1">INDIRECT("'" &amp; A5 &amp; "'!$M$29")</f>
        <v>0</v>
      </c>
      <c r="DC5">
        <f ca="1">INDIRECT("'" &amp; A5 &amp; "'!$N$29")</f>
        <v>0</v>
      </c>
      <c r="DD5">
        <f ca="1">INDIRECT("'" &amp; A5 &amp; "'!$M$30")</f>
        <v>0</v>
      </c>
      <c r="DE5">
        <f ca="1">INDIRECT("'" &amp; A5 &amp; "'!$N$30")</f>
        <v>0</v>
      </c>
      <c r="DF5">
        <f ca="1">INDIRECT("'" &amp; A5 &amp; "'!$M$31")</f>
        <v>0</v>
      </c>
      <c r="DG5">
        <f ca="1">INDIRECT("'" &amp; A5 &amp; "'!$N$31")</f>
        <v>0</v>
      </c>
      <c r="DH5">
        <f ca="1">INDIRECT("'" &amp; A5 &amp; "'!$M$32")</f>
        <v>0</v>
      </c>
      <c r="DI5">
        <f ca="1">INDIRECT("'" &amp; A5 &amp; "'!$N$32")</f>
        <v>0</v>
      </c>
      <c r="DJ5">
        <f ca="1">INDIRECT("'" &amp; A5 &amp; "'!$M$33")</f>
        <v>0</v>
      </c>
      <c r="DK5">
        <f ca="1">INDIRECT("'" &amp; A5 &amp; "'!$N$33")</f>
        <v>0</v>
      </c>
      <c r="DL5" t="e">
        <f ca="1">SUM(CE5/CF5)</f>
        <v>#VALUE!</v>
      </c>
    </row>
    <row r="6" spans="1:116" x14ac:dyDescent="0.25">
      <c r="A6">
        <f>Verzamelblad!A6</f>
        <v>2</v>
      </c>
      <c r="B6" s="14" t="str">
        <f t="shared" ref="B6:B9" ca="1" si="3">INDIRECT("'" &amp; A6 &amp; "'!$B$4")</f>
        <v>Gemeentewerf Buitenpost</v>
      </c>
      <c r="C6" s="154" t="str">
        <f t="shared" ref="C6:C9" ca="1" si="4">IF(INDIRECT("'" &amp; A6 &amp; "'!$I$78")=0,"",INDIRECT("'" &amp; A6 &amp; "'!$I$78"))</f>
        <v/>
      </c>
      <c r="D6" s="154" t="str">
        <f t="shared" ref="D6:D9" ca="1" si="5">IF(INDIRECT("'" &amp; A6 &amp; "'!$F$11")=0,"",INDIRECT("'" &amp; A6 &amp; "'!$F$11"))</f>
        <v/>
      </c>
      <c r="E6" s="154" t="str">
        <f t="shared" ref="E6:E9" ca="1" si="6">IF(INDIRECT("'" &amp; A6 &amp; "'!$I$11")=0,"",INDIRECT("'" &amp; A6 &amp; "'!$I$11"))</f>
        <v/>
      </c>
      <c r="F6" s="154" t="str">
        <f t="shared" ref="F6:F9" ca="1" si="7">IF(INDIRECT("'" &amp; A6 &amp; "'!$F$12")=0,"",INDIRECT("'" &amp; A6 &amp; "'!$F$12"))</f>
        <v/>
      </c>
      <c r="G6" s="154" t="str">
        <f t="shared" ref="G6:G9" ca="1" si="8">IF(INDIRECT("'" &amp; A6 &amp; "'!$I$12")=0,"",INDIRECT("'" &amp; A6 &amp; "'!$I$12"))</f>
        <v/>
      </c>
      <c r="H6" s="154" t="str">
        <f t="shared" ref="H6:H9" ca="1" si="9">IF(INDIRECT("'" &amp; A6 &amp; "'!$F$13")=0,"",INDIRECT("'" &amp; A6 &amp; "'!$F$13"))</f>
        <v/>
      </c>
      <c r="I6" s="154" t="str">
        <f t="shared" ref="I6:I9" ca="1" si="10">IF(INDIRECT("'" &amp; A6 &amp; "'!$I$33")=0,"",INDIRECT("'" &amp; A6 &amp; "'!$I$33"))</f>
        <v/>
      </c>
      <c r="J6" s="154" t="str">
        <f t="shared" ref="J6:J9" ca="1" si="11">IF(INDIRECT("'" &amp; A6 &amp; "'!$I$44")=0,"",INDIRECT("'" &amp; A6 &amp; "'!$I$44"))</f>
        <v/>
      </c>
      <c r="K6" s="154" t="str">
        <f t="shared" ref="K6:K9" ca="1" si="12">IF(INDIRECT("'" &amp; A6 &amp; "'!$I$57")=0,"",INDIRECT("'" &amp; A6 &amp; "'!$I$57"))</f>
        <v/>
      </c>
      <c r="L6" s="154" t="str">
        <f t="shared" ref="L6:L9" ca="1" si="13">IF(INDIRECT("'" &amp; A6 &amp; "'!$I$66")=0,"",INDIRECT("'" &amp; A6 &amp; "'!$I$66"))</f>
        <v/>
      </c>
      <c r="M6" s="21" t="str">
        <f t="shared" ref="M6:M9" ca="1" si="14">IFERROR(INDIRECT("'" &amp; A6 &amp; "'!$J$11"),"")</f>
        <v/>
      </c>
      <c r="N6" s="21" t="str">
        <f t="shared" ref="N6:N9" ca="1" si="15">IFERROR(INDIRECT("'" &amp; A6 &amp; "'!$J$12"),"")</f>
        <v/>
      </c>
      <c r="O6" s="21" t="str">
        <f t="shared" ref="O6:O9" ca="1" si="16">IFERROR(INDIRECT("'" &amp; A6 &amp; "'!$J$13"),"")</f>
        <v/>
      </c>
      <c r="P6" s="21" t="str">
        <f t="shared" ref="P6:P9" ca="1" si="17">IFERROR(INDIRECT("'" &amp; A6 &amp; "'!$F$16"),"")</f>
        <v/>
      </c>
      <c r="Q6" s="154" t="str">
        <f t="shared" ref="Q6:Q9" ca="1" si="18">IF(INDIRECT("'" &amp; A6 &amp; "'!$I$76")=0,"",INDIRECT("'" &amp; A6 &amp; "'!$I$76"))</f>
        <v/>
      </c>
      <c r="R6" s="110"/>
      <c r="T6" s="116" t="str">
        <f t="shared" ref="T6:T9" ca="1" si="19">M6</f>
        <v/>
      </c>
      <c r="U6" s="116" t="str">
        <f t="shared" ref="U6:U9" ca="1" si="20">N6</f>
        <v/>
      </c>
      <c r="V6">
        <f t="shared" si="0"/>
        <v>0</v>
      </c>
      <c r="W6">
        <f t="shared" si="1"/>
        <v>0</v>
      </c>
      <c r="X6">
        <f t="shared" si="2"/>
        <v>0</v>
      </c>
      <c r="Y6" t="str">
        <f t="shared" ref="Y6:Y9" ca="1" si="21">INDIRECT("'" &amp; A6 &amp; "'!$I$14")</f>
        <v/>
      </c>
      <c r="Z6" t="str">
        <f ca="1">INDIRECT("'" &amp; A6 &amp; "'!$I$19")</f>
        <v/>
      </c>
      <c r="AA6" t="str">
        <f t="shared" ref="AA6:AA9" ca="1" si="22">INDIRECT("'" &amp; A6 &amp; "'!$I$22")</f>
        <v/>
      </c>
      <c r="AB6">
        <f t="shared" ref="AB6:AB9" ca="1" si="23">INDIRECT("'" &amp; A6 &amp; "'!$F$22")</f>
        <v>0</v>
      </c>
      <c r="AC6" t="str">
        <f t="shared" ref="AC6:AC9" ca="1" si="24">INDIRECT("'" &amp; A6 &amp; "'!$I$23")</f>
        <v/>
      </c>
      <c r="AD6">
        <f t="shared" ref="AD6:AD9" ca="1" si="25">INDIRECT("'" &amp; A6 &amp; "'!$F$23")</f>
        <v>0</v>
      </c>
      <c r="AE6" t="str">
        <f t="shared" ref="AE6:AE9" ca="1" si="26">INDIRECT("'" &amp; A6 &amp; "'!$I$24")</f>
        <v/>
      </c>
      <c r="AF6">
        <f t="shared" ref="AF6:AF9" ca="1" si="27">INDIRECT("'" &amp; A6 &amp; "'!$F$24")</f>
        <v>0</v>
      </c>
      <c r="AG6" t="str">
        <f t="shared" ref="AG6:AG9" ca="1" si="28">INDIRECT("'" &amp; A6 &amp; "'!$I$25")</f>
        <v/>
      </c>
      <c r="AH6">
        <f t="shared" ref="AH6:AH9" ca="1" si="29">INDIRECT("'" &amp; A6 &amp; "'!$F$25")</f>
        <v>0</v>
      </c>
      <c r="AI6" t="str">
        <f t="shared" ref="AI6:AI9" ca="1" si="30">INDIRECT("'" &amp; A6 &amp; "'!$I$26")</f>
        <v/>
      </c>
      <c r="AJ6">
        <f t="shared" ref="AJ6:AJ9" ca="1" si="31">INDIRECT("'" &amp; A6 &amp; "'!$F$26")</f>
        <v>0</v>
      </c>
      <c r="AK6" t="str">
        <f t="shared" ref="AK6:AK9" ca="1" si="32">INDIRECT("'" &amp; A6 &amp; "'!$I$27")</f>
        <v/>
      </c>
      <c r="AL6">
        <f t="shared" ref="AL6:AL9" ca="1" si="33">INDIRECT("'" &amp; A6 &amp; "'!$F$27")</f>
        <v>0</v>
      </c>
      <c r="AM6" t="str">
        <f t="shared" ref="AM6:AM9" ca="1" si="34">INDIRECT("'" &amp; A6 &amp; "'!$I$28")</f>
        <v/>
      </c>
      <c r="AN6">
        <f t="shared" ref="AN6:AN9" ca="1" si="35">INDIRECT("'" &amp; A6 &amp; "'!$F$28")</f>
        <v>0</v>
      </c>
      <c r="AO6" t="str">
        <f t="shared" ref="AO6:AO9" ca="1" si="36">INDIRECT("'" &amp; A6 &amp; "'!$I$29")</f>
        <v/>
      </c>
      <c r="AP6">
        <f t="shared" ref="AP6:AP9" ca="1" si="37">INDIRECT("'" &amp; A6 &amp; "'!$F$29")</f>
        <v>0</v>
      </c>
      <c r="AQ6" t="str">
        <f t="shared" ref="AQ6:AQ9" ca="1" si="38">INDIRECT("'" &amp; A6 &amp; "'!$I$30")</f>
        <v/>
      </c>
      <c r="AR6">
        <f t="shared" ref="AR6:AR9" ca="1" si="39">INDIRECT("'" &amp; A6 &amp; "'!$F$30")</f>
        <v>0</v>
      </c>
      <c r="AS6" t="str">
        <f t="shared" ref="AS6:AS9" ca="1" si="40">INDIRECT("'" &amp; A6 &amp; "'!$I$31")</f>
        <v/>
      </c>
      <c r="AT6">
        <f t="shared" ref="AT6:AT9" ca="1" si="41">INDIRECT("'" &amp; A6 &amp; "'!$F$31")</f>
        <v>0</v>
      </c>
      <c r="AU6" t="str">
        <f t="shared" ref="AU6:AU9" ca="1" si="42">INDIRECT("'" &amp; A6 &amp; "'!$I$32")</f>
        <v/>
      </c>
      <c r="AV6">
        <f t="shared" ref="AV6:AV9" ca="1" si="43">INDIRECT("'" &amp; A6 &amp; "'!$F$32")</f>
        <v>0</v>
      </c>
      <c r="AW6" t="str">
        <f t="shared" ref="AW6:AW9" ca="1" si="44">INDIRECT("'" &amp; A6 &amp; "'!$I$36")</f>
        <v/>
      </c>
      <c r="AX6">
        <f t="shared" ref="AX6:AX9" ca="1" si="45">INDIRECT("'" &amp; A6 &amp; "'!$F$36")</f>
        <v>0</v>
      </c>
      <c r="AY6" t="str">
        <f t="shared" ref="AY6:AY9" ca="1" si="46">INDIRECT("'" &amp; A6 &amp; "'!$I$37")</f>
        <v/>
      </c>
      <c r="AZ6">
        <f t="shared" ref="AZ6:AZ9" ca="1" si="47">INDIRECT("'" &amp; A6 &amp; "'!$F$37")</f>
        <v>0</v>
      </c>
      <c r="BA6" t="str">
        <f t="shared" ref="BA6:BA9" ca="1" si="48">INDIRECT("'" &amp; A6 &amp; "'!$I$38")</f>
        <v/>
      </c>
      <c r="BB6">
        <f t="shared" ref="BB6:BB9" ca="1" si="49">INDIRECT("'" &amp; A6 &amp; "'!$F$38")</f>
        <v>0</v>
      </c>
      <c r="BC6" t="str">
        <f t="shared" ref="BC6:BC9" ca="1" si="50">INDIRECT("'" &amp; A6 &amp; "'!$I$39")</f>
        <v/>
      </c>
      <c r="BD6">
        <f t="shared" ref="BD6:BD9" ca="1" si="51">INDIRECT("'" &amp; A6 &amp; "'!$F$39")</f>
        <v>0</v>
      </c>
      <c r="BE6" t="str">
        <f t="shared" ref="BE6:BE9" ca="1" si="52">INDIRECT("'" &amp; A6 &amp; "'!$I$40")</f>
        <v/>
      </c>
      <c r="BF6">
        <f t="shared" ref="BF6:BF9" ca="1" si="53">INDIRECT("'" &amp; A6 &amp; "'!$F$40")</f>
        <v>0</v>
      </c>
      <c r="BG6" t="str">
        <f t="shared" ref="BG6:BG9" ca="1" si="54">INDIRECT("'" &amp; A6 &amp; "'!$I$41")</f>
        <v/>
      </c>
      <c r="BH6">
        <f t="shared" ref="BH6:BH9" ca="1" si="55">INDIRECT("'" &amp; A6 &amp; "'!$F$41")</f>
        <v>0</v>
      </c>
      <c r="BI6" t="str">
        <f t="shared" ref="BI6:BI9" ca="1" si="56">INDIRECT("'" &amp; A6 &amp; "'!$I$42")</f>
        <v/>
      </c>
      <c r="BJ6">
        <f t="shared" ref="BJ6:BJ9" ca="1" si="57">INDIRECT("'" &amp; A6 &amp; "'!$F$42")</f>
        <v>0</v>
      </c>
      <c r="BK6" t="str">
        <f t="shared" ref="BK6:BK9" ca="1" si="58">INDIRECT("'" &amp; A6 &amp; "'!$I$47")</f>
        <v/>
      </c>
      <c r="BL6">
        <f t="shared" ref="BL6:BL9" ca="1" si="59">INDIRECT("'" &amp; A6 &amp; "'!$F$47")</f>
        <v>0</v>
      </c>
      <c r="BM6" t="str">
        <f t="shared" ref="BM6:BM9" ca="1" si="60">INDIRECT("'" &amp; A6 &amp; "'!$I$48")</f>
        <v/>
      </c>
      <c r="BN6">
        <f t="shared" ref="BN6:BN9" ca="1" si="61">INDIRECT("'" &amp; A6 &amp; "'!$F$48")</f>
        <v>0</v>
      </c>
      <c r="BO6" t="str">
        <f t="shared" ref="BO6:BO9" ca="1" si="62">INDIRECT("'" &amp; A6 &amp; "'!$I$49")</f>
        <v/>
      </c>
      <c r="BP6">
        <f t="shared" ref="BP6:BP9" ca="1" si="63">INDIRECT("'" &amp; A6 &amp; "'!$F$49")</f>
        <v>0</v>
      </c>
      <c r="BQ6" t="str">
        <f t="shared" ref="BQ6:BQ9" ca="1" si="64">INDIRECT("'" &amp; A6 &amp; "'!$I$50")</f>
        <v/>
      </c>
      <c r="BR6">
        <f t="shared" ref="BR6:BR9" ca="1" si="65">INDIRECT("'" &amp; A6 &amp; "'!$F$50")</f>
        <v>0</v>
      </c>
      <c r="BS6" t="str">
        <f t="shared" ref="BS6:BS9" ca="1" si="66">INDIRECT("'" &amp; A6 &amp; "'!$I$51")</f>
        <v/>
      </c>
      <c r="BT6">
        <f t="shared" ref="BT6:BT9" ca="1" si="67">INDIRECT("'" &amp; A6 &amp; "'!$F$51")</f>
        <v>0</v>
      </c>
      <c r="BU6" t="str">
        <f t="shared" ref="BU6:BU9" ca="1" si="68">INDIRECT("'" &amp; A6 &amp; "'!$I$52")</f>
        <v/>
      </c>
      <c r="BV6">
        <f t="shared" ref="BV6:BV9" ca="1" si="69">INDIRECT("'" &amp; A6 &amp; "'!$F$52")</f>
        <v>0</v>
      </c>
      <c r="BW6" t="str">
        <f t="shared" ref="BW6:BW9" ca="1" si="70">INDIRECT("'" &amp; A6 &amp; "'!$I$53")</f>
        <v/>
      </c>
      <c r="BX6">
        <f t="shared" ref="BX6:BX9" ca="1" si="71">INDIRECT("'" &amp; A6 &amp; "'!$F$53")</f>
        <v>0</v>
      </c>
      <c r="BY6" t="str">
        <f t="shared" ref="BY6:BY9" ca="1" si="72">INDIRECT("'" &amp; A6 &amp; "'!$I$54")</f>
        <v/>
      </c>
      <c r="BZ6">
        <f t="shared" ref="BZ6:BZ9" ca="1" si="73">INDIRECT("'" &amp; A6 &amp; "'!$F$54")</f>
        <v>0</v>
      </c>
      <c r="CA6" t="str">
        <f t="shared" ref="CA6:CA9" ca="1" si="74">INDIRECT("'" &amp; A6 &amp; "'!$I$55")</f>
        <v/>
      </c>
      <c r="CB6">
        <f t="shared" ref="CB6:CB9" ca="1" si="75">INDIRECT("'" &amp; A6 &amp; "'!$F$55")</f>
        <v>0</v>
      </c>
      <c r="CC6" t="str">
        <f t="shared" ref="CC6:CC9" ca="1" si="76">INDIRECT("'" &amp; A6 &amp; "'!$I$56")</f>
        <v/>
      </c>
      <c r="CD6">
        <f t="shared" ref="CD6:CD9" ca="1" si="77">INDIRECT("'" &amp; A6 &amp; "'!$F$56")</f>
        <v>0</v>
      </c>
      <c r="CE6" t="str">
        <f t="shared" ref="CE6:CE9" ca="1" si="78">INDIRECT("'" &amp; A6 &amp; "'!$I$76")</f>
        <v/>
      </c>
      <c r="CF6">
        <f t="shared" ref="CF6:CF9" ca="1" si="79">INDIRECT("'" &amp; A6 &amp; "'!$G$19")</f>
        <v>235</v>
      </c>
      <c r="CG6">
        <f t="shared" ref="CG6:CG9" ca="1" si="80">INDIRECT("'" &amp; A6 &amp; "'!$D$19")</f>
        <v>61100</v>
      </c>
      <c r="CH6">
        <f t="shared" ref="CH6:CH9" ca="1" si="81">INDIRECT("'" &amp; A6 &amp; "'!$M$19")</f>
        <v>0</v>
      </c>
      <c r="CI6">
        <f t="shared" ref="CI6:CI9" ca="1" si="82">INDIRECT("'" &amp; A6 &amp; "'!$N$19")</f>
        <v>0</v>
      </c>
      <c r="CJ6">
        <f t="shared" ref="CJ6:CJ9" ca="1" si="83">INDIRECT("'" &amp; A6 &amp; "'!$M$20")</f>
        <v>0</v>
      </c>
      <c r="CK6">
        <f t="shared" ref="CK6:CK9" ca="1" si="84">INDIRECT("'" &amp; A6 &amp; "'!$N$20")</f>
        <v>0</v>
      </c>
      <c r="CL6">
        <f t="shared" ref="CL6:CL9" ca="1" si="85">INDIRECT("'" &amp; A6 &amp; "'!$M$21")</f>
        <v>0</v>
      </c>
      <c r="CM6">
        <f t="shared" ref="CM6:CM9" ca="1" si="86">INDIRECT("'" &amp; A6 &amp; "'!$N$21")</f>
        <v>0</v>
      </c>
      <c r="CN6">
        <f t="shared" ref="CN6:CN9" ca="1" si="87">INDIRECT("'" &amp; A6 &amp; "'!$M$22")</f>
        <v>0</v>
      </c>
      <c r="CO6">
        <f t="shared" ref="CO6:CO9" ca="1" si="88">INDIRECT("'" &amp; A6 &amp; "'!$N$22")</f>
        <v>0</v>
      </c>
      <c r="CP6">
        <f t="shared" ref="CP6:CP9" ca="1" si="89">INDIRECT("'" &amp; A6 &amp; "'!$M$23")</f>
        <v>0</v>
      </c>
      <c r="CQ6">
        <f t="shared" ref="CQ6:CQ9" ca="1" si="90">INDIRECT("'" &amp; A6 &amp; "'!$N$23")</f>
        <v>0</v>
      </c>
      <c r="CR6">
        <f t="shared" ref="CR6:CR9" ca="1" si="91">INDIRECT("'" &amp; A6 &amp; "'!$M$24")</f>
        <v>0</v>
      </c>
      <c r="CS6">
        <f t="shared" ref="CS6:CS9" ca="1" si="92">INDIRECT("'" &amp; A6 &amp; "'!$N$24")</f>
        <v>0</v>
      </c>
      <c r="CT6">
        <f t="shared" ref="CT6:CT9" ca="1" si="93">INDIRECT("'" &amp; A6 &amp; "'!$M$25")</f>
        <v>0</v>
      </c>
      <c r="CU6">
        <f t="shared" ref="CU6:CU9" ca="1" si="94">INDIRECT("'" &amp; A6 &amp; "'!$N$25")</f>
        <v>0</v>
      </c>
      <c r="CV6">
        <f t="shared" ref="CV6:CV9" ca="1" si="95">INDIRECT("'" &amp; A6 &amp; "'!$M$26")</f>
        <v>0</v>
      </c>
      <c r="CW6">
        <f t="shared" ref="CW6:CW9" ca="1" si="96">INDIRECT("'" &amp; A6 &amp; "'!$N$26")</f>
        <v>0</v>
      </c>
      <c r="CX6">
        <f t="shared" ref="CX6:CX9" ca="1" si="97">INDIRECT("'" &amp; A6 &amp; "'!$M$27")</f>
        <v>0</v>
      </c>
      <c r="CY6">
        <f t="shared" ref="CY6:CY9" ca="1" si="98">INDIRECT("'" &amp; A6 &amp; "'!$N$27")</f>
        <v>0</v>
      </c>
      <c r="CZ6">
        <f t="shared" ref="CZ6:CZ9" ca="1" si="99">INDIRECT("'" &amp; A6 &amp; "'!$M$28")</f>
        <v>0</v>
      </c>
      <c r="DA6">
        <f t="shared" ref="DA6:DA9" ca="1" si="100">INDIRECT("'" &amp; A6 &amp; "'!$N$28")</f>
        <v>0</v>
      </c>
      <c r="DB6">
        <f t="shared" ref="DB6:DB9" ca="1" si="101">INDIRECT("'" &amp; A6 &amp; "'!$M$29")</f>
        <v>0</v>
      </c>
      <c r="DC6">
        <f t="shared" ref="DC6:DC9" ca="1" si="102">INDIRECT("'" &amp; A6 &amp; "'!$N$29")</f>
        <v>0</v>
      </c>
      <c r="DD6">
        <f t="shared" ref="DD6:DD9" ca="1" si="103">INDIRECT("'" &amp; A6 &amp; "'!$M$30")</f>
        <v>0</v>
      </c>
      <c r="DE6">
        <f t="shared" ref="DE6:DE9" ca="1" si="104">INDIRECT("'" &amp; A6 &amp; "'!$N$30")</f>
        <v>0</v>
      </c>
      <c r="DF6">
        <f t="shared" ref="DF6:DF9" ca="1" si="105">INDIRECT("'" &amp; A6 &amp; "'!$M$31")</f>
        <v>0</v>
      </c>
      <c r="DG6">
        <f t="shared" ref="DG6:DG9" ca="1" si="106">INDIRECT("'" &amp; A6 &amp; "'!$N$31")</f>
        <v>0</v>
      </c>
      <c r="DH6">
        <f t="shared" ref="DH6:DH9" ca="1" si="107">INDIRECT("'" &amp; A6 &amp; "'!$M$32")</f>
        <v>0</v>
      </c>
      <c r="DI6">
        <f t="shared" ref="DI6:DI9" ca="1" si="108">INDIRECT("'" &amp; A6 &amp; "'!$N$32")</f>
        <v>0</v>
      </c>
      <c r="DJ6">
        <f t="shared" ref="DJ6:DJ9" ca="1" si="109">INDIRECT("'" &amp; A6 &amp; "'!$M$33")</f>
        <v>0</v>
      </c>
      <c r="DK6">
        <f t="shared" ref="DK6:DK9" ca="1" si="110">INDIRECT("'" &amp; A6 &amp; "'!$N$33")</f>
        <v>0</v>
      </c>
      <c r="DL6" t="e">
        <f t="shared" ref="DL6:DL9" ca="1" si="111">SUM(CE6/CF6)</f>
        <v>#VALUE!</v>
      </c>
    </row>
    <row r="7" spans="1:116" x14ac:dyDescent="0.25">
      <c r="A7">
        <f>Verzamelblad!A7</f>
        <v>3</v>
      </c>
      <c r="B7" s="14" t="str">
        <f t="shared" ca="1" si="3"/>
        <v>Gemeentewerf Surhuisterveen</v>
      </c>
      <c r="C7" s="154" t="str">
        <f t="shared" ca="1" si="4"/>
        <v/>
      </c>
      <c r="D7" s="154" t="str">
        <f t="shared" ca="1" si="5"/>
        <v/>
      </c>
      <c r="E7" s="154" t="str">
        <f t="shared" ca="1" si="6"/>
        <v/>
      </c>
      <c r="F7" s="154" t="str">
        <f t="shared" ca="1" si="7"/>
        <v/>
      </c>
      <c r="G7" s="154" t="str">
        <f t="shared" ca="1" si="8"/>
        <v/>
      </c>
      <c r="H7" s="154" t="str">
        <f t="shared" ca="1" si="9"/>
        <v/>
      </c>
      <c r="I7" s="154" t="str">
        <f t="shared" ca="1" si="10"/>
        <v/>
      </c>
      <c r="J7" s="154" t="str">
        <f t="shared" ca="1" si="11"/>
        <v/>
      </c>
      <c r="K7" s="154" t="str">
        <f t="shared" ca="1" si="12"/>
        <v/>
      </c>
      <c r="L7" s="154" t="str">
        <f t="shared" ca="1" si="13"/>
        <v/>
      </c>
      <c r="M7" s="21" t="str">
        <f t="shared" ca="1" si="14"/>
        <v/>
      </c>
      <c r="N7" s="21" t="str">
        <f t="shared" ca="1" si="15"/>
        <v/>
      </c>
      <c r="O7" s="21" t="str">
        <f t="shared" ca="1" si="16"/>
        <v/>
      </c>
      <c r="P7" s="21" t="str">
        <f t="shared" ca="1" si="17"/>
        <v/>
      </c>
      <c r="Q7" s="154" t="str">
        <f t="shared" ca="1" si="18"/>
        <v/>
      </c>
      <c r="R7" s="110"/>
      <c r="T7" s="116" t="str">
        <f t="shared" ca="1" si="19"/>
        <v/>
      </c>
      <c r="U7" s="116" t="str">
        <f t="shared" ca="1" si="20"/>
        <v/>
      </c>
      <c r="V7">
        <f t="shared" si="0"/>
        <v>0</v>
      </c>
      <c r="W7">
        <f t="shared" si="1"/>
        <v>0</v>
      </c>
      <c r="X7">
        <f t="shared" si="2"/>
        <v>0</v>
      </c>
      <c r="Y7" t="str">
        <f t="shared" ca="1" si="21"/>
        <v/>
      </c>
      <c r="Z7" t="str">
        <f t="shared" ref="Z7:Z9" ca="1" si="112">INDIRECT("'" &amp; A7 &amp; "'!$I$19")</f>
        <v/>
      </c>
      <c r="AA7" t="str">
        <f t="shared" ca="1" si="22"/>
        <v/>
      </c>
      <c r="AB7">
        <f t="shared" ca="1" si="23"/>
        <v>0</v>
      </c>
      <c r="AC7" t="str">
        <f t="shared" ca="1" si="24"/>
        <v/>
      </c>
      <c r="AD7">
        <f t="shared" ca="1" si="25"/>
        <v>0</v>
      </c>
      <c r="AE7" t="str">
        <f t="shared" ca="1" si="26"/>
        <v/>
      </c>
      <c r="AF7">
        <f t="shared" ca="1" si="27"/>
        <v>0</v>
      </c>
      <c r="AG7" t="str">
        <f t="shared" ca="1" si="28"/>
        <v/>
      </c>
      <c r="AH7">
        <f t="shared" ca="1" si="29"/>
        <v>0</v>
      </c>
      <c r="AI7" t="str">
        <f t="shared" ca="1" si="30"/>
        <v/>
      </c>
      <c r="AJ7">
        <f t="shared" ca="1" si="31"/>
        <v>0</v>
      </c>
      <c r="AK7" t="str">
        <f t="shared" ca="1" si="32"/>
        <v/>
      </c>
      <c r="AL7">
        <f t="shared" ca="1" si="33"/>
        <v>0</v>
      </c>
      <c r="AM7" t="str">
        <f t="shared" ca="1" si="34"/>
        <v/>
      </c>
      <c r="AN7">
        <f t="shared" ca="1" si="35"/>
        <v>0</v>
      </c>
      <c r="AO7" t="str">
        <f t="shared" ca="1" si="36"/>
        <v/>
      </c>
      <c r="AP7">
        <f t="shared" ca="1" si="37"/>
        <v>0</v>
      </c>
      <c r="AQ7" t="str">
        <f t="shared" ca="1" si="38"/>
        <v/>
      </c>
      <c r="AR7">
        <f t="shared" ca="1" si="39"/>
        <v>0</v>
      </c>
      <c r="AS7" t="str">
        <f t="shared" ca="1" si="40"/>
        <v/>
      </c>
      <c r="AT7">
        <f t="shared" ca="1" si="41"/>
        <v>0</v>
      </c>
      <c r="AU7" t="str">
        <f t="shared" ca="1" si="42"/>
        <v/>
      </c>
      <c r="AV7">
        <f t="shared" ca="1" si="43"/>
        <v>0</v>
      </c>
      <c r="AW7" t="str">
        <f t="shared" ca="1" si="44"/>
        <v/>
      </c>
      <c r="AX7">
        <f t="shared" ca="1" si="45"/>
        <v>0</v>
      </c>
      <c r="AY7" t="str">
        <f t="shared" ca="1" si="46"/>
        <v/>
      </c>
      <c r="AZ7">
        <f t="shared" ca="1" si="47"/>
        <v>0</v>
      </c>
      <c r="BA7" t="str">
        <f t="shared" ca="1" si="48"/>
        <v/>
      </c>
      <c r="BB7">
        <f t="shared" ca="1" si="49"/>
        <v>0</v>
      </c>
      <c r="BC7" t="str">
        <f t="shared" ca="1" si="50"/>
        <v/>
      </c>
      <c r="BD7">
        <f t="shared" ca="1" si="51"/>
        <v>0</v>
      </c>
      <c r="BE7" t="str">
        <f t="shared" ca="1" si="52"/>
        <v/>
      </c>
      <c r="BF7">
        <f t="shared" ca="1" si="53"/>
        <v>0</v>
      </c>
      <c r="BG7" t="str">
        <f t="shared" ca="1" si="54"/>
        <v/>
      </c>
      <c r="BH7">
        <f t="shared" ca="1" si="55"/>
        <v>0</v>
      </c>
      <c r="BI7" t="str">
        <f t="shared" ca="1" si="56"/>
        <v/>
      </c>
      <c r="BJ7">
        <f t="shared" ca="1" si="57"/>
        <v>0</v>
      </c>
      <c r="BK7" t="str">
        <f t="shared" ca="1" si="58"/>
        <v/>
      </c>
      <c r="BL7">
        <f t="shared" ca="1" si="59"/>
        <v>0</v>
      </c>
      <c r="BM7" t="str">
        <f t="shared" ca="1" si="60"/>
        <v/>
      </c>
      <c r="BN7">
        <f t="shared" ca="1" si="61"/>
        <v>0</v>
      </c>
      <c r="BO7" t="str">
        <f t="shared" ca="1" si="62"/>
        <v/>
      </c>
      <c r="BP7">
        <f t="shared" ca="1" si="63"/>
        <v>0</v>
      </c>
      <c r="BQ7" t="str">
        <f t="shared" ca="1" si="64"/>
        <v/>
      </c>
      <c r="BR7">
        <f t="shared" ca="1" si="65"/>
        <v>0</v>
      </c>
      <c r="BS7" t="str">
        <f t="shared" ca="1" si="66"/>
        <v/>
      </c>
      <c r="BT7">
        <f t="shared" ca="1" si="67"/>
        <v>0</v>
      </c>
      <c r="BU7" t="str">
        <f t="shared" ca="1" si="68"/>
        <v/>
      </c>
      <c r="BV7">
        <f t="shared" ca="1" si="69"/>
        <v>0</v>
      </c>
      <c r="BW7" t="str">
        <f t="shared" ca="1" si="70"/>
        <v/>
      </c>
      <c r="BX7">
        <f t="shared" ca="1" si="71"/>
        <v>0</v>
      </c>
      <c r="BY7" t="str">
        <f t="shared" ca="1" si="72"/>
        <v/>
      </c>
      <c r="BZ7">
        <f t="shared" ca="1" si="73"/>
        <v>0</v>
      </c>
      <c r="CA7" t="str">
        <f t="shared" ca="1" si="74"/>
        <v/>
      </c>
      <c r="CB7">
        <f t="shared" ca="1" si="75"/>
        <v>0</v>
      </c>
      <c r="CC7" t="str">
        <f t="shared" ca="1" si="76"/>
        <v/>
      </c>
      <c r="CD7">
        <f t="shared" ca="1" si="77"/>
        <v>0</v>
      </c>
      <c r="CE7" t="str">
        <f t="shared" ca="1" si="78"/>
        <v/>
      </c>
      <c r="CF7">
        <f t="shared" ca="1" si="79"/>
        <v>96</v>
      </c>
      <c r="CG7">
        <f t="shared" ca="1" si="80"/>
        <v>24960</v>
      </c>
      <c r="CH7">
        <f t="shared" ca="1" si="81"/>
        <v>0</v>
      </c>
      <c r="CI7">
        <f t="shared" ca="1" si="82"/>
        <v>0</v>
      </c>
      <c r="CJ7">
        <f t="shared" ca="1" si="83"/>
        <v>0</v>
      </c>
      <c r="CK7">
        <f t="shared" ca="1" si="84"/>
        <v>0</v>
      </c>
      <c r="CL7">
        <f t="shared" ca="1" si="85"/>
        <v>0</v>
      </c>
      <c r="CM7">
        <f t="shared" ca="1" si="86"/>
        <v>0</v>
      </c>
      <c r="CN7">
        <f t="shared" ca="1" si="87"/>
        <v>0</v>
      </c>
      <c r="CO7">
        <f t="shared" ca="1" si="88"/>
        <v>0</v>
      </c>
      <c r="CP7">
        <f t="shared" ca="1" si="89"/>
        <v>0</v>
      </c>
      <c r="CQ7">
        <f t="shared" ca="1" si="90"/>
        <v>0</v>
      </c>
      <c r="CR7">
        <f t="shared" ca="1" si="91"/>
        <v>0</v>
      </c>
      <c r="CS7">
        <f t="shared" ca="1" si="92"/>
        <v>0</v>
      </c>
      <c r="CT7">
        <f t="shared" ca="1" si="93"/>
        <v>0</v>
      </c>
      <c r="CU7">
        <f t="shared" ca="1" si="94"/>
        <v>0</v>
      </c>
      <c r="CV7">
        <f t="shared" ca="1" si="95"/>
        <v>0</v>
      </c>
      <c r="CW7">
        <f t="shared" ca="1" si="96"/>
        <v>0</v>
      </c>
      <c r="CX7">
        <f t="shared" ca="1" si="97"/>
        <v>0</v>
      </c>
      <c r="CY7">
        <f t="shared" ca="1" si="98"/>
        <v>0</v>
      </c>
      <c r="CZ7">
        <f t="shared" ca="1" si="99"/>
        <v>0</v>
      </c>
      <c r="DA7">
        <f t="shared" ca="1" si="100"/>
        <v>0</v>
      </c>
      <c r="DB7">
        <f t="shared" ca="1" si="101"/>
        <v>0</v>
      </c>
      <c r="DC7">
        <f t="shared" ca="1" si="102"/>
        <v>0</v>
      </c>
      <c r="DD7">
        <f t="shared" ca="1" si="103"/>
        <v>0</v>
      </c>
      <c r="DE7">
        <f t="shared" ca="1" si="104"/>
        <v>0</v>
      </c>
      <c r="DF7">
        <f t="shared" ca="1" si="105"/>
        <v>0</v>
      </c>
      <c r="DG7">
        <f t="shared" ca="1" si="106"/>
        <v>0</v>
      </c>
      <c r="DH7">
        <f t="shared" ca="1" si="107"/>
        <v>0</v>
      </c>
      <c r="DI7">
        <f t="shared" ca="1" si="108"/>
        <v>0</v>
      </c>
      <c r="DJ7">
        <f t="shared" ca="1" si="109"/>
        <v>0</v>
      </c>
      <c r="DK7">
        <f t="shared" ca="1" si="110"/>
        <v>0</v>
      </c>
      <c r="DL7" t="e">
        <f t="shared" ca="1" si="111"/>
        <v>#VALUE!</v>
      </c>
    </row>
    <row r="8" spans="1:116" x14ac:dyDescent="0.25">
      <c r="A8">
        <f>Verzamelblad!A8</f>
        <v>4</v>
      </c>
      <c r="B8" s="14" t="str">
        <f t="shared" ca="1" si="3"/>
        <v>De Kruidhof</v>
      </c>
      <c r="C8" s="154" t="str">
        <f t="shared" ca="1" si="4"/>
        <v/>
      </c>
      <c r="D8" s="154" t="str">
        <f t="shared" ca="1" si="5"/>
        <v/>
      </c>
      <c r="E8" s="154" t="str">
        <f t="shared" ca="1" si="6"/>
        <v/>
      </c>
      <c r="F8" s="154" t="str">
        <f t="shared" ca="1" si="7"/>
        <v/>
      </c>
      <c r="G8" s="154" t="str">
        <f t="shared" ca="1" si="8"/>
        <v/>
      </c>
      <c r="H8" s="154" t="str">
        <f t="shared" ca="1" si="9"/>
        <v/>
      </c>
      <c r="I8" s="154" t="str">
        <f t="shared" ca="1" si="10"/>
        <v/>
      </c>
      <c r="J8" s="154" t="str">
        <f t="shared" ca="1" si="11"/>
        <v/>
      </c>
      <c r="K8" s="154" t="str">
        <f t="shared" ca="1" si="12"/>
        <v/>
      </c>
      <c r="L8" s="154" t="str">
        <f t="shared" ca="1" si="13"/>
        <v/>
      </c>
      <c r="M8" s="21" t="str">
        <f t="shared" ca="1" si="14"/>
        <v/>
      </c>
      <c r="N8" s="21" t="str">
        <f t="shared" ca="1" si="15"/>
        <v/>
      </c>
      <c r="O8" s="21" t="str">
        <f t="shared" ca="1" si="16"/>
        <v/>
      </c>
      <c r="P8" s="21" t="str">
        <f t="shared" ca="1" si="17"/>
        <v/>
      </c>
      <c r="Q8" s="154" t="str">
        <f t="shared" ca="1" si="18"/>
        <v/>
      </c>
      <c r="R8" s="110"/>
      <c r="T8" s="116" t="str">
        <f t="shared" ca="1" si="19"/>
        <v/>
      </c>
      <c r="U8" s="116" t="str">
        <f t="shared" ca="1" si="20"/>
        <v/>
      </c>
      <c r="V8">
        <f t="shared" si="0"/>
        <v>0</v>
      </c>
      <c r="W8">
        <f t="shared" si="1"/>
        <v>0</v>
      </c>
      <c r="X8">
        <f t="shared" si="2"/>
        <v>0</v>
      </c>
      <c r="Y8" t="str">
        <f t="shared" ca="1" si="21"/>
        <v/>
      </c>
      <c r="Z8" t="str">
        <f t="shared" ca="1" si="112"/>
        <v/>
      </c>
      <c r="AA8" t="str">
        <f t="shared" ca="1" si="22"/>
        <v/>
      </c>
      <c r="AB8">
        <f t="shared" ca="1" si="23"/>
        <v>0</v>
      </c>
      <c r="AC8" t="str">
        <f t="shared" ca="1" si="24"/>
        <v/>
      </c>
      <c r="AD8">
        <f t="shared" ca="1" si="25"/>
        <v>0</v>
      </c>
      <c r="AE8" t="str">
        <f t="shared" ca="1" si="26"/>
        <v/>
      </c>
      <c r="AF8">
        <f t="shared" ca="1" si="27"/>
        <v>0</v>
      </c>
      <c r="AG8" t="str">
        <f t="shared" ca="1" si="28"/>
        <v/>
      </c>
      <c r="AH8">
        <f t="shared" ca="1" si="29"/>
        <v>0</v>
      </c>
      <c r="AI8" t="str">
        <f t="shared" ca="1" si="30"/>
        <v/>
      </c>
      <c r="AJ8">
        <f t="shared" ca="1" si="31"/>
        <v>0</v>
      </c>
      <c r="AK8" t="str">
        <f t="shared" ca="1" si="32"/>
        <v/>
      </c>
      <c r="AL8">
        <f t="shared" ca="1" si="33"/>
        <v>0</v>
      </c>
      <c r="AM8" t="str">
        <f t="shared" ca="1" si="34"/>
        <v/>
      </c>
      <c r="AN8">
        <f t="shared" ca="1" si="35"/>
        <v>0</v>
      </c>
      <c r="AO8" t="str">
        <f t="shared" ca="1" si="36"/>
        <v/>
      </c>
      <c r="AP8">
        <f t="shared" ca="1" si="37"/>
        <v>0</v>
      </c>
      <c r="AQ8" t="str">
        <f t="shared" ca="1" si="38"/>
        <v/>
      </c>
      <c r="AR8">
        <f t="shared" ca="1" si="39"/>
        <v>0</v>
      </c>
      <c r="AS8" t="str">
        <f t="shared" ca="1" si="40"/>
        <v/>
      </c>
      <c r="AT8">
        <f t="shared" ca="1" si="41"/>
        <v>0</v>
      </c>
      <c r="AU8" t="str">
        <f t="shared" ca="1" si="42"/>
        <v/>
      </c>
      <c r="AV8">
        <f t="shared" ca="1" si="43"/>
        <v>0</v>
      </c>
      <c r="AW8" t="str">
        <f t="shared" ca="1" si="44"/>
        <v/>
      </c>
      <c r="AX8">
        <f t="shared" ca="1" si="45"/>
        <v>0</v>
      </c>
      <c r="AY8" t="str">
        <f t="shared" ca="1" si="46"/>
        <v/>
      </c>
      <c r="AZ8">
        <f t="shared" ca="1" si="47"/>
        <v>0</v>
      </c>
      <c r="BA8" t="str">
        <f t="shared" ca="1" si="48"/>
        <v/>
      </c>
      <c r="BB8">
        <f t="shared" ca="1" si="49"/>
        <v>0</v>
      </c>
      <c r="BC8" t="str">
        <f t="shared" ca="1" si="50"/>
        <v/>
      </c>
      <c r="BD8">
        <f t="shared" ca="1" si="51"/>
        <v>0</v>
      </c>
      <c r="BE8" t="str">
        <f t="shared" ca="1" si="52"/>
        <v/>
      </c>
      <c r="BF8">
        <f t="shared" ca="1" si="53"/>
        <v>0</v>
      </c>
      <c r="BG8" t="str">
        <f t="shared" ca="1" si="54"/>
        <v/>
      </c>
      <c r="BH8">
        <f t="shared" ca="1" si="55"/>
        <v>0</v>
      </c>
      <c r="BI8" t="str">
        <f t="shared" ca="1" si="56"/>
        <v/>
      </c>
      <c r="BJ8">
        <f t="shared" ca="1" si="57"/>
        <v>0</v>
      </c>
      <c r="BK8" t="str">
        <f t="shared" ca="1" si="58"/>
        <v/>
      </c>
      <c r="BL8">
        <f t="shared" ca="1" si="59"/>
        <v>0</v>
      </c>
      <c r="BM8" t="str">
        <f t="shared" ca="1" si="60"/>
        <v/>
      </c>
      <c r="BN8">
        <f t="shared" ca="1" si="61"/>
        <v>0</v>
      </c>
      <c r="BO8" t="str">
        <f t="shared" ca="1" si="62"/>
        <v/>
      </c>
      <c r="BP8">
        <f t="shared" ca="1" si="63"/>
        <v>0</v>
      </c>
      <c r="BQ8" t="str">
        <f t="shared" ca="1" si="64"/>
        <v/>
      </c>
      <c r="BR8">
        <f t="shared" ca="1" si="65"/>
        <v>0</v>
      </c>
      <c r="BS8" t="str">
        <f t="shared" ca="1" si="66"/>
        <v/>
      </c>
      <c r="BT8">
        <f t="shared" ca="1" si="67"/>
        <v>0</v>
      </c>
      <c r="BU8" t="str">
        <f t="shared" ca="1" si="68"/>
        <v/>
      </c>
      <c r="BV8">
        <f t="shared" ca="1" si="69"/>
        <v>0</v>
      </c>
      <c r="BW8" t="str">
        <f t="shared" ca="1" si="70"/>
        <v/>
      </c>
      <c r="BX8">
        <f t="shared" ca="1" si="71"/>
        <v>0</v>
      </c>
      <c r="BY8" t="str">
        <f t="shared" ca="1" si="72"/>
        <v/>
      </c>
      <c r="BZ8">
        <f t="shared" ca="1" si="73"/>
        <v>0</v>
      </c>
      <c r="CA8" t="str">
        <f t="shared" ca="1" si="74"/>
        <v/>
      </c>
      <c r="CB8">
        <f t="shared" ca="1" si="75"/>
        <v>0</v>
      </c>
      <c r="CC8">
        <f t="shared" ca="1" si="76"/>
        <v>0</v>
      </c>
      <c r="CD8">
        <f t="shared" ca="1" si="77"/>
        <v>0</v>
      </c>
      <c r="CE8" t="str">
        <f t="shared" ca="1" si="78"/>
        <v/>
      </c>
      <c r="CF8">
        <f t="shared" ca="1" si="79"/>
        <v>264.18</v>
      </c>
      <c r="CG8">
        <f t="shared" ca="1" si="80"/>
        <v>13737.36</v>
      </c>
      <c r="CH8">
        <f t="shared" ca="1" si="81"/>
        <v>0</v>
      </c>
      <c r="CI8">
        <f t="shared" ca="1" si="82"/>
        <v>0</v>
      </c>
      <c r="CJ8">
        <f t="shared" ca="1" si="83"/>
        <v>0</v>
      </c>
      <c r="CK8">
        <f t="shared" ca="1" si="84"/>
        <v>0</v>
      </c>
      <c r="CL8">
        <f t="shared" ca="1" si="85"/>
        <v>0</v>
      </c>
      <c r="CM8">
        <f t="shared" ca="1" si="86"/>
        <v>0</v>
      </c>
      <c r="CN8">
        <f t="shared" ca="1" si="87"/>
        <v>0</v>
      </c>
      <c r="CO8">
        <f t="shared" ca="1" si="88"/>
        <v>0</v>
      </c>
      <c r="CP8">
        <f t="shared" ca="1" si="89"/>
        <v>0</v>
      </c>
      <c r="CQ8">
        <f t="shared" ca="1" si="90"/>
        <v>0</v>
      </c>
      <c r="CR8">
        <f t="shared" ca="1" si="91"/>
        <v>0</v>
      </c>
      <c r="CS8">
        <f t="shared" ca="1" si="92"/>
        <v>0</v>
      </c>
      <c r="CT8">
        <f t="shared" ca="1" si="93"/>
        <v>0</v>
      </c>
      <c r="CU8">
        <f t="shared" ca="1" si="94"/>
        <v>0</v>
      </c>
      <c r="CV8">
        <f t="shared" ca="1" si="95"/>
        <v>0</v>
      </c>
      <c r="CW8">
        <f t="shared" ca="1" si="96"/>
        <v>0</v>
      </c>
      <c r="CX8">
        <f t="shared" ca="1" si="97"/>
        <v>0</v>
      </c>
      <c r="CY8">
        <f t="shared" ca="1" si="98"/>
        <v>0</v>
      </c>
      <c r="CZ8">
        <f t="shared" ca="1" si="99"/>
        <v>0</v>
      </c>
      <c r="DA8">
        <f t="shared" ca="1" si="100"/>
        <v>0</v>
      </c>
      <c r="DB8">
        <f t="shared" ca="1" si="101"/>
        <v>0</v>
      </c>
      <c r="DC8">
        <f t="shared" ca="1" si="102"/>
        <v>0</v>
      </c>
      <c r="DD8">
        <f t="shared" ca="1" si="103"/>
        <v>0</v>
      </c>
      <c r="DE8">
        <f t="shared" ca="1" si="104"/>
        <v>0</v>
      </c>
      <c r="DF8">
        <f t="shared" ca="1" si="105"/>
        <v>0</v>
      </c>
      <c r="DG8">
        <f t="shared" ca="1" si="106"/>
        <v>0</v>
      </c>
      <c r="DH8">
        <f t="shared" ca="1" si="107"/>
        <v>0</v>
      </c>
      <c r="DI8">
        <f t="shared" ca="1" si="108"/>
        <v>0</v>
      </c>
      <c r="DJ8">
        <f t="shared" ca="1" si="109"/>
        <v>0</v>
      </c>
      <c r="DK8">
        <f t="shared" ca="1" si="110"/>
        <v>0</v>
      </c>
      <c r="DL8" t="e">
        <f t="shared" ca="1" si="111"/>
        <v>#VALUE!</v>
      </c>
    </row>
    <row r="9" spans="1:116" hidden="1" x14ac:dyDescent="0.25">
      <c r="A9">
        <f>Verzamelblad!A9</f>
        <v>5</v>
      </c>
      <c r="B9" s="14">
        <f t="shared" ca="1" si="3"/>
        <v>0</v>
      </c>
      <c r="C9" s="154" t="str">
        <f t="shared" ca="1" si="4"/>
        <v/>
      </c>
      <c r="D9" s="154" t="str">
        <f t="shared" ca="1" si="5"/>
        <v/>
      </c>
      <c r="E9" s="154" t="str">
        <f t="shared" ca="1" si="6"/>
        <v/>
      </c>
      <c r="F9" s="154" t="str">
        <f t="shared" ca="1" si="7"/>
        <v/>
      </c>
      <c r="G9" s="154" t="str">
        <f t="shared" ca="1" si="8"/>
        <v/>
      </c>
      <c r="H9" s="154" t="str">
        <f t="shared" ca="1" si="9"/>
        <v/>
      </c>
      <c r="I9" s="154" t="str">
        <f t="shared" ca="1" si="10"/>
        <v/>
      </c>
      <c r="J9" s="154" t="str">
        <f t="shared" ca="1" si="11"/>
        <v/>
      </c>
      <c r="K9" s="154" t="str">
        <f t="shared" ca="1" si="12"/>
        <v/>
      </c>
      <c r="L9" s="154" t="str">
        <f t="shared" ca="1" si="13"/>
        <v/>
      </c>
      <c r="M9" s="21" t="str">
        <f t="shared" ca="1" si="14"/>
        <v/>
      </c>
      <c r="N9" s="21" t="str">
        <f t="shared" ca="1" si="15"/>
        <v/>
      </c>
      <c r="O9" s="21" t="str">
        <f t="shared" ca="1" si="16"/>
        <v/>
      </c>
      <c r="P9" s="21" t="str">
        <f t="shared" ca="1" si="17"/>
        <v/>
      </c>
      <c r="Q9" s="154" t="str">
        <f t="shared" ca="1" si="18"/>
        <v/>
      </c>
      <c r="R9" s="110"/>
      <c r="T9" s="116" t="str">
        <f t="shared" ca="1" si="19"/>
        <v/>
      </c>
      <c r="U9" s="116" t="str">
        <f t="shared" ca="1" si="20"/>
        <v/>
      </c>
      <c r="V9">
        <f t="shared" si="0"/>
        <v>0</v>
      </c>
      <c r="W9">
        <f t="shared" si="1"/>
        <v>0</v>
      </c>
      <c r="X9">
        <f t="shared" si="2"/>
        <v>0</v>
      </c>
      <c r="Y9" t="str">
        <f t="shared" ca="1" si="21"/>
        <v/>
      </c>
      <c r="Z9" t="str">
        <f t="shared" ca="1" si="112"/>
        <v/>
      </c>
      <c r="AA9" t="str">
        <f t="shared" ca="1" si="22"/>
        <v/>
      </c>
      <c r="AB9">
        <f t="shared" ca="1" si="23"/>
        <v>0</v>
      </c>
      <c r="AC9" t="str">
        <f t="shared" ca="1" si="24"/>
        <v/>
      </c>
      <c r="AD9">
        <f t="shared" ca="1" si="25"/>
        <v>0</v>
      </c>
      <c r="AE9" t="str">
        <f t="shared" ca="1" si="26"/>
        <v/>
      </c>
      <c r="AF9">
        <f t="shared" ca="1" si="27"/>
        <v>0</v>
      </c>
      <c r="AG9" t="str">
        <f t="shared" ca="1" si="28"/>
        <v/>
      </c>
      <c r="AH9">
        <f t="shared" ca="1" si="29"/>
        <v>0</v>
      </c>
      <c r="AI9" t="str">
        <f t="shared" ca="1" si="30"/>
        <v/>
      </c>
      <c r="AJ9">
        <f t="shared" ca="1" si="31"/>
        <v>0</v>
      </c>
      <c r="AK9" t="str">
        <f t="shared" ca="1" si="32"/>
        <v/>
      </c>
      <c r="AL9">
        <f t="shared" ca="1" si="33"/>
        <v>0</v>
      </c>
      <c r="AM9" t="str">
        <f t="shared" ca="1" si="34"/>
        <v/>
      </c>
      <c r="AN9">
        <f t="shared" ca="1" si="35"/>
        <v>0</v>
      </c>
      <c r="AO9" t="str">
        <f t="shared" ca="1" si="36"/>
        <v/>
      </c>
      <c r="AP9">
        <f t="shared" ca="1" si="37"/>
        <v>0</v>
      </c>
      <c r="AQ9" t="str">
        <f t="shared" ca="1" si="38"/>
        <v/>
      </c>
      <c r="AR9">
        <f t="shared" ca="1" si="39"/>
        <v>0</v>
      </c>
      <c r="AS9" t="str">
        <f t="shared" ca="1" si="40"/>
        <v/>
      </c>
      <c r="AT9">
        <f t="shared" ca="1" si="41"/>
        <v>0</v>
      </c>
      <c r="AU9" t="str">
        <f t="shared" ca="1" si="42"/>
        <v/>
      </c>
      <c r="AV9">
        <f t="shared" ca="1" si="43"/>
        <v>0</v>
      </c>
      <c r="AW9" t="str">
        <f t="shared" ca="1" si="44"/>
        <v/>
      </c>
      <c r="AX9">
        <f t="shared" ca="1" si="45"/>
        <v>0</v>
      </c>
      <c r="AY9" t="str">
        <f t="shared" ca="1" si="46"/>
        <v/>
      </c>
      <c r="AZ9">
        <f t="shared" ca="1" si="47"/>
        <v>0</v>
      </c>
      <c r="BA9" t="str">
        <f t="shared" ca="1" si="48"/>
        <v/>
      </c>
      <c r="BB9">
        <f t="shared" ca="1" si="49"/>
        <v>0</v>
      </c>
      <c r="BC9" t="str">
        <f t="shared" ca="1" si="50"/>
        <v/>
      </c>
      <c r="BD9">
        <f t="shared" ca="1" si="51"/>
        <v>0</v>
      </c>
      <c r="BE9" t="str">
        <f t="shared" ca="1" si="52"/>
        <v/>
      </c>
      <c r="BF9">
        <f t="shared" ca="1" si="53"/>
        <v>0</v>
      </c>
      <c r="BG9" t="str">
        <f t="shared" ca="1" si="54"/>
        <v/>
      </c>
      <c r="BH9">
        <f t="shared" ca="1" si="55"/>
        <v>0</v>
      </c>
      <c r="BI9" t="str">
        <f t="shared" ca="1" si="56"/>
        <v/>
      </c>
      <c r="BJ9">
        <f t="shared" ca="1" si="57"/>
        <v>0</v>
      </c>
      <c r="BK9" t="str">
        <f t="shared" ca="1" si="58"/>
        <v/>
      </c>
      <c r="BL9">
        <f t="shared" ca="1" si="59"/>
        <v>0</v>
      </c>
      <c r="BM9" t="str">
        <f t="shared" ca="1" si="60"/>
        <v/>
      </c>
      <c r="BN9">
        <f t="shared" ca="1" si="61"/>
        <v>0</v>
      </c>
      <c r="BO9" t="str">
        <f t="shared" ca="1" si="62"/>
        <v/>
      </c>
      <c r="BP9">
        <f t="shared" ca="1" si="63"/>
        <v>0</v>
      </c>
      <c r="BQ9" t="str">
        <f t="shared" ca="1" si="64"/>
        <v/>
      </c>
      <c r="BR9">
        <f t="shared" ca="1" si="65"/>
        <v>0</v>
      </c>
      <c r="BS9" t="str">
        <f t="shared" ca="1" si="66"/>
        <v/>
      </c>
      <c r="BT9">
        <f t="shared" ca="1" si="67"/>
        <v>0</v>
      </c>
      <c r="BU9" t="str">
        <f t="shared" ca="1" si="68"/>
        <v/>
      </c>
      <c r="BV9">
        <f t="shared" ca="1" si="69"/>
        <v>0</v>
      </c>
      <c r="BW9" t="str">
        <f t="shared" ca="1" si="70"/>
        <v/>
      </c>
      <c r="BX9">
        <f t="shared" ca="1" si="71"/>
        <v>0</v>
      </c>
      <c r="BY9" t="str">
        <f t="shared" ca="1" si="72"/>
        <v/>
      </c>
      <c r="BZ9">
        <f t="shared" ca="1" si="73"/>
        <v>0</v>
      </c>
      <c r="CA9" t="str">
        <f t="shared" ca="1" si="74"/>
        <v/>
      </c>
      <c r="CB9">
        <f t="shared" ca="1" si="75"/>
        <v>0</v>
      </c>
      <c r="CC9" t="str">
        <f t="shared" ca="1" si="76"/>
        <v/>
      </c>
      <c r="CD9">
        <f t="shared" ca="1" si="77"/>
        <v>0</v>
      </c>
      <c r="CE9" t="str">
        <f t="shared" ca="1" si="78"/>
        <v/>
      </c>
      <c r="CF9" t="str">
        <f t="shared" ca="1" si="79"/>
        <v/>
      </c>
      <c r="CG9">
        <f t="shared" ca="1" si="80"/>
        <v>0</v>
      </c>
      <c r="CH9">
        <f t="shared" ca="1" si="81"/>
        <v>0</v>
      </c>
      <c r="CI9">
        <f t="shared" ca="1" si="82"/>
        <v>0</v>
      </c>
      <c r="CJ9">
        <f t="shared" ca="1" si="83"/>
        <v>0</v>
      </c>
      <c r="CK9">
        <f t="shared" ca="1" si="84"/>
        <v>0</v>
      </c>
      <c r="CL9">
        <f t="shared" ca="1" si="85"/>
        <v>0</v>
      </c>
      <c r="CM9">
        <f t="shared" ca="1" si="86"/>
        <v>0</v>
      </c>
      <c r="CN9">
        <f t="shared" ca="1" si="87"/>
        <v>0</v>
      </c>
      <c r="CO9">
        <f t="shared" ca="1" si="88"/>
        <v>0</v>
      </c>
      <c r="CP9">
        <f t="shared" ca="1" si="89"/>
        <v>0</v>
      </c>
      <c r="CQ9">
        <f t="shared" ca="1" si="90"/>
        <v>0</v>
      </c>
      <c r="CR9">
        <f t="shared" ca="1" si="91"/>
        <v>0</v>
      </c>
      <c r="CS9">
        <f t="shared" ca="1" si="92"/>
        <v>0</v>
      </c>
      <c r="CT9">
        <f t="shared" ca="1" si="93"/>
        <v>0</v>
      </c>
      <c r="CU9">
        <f t="shared" ca="1" si="94"/>
        <v>0</v>
      </c>
      <c r="CV9">
        <f t="shared" ca="1" si="95"/>
        <v>0</v>
      </c>
      <c r="CW9">
        <f t="shared" ca="1" si="96"/>
        <v>0</v>
      </c>
      <c r="CX9">
        <f t="shared" ca="1" si="97"/>
        <v>0</v>
      </c>
      <c r="CY9">
        <f t="shared" ca="1" si="98"/>
        <v>0</v>
      </c>
      <c r="CZ9">
        <f t="shared" ca="1" si="99"/>
        <v>0</v>
      </c>
      <c r="DA9">
        <f t="shared" ca="1" si="100"/>
        <v>0</v>
      </c>
      <c r="DB9">
        <f t="shared" ca="1" si="101"/>
        <v>0</v>
      </c>
      <c r="DC9">
        <f t="shared" ca="1" si="102"/>
        <v>0</v>
      </c>
      <c r="DD9">
        <f t="shared" ca="1" si="103"/>
        <v>0</v>
      </c>
      <c r="DE9">
        <f t="shared" ca="1" si="104"/>
        <v>0</v>
      </c>
      <c r="DF9">
        <f t="shared" ca="1" si="105"/>
        <v>0</v>
      </c>
      <c r="DG9">
        <f t="shared" ca="1" si="106"/>
        <v>0</v>
      </c>
      <c r="DH9">
        <f t="shared" ca="1" si="107"/>
        <v>0</v>
      </c>
      <c r="DI9">
        <f t="shared" ca="1" si="108"/>
        <v>0</v>
      </c>
      <c r="DJ9">
        <f t="shared" ca="1" si="109"/>
        <v>0</v>
      </c>
      <c r="DK9">
        <f t="shared" ca="1" si="110"/>
        <v>0</v>
      </c>
      <c r="DL9" t="e">
        <f t="shared" ca="1" si="111"/>
        <v>#VALUE!</v>
      </c>
    </row>
    <row r="10" spans="1:116" x14ac:dyDescent="0.25">
      <c r="R10" s="109"/>
    </row>
    <row r="11" spans="1:116" ht="15.75" thickBot="1" x14ac:dyDescent="0.3">
      <c r="B11" s="41" t="s">
        <v>189</v>
      </c>
      <c r="C11" s="41"/>
      <c r="D11" s="41"/>
      <c r="E11" s="42" t="str">
        <f ca="1">IF(SUM(E5:E9)=0,"",SUM(E5:E9))</f>
        <v/>
      </c>
      <c r="F11" s="41"/>
      <c r="G11" s="42" t="str">
        <f t="shared" ref="G11:Q11" ca="1" si="113">IF(SUM(G5:G9)=0,"",SUM(G5:G9))</f>
        <v/>
      </c>
      <c r="H11" s="42" t="str">
        <f t="shared" ca="1" si="113"/>
        <v/>
      </c>
      <c r="I11" s="42" t="str">
        <f t="shared" ca="1" si="113"/>
        <v/>
      </c>
      <c r="J11" s="42" t="str">
        <f t="shared" ca="1" si="113"/>
        <v/>
      </c>
      <c r="K11" s="42" t="str">
        <f t="shared" ca="1" si="113"/>
        <v/>
      </c>
      <c r="L11" s="42" t="str">
        <f t="shared" ca="1" si="113"/>
        <v/>
      </c>
      <c r="M11" s="108" t="str">
        <f t="shared" ca="1" si="113"/>
        <v/>
      </c>
      <c r="N11" s="108" t="str">
        <f t="shared" ca="1" si="113"/>
        <v/>
      </c>
      <c r="O11" s="108" t="str">
        <f t="shared" ca="1" si="113"/>
        <v/>
      </c>
      <c r="P11" s="108" t="str">
        <f t="shared" ca="1" si="113"/>
        <v/>
      </c>
      <c r="Q11" s="42" t="str">
        <f t="shared" ca="1" si="113"/>
        <v/>
      </c>
      <c r="R11" s="110"/>
    </row>
    <row r="12" spans="1:116" ht="15.75" thickTop="1" x14ac:dyDescent="0.25"/>
    <row r="13" spans="1:116" x14ac:dyDescent="0.25">
      <c r="B13" t="s">
        <v>188</v>
      </c>
    </row>
    <row r="14" spans="1:116" x14ac:dyDescent="0.25"/>
    <row r="15" spans="1:116" x14ac:dyDescent="0.25"/>
    <row r="16" spans="1:116" x14ac:dyDescent="0.25"/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</sheetData>
  <mergeCells count="1">
    <mergeCell ref="B1:Q1"/>
  </mergeCells>
  <pageMargins left="0.70866141732283472" right="0.70866141732283472" top="0.94488188976377963" bottom="0.74803149606299213" header="0.31496062992125984" footer="0.31496062992125984"/>
  <pageSetup paperSize="9" scale="54" orientation="landscape" r:id="rId1"/>
  <headerFooter>
    <oddHeader xml:space="preserve">&amp;L&amp;G
</oddHeader>
  </headerFooter>
  <colBreaks count="1" manualBreakCount="1">
    <brk id="18" max="1048575" man="1"/>
  </colBreaks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12">
    <tabColor rgb="FFC2E76B"/>
  </sheetPr>
  <dimension ref="A1:O121"/>
  <sheetViews>
    <sheetView showGridLines="0" showZeros="0" zoomScaleNormal="100" workbookViewId="0">
      <selection activeCell="K56" sqref="K56"/>
    </sheetView>
  </sheetViews>
  <sheetFormatPr defaultColWidth="0" defaultRowHeight="0" customHeight="1" zeroHeight="1" x14ac:dyDescent="0.25"/>
  <cols>
    <col min="1" max="3" width="9.140625" customWidth="1"/>
    <col min="4" max="5" width="15.7109375" customWidth="1"/>
    <col min="6" max="6" width="17.140625" customWidth="1"/>
    <col min="7" max="9" width="15.7109375" customWidth="1"/>
    <col min="10" max="10" width="12.140625" customWidth="1"/>
    <col min="11" max="11" width="15.7109375" customWidth="1"/>
    <col min="12" max="12" width="16.42578125" customWidth="1"/>
    <col min="13" max="13" width="2.140625" customWidth="1"/>
    <col min="14" max="15" width="0" hidden="1" customWidth="1"/>
    <col min="16" max="16384" width="9.140625" hidden="1"/>
  </cols>
  <sheetData>
    <row r="1" spans="1:11" ht="15" x14ac:dyDescent="0.25"/>
    <row r="2" spans="1:11" ht="23.25" x14ac:dyDescent="0.35">
      <c r="D2" s="23" t="str">
        <f>CONCATENATE("Uitvoeringsbepaling"," ",H4,", onderdeel van ",Verzamelblad!A2," ",Verzamelblad!A3)</f>
        <v xml:space="preserve">Uitvoeringsbepaling 5, onderdeel van Bestek </v>
      </c>
      <c r="E2" s="11"/>
      <c r="F2" s="11"/>
      <c r="G2" s="11"/>
      <c r="H2" s="15"/>
    </row>
    <row r="3" spans="1:11" ht="15" x14ac:dyDescent="0.25">
      <c r="A3" s="12"/>
      <c r="B3" s="12"/>
      <c r="C3" s="12"/>
      <c r="D3" s="32"/>
      <c r="E3" s="32"/>
      <c r="F3" s="12"/>
      <c r="G3" s="12"/>
      <c r="H3" s="12"/>
    </row>
    <row r="4" spans="1:11" ht="15" customHeight="1" x14ac:dyDescent="0.25">
      <c r="A4" s="54" t="s">
        <v>7</v>
      </c>
      <c r="B4" s="535">
        <f>VLOOKUP(H4,Verzamelblad!A5:E19,3)</f>
        <v>0</v>
      </c>
      <c r="C4" s="535"/>
      <c r="D4" s="535"/>
      <c r="E4" s="535"/>
      <c r="F4" s="531" t="s">
        <v>11</v>
      </c>
      <c r="G4" s="531"/>
      <c r="H4" s="197">
        <v>5</v>
      </c>
    </row>
    <row r="5" spans="1:11" ht="15" x14ac:dyDescent="0.25">
      <c r="A5" s="66" t="s">
        <v>6</v>
      </c>
      <c r="B5" s="534">
        <f>VLOOKUP(H4,Verzamelblad!A5:E19,4)</f>
        <v>0</v>
      </c>
      <c r="C5" s="534"/>
      <c r="D5" s="534"/>
      <c r="E5" s="534"/>
      <c r="F5" s="532" t="s">
        <v>12</v>
      </c>
      <c r="G5" s="532"/>
      <c r="H5" s="198" t="str">
        <f>CONCATENATE(H4,"a")</f>
        <v>5a</v>
      </c>
    </row>
    <row r="6" spans="1:11" ht="15" x14ac:dyDescent="0.25">
      <c r="A6" s="69" t="s">
        <v>8</v>
      </c>
      <c r="B6" s="533">
        <f>VLOOKUP(H4,Verzamelblad!A5:E19,5)</f>
        <v>0</v>
      </c>
      <c r="C6" s="533"/>
      <c r="D6" s="533"/>
      <c r="E6" s="533"/>
      <c r="F6" s="536" t="s">
        <v>143</v>
      </c>
      <c r="G6" s="536"/>
      <c r="H6" s="199"/>
      <c r="I6" s="12"/>
    </row>
    <row r="7" spans="1:11" ht="15" x14ac:dyDescent="0.25">
      <c r="A7" s="16"/>
      <c r="B7" s="16"/>
      <c r="C7" s="16"/>
      <c r="D7" s="16"/>
      <c r="E7" s="16"/>
      <c r="F7" s="12"/>
      <c r="G7" s="24"/>
      <c r="H7" s="25"/>
      <c r="I7" s="12"/>
    </row>
    <row r="8" spans="1:11" ht="15" x14ac:dyDescent="0.25">
      <c r="A8" s="59" t="s">
        <v>9</v>
      </c>
      <c r="B8" s="60"/>
      <c r="C8" s="60"/>
      <c r="D8" s="60"/>
      <c r="E8" s="200">
        <f>VLOOKUP($H$4,Verzamelblad!$A$5:$EK$19,14,0)</f>
        <v>0</v>
      </c>
      <c r="F8" s="196"/>
      <c r="G8" s="12"/>
      <c r="H8" s="12"/>
      <c r="I8" s="12"/>
    </row>
    <row r="9" spans="1:11" ht="15" x14ac:dyDescent="0.25">
      <c r="A9" s="58" t="s">
        <v>10</v>
      </c>
      <c r="B9" s="46"/>
      <c r="C9" s="46"/>
      <c r="D9" s="46"/>
      <c r="E9" s="201">
        <f>VLOOKUP($H$4,Verzamelblad!$A$5:$EK$19,6,0)</f>
        <v>0</v>
      </c>
      <c r="F9" s="12"/>
      <c r="G9" s="12"/>
      <c r="H9" s="12"/>
      <c r="I9" s="12"/>
    </row>
    <row r="10" spans="1:11" ht="18.75" customHeight="1" x14ac:dyDescent="0.25">
      <c r="F10" s="3" t="s">
        <v>190</v>
      </c>
      <c r="G10" s="3" t="s">
        <v>191</v>
      </c>
      <c r="H10" s="3" t="s">
        <v>74</v>
      </c>
      <c r="I10" s="3" t="s">
        <v>192</v>
      </c>
      <c r="J10" s="3" t="s">
        <v>193</v>
      </c>
      <c r="K10" s="3" t="s">
        <v>194</v>
      </c>
    </row>
    <row r="11" spans="1:11" ht="15" x14ac:dyDescent="0.25">
      <c r="A11" s="54" t="s">
        <v>18</v>
      </c>
      <c r="B11" s="55"/>
      <c r="C11" s="55"/>
      <c r="D11" s="65"/>
      <c r="E11" s="44"/>
      <c r="F11" s="76" t="str">
        <f>IFERROR(IF(SUM(I11/12)=0,"",SUM(I11/12)),"")</f>
        <v/>
      </c>
      <c r="G11" s="77" t="str">
        <f>IFERROR(SUM(J11/12),"")</f>
        <v/>
      </c>
      <c r="H11" s="75" t="str">
        <f>IFERROR(SUM(J11/E9),"")</f>
        <v/>
      </c>
      <c r="I11" s="76" t="str">
        <f>IFERROR(IF(SUM($I$14*K11)=0,"",SUM($I$14*K11)),"")</f>
        <v/>
      </c>
      <c r="J11" s="77" t="str">
        <f>IFERROR(SUM(J14*K11),"")</f>
        <v/>
      </c>
      <c r="K11" s="190"/>
    </row>
    <row r="12" spans="1:11" ht="15" x14ac:dyDescent="0.25">
      <c r="A12" s="66" t="s">
        <v>19</v>
      </c>
      <c r="B12" s="67"/>
      <c r="C12" s="67"/>
      <c r="D12" s="68"/>
      <c r="E12" s="45"/>
      <c r="F12" s="78" t="str">
        <f>IFERROR(IF(SUM(I12/3)=0,"",SUM(I12/3)),"")</f>
        <v/>
      </c>
      <c r="G12" s="79" t="str">
        <f>IFERROR(SUM(J12/3),"")</f>
        <v/>
      </c>
      <c r="H12" s="26"/>
      <c r="I12" s="84" t="str">
        <f>IFERROR(IF(SUM($I$14*K12)=0,"",SUM($I$14*K12)),"")</f>
        <v/>
      </c>
      <c r="J12" s="85" t="str">
        <f>IFERROR(SUM(J14*K12),"")</f>
        <v/>
      </c>
      <c r="K12" s="191"/>
    </row>
    <row r="13" spans="1:11" ht="15" x14ac:dyDescent="0.25">
      <c r="A13" s="69" t="s">
        <v>20</v>
      </c>
      <c r="B13" s="70"/>
      <c r="C13" s="70"/>
      <c r="D13" s="71"/>
      <c r="E13" s="47"/>
      <c r="F13" s="80" t="str">
        <f>IF(I13=0,"",I13)</f>
        <v/>
      </c>
      <c r="G13" s="81" t="str">
        <f>IFERROR(J13,"")</f>
        <v/>
      </c>
      <c r="H13" s="27"/>
      <c r="I13" s="86" t="str">
        <f>IFERROR(IF(SUM($I$14*K13)=0,"",SUM($I$14*K13)),"")</f>
        <v/>
      </c>
      <c r="J13" s="87" t="str">
        <f>IFERROR(SUM(J14*K13),"")</f>
        <v/>
      </c>
      <c r="K13" s="192"/>
    </row>
    <row r="14" spans="1:11" ht="15.75" thickBot="1" x14ac:dyDescent="0.3">
      <c r="A14" s="12" t="s">
        <v>13</v>
      </c>
      <c r="B14" s="12"/>
      <c r="C14" s="12"/>
      <c r="D14" s="12"/>
      <c r="E14" s="32"/>
      <c r="F14" s="82" t="str">
        <f>IFERROR(IF(SUM(F11:F13)=0,"",SUM(F11:F13)),"")</f>
        <v/>
      </c>
      <c r="G14" s="83">
        <f>IFERROR(SUM(G11:G13),"")</f>
        <v>0</v>
      </c>
      <c r="H14" s="33"/>
      <c r="I14" s="82" t="str">
        <f>IFERROR(IF(E100=0,"",E100),"")</f>
        <v/>
      </c>
      <c r="J14" s="83" t="str">
        <f>IFERROR(SUM(I14/offertetarief),"")</f>
        <v/>
      </c>
      <c r="K14" s="12" t="str">
        <f>IF(SUM(K11:K13)=100%,"","Geen 100%")</f>
        <v>Geen 100%</v>
      </c>
    </row>
    <row r="15" spans="1:11" ht="15.75" thickTop="1" x14ac:dyDescent="0.25">
      <c r="F15" s="3" t="s">
        <v>195</v>
      </c>
      <c r="G15" s="3" t="s">
        <v>196</v>
      </c>
    </row>
    <row r="16" spans="1:11" ht="15" x14ac:dyDescent="0.25">
      <c r="A16" s="63" t="s">
        <v>14</v>
      </c>
      <c r="B16" s="61"/>
      <c r="C16" s="61"/>
      <c r="D16" s="61"/>
      <c r="E16" s="64"/>
      <c r="F16" s="88" t="str">
        <f>IFERROR(SUM((J14*directtoezicht)/E9),"")</f>
        <v/>
      </c>
      <c r="G16" s="89" t="str">
        <f>IF(J14="","",SUM(J14*directtoezicht))</f>
        <v/>
      </c>
    </row>
    <row r="17" spans="1:12" ht="15.75" customHeight="1" x14ac:dyDescent="0.25">
      <c r="K17" s="537" t="s">
        <v>214</v>
      </c>
      <c r="L17" s="537" t="s">
        <v>215</v>
      </c>
    </row>
    <row r="18" spans="1:12" ht="15.75" customHeight="1" x14ac:dyDescent="0.25">
      <c r="A18" t="s">
        <v>75</v>
      </c>
      <c r="K18" s="538"/>
      <c r="L18" s="538"/>
    </row>
    <row r="19" spans="1:12" ht="15" x14ac:dyDescent="0.25">
      <c r="A19" s="539" t="s">
        <v>197</v>
      </c>
      <c r="B19" s="540"/>
      <c r="C19" s="541"/>
      <c r="D19" s="173">
        <f ca="1">D100</f>
        <v>0</v>
      </c>
      <c r="E19" s="542" t="s">
        <v>198</v>
      </c>
      <c r="F19" s="543"/>
      <c r="G19" s="90" t="str">
        <f ca="1">IFERROR(D100/E9,"")</f>
        <v/>
      </c>
      <c r="H19" s="62" t="s">
        <v>199</v>
      </c>
      <c r="I19" s="91" t="str">
        <f ca="1">IFERROR(SUM(D19/J14),"")</f>
        <v/>
      </c>
      <c r="K19" s="51" t="str">
        <f ca="1">IF(INDIRECT("'"&amp;$H$5&amp;"'!F539")="H","",IF(INDIRECT("'"&amp;$H$5&amp;"'!F539")="Vrije categorie","",INDIRECT("'"&amp;$H$5&amp;"'!F539")))</f>
        <v>A</v>
      </c>
      <c r="L19" s="187"/>
    </row>
    <row r="20" spans="1:12" ht="15" x14ac:dyDescent="0.25">
      <c r="K20" s="52" t="str">
        <f ca="1">IF(INDIRECT("'"&amp;$H$5&amp;"'!F540")="H","",IF(INDIRECT("'"&amp;$H$5&amp;"'!F540")="Vrije categorie","",INDIRECT("'"&amp;$H$5&amp;"'!F540")))</f>
        <v>B</v>
      </c>
      <c r="L20" s="188"/>
    </row>
    <row r="21" spans="1:12" ht="15" x14ac:dyDescent="0.25">
      <c r="A21" t="s">
        <v>15</v>
      </c>
      <c r="B21" s="13"/>
      <c r="D21" s="3" t="s">
        <v>200</v>
      </c>
      <c r="E21" s="3" t="s">
        <v>201</v>
      </c>
      <c r="F21" s="3" t="s">
        <v>202</v>
      </c>
      <c r="G21" s="3" t="s">
        <v>203</v>
      </c>
      <c r="H21" s="3" t="s">
        <v>204</v>
      </c>
      <c r="I21" s="3" t="s">
        <v>205</v>
      </c>
      <c r="K21" s="52" t="str">
        <f ca="1">IF(INDIRECT("'"&amp;$H$5&amp;"'!F541")="H","",IF(INDIRECT("'"&amp;$H$5&amp;"'!F541")="Vrije categorie","",INDIRECT("'"&amp;$H$5&amp;"'!F541")))</f>
        <v>C</v>
      </c>
      <c r="L21" s="188"/>
    </row>
    <row r="22" spans="1:12" ht="15" x14ac:dyDescent="0.25">
      <c r="A22" s="59" t="str">
        <f>VLOOKUP($H$4,Verzamelblad!$A$5:$EK$19,32,0)</f>
        <v>Dieptereiniging sanitair</v>
      </c>
      <c r="B22" s="43"/>
      <c r="C22" s="44"/>
      <c r="D22" s="48" t="str">
        <f>VLOOKUP($H$4,Verzamelblad!$A$5:$EK$19,33,0)</f>
        <v>m²</v>
      </c>
      <c r="E22" s="169">
        <f>VLOOKUP($H$4,Verzamelblad!$A$5:$DE$19,34)</f>
        <v>0</v>
      </c>
      <c r="F22" s="217"/>
      <c r="G22" s="143" t="str">
        <f>IF(IF(E22="","",SUM(E22*F22))=0,"",IF(E22="","",SUM(E22*F22)))</f>
        <v/>
      </c>
      <c r="H22" s="48">
        <f>VLOOKUP($H$4,Verzamelblad!$A$5:$EK$19,35,0)</f>
        <v>0</v>
      </c>
      <c r="I22" s="146" t="str">
        <f>IFERROR(IF(IF(H22="op afroep","",SUM(G22*H22))=0,"",IF(H22="op afroep","",SUM(G22*H22))),"")</f>
        <v/>
      </c>
      <c r="K22" s="52" t="str">
        <f ca="1">IF(INDIRECT("'"&amp;$H$5&amp;"'!F542")="H","",IF(INDIRECT("'"&amp;$H$5&amp;"'!F542")="Vrije categorie","",INDIRECT("'"&amp;$H$5&amp;"'!F542")))</f>
        <v>D</v>
      </c>
      <c r="L22" s="188"/>
    </row>
    <row r="23" spans="1:12" ht="15" x14ac:dyDescent="0.25">
      <c r="A23" s="56">
        <f>VLOOKUP($H$4,Verzamelblad!$A$5:$EK$19,36,0)</f>
        <v>0</v>
      </c>
      <c r="B23" s="57"/>
      <c r="C23" s="45"/>
      <c r="D23" s="49">
        <f>VLOOKUP($H$4,Verzamelblad!$A$5:$EK$19,37,0)</f>
        <v>0</v>
      </c>
      <c r="E23" s="49">
        <f>VLOOKUP($H$4,Verzamelblad!$A$5:$DE$19,38)</f>
        <v>0</v>
      </c>
      <c r="F23" s="218"/>
      <c r="G23" s="144" t="str">
        <f>IF(IF(E23="","",SUM(E23*F23))=0,"",IF(E23="","",SUM(E23*F23)))</f>
        <v/>
      </c>
      <c r="H23" s="49">
        <f>VLOOKUP($H$4,Verzamelblad!$A$5:$EK$19,39,0)</f>
        <v>0</v>
      </c>
      <c r="I23" s="147" t="str">
        <f>IFERROR(IF(IF(H23="op afroep","",SUM(G23*H23))=0,"",IF(H23="op afroep","",SUM(G23*H23))),"")</f>
        <v/>
      </c>
      <c r="K23" s="52" t="str">
        <f ca="1">IF(INDIRECT("'"&amp;$H$5&amp;"'!F543")="H","",IF(INDIRECT("'"&amp;$H$5&amp;"'!F543")="Vrije categorie","",INDIRECT("'"&amp;$H$5&amp;"'!F543")))</f>
        <v>E</v>
      </c>
      <c r="L23" s="188"/>
    </row>
    <row r="24" spans="1:12" ht="15" x14ac:dyDescent="0.25">
      <c r="A24" s="56">
        <f>VLOOKUP($H$4,Verzamelblad!$A$5:$EK$19,40,0)</f>
        <v>0</v>
      </c>
      <c r="B24" s="57"/>
      <c r="C24" s="45"/>
      <c r="D24" s="49">
        <f>VLOOKUP($H$4,Verzamelblad!$A$5:$EK$19,41,0)</f>
        <v>0</v>
      </c>
      <c r="E24" s="49">
        <f>VLOOKUP($H$4,Verzamelblad!$A$5:$DE$19,42)</f>
        <v>0</v>
      </c>
      <c r="F24" s="218"/>
      <c r="G24" s="144" t="str">
        <f t="shared" ref="G24:G32" si="0">IF(IF(E24="","",SUM(E24*F24))=0,"",IF(E24="","",SUM(E24*F24)))</f>
        <v/>
      </c>
      <c r="H24" s="49">
        <f>VLOOKUP($H$4,Verzamelblad!$A$5:$EK$19,43,0)</f>
        <v>0</v>
      </c>
      <c r="I24" s="147" t="str">
        <f t="shared" ref="I24:I31" si="1">IFERROR(IF(IF(H24="op afroep","",SUM(G24*H24))=0,"",IF(H24="op afroep","",SUM(G24*H24))),"")</f>
        <v/>
      </c>
      <c r="K24" s="52" t="str">
        <f ca="1">IF(INDIRECT("'"&amp;$H$5&amp;"'!F544")="H","",IF(INDIRECT("'"&amp;$H$5&amp;"'!F544")="Vrije categorie","",INDIRECT("'"&amp;$H$5&amp;"'!F544")))</f>
        <v>F</v>
      </c>
      <c r="L24" s="188"/>
    </row>
    <row r="25" spans="1:12" ht="15" x14ac:dyDescent="0.25">
      <c r="A25" s="56">
        <f>VLOOKUP($H$4,Verzamelblad!$A$5:$EK$19,44,0)</f>
        <v>0</v>
      </c>
      <c r="B25" s="57"/>
      <c r="C25" s="45"/>
      <c r="D25" s="49">
        <f>VLOOKUP($H$4,Verzamelblad!$A$5:$EK$19,45,0)</f>
        <v>0</v>
      </c>
      <c r="E25" s="49">
        <f>VLOOKUP($H$4,Verzamelblad!$A$5:$DE$19,46)</f>
        <v>0</v>
      </c>
      <c r="F25" s="218"/>
      <c r="G25" s="144" t="str">
        <f t="shared" si="0"/>
        <v/>
      </c>
      <c r="H25" s="49">
        <f>VLOOKUP($H$4,Verzamelblad!$A$5:$EK$19,47,0)</f>
        <v>0</v>
      </c>
      <c r="I25" s="147" t="str">
        <f t="shared" si="1"/>
        <v/>
      </c>
      <c r="K25" s="52" t="str">
        <f ca="1">IF(INDIRECT("'"&amp;$H$5&amp;"'!F545")="H","",IF(INDIRECT("'"&amp;$H$5&amp;"'!F545")="Vrije categorie","",INDIRECT("'"&amp;$H$5&amp;"'!F545")))</f>
        <v>G</v>
      </c>
      <c r="L25" s="188"/>
    </row>
    <row r="26" spans="1:12" ht="15" x14ac:dyDescent="0.25">
      <c r="A26" s="56">
        <f>VLOOKUP($H$4,Verzamelblad!$A$5:$EK$19,48,0)</f>
        <v>0</v>
      </c>
      <c r="B26" s="57"/>
      <c r="C26" s="45"/>
      <c r="D26" s="49">
        <f>VLOOKUP($H$4,Verzamelblad!$A$5:$EK$19,49,0)</f>
        <v>0</v>
      </c>
      <c r="E26" s="49">
        <f>VLOOKUP($H$4,Verzamelblad!$A$5:$DE$19,50)</f>
        <v>0</v>
      </c>
      <c r="F26" s="218"/>
      <c r="G26" s="144" t="str">
        <f t="shared" si="0"/>
        <v/>
      </c>
      <c r="H26" s="49">
        <f>VLOOKUP($H$4,Verzamelblad!$A$5:$EK$19,51,0)</f>
        <v>0</v>
      </c>
      <c r="I26" s="147" t="str">
        <f t="shared" si="1"/>
        <v/>
      </c>
      <c r="K26" s="52" t="str">
        <f ca="1">IF(INDIRECT("'"&amp;$H$5&amp;"'!F546")="H","",IF(INDIRECT("'"&amp;$H$5&amp;"'!F546")="Vrije categorie","",INDIRECT("'"&amp;$H$5&amp;"'!F546")))</f>
        <v/>
      </c>
      <c r="L26" s="188"/>
    </row>
    <row r="27" spans="1:12" ht="15" x14ac:dyDescent="0.25">
      <c r="A27" s="56">
        <f>VLOOKUP($H$4,Verzamelblad!$A$5:$EK$19,52,0)</f>
        <v>0</v>
      </c>
      <c r="B27" s="57"/>
      <c r="C27" s="45"/>
      <c r="D27" s="49">
        <f>VLOOKUP($H$4,Verzamelblad!$A$5:$EK$19,53,0)</f>
        <v>0</v>
      </c>
      <c r="E27" s="49">
        <f>VLOOKUP($H$4,Verzamelblad!$A$5:$DE$19,54)</f>
        <v>0</v>
      </c>
      <c r="F27" s="218"/>
      <c r="G27" s="144" t="str">
        <f t="shared" si="0"/>
        <v/>
      </c>
      <c r="H27" s="49">
        <f>VLOOKUP($H$4,Verzamelblad!$A$5:$EK$19,55,0)</f>
        <v>0</v>
      </c>
      <c r="I27" s="147" t="str">
        <f t="shared" si="1"/>
        <v/>
      </c>
      <c r="K27" s="52" t="str">
        <f ca="1">IF(INDIRECT("'"&amp;$H$5&amp;"'!F547")="H","",IF(INDIRECT("'"&amp;$H$5&amp;"'!F547")="Vrije categorie","",INDIRECT("'"&amp;$H$5&amp;"'!F547")))</f>
        <v>I</v>
      </c>
      <c r="L27" s="188"/>
    </row>
    <row r="28" spans="1:12" ht="15" x14ac:dyDescent="0.25">
      <c r="A28" s="56">
        <f>VLOOKUP($H$4,Verzamelblad!$A$5:$EK$19,56,0)</f>
        <v>0</v>
      </c>
      <c r="B28" s="57"/>
      <c r="C28" s="45"/>
      <c r="D28" s="49">
        <f>VLOOKUP($H$4,Verzamelblad!$A$5:$EK$19,57,0)</f>
        <v>0</v>
      </c>
      <c r="E28" s="49">
        <f>VLOOKUP($H$4,Verzamelblad!$A$5:$DE$19,58)</f>
        <v>0</v>
      </c>
      <c r="F28" s="218"/>
      <c r="G28" s="144" t="str">
        <f t="shared" si="0"/>
        <v/>
      </c>
      <c r="H28" s="49">
        <f>VLOOKUP($H$4,Verzamelblad!$A$5:$EK$19,59,0)</f>
        <v>0</v>
      </c>
      <c r="I28" s="147" t="str">
        <f t="shared" si="1"/>
        <v/>
      </c>
      <c r="K28" s="52" t="str">
        <f ca="1">IF(INDIRECT("'"&amp;$H$5&amp;"'!F548")="H","",IF(INDIRECT("'"&amp;$H$5&amp;"'!F548")="Vrije categorie","",INDIRECT("'"&amp;$H$5&amp;"'!F548")))</f>
        <v>J</v>
      </c>
      <c r="L28" s="188"/>
    </row>
    <row r="29" spans="1:12" ht="15" x14ac:dyDescent="0.25">
      <c r="A29" s="56">
        <f>VLOOKUP($H$4,Verzamelblad!$A$5:$EK$19,60,0)</f>
        <v>0</v>
      </c>
      <c r="B29" s="57"/>
      <c r="C29" s="45"/>
      <c r="D29" s="49">
        <f>VLOOKUP($H$4,Verzamelblad!$A$5:$EK$19,61,0)</f>
        <v>0</v>
      </c>
      <c r="E29" s="49">
        <f>VLOOKUP($H$4,Verzamelblad!$A$5:$DE$19,62)</f>
        <v>0</v>
      </c>
      <c r="F29" s="218"/>
      <c r="G29" s="144" t="str">
        <f t="shared" si="0"/>
        <v/>
      </c>
      <c r="H29" s="49">
        <f>VLOOKUP($H$4,Verzamelblad!$A$5:$EK$19,63,0)</f>
        <v>0</v>
      </c>
      <c r="I29" s="147" t="str">
        <f t="shared" si="1"/>
        <v/>
      </c>
      <c r="K29" s="52" t="str">
        <f ca="1">IF(INDIRECT("'"&amp;$H$5&amp;"'!F549")="H","",IF(INDIRECT("'"&amp;$H$5&amp;"'!F549")="Vrije categorie","",INDIRECT("'"&amp;$H$5&amp;"'!F549")))</f>
        <v>K</v>
      </c>
      <c r="L29" s="188"/>
    </row>
    <row r="30" spans="1:12" ht="15" x14ac:dyDescent="0.25">
      <c r="A30" s="56">
        <f>VLOOKUP($H$4,Verzamelblad!$A$5:$EK$19,64,0)</f>
        <v>0</v>
      </c>
      <c r="B30" s="57"/>
      <c r="C30" s="45"/>
      <c r="D30" s="49">
        <f>VLOOKUP($H$4,Verzamelblad!$A$5:$EK$19,65,0)</f>
        <v>0</v>
      </c>
      <c r="E30" s="49">
        <f>VLOOKUP($H$4,Verzamelblad!$A$5:$DE$19,66)</f>
        <v>0</v>
      </c>
      <c r="F30" s="218"/>
      <c r="G30" s="144" t="str">
        <f t="shared" si="0"/>
        <v/>
      </c>
      <c r="H30" s="49">
        <f>VLOOKUP($H$4,Verzamelblad!$A$5:$EK$19,67,0)</f>
        <v>0</v>
      </c>
      <c r="I30" s="147" t="str">
        <f t="shared" si="1"/>
        <v/>
      </c>
      <c r="K30" s="52" t="str">
        <f ca="1">IF(INDIRECT("'"&amp;$H$5&amp;"'!F550")="H","",IF(INDIRECT("'"&amp;$H$5&amp;"'!F550")="Vrije categorie","",INDIRECT("'"&amp;$H$5&amp;"'!F550")))</f>
        <v>X</v>
      </c>
      <c r="L30" s="188"/>
    </row>
    <row r="31" spans="1:12" ht="15" x14ac:dyDescent="0.25">
      <c r="A31" s="56">
        <f>VLOOKUP($H$4,Verzamelblad!$A$5:$EK$19,68,0)</f>
        <v>0</v>
      </c>
      <c r="B31" s="57"/>
      <c r="C31" s="45"/>
      <c r="D31" s="49">
        <f>VLOOKUP($H$4,Verzamelblad!$A$5:$EK$19,69,0)</f>
        <v>0</v>
      </c>
      <c r="E31" s="49">
        <f>VLOOKUP($H$4,Verzamelblad!$A$5:$DE$19,70)</f>
        <v>0</v>
      </c>
      <c r="F31" s="218"/>
      <c r="G31" s="144" t="str">
        <f t="shared" si="0"/>
        <v/>
      </c>
      <c r="H31" s="49">
        <f>VLOOKUP($H$4,Verzamelblad!$A$5:$EK$19,71,0)</f>
        <v>0</v>
      </c>
      <c r="I31" s="147" t="str">
        <f t="shared" si="1"/>
        <v/>
      </c>
      <c r="K31" s="52" t="str">
        <f ca="1">IF(INDIRECT("'"&amp;$H$5&amp;"'!F551")="H","",IF(INDIRECT("'"&amp;$H$5&amp;"'!F551")="Vrije categorie","",INDIRECT("'"&amp;$H$5&amp;"'!F551")))</f>
        <v/>
      </c>
      <c r="L31" s="188"/>
    </row>
    <row r="32" spans="1:12" ht="15" x14ac:dyDescent="0.25">
      <c r="A32" s="58">
        <f>VLOOKUP($H$4,Verzamelblad!$A$5:$EK$19,72,0)</f>
        <v>0</v>
      </c>
      <c r="B32" s="46"/>
      <c r="C32" s="47"/>
      <c r="D32" s="50">
        <f>VLOOKUP($H$4,Verzamelblad!$A$5:$EK$19,73,0)</f>
        <v>0</v>
      </c>
      <c r="E32" s="50">
        <f>VLOOKUP($H$4,Verzamelblad!$A$5:$DE$19,74)</f>
        <v>0</v>
      </c>
      <c r="F32" s="219"/>
      <c r="G32" s="145" t="str">
        <f t="shared" si="0"/>
        <v/>
      </c>
      <c r="H32" s="50">
        <f>VLOOKUP($H$4,Verzamelblad!$A$5:$EK$19,75,0)</f>
        <v>0</v>
      </c>
      <c r="I32" s="148" t="str">
        <f>IFERROR(IF(IF(H32="op afroep","",SUM(G32*H32))=0,"",IF(H32="op afroep","",SUM(G32*H32))),"")</f>
        <v/>
      </c>
      <c r="K32" s="52" t="str">
        <f ca="1">IF(INDIRECT("'"&amp;$H$5&amp;"'!F552")="H","",IF(INDIRECT("'"&amp;$H$5&amp;"'!F552")="Vrije categorie","",INDIRECT("'"&amp;$H$5&amp;"'!F552")))</f>
        <v/>
      </c>
      <c r="L32" s="188"/>
    </row>
    <row r="33" spans="1:12" ht="15.75" thickBot="1" x14ac:dyDescent="0.3">
      <c r="A33" s="12" t="s">
        <v>17</v>
      </c>
      <c r="B33" s="12"/>
      <c r="C33" s="12"/>
      <c r="D33" s="12"/>
      <c r="E33" s="12"/>
      <c r="F33" s="12"/>
      <c r="G33" s="12"/>
      <c r="H33" s="12"/>
      <c r="I33" s="149" t="str">
        <f>IF(SUM(I22:I32)=0,"",SUM(I22:I32))</f>
        <v/>
      </c>
      <c r="K33" s="53" t="str">
        <f ca="1">IF(INDIRECT("'"&amp;$H$5&amp;"'!F553")="H","",IF(INDIRECT("'"&amp;$H$5&amp;"'!F553")="Vrije categorie","",INDIRECT("'"&amp;$H$5&amp;"'!F553")))</f>
        <v/>
      </c>
      <c r="L33" s="189"/>
    </row>
    <row r="34" spans="1:12" ht="15.75" thickTop="1" x14ac:dyDescent="0.25"/>
    <row r="35" spans="1:12" ht="15" x14ac:dyDescent="0.25">
      <c r="A35" t="s">
        <v>142</v>
      </c>
      <c r="E35" s="3" t="s">
        <v>206</v>
      </c>
      <c r="F35" s="3" t="s">
        <v>207</v>
      </c>
      <c r="G35" s="3" t="s">
        <v>203</v>
      </c>
      <c r="H35" s="3" t="s">
        <v>204</v>
      </c>
      <c r="I35" s="3" t="s">
        <v>205</v>
      </c>
    </row>
    <row r="36" spans="1:12" ht="15" x14ac:dyDescent="0.25">
      <c r="A36" s="59" t="str">
        <f>VLOOKUP($H$4,Verzamelblad!$A$5:$EK$19,16,0)</f>
        <v>Recoaten</v>
      </c>
      <c r="B36" s="60"/>
      <c r="C36" s="60"/>
      <c r="D36" s="44"/>
      <c r="E36" s="77">
        <f ca="1">VLOOKUP($H$4,Verzamelblad!$A$5:$DE$19,105)</f>
        <v>0</v>
      </c>
      <c r="F36" s="217"/>
      <c r="G36" s="143" t="str">
        <f ca="1">IF(IF(E36="","",SUM(E36*F36))=0,"",IF(E36="","",SUM(E36*F36)))</f>
        <v/>
      </c>
      <c r="H36" s="48">
        <f>VLOOKUP($H$4,Verzamelblad!$A$5:$DE$19,17)</f>
        <v>0</v>
      </c>
      <c r="I36" s="146" t="str">
        <f t="shared" ref="I36:I43" ca="1" si="2">IFERROR(IF(IF(H36="op afroep","",SUM(G36*H36))=0,"",IF(H36="op afroep","",SUM(G36*H36))),"")</f>
        <v/>
      </c>
    </row>
    <row r="37" spans="1:12" ht="15" x14ac:dyDescent="0.25">
      <c r="A37" s="56" t="str">
        <f>VLOOKUP($H$4,Verzamelblad!$A$5:$EK$19,18,0)</f>
        <v>Topstrippen en topcoaten</v>
      </c>
      <c r="B37" s="57"/>
      <c r="C37" s="57"/>
      <c r="D37" s="45"/>
      <c r="E37" s="85">
        <f ca="1">VLOOKUP($H$4,Verzamelblad!$A$5:$DE$19,106)</f>
        <v>0</v>
      </c>
      <c r="F37" s="218"/>
      <c r="G37" s="144" t="str">
        <f ca="1">IF(IF(E37="","",SUM(E37*F37))=0,"",IF(E37="","",SUM(E37*F37)))</f>
        <v/>
      </c>
      <c r="H37" s="49">
        <f>VLOOKUP($H$4,Verzamelblad!$A$5:$DE$19,19)</f>
        <v>0</v>
      </c>
      <c r="I37" s="147" t="str">
        <f t="shared" ca="1" si="2"/>
        <v/>
      </c>
    </row>
    <row r="38" spans="1:12" ht="15" x14ac:dyDescent="0.25">
      <c r="A38" s="56" t="str">
        <f>VLOOKUP($H$4,Verzamelblad!$A$5:$EK$19,20,0)</f>
        <v>Volsprayen</v>
      </c>
      <c r="B38" s="57"/>
      <c r="C38" s="57"/>
      <c r="D38" s="45"/>
      <c r="E38" s="85">
        <f ca="1">VLOOKUP($H$4,Verzamelblad!$A$5:$DE$19,107)</f>
        <v>0</v>
      </c>
      <c r="F38" s="218"/>
      <c r="G38" s="144" t="str">
        <f t="shared" ref="G38:G43" ca="1" si="3">IF(IF(E38="","",SUM(E38*F38))=0,"",IF(E38="","",SUM(E38*F38)))</f>
        <v/>
      </c>
      <c r="H38" s="49">
        <f>VLOOKUP($H$4,Verzamelblad!$A$5:$DE$19,21)</f>
        <v>0</v>
      </c>
      <c r="I38" s="147" t="str">
        <f t="shared" ca="1" si="2"/>
        <v/>
      </c>
      <c r="K38" s="12"/>
    </row>
    <row r="39" spans="1:12" ht="15" x14ac:dyDescent="0.25">
      <c r="A39" s="56" t="str">
        <f>VLOOKUP($H$4,Verzamelblad!$A$5:$EK$19,22,0)</f>
        <v>Tapijtreinigen</v>
      </c>
      <c r="B39" s="57"/>
      <c r="C39" s="57"/>
      <c r="D39" s="45"/>
      <c r="E39" s="85">
        <f ca="1">VLOOKUP($H$4,Verzamelblad!$A$5:$DE$19,108)</f>
        <v>0</v>
      </c>
      <c r="F39" s="218"/>
      <c r="G39" s="144" t="str">
        <f t="shared" ca="1" si="3"/>
        <v/>
      </c>
      <c r="H39" s="49">
        <f>VLOOKUP($H$4,Verzamelblad!$A$5:$DE$19,23)</f>
        <v>0</v>
      </c>
      <c r="I39" s="147" t="str">
        <f t="shared" ca="1" si="2"/>
        <v/>
      </c>
    </row>
    <row r="40" spans="1:12" ht="15" x14ac:dyDescent="0.25">
      <c r="A40" s="56" t="str">
        <f>VLOOKUP($H$4,Verzamelblad!$A$5:$EK$19,24,0)</f>
        <v>Reinigen inloopzones</v>
      </c>
      <c r="B40" s="57"/>
      <c r="C40" s="57"/>
      <c r="D40" s="45"/>
      <c r="E40" s="93">
        <f>VLOOKUP($H$4,Verzamelblad!$A$5:$DE$19,109)</f>
        <v>0</v>
      </c>
      <c r="F40" s="218"/>
      <c r="G40" s="144" t="str">
        <f t="shared" si="3"/>
        <v/>
      </c>
      <c r="H40" s="49">
        <f>VLOOKUP($H$4,Verzamelblad!$A$5:$DE$19,25)</f>
        <v>0</v>
      </c>
      <c r="I40" s="147" t="str">
        <f t="shared" si="2"/>
        <v/>
      </c>
    </row>
    <row r="41" spans="1:12" ht="15" x14ac:dyDescent="0.25">
      <c r="A41" s="56">
        <f>VLOOKUP($H$4,Verzamelblad!$A$5:$EK$19,26,0)</f>
        <v>0</v>
      </c>
      <c r="B41" s="57"/>
      <c r="C41" s="57"/>
      <c r="D41" s="45"/>
      <c r="E41" s="93">
        <v>0</v>
      </c>
      <c r="F41" s="218"/>
      <c r="G41" s="144" t="str">
        <f t="shared" si="3"/>
        <v/>
      </c>
      <c r="H41" s="49">
        <f>VLOOKUP($H$4,Verzamelblad!$A$5:$DE$19,27)</f>
        <v>0</v>
      </c>
      <c r="I41" s="147" t="str">
        <f t="shared" si="2"/>
        <v/>
      </c>
    </row>
    <row r="42" spans="1:12" ht="15" x14ac:dyDescent="0.25">
      <c r="A42" s="56">
        <f>VLOOKUP($H$4,Verzamelblad!$A$5:$EK$19,28,0)</f>
        <v>0</v>
      </c>
      <c r="B42" s="57"/>
      <c r="C42" s="57"/>
      <c r="D42" s="45"/>
      <c r="E42" s="93">
        <v>0</v>
      </c>
      <c r="F42" s="218"/>
      <c r="G42" s="144" t="str">
        <f t="shared" si="3"/>
        <v/>
      </c>
      <c r="H42" s="49">
        <f>VLOOKUP($H$4,Verzamelblad!$A$5:$DE$19,29)</f>
        <v>0</v>
      </c>
      <c r="I42" s="147" t="str">
        <f t="shared" si="2"/>
        <v/>
      </c>
    </row>
    <row r="43" spans="1:12" ht="15" x14ac:dyDescent="0.25">
      <c r="A43" s="58">
        <f>VLOOKUP($H$4,Verzamelblad!$A$5:$EK$19,30,0)</f>
        <v>0</v>
      </c>
      <c r="B43" s="46"/>
      <c r="C43" s="46"/>
      <c r="D43" s="47"/>
      <c r="E43" s="94">
        <v>0</v>
      </c>
      <c r="F43" s="219"/>
      <c r="G43" s="145" t="str">
        <f t="shared" si="3"/>
        <v/>
      </c>
      <c r="H43" s="50">
        <f>VLOOKUP($H$4,Verzamelblad!$A$5:$DE$19,31)</f>
        <v>0</v>
      </c>
      <c r="I43" s="148" t="str">
        <f t="shared" si="2"/>
        <v/>
      </c>
    </row>
    <row r="44" spans="1:12" ht="15.75" thickBot="1" x14ac:dyDescent="0.3">
      <c r="A44" s="34" t="s">
        <v>17</v>
      </c>
      <c r="B44" s="32"/>
      <c r="C44" s="32"/>
      <c r="D44" s="32"/>
      <c r="E44" s="32"/>
      <c r="F44" s="32"/>
      <c r="G44" s="32"/>
      <c r="H44" s="32"/>
      <c r="I44" s="150" t="str">
        <f ca="1">IF(SUM(I36:I43)=0,"",SUM(I36:I43))</f>
        <v/>
      </c>
    </row>
    <row r="45" spans="1:12" ht="15.75" thickTop="1" x14ac:dyDescent="0.25"/>
    <row r="46" spans="1:12" ht="15" x14ac:dyDescent="0.25">
      <c r="A46" t="s">
        <v>141</v>
      </c>
      <c r="E46" s="3" t="s">
        <v>206</v>
      </c>
      <c r="F46" s="3" t="s">
        <v>207</v>
      </c>
      <c r="G46" s="3" t="s">
        <v>203</v>
      </c>
      <c r="H46" s="3" t="s">
        <v>204</v>
      </c>
      <c r="I46" s="3" t="s">
        <v>205</v>
      </c>
    </row>
    <row r="47" spans="1:12" ht="15" x14ac:dyDescent="0.25">
      <c r="A47" s="59" t="str">
        <f>VLOOKUP($H$4,Verzamelblad!$A$5:$EK$19,76,0)</f>
        <v>Gevelglas buitenzijde enkelvoudig gemeten</v>
      </c>
      <c r="B47" s="60"/>
      <c r="C47" s="60"/>
      <c r="D47" s="44"/>
      <c r="E47" s="92">
        <f ca="1">VLOOKUP($H$4,Verzamelblad!$A$5:$DE$19,100)</f>
        <v>0</v>
      </c>
      <c r="F47" s="217"/>
      <c r="G47" s="143" t="str">
        <f ca="1">IF(IF(E47="","",SUM(E47*F47))=0,"",IF(E47="","",SUM(E47*F47)))</f>
        <v/>
      </c>
      <c r="H47" s="155">
        <f>VLOOKUP($H$4,Verzamelblad!$A$5:$EK$19,77,0)</f>
        <v>0</v>
      </c>
      <c r="I47" s="146" t="str">
        <f t="shared" ref="I47:I56" ca="1" si="4">IFERROR(IF(IF(H47="op afroep","",SUM(G47*H47))=0,"",IF(H47="op afroep","",SUM(G47*H47))),"")</f>
        <v/>
      </c>
    </row>
    <row r="48" spans="1:12" ht="15" x14ac:dyDescent="0.25">
      <c r="A48" s="56" t="str">
        <f>VLOOKUP($H$4,Verzamelblad!$A$5:$EK$19,78,0)</f>
        <v>Gevelglas binnenzijde enkelvoudig gemeten</v>
      </c>
      <c r="B48" s="57"/>
      <c r="C48" s="57"/>
      <c r="D48" s="45"/>
      <c r="E48" s="93">
        <f ca="1">VLOOKUP($H$4,Verzamelblad!$A$5:$DE$19,99)</f>
        <v>0</v>
      </c>
      <c r="F48" s="218"/>
      <c r="G48" s="144" t="str">
        <f ca="1">IF(IF(E48="","",SUM(E48*F48))=0,"",IF(E48="","",SUM(E48*F48)))</f>
        <v/>
      </c>
      <c r="H48" s="156">
        <f>VLOOKUP($H$4,Verzamelblad!$A$5:$EK$19,79,0)</f>
        <v>0</v>
      </c>
      <c r="I48" s="147" t="str">
        <f t="shared" ca="1" si="4"/>
        <v/>
      </c>
    </row>
    <row r="49" spans="1:12" ht="15" x14ac:dyDescent="0.25">
      <c r="A49" s="56" t="str">
        <f>VLOOKUP($H$4,Verzamelblad!$A$5:$EK$19,80,0)</f>
        <v>Separatieglas dubbelvoudig gemeten</v>
      </c>
      <c r="B49" s="57"/>
      <c r="C49" s="57"/>
      <c r="D49" s="45"/>
      <c r="E49" s="93">
        <f ca="1">VLOOKUP($H$4,Verzamelblad!$A$5:$DE$19,101)</f>
        <v>0</v>
      </c>
      <c r="F49" s="218"/>
      <c r="G49" s="144" t="str">
        <f t="shared" ref="G49:G56" ca="1" si="5">IF(IF(E49="","",SUM(E49*F49))=0,"",IF(E49="","",SUM(E49*F49)))</f>
        <v/>
      </c>
      <c r="H49" s="156">
        <f>VLOOKUP($H$4,Verzamelblad!$A$5:$EK$19,81,0)</f>
        <v>0</v>
      </c>
      <c r="I49" s="147" t="str">
        <f t="shared" ca="1" si="4"/>
        <v/>
      </c>
    </row>
    <row r="50" spans="1:12" ht="15" x14ac:dyDescent="0.25">
      <c r="A50" s="56" t="str">
        <f>VLOOKUP($H$4,Verzamelblad!$A$5:$EK$19,82,0)</f>
        <v>Koepelglas enkelvoudig gemeten</v>
      </c>
      <c r="B50" s="57"/>
      <c r="C50" s="57"/>
      <c r="D50" s="45"/>
      <c r="E50" s="93">
        <f ca="1">VLOOKUP($H$4,Verzamelblad!$A$5:$DE$19,102)</f>
        <v>0</v>
      </c>
      <c r="F50" s="218"/>
      <c r="G50" s="144" t="str">
        <f t="shared" ca="1" si="5"/>
        <v/>
      </c>
      <c r="H50" s="156">
        <f>VLOOKUP($H$4,Verzamelblad!$A$5:$EK$19,83,0)</f>
        <v>0</v>
      </c>
      <c r="I50" s="147" t="str">
        <f t="shared" ca="1" si="4"/>
        <v/>
      </c>
    </row>
    <row r="51" spans="1:12" ht="15" x14ac:dyDescent="0.25">
      <c r="A51" s="56" t="str">
        <f>VLOOKUP($H$4,Verzamelblad!$A$5:$EK$19,84,0)</f>
        <v>Boeidelen</v>
      </c>
      <c r="B51" s="57"/>
      <c r="C51" s="57"/>
      <c r="D51" s="45"/>
      <c r="E51" s="93">
        <f ca="1">VLOOKUP($H$4,Verzamelblad!$A$5:$DE$19,103)</f>
        <v>0</v>
      </c>
      <c r="F51" s="218"/>
      <c r="G51" s="144" t="str">
        <f t="shared" ca="1" si="5"/>
        <v/>
      </c>
      <c r="H51" s="156">
        <f>VLOOKUP($H$4,Verzamelblad!$A$5:$EK$19,85,0)</f>
        <v>0</v>
      </c>
      <c r="I51" s="147" t="str">
        <f t="shared" ca="1" si="4"/>
        <v/>
      </c>
    </row>
    <row r="52" spans="1:12" ht="15" x14ac:dyDescent="0.25">
      <c r="A52" s="56" t="str">
        <f>VLOOKUP($H$4,Verzamelblad!$A$5:$EK$19,86,0)</f>
        <v>Gevelbeplating</v>
      </c>
      <c r="B52" s="57"/>
      <c r="C52" s="57"/>
      <c r="D52" s="45"/>
      <c r="E52" s="93">
        <f ca="1">VLOOKUP($H$4,Verzamelblad!$A$5:$DE$19,104)</f>
        <v>0</v>
      </c>
      <c r="F52" s="218"/>
      <c r="G52" s="144" t="str">
        <f t="shared" ca="1" si="5"/>
        <v/>
      </c>
      <c r="H52" s="156">
        <f>VLOOKUP($H$4,Verzamelblad!$A$5:$EK$19,87,0)</f>
        <v>0</v>
      </c>
      <c r="I52" s="147" t="str">
        <f t="shared" ca="1" si="4"/>
        <v/>
      </c>
    </row>
    <row r="53" spans="1:12" ht="15" x14ac:dyDescent="0.25">
      <c r="A53" s="56">
        <f>VLOOKUP($H$4,Verzamelblad!$A$5:$EK$19,88,0)</f>
        <v>0</v>
      </c>
      <c r="B53" s="57"/>
      <c r="C53" s="57"/>
      <c r="D53" s="45"/>
      <c r="E53" s="93"/>
      <c r="F53" s="218"/>
      <c r="G53" s="144" t="str">
        <f t="shared" si="5"/>
        <v/>
      </c>
      <c r="H53" s="156">
        <f>VLOOKUP($H$4,Verzamelblad!$A$5:$EK$19,89,0)</f>
        <v>0</v>
      </c>
      <c r="I53" s="147" t="str">
        <f t="shared" si="4"/>
        <v/>
      </c>
    </row>
    <row r="54" spans="1:12" ht="15" x14ac:dyDescent="0.25">
      <c r="A54" s="56">
        <f>VLOOKUP($H$4,Verzamelblad!$A$5:$EK$19,90,0)</f>
        <v>0</v>
      </c>
      <c r="B54" s="57"/>
      <c r="C54" s="57"/>
      <c r="D54" s="45"/>
      <c r="E54" s="93">
        <v>0</v>
      </c>
      <c r="F54" s="218"/>
      <c r="G54" s="144" t="str">
        <f t="shared" si="5"/>
        <v/>
      </c>
      <c r="H54" s="156">
        <f>VLOOKUP($H$4,Verzamelblad!$A$5:$EK$19,91,0)</f>
        <v>0</v>
      </c>
      <c r="I54" s="147" t="str">
        <f t="shared" si="4"/>
        <v/>
      </c>
    </row>
    <row r="55" spans="1:12" ht="15" x14ac:dyDescent="0.25">
      <c r="A55" s="56">
        <f>VLOOKUP($H$4,Verzamelblad!$A$5:$EK$19,92,0)</f>
        <v>0</v>
      </c>
      <c r="B55" s="57"/>
      <c r="C55" s="57"/>
      <c r="D55" s="45"/>
      <c r="E55" s="93">
        <v>0</v>
      </c>
      <c r="F55" s="218"/>
      <c r="G55" s="144" t="str">
        <f t="shared" si="5"/>
        <v/>
      </c>
      <c r="H55" s="156">
        <f>VLOOKUP($H$4,Verzamelblad!$A$5:$EK$19,93,0)</f>
        <v>0</v>
      </c>
      <c r="I55" s="147" t="str">
        <f t="shared" si="4"/>
        <v/>
      </c>
    </row>
    <row r="56" spans="1:12" ht="15" x14ac:dyDescent="0.25">
      <c r="A56" s="58">
        <f>VLOOKUP($H$4,Verzamelblad!$A$5:$EK$19,94,0)</f>
        <v>0</v>
      </c>
      <c r="B56" s="46"/>
      <c r="C56" s="46"/>
      <c r="D56" s="47"/>
      <c r="E56" s="94">
        <v>0</v>
      </c>
      <c r="F56" s="219"/>
      <c r="G56" s="145" t="str">
        <f t="shared" si="5"/>
        <v/>
      </c>
      <c r="H56" s="157">
        <f>VLOOKUP($H$4,Verzamelblad!$A$5:$EK$19,95,0)</f>
        <v>0</v>
      </c>
      <c r="I56" s="148" t="str">
        <f t="shared" si="4"/>
        <v/>
      </c>
    </row>
    <row r="57" spans="1:12" ht="15.75" thickBot="1" x14ac:dyDescent="0.3">
      <c r="A57" s="32" t="s">
        <v>17</v>
      </c>
      <c r="B57" s="32"/>
      <c r="C57" s="32"/>
      <c r="D57" s="32"/>
      <c r="E57" s="32"/>
      <c r="F57" s="32"/>
      <c r="G57" s="32"/>
      <c r="H57" s="32"/>
      <c r="I57" s="150" t="str">
        <f ca="1">IF(SUM(I47:I56)=0,"",SUM(I47:I56))</f>
        <v/>
      </c>
    </row>
    <row r="58" spans="1:12" ht="15.75" thickTop="1" x14ac:dyDescent="0.25">
      <c r="E58" s="3"/>
      <c r="F58" s="3"/>
      <c r="G58" s="3"/>
      <c r="H58" s="3"/>
      <c r="I58" s="3"/>
    </row>
    <row r="59" spans="1:12" ht="15" hidden="1" x14ac:dyDescent="0.25">
      <c r="A59" s="140" t="s">
        <v>68</v>
      </c>
      <c r="B59" s="140"/>
      <c r="C59" s="140"/>
      <c r="D59" s="140"/>
      <c r="E59" s="141" t="s">
        <v>208</v>
      </c>
      <c r="F59" s="141" t="s">
        <v>209</v>
      </c>
      <c r="G59" s="141" t="s">
        <v>201</v>
      </c>
      <c r="H59" s="141" t="s">
        <v>210</v>
      </c>
      <c r="I59" s="141" t="s">
        <v>205</v>
      </c>
      <c r="K59" s="12"/>
      <c r="L59" s="12"/>
    </row>
    <row r="60" spans="1:12" ht="15" hidden="1" x14ac:dyDescent="0.25">
      <c r="A60" s="59"/>
      <c r="B60" s="60"/>
      <c r="C60" s="60"/>
      <c r="D60" s="44"/>
      <c r="E60" s="38"/>
      <c r="F60" s="38"/>
      <c r="G60" s="48"/>
      <c r="H60" s="38"/>
      <c r="I60" s="146" t="str">
        <f t="shared" ref="I60:I65" si="6">IFERROR(IF(IF(H60="op afroep","",SUM(G60*H60))=0,"",IF(H60="op afroep","",SUM(G60*H60))),"")</f>
        <v/>
      </c>
      <c r="K60" s="12" t="s">
        <v>213</v>
      </c>
      <c r="L60" s="12"/>
    </row>
    <row r="61" spans="1:12" ht="15" hidden="1" x14ac:dyDescent="0.25">
      <c r="A61" s="56"/>
      <c r="B61" s="57"/>
      <c r="C61" s="57"/>
      <c r="D61" s="45"/>
      <c r="E61" s="39"/>
      <c r="F61" s="39"/>
      <c r="G61" s="49"/>
      <c r="H61" s="39"/>
      <c r="I61" s="147" t="str">
        <f t="shared" si="6"/>
        <v/>
      </c>
      <c r="K61" s="59" t="s">
        <v>211</v>
      </c>
      <c r="L61" s="95"/>
    </row>
    <row r="62" spans="1:12" ht="15" hidden="1" x14ac:dyDescent="0.25">
      <c r="A62" s="56"/>
      <c r="B62" s="57"/>
      <c r="C62" s="57"/>
      <c r="D62" s="45"/>
      <c r="E62" s="39"/>
      <c r="F62" s="39"/>
      <c r="G62" s="49"/>
      <c r="H62" s="39"/>
      <c r="I62" s="147" t="str">
        <f t="shared" si="6"/>
        <v/>
      </c>
      <c r="K62" s="58" t="s">
        <v>212</v>
      </c>
      <c r="L62" s="96"/>
    </row>
    <row r="63" spans="1:12" ht="15" hidden="1" x14ac:dyDescent="0.25">
      <c r="A63" s="56"/>
      <c r="B63" s="57"/>
      <c r="C63" s="57"/>
      <c r="D63" s="45"/>
      <c r="E63" s="39"/>
      <c r="F63" s="39"/>
      <c r="G63" s="49"/>
      <c r="H63" s="39"/>
      <c r="I63" s="147" t="str">
        <f t="shared" si="6"/>
        <v/>
      </c>
    </row>
    <row r="64" spans="1:12" ht="15" hidden="1" x14ac:dyDescent="0.25">
      <c r="A64" s="56"/>
      <c r="B64" s="57"/>
      <c r="C64" s="57"/>
      <c r="D64" s="45"/>
      <c r="E64" s="39"/>
      <c r="F64" s="39"/>
      <c r="G64" s="49"/>
      <c r="H64" s="39"/>
      <c r="I64" s="147" t="str">
        <f t="shared" si="6"/>
        <v/>
      </c>
    </row>
    <row r="65" spans="1:12" ht="15" hidden="1" x14ac:dyDescent="0.25">
      <c r="A65" s="58"/>
      <c r="B65" s="46"/>
      <c r="C65" s="46"/>
      <c r="D65" s="47"/>
      <c r="E65" s="40"/>
      <c r="F65" s="40"/>
      <c r="G65" s="50"/>
      <c r="H65" s="40"/>
      <c r="I65" s="148" t="str">
        <f t="shared" si="6"/>
        <v/>
      </c>
    </row>
    <row r="66" spans="1:12" ht="15.75" hidden="1" thickBot="1" x14ac:dyDescent="0.3">
      <c r="A66" s="158" t="s">
        <v>17</v>
      </c>
      <c r="B66" s="158"/>
      <c r="C66" s="158"/>
      <c r="D66" s="158"/>
      <c r="E66" s="159"/>
      <c r="F66" s="159"/>
      <c r="G66" s="160"/>
      <c r="H66" s="159"/>
      <c r="I66" s="149" t="str">
        <f>IF(SUM(I60:I65)=0,"",SUM(I60:I65))</f>
        <v/>
      </c>
    </row>
    <row r="67" spans="1:12" ht="15.75" hidden="1" thickTop="1" x14ac:dyDescent="0.25">
      <c r="B67" s="158"/>
      <c r="C67" s="158"/>
      <c r="D67" s="158"/>
      <c r="E67" s="159"/>
      <c r="F67" s="159"/>
      <c r="G67" s="160"/>
      <c r="H67" s="159"/>
      <c r="I67" s="161"/>
    </row>
    <row r="68" spans="1:12" ht="15" hidden="1" x14ac:dyDescent="0.25">
      <c r="A68" s="16" t="s">
        <v>147</v>
      </c>
      <c r="B68" s="162"/>
      <c r="C68" s="162"/>
      <c r="D68" s="162"/>
      <c r="E68" s="162"/>
      <c r="F68" s="162"/>
      <c r="G68" s="162"/>
      <c r="H68" s="162"/>
      <c r="I68" s="162"/>
    </row>
    <row r="69" spans="1:12" ht="15" hidden="1" x14ac:dyDescent="0.25">
      <c r="A69" s="544"/>
      <c r="B69" s="545"/>
      <c r="C69" s="545"/>
      <c r="D69" s="545"/>
      <c r="E69" s="545"/>
      <c r="F69" s="545"/>
      <c r="G69" s="545"/>
      <c r="H69" s="545"/>
      <c r="I69" s="546"/>
    </row>
    <row r="70" spans="1:12" ht="15" hidden="1" x14ac:dyDescent="0.25">
      <c r="A70" s="525"/>
      <c r="B70" s="526"/>
      <c r="C70" s="526"/>
      <c r="D70" s="526"/>
      <c r="E70" s="526"/>
      <c r="F70" s="526"/>
      <c r="G70" s="526"/>
      <c r="H70" s="526"/>
      <c r="I70" s="527"/>
    </row>
    <row r="71" spans="1:12" ht="15" hidden="1" x14ac:dyDescent="0.25">
      <c r="A71" s="525"/>
      <c r="B71" s="526"/>
      <c r="C71" s="526"/>
      <c r="D71" s="526"/>
      <c r="E71" s="526"/>
      <c r="F71" s="526"/>
      <c r="G71" s="526"/>
      <c r="H71" s="526"/>
      <c r="I71" s="527"/>
    </row>
    <row r="72" spans="1:12" ht="15" hidden="1" x14ac:dyDescent="0.25">
      <c r="A72" s="525"/>
      <c r="B72" s="526"/>
      <c r="C72" s="526"/>
      <c r="D72" s="526"/>
      <c r="E72" s="526"/>
      <c r="F72" s="526"/>
      <c r="G72" s="526"/>
      <c r="H72" s="526"/>
      <c r="I72" s="527"/>
    </row>
    <row r="73" spans="1:12" ht="15" hidden="1" x14ac:dyDescent="0.25">
      <c r="A73" s="528"/>
      <c r="B73" s="529"/>
      <c r="C73" s="529"/>
      <c r="D73" s="529"/>
      <c r="E73" s="529"/>
      <c r="F73" s="529"/>
      <c r="G73" s="529"/>
      <c r="H73" s="529"/>
      <c r="I73" s="530"/>
    </row>
    <row r="74" spans="1:12" ht="15" hidden="1" x14ac:dyDescent="0.25">
      <c r="A74" s="142"/>
      <c r="B74" s="142"/>
      <c r="C74" s="142"/>
      <c r="D74" s="142"/>
      <c r="E74" s="142"/>
      <c r="F74" s="142"/>
      <c r="G74" s="142"/>
      <c r="H74" s="142"/>
    </row>
    <row r="75" spans="1:12" ht="15" x14ac:dyDescent="0.25"/>
    <row r="76" spans="1:12" ht="15" x14ac:dyDescent="0.25">
      <c r="A76" s="63" t="s">
        <v>21</v>
      </c>
      <c r="B76" s="61"/>
      <c r="C76" s="61"/>
      <c r="D76" s="61"/>
      <c r="E76" s="61"/>
      <c r="F76" s="61"/>
      <c r="G76" s="61"/>
      <c r="H76" s="61"/>
      <c r="I76" s="151" t="str">
        <f ca="1">IF(SUM(IF(I14="",0,I14)+IF(I33="",0,I33)+IF(I44="",0,I44)+IF(I57="",0,I57)+IF(I66="",0,I66))=0,"",SUM(IF(I14="",0,I14)+IF(I33="",0,I33)+IF(I44="",0,I44)+IF(I57="",0,I57)+IF(I66="",0,I66)))</f>
        <v/>
      </c>
    </row>
    <row r="77" spans="1:12" ht="15" x14ac:dyDescent="0.25">
      <c r="A77" s="16"/>
      <c r="B77" s="16"/>
      <c r="C77" s="16"/>
      <c r="D77" s="16"/>
      <c r="E77" s="16"/>
      <c r="F77" s="16"/>
      <c r="G77" s="16"/>
      <c r="H77" s="16"/>
      <c r="I77" s="115"/>
    </row>
    <row r="78" spans="1:12" ht="15" x14ac:dyDescent="0.25">
      <c r="A78" s="63" t="s">
        <v>144</v>
      </c>
      <c r="B78" s="61"/>
      <c r="C78" s="61"/>
      <c r="D78" s="61"/>
      <c r="E78" s="61"/>
      <c r="F78" s="61"/>
      <c r="G78" s="61"/>
      <c r="H78" s="61"/>
      <c r="I78" s="152" t="str">
        <f>IFERROR(I11/12,"")</f>
        <v/>
      </c>
    </row>
    <row r="79" spans="1:12" ht="15" x14ac:dyDescent="0.25">
      <c r="A79" s="16"/>
      <c r="B79" s="16"/>
      <c r="C79" s="16"/>
      <c r="D79" s="16"/>
      <c r="E79" s="16"/>
      <c r="F79" s="16"/>
      <c r="G79" s="16"/>
      <c r="H79" s="16"/>
      <c r="I79" s="115"/>
      <c r="J79" s="20"/>
      <c r="K79" s="20"/>
      <c r="L79" s="20"/>
    </row>
    <row r="80" spans="1:12" ht="15" x14ac:dyDescent="0.25">
      <c r="A80" t="s">
        <v>73</v>
      </c>
      <c r="E80" t="s">
        <v>216</v>
      </c>
      <c r="F80" s="3" t="s">
        <v>201</v>
      </c>
      <c r="I80" t="s">
        <v>205</v>
      </c>
    </row>
    <row r="81" spans="1:9" ht="15.75" thickBot="1" x14ac:dyDescent="0.3">
      <c r="A81" s="72" t="str">
        <f>Verzamelblad!D3</f>
        <v>VSR</v>
      </c>
      <c r="B81" s="73"/>
      <c r="C81" s="73"/>
      <c r="D81" s="73"/>
      <c r="E81" s="97" t="str">
        <f ca="1">VLOOKUP($H$4,Verzamelblad!$A$5:$EK$19,9,0)</f>
        <v/>
      </c>
      <c r="F81" s="74">
        <f>VLOOKUP($H$4,Verzamelblad!$A$5:$EK$19,10,0)</f>
        <v>3</v>
      </c>
      <c r="G81" s="73"/>
      <c r="H81" s="73"/>
      <c r="I81" s="153" t="str">
        <f ca="1">IFERROR(IF(SUM(E81*F81)=0,"",SUM(E81*F81)),"")</f>
        <v/>
      </c>
    </row>
    <row r="82" spans="1:9" ht="15.75" thickTop="1" x14ac:dyDescent="0.25"/>
    <row r="83" spans="1:9" ht="15" x14ac:dyDescent="0.25"/>
    <row r="84" spans="1:9" ht="15" hidden="1" x14ac:dyDescent="0.25">
      <c r="A84" t="s">
        <v>22</v>
      </c>
      <c r="D84" t="s">
        <v>70</v>
      </c>
      <c r="E84" t="s">
        <v>71</v>
      </c>
    </row>
    <row r="85" spans="1:9" ht="15" hidden="1" x14ac:dyDescent="0.25">
      <c r="A85" t="str">
        <f t="shared" ref="A85:A99" ca="1" si="7">IF(K19=0,"",K19)</f>
        <v>A</v>
      </c>
      <c r="D85">
        <f t="shared" ref="D85:D99" ca="1" si="8">IF(A85="",0,VLOOKUP(A85,INDIRECT("'"&amp;$H$5&amp;"'!C500:M515"),11,0))</f>
        <v>0</v>
      </c>
      <c r="E85" t="str">
        <f>IF(L19=0,"",IF(L19="","",SUM(D85/L19)*Uurtariefopbouw!$F$15))</f>
        <v/>
      </c>
    </row>
    <row r="86" spans="1:9" ht="15" hidden="1" x14ac:dyDescent="0.25">
      <c r="A86" t="str">
        <f t="shared" ca="1" si="7"/>
        <v>B</v>
      </c>
      <c r="D86">
        <f t="shared" ca="1" si="8"/>
        <v>0</v>
      </c>
      <c r="E86" t="str">
        <f>IF(L20=0,"",IF(L20="","",SUM(D86/L20)*Uurtariefopbouw!$F$15))</f>
        <v/>
      </c>
    </row>
    <row r="87" spans="1:9" ht="15" hidden="1" x14ac:dyDescent="0.25">
      <c r="A87" t="str">
        <f t="shared" ca="1" si="7"/>
        <v>C</v>
      </c>
      <c r="D87">
        <f t="shared" ca="1" si="8"/>
        <v>0</v>
      </c>
      <c r="E87" t="str">
        <f>IF(L21=0,"",IF(L21="","",SUM(D87/L21)*Uurtariefopbouw!$F$15))</f>
        <v/>
      </c>
    </row>
    <row r="88" spans="1:9" ht="15" hidden="1" x14ac:dyDescent="0.25">
      <c r="A88" t="str">
        <f t="shared" ca="1" si="7"/>
        <v>D</v>
      </c>
      <c r="D88">
        <f t="shared" ca="1" si="8"/>
        <v>0</v>
      </c>
      <c r="E88" t="str">
        <f>IF(L22=0,"",IF(L22="","",SUM(D88/L22)*Uurtariefopbouw!$F$15))</f>
        <v/>
      </c>
    </row>
    <row r="89" spans="1:9" ht="15" hidden="1" x14ac:dyDescent="0.25">
      <c r="A89" t="str">
        <f t="shared" ca="1" si="7"/>
        <v>E</v>
      </c>
      <c r="D89">
        <f t="shared" ca="1" si="8"/>
        <v>0</v>
      </c>
      <c r="E89" t="str">
        <f>IF(L23=0,"",IF(L23="","",SUM(D89/L23)*Uurtariefopbouw!$F$15))</f>
        <v/>
      </c>
    </row>
    <row r="90" spans="1:9" ht="15" hidden="1" x14ac:dyDescent="0.25">
      <c r="A90" t="str">
        <f t="shared" ca="1" si="7"/>
        <v>F</v>
      </c>
      <c r="D90">
        <f t="shared" ca="1" si="8"/>
        <v>0</v>
      </c>
      <c r="E90" t="str">
        <f>IF(L24=0,"",IF(L24="","",SUM(D90/L24)*Uurtariefopbouw!$F$15))</f>
        <v/>
      </c>
    </row>
    <row r="91" spans="1:9" ht="15" hidden="1" x14ac:dyDescent="0.25">
      <c r="A91" t="str">
        <f t="shared" ca="1" si="7"/>
        <v>G</v>
      </c>
      <c r="D91">
        <f t="shared" ca="1" si="8"/>
        <v>0</v>
      </c>
      <c r="E91" t="str">
        <f>IF(L25=0,"",IF(L25="","",SUM(D91/L25)*Uurtariefopbouw!$F$15))</f>
        <v/>
      </c>
    </row>
    <row r="92" spans="1:9" ht="15" hidden="1" x14ac:dyDescent="0.25">
      <c r="A92" t="str">
        <f t="shared" ca="1" si="7"/>
        <v/>
      </c>
      <c r="D92">
        <f t="shared" ca="1" si="8"/>
        <v>0</v>
      </c>
      <c r="E92" t="str">
        <f>IF(L26=0,"",IF(L26="","",SUM(D92/L26)*Uurtariefopbouw!$F$15))</f>
        <v/>
      </c>
    </row>
    <row r="93" spans="1:9" ht="15" hidden="1" x14ac:dyDescent="0.25">
      <c r="A93" t="str">
        <f t="shared" ca="1" si="7"/>
        <v>I</v>
      </c>
      <c r="D93">
        <f t="shared" ca="1" si="8"/>
        <v>0</v>
      </c>
      <c r="E93" t="str">
        <f>IF(L27=0,"",IF(L27="","",SUM(D93/L27)*Uurtariefopbouw!$F$15))</f>
        <v/>
      </c>
    </row>
    <row r="94" spans="1:9" ht="15" hidden="1" x14ac:dyDescent="0.25">
      <c r="A94" t="str">
        <f t="shared" ca="1" si="7"/>
        <v>J</v>
      </c>
      <c r="D94">
        <f t="shared" ca="1" si="8"/>
        <v>0</v>
      </c>
      <c r="E94" t="str">
        <f>IF(L28=0,"",IF(L28="","",SUM(D94/L28)*Uurtariefopbouw!$F$15))</f>
        <v/>
      </c>
    </row>
    <row r="95" spans="1:9" ht="15" hidden="1" x14ac:dyDescent="0.25">
      <c r="A95" t="str">
        <f t="shared" ca="1" si="7"/>
        <v>K</v>
      </c>
      <c r="D95">
        <f t="shared" ca="1" si="8"/>
        <v>0</v>
      </c>
      <c r="E95" t="str">
        <f>IF(L29=0,"",IF(L29="","",SUM(D95/L29)*Uurtariefopbouw!$F$15))</f>
        <v/>
      </c>
    </row>
    <row r="96" spans="1:9" ht="15" hidden="1" x14ac:dyDescent="0.25">
      <c r="A96" t="str">
        <f t="shared" ca="1" si="7"/>
        <v>X</v>
      </c>
      <c r="D96">
        <f t="shared" ca="1" si="8"/>
        <v>0</v>
      </c>
      <c r="E96" t="str">
        <f>IF(L30=0,"",IF(L30="","",SUM(D96/L30)*Uurtariefopbouw!$F$15))</f>
        <v/>
      </c>
    </row>
    <row r="97" spans="1:5" ht="15" hidden="1" x14ac:dyDescent="0.25">
      <c r="A97" t="str">
        <f t="shared" ca="1" si="7"/>
        <v/>
      </c>
      <c r="D97">
        <f t="shared" ca="1" si="8"/>
        <v>0</v>
      </c>
      <c r="E97" t="str">
        <f>IF(L31=0,"",IF(L31="","",SUM(D97/L31)*Uurtariefopbouw!$F$15))</f>
        <v/>
      </c>
    </row>
    <row r="98" spans="1:5" ht="15" hidden="1" x14ac:dyDescent="0.25">
      <c r="A98" t="str">
        <f t="shared" ca="1" si="7"/>
        <v/>
      </c>
      <c r="D98">
        <f t="shared" ca="1" si="8"/>
        <v>0</v>
      </c>
      <c r="E98" t="str">
        <f>IF(L32=0,"",IF(L32="","",SUM(D98/L32)*Uurtariefopbouw!$F$15))</f>
        <v/>
      </c>
    </row>
    <row r="99" spans="1:5" ht="15" hidden="1" x14ac:dyDescent="0.25">
      <c r="A99" t="str">
        <f t="shared" ca="1" si="7"/>
        <v/>
      </c>
      <c r="D99">
        <f t="shared" ca="1" si="8"/>
        <v>0</v>
      </c>
      <c r="E99" t="str">
        <f>IF(L33=0,"",IF(L33="","",SUM(D99/L33)*Uurtariefopbouw!$F$15))</f>
        <v/>
      </c>
    </row>
    <row r="100" spans="1:5" ht="15.75" hidden="1" thickBot="1" x14ac:dyDescent="0.3">
      <c r="A100" s="4" t="s">
        <v>72</v>
      </c>
      <c r="B100" s="4"/>
      <c r="C100" s="4"/>
      <c r="D100" s="4">
        <f ca="1">SUM(D85:D99)</f>
        <v>0</v>
      </c>
      <c r="E100" s="4">
        <f>SUM(E85:E99)</f>
        <v>0</v>
      </c>
    </row>
    <row r="101" spans="1:5" ht="15.75" hidden="1" thickTop="1" x14ac:dyDescent="0.25"/>
    <row r="102" spans="1:5" ht="15" hidden="1" x14ac:dyDescent="0.25"/>
    <row r="103" spans="1:5" ht="15" hidden="1" x14ac:dyDescent="0.25"/>
    <row r="104" spans="1:5" ht="15" hidden="1" x14ac:dyDescent="0.25"/>
    <row r="105" spans="1:5" ht="15" hidden="1" x14ac:dyDescent="0.25"/>
    <row r="106" spans="1:5" ht="15" hidden="1" x14ac:dyDescent="0.25"/>
    <row r="107" spans="1:5" ht="15" hidden="1" x14ac:dyDescent="0.25"/>
    <row r="108" spans="1:5" ht="15" hidden="1" x14ac:dyDescent="0.25"/>
    <row r="109" spans="1:5" ht="15" hidden="1" x14ac:dyDescent="0.25"/>
    <row r="110" spans="1:5" ht="15" hidden="1" x14ac:dyDescent="0.25"/>
    <row r="111" spans="1:5" ht="15" hidden="1" x14ac:dyDescent="0.25"/>
    <row r="112" spans="1:5" ht="15" hidden="1" x14ac:dyDescent="0.25"/>
    <row r="113" ht="15" hidden="1" x14ac:dyDescent="0.25"/>
    <row r="114" ht="15" hidden="1" x14ac:dyDescent="0.25"/>
    <row r="115" ht="15" hidden="1" x14ac:dyDescent="0.25"/>
    <row r="116" ht="15" hidden="1" x14ac:dyDescent="0.25"/>
    <row r="117" ht="15" hidden="1" x14ac:dyDescent="0.25"/>
    <row r="118" ht="15" hidden="1" x14ac:dyDescent="0.25"/>
    <row r="119" ht="15" hidden="1" x14ac:dyDescent="0.25"/>
    <row r="120" ht="15" hidden="1" x14ac:dyDescent="0.25"/>
    <row r="121" ht="15" hidden="1" x14ac:dyDescent="0.25"/>
  </sheetData>
  <mergeCells count="15">
    <mergeCell ref="K17:K18"/>
    <mergeCell ref="L17:L18"/>
    <mergeCell ref="A19:C19"/>
    <mergeCell ref="E19:F19"/>
    <mergeCell ref="A70:I70"/>
    <mergeCell ref="A69:I69"/>
    <mergeCell ref="A71:I71"/>
    <mergeCell ref="A72:I72"/>
    <mergeCell ref="A73:I73"/>
    <mergeCell ref="F4:G4"/>
    <mergeCell ref="F5:G5"/>
    <mergeCell ref="B6:E6"/>
    <mergeCell ref="B5:E5"/>
    <mergeCell ref="B4:E4"/>
    <mergeCell ref="F6:G6"/>
  </mergeCells>
  <conditionalFormatting sqref="K14">
    <cfRule type="cellIs" dxfId="3" priority="4" operator="equal">
      <formula>"Geen 100%"</formula>
    </cfRule>
  </conditionalFormatting>
  <conditionalFormatting sqref="G12">
    <cfRule type="containsText" dxfId="2" priority="2" operator="containsText" text="te laag">
      <formula>NOT(ISERROR(SEARCH("te laag",G12)))</formula>
    </cfRule>
  </conditionalFormatting>
  <conditionalFormatting sqref="G13">
    <cfRule type="containsText" dxfId="1" priority="1" operator="containsText" text="te laag">
      <formula>NOT(ISERROR(SEARCH("te laag",G13)))</formula>
    </cfRule>
  </conditionalFormatting>
  <pageMargins left="0.7" right="0.7" top="0.75" bottom="0.75" header="0.3" footer="0.3"/>
  <pageSetup paperSize="9" scale="49" orientation="portrait" r:id="rId1"/>
  <headerFooter>
    <oddHeader>&amp;L&amp;G</oddHeader>
    <oddFooter>&amp;L* Alle bedragen zijn excl. btw&amp;R® Alpha Adviesbureau</oddFooter>
  </headerFooter>
  <colBreaks count="1" manualBreakCount="1">
    <brk id="13" max="81" man="1"/>
  </colBreaks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0D31569B-28D7-4BEE-A430-1C9EB6C81D37}">
            <xm:f>NOT(ISERROR(SEARCH("te laag",G11)))</xm:f>
            <xm:f>"te laag"</xm:f>
            <x14:dxf>
              <fill>
                <patternFill>
                  <bgColor rgb="FFFF0000"/>
                </patternFill>
              </fill>
            </x14:dxf>
          </x14:cfRule>
          <xm:sqref>G11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Blad13">
    <tabColor rgb="FF173583"/>
  </sheetPr>
  <dimension ref="A1:M553"/>
  <sheetViews>
    <sheetView topLeftCell="A387" zoomScaleNormal="100" workbookViewId="0">
      <selection activeCell="K56" sqref="K56"/>
    </sheetView>
  </sheetViews>
  <sheetFormatPr defaultRowHeight="15" x14ac:dyDescent="0.25"/>
  <cols>
    <col min="1" max="1" width="6" style="5" customWidth="1"/>
    <col min="2" max="2" width="3.42578125" style="5" customWidth="1"/>
    <col min="3" max="3" width="20.85546875" style="3" customWidth="1"/>
    <col min="4" max="4" width="3" style="3" customWidth="1"/>
    <col min="5" max="5" width="3.7109375" style="3" customWidth="1"/>
    <col min="6" max="6" width="9.42578125" customWidth="1"/>
    <col min="7" max="7" width="10.5703125" customWidth="1"/>
    <col min="8" max="10" width="8.7109375" customWidth="1"/>
    <col min="11" max="11" width="10.7109375" style="7" customWidth="1"/>
    <col min="12" max="12" width="5.7109375" style="5" customWidth="1"/>
    <col min="13" max="13" width="10.7109375" customWidth="1"/>
  </cols>
  <sheetData>
    <row r="1" spans="1:13" x14ac:dyDescent="0.25">
      <c r="A1" s="30">
        <f>'5'!H4</f>
        <v>5</v>
      </c>
      <c r="B1" s="28" t="s">
        <v>7</v>
      </c>
      <c r="C1" s="29"/>
      <c r="D1" s="35" t="str">
        <f>IF(VLOOKUP(A1,Verzamelblad!A5:E19,3)=0,"",VLOOKUP(A1,Verzamelblad!A5:E19,3))</f>
        <v/>
      </c>
      <c r="E1" s="36"/>
      <c r="F1" s="22"/>
      <c r="G1" s="22"/>
      <c r="H1" s="22"/>
      <c r="I1" s="22"/>
      <c r="J1" s="22"/>
      <c r="K1" s="37"/>
    </row>
    <row r="2" spans="1:13" x14ac:dyDescent="0.25">
      <c r="B2" s="28" t="s">
        <v>23</v>
      </c>
      <c r="C2" s="19"/>
      <c r="D2" s="35" t="str">
        <f>IF(CONCATENATE(VLOOKUP(A1,Verzamelblad!A5:E19,4)," te ",VLOOKUP(A1,Verzamelblad!A5:E19,5))=" te ","",CONCATENATE(VLOOKUP(A1,Verzamelblad!A5:E19,4)," te ",VLOOKUP(A1,Verzamelblad!A5:E19,5)))</f>
        <v/>
      </c>
      <c r="E2" s="36"/>
      <c r="F2" s="22"/>
      <c r="G2" s="22"/>
      <c r="H2" s="22"/>
      <c r="I2" s="22"/>
      <c r="J2" s="22"/>
      <c r="K2" s="37"/>
    </row>
    <row r="3" spans="1:13" ht="30" x14ac:dyDescent="0.25">
      <c r="A3" s="6" t="s">
        <v>146</v>
      </c>
      <c r="B3" s="6" t="s">
        <v>24</v>
      </c>
      <c r="C3" s="3" t="s">
        <v>25</v>
      </c>
      <c r="D3" s="3" t="s">
        <v>26</v>
      </c>
      <c r="E3" s="3" t="s">
        <v>27</v>
      </c>
      <c r="F3" s="8" t="s">
        <v>28</v>
      </c>
      <c r="G3" s="8" t="s">
        <v>29</v>
      </c>
      <c r="H3" s="8" t="s">
        <v>30</v>
      </c>
      <c r="I3" s="8" t="s">
        <v>31</v>
      </c>
      <c r="J3" s="186" t="s">
        <v>257</v>
      </c>
      <c r="K3" s="8" t="s">
        <v>5</v>
      </c>
      <c r="L3" s="6" t="s">
        <v>32</v>
      </c>
      <c r="M3" s="3" t="s">
        <v>33</v>
      </c>
    </row>
    <row r="4" spans="1:13" x14ac:dyDescent="0.25">
      <c r="K4" s="7">
        <f>SUM(F4:J4)</f>
        <v>0</v>
      </c>
      <c r="L4" s="5">
        <f>IF(D4="X",0,IF(E4="",0,IF(E4="H",0,VLOOKUP(E4,$F$539:$G$553,2))))</f>
        <v>0</v>
      </c>
      <c r="M4">
        <f>SUM(K4*L4)</f>
        <v>0</v>
      </c>
    </row>
    <row r="5" spans="1:13" x14ac:dyDescent="0.25">
      <c r="K5" s="7">
        <f t="shared" ref="K5:K68" si="0">SUM(F5:J5)</f>
        <v>0</v>
      </c>
      <c r="L5" s="5">
        <f>IF(D5="X",0,IF(E5="",0,IF(E5="H",0,VLOOKUP(E5,$F$539:$G$553,2))))</f>
        <v>0</v>
      </c>
      <c r="M5">
        <f t="shared" ref="M5:M68" si="1">SUM(K5*L5)</f>
        <v>0</v>
      </c>
    </row>
    <row r="6" spans="1:13" x14ac:dyDescent="0.25">
      <c r="K6" s="7">
        <f t="shared" si="0"/>
        <v>0</v>
      </c>
      <c r="L6" s="5">
        <f t="shared" ref="L6:L69" si="2">IF(D6="X",0,IF(E6="",0,IF(E6="H",0,VLOOKUP(E6,$F$539:$G$553,2))))</f>
        <v>0</v>
      </c>
      <c r="M6">
        <f t="shared" si="1"/>
        <v>0</v>
      </c>
    </row>
    <row r="7" spans="1:13" x14ac:dyDescent="0.25">
      <c r="K7" s="7">
        <f t="shared" si="0"/>
        <v>0</v>
      </c>
      <c r="L7" s="5">
        <f t="shared" si="2"/>
        <v>0</v>
      </c>
      <c r="M7">
        <f t="shared" si="1"/>
        <v>0</v>
      </c>
    </row>
    <row r="8" spans="1:13" x14ac:dyDescent="0.25">
      <c r="K8" s="7">
        <f t="shared" si="0"/>
        <v>0</v>
      </c>
      <c r="L8" s="5">
        <f t="shared" si="2"/>
        <v>0</v>
      </c>
      <c r="M8">
        <f t="shared" si="1"/>
        <v>0</v>
      </c>
    </row>
    <row r="9" spans="1:13" x14ac:dyDescent="0.25">
      <c r="K9" s="7">
        <f t="shared" si="0"/>
        <v>0</v>
      </c>
      <c r="L9" s="5">
        <f t="shared" si="2"/>
        <v>0</v>
      </c>
      <c r="M9">
        <f t="shared" si="1"/>
        <v>0</v>
      </c>
    </row>
    <row r="10" spans="1:13" x14ac:dyDescent="0.25">
      <c r="K10" s="7">
        <f t="shared" si="0"/>
        <v>0</v>
      </c>
      <c r="L10" s="5">
        <f t="shared" si="2"/>
        <v>0</v>
      </c>
      <c r="M10">
        <f t="shared" si="1"/>
        <v>0</v>
      </c>
    </row>
    <row r="11" spans="1:13" x14ac:dyDescent="0.25">
      <c r="K11" s="7">
        <f t="shared" si="0"/>
        <v>0</v>
      </c>
      <c r="L11" s="5">
        <f t="shared" si="2"/>
        <v>0</v>
      </c>
      <c r="M11">
        <f t="shared" si="1"/>
        <v>0</v>
      </c>
    </row>
    <row r="12" spans="1:13" x14ac:dyDescent="0.25">
      <c r="K12" s="7">
        <f t="shared" si="0"/>
        <v>0</v>
      </c>
      <c r="L12" s="5">
        <f t="shared" si="2"/>
        <v>0</v>
      </c>
      <c r="M12">
        <f t="shared" si="1"/>
        <v>0</v>
      </c>
    </row>
    <row r="13" spans="1:13" x14ac:dyDescent="0.25">
      <c r="K13" s="7">
        <f t="shared" si="0"/>
        <v>0</v>
      </c>
      <c r="L13" s="5">
        <f t="shared" si="2"/>
        <v>0</v>
      </c>
      <c r="M13">
        <f t="shared" si="1"/>
        <v>0</v>
      </c>
    </row>
    <row r="14" spans="1:13" x14ac:dyDescent="0.25">
      <c r="K14" s="7">
        <f t="shared" si="0"/>
        <v>0</v>
      </c>
      <c r="L14" s="5">
        <f t="shared" si="2"/>
        <v>0</v>
      </c>
      <c r="M14">
        <f t="shared" si="1"/>
        <v>0</v>
      </c>
    </row>
    <row r="15" spans="1:13" x14ac:dyDescent="0.25">
      <c r="K15" s="7">
        <f t="shared" si="0"/>
        <v>0</v>
      </c>
      <c r="L15" s="5">
        <f t="shared" si="2"/>
        <v>0</v>
      </c>
      <c r="M15">
        <f t="shared" si="1"/>
        <v>0</v>
      </c>
    </row>
    <row r="16" spans="1:13" x14ac:dyDescent="0.25">
      <c r="K16" s="7">
        <f t="shared" si="0"/>
        <v>0</v>
      </c>
      <c r="L16" s="5">
        <f t="shared" si="2"/>
        <v>0</v>
      </c>
      <c r="M16">
        <f t="shared" si="1"/>
        <v>0</v>
      </c>
    </row>
    <row r="17" spans="11:13" x14ac:dyDescent="0.25">
      <c r="K17" s="7">
        <f t="shared" si="0"/>
        <v>0</v>
      </c>
      <c r="L17" s="5">
        <f t="shared" si="2"/>
        <v>0</v>
      </c>
      <c r="M17">
        <f t="shared" si="1"/>
        <v>0</v>
      </c>
    </row>
    <row r="18" spans="11:13" x14ac:dyDescent="0.25">
      <c r="K18" s="7">
        <f t="shared" si="0"/>
        <v>0</v>
      </c>
      <c r="L18" s="5">
        <f t="shared" si="2"/>
        <v>0</v>
      </c>
      <c r="M18">
        <f t="shared" si="1"/>
        <v>0</v>
      </c>
    </row>
    <row r="19" spans="11:13" x14ac:dyDescent="0.25">
      <c r="K19" s="7">
        <f t="shared" si="0"/>
        <v>0</v>
      </c>
      <c r="L19" s="5">
        <f t="shared" si="2"/>
        <v>0</v>
      </c>
      <c r="M19">
        <f t="shared" si="1"/>
        <v>0</v>
      </c>
    </row>
    <row r="20" spans="11:13" x14ac:dyDescent="0.25">
      <c r="K20" s="7">
        <f t="shared" si="0"/>
        <v>0</v>
      </c>
      <c r="L20" s="5">
        <f t="shared" si="2"/>
        <v>0</v>
      </c>
      <c r="M20">
        <f t="shared" si="1"/>
        <v>0</v>
      </c>
    </row>
    <row r="21" spans="11:13" x14ac:dyDescent="0.25">
      <c r="K21" s="7">
        <f t="shared" si="0"/>
        <v>0</v>
      </c>
      <c r="L21" s="5">
        <f t="shared" si="2"/>
        <v>0</v>
      </c>
      <c r="M21">
        <f t="shared" si="1"/>
        <v>0</v>
      </c>
    </row>
    <row r="22" spans="11:13" x14ac:dyDescent="0.25">
      <c r="K22" s="7">
        <f t="shared" si="0"/>
        <v>0</v>
      </c>
      <c r="L22" s="5">
        <f t="shared" si="2"/>
        <v>0</v>
      </c>
      <c r="M22">
        <f t="shared" si="1"/>
        <v>0</v>
      </c>
    </row>
    <row r="23" spans="11:13" x14ac:dyDescent="0.25">
      <c r="K23" s="7">
        <f t="shared" si="0"/>
        <v>0</v>
      </c>
      <c r="L23" s="5">
        <f t="shared" si="2"/>
        <v>0</v>
      </c>
      <c r="M23">
        <f t="shared" si="1"/>
        <v>0</v>
      </c>
    </row>
    <row r="24" spans="11:13" x14ac:dyDescent="0.25">
      <c r="K24" s="7">
        <f t="shared" si="0"/>
        <v>0</v>
      </c>
      <c r="L24" s="5">
        <f t="shared" si="2"/>
        <v>0</v>
      </c>
      <c r="M24">
        <f t="shared" si="1"/>
        <v>0</v>
      </c>
    </row>
    <row r="25" spans="11:13" x14ac:dyDescent="0.25">
      <c r="K25" s="7">
        <f t="shared" si="0"/>
        <v>0</v>
      </c>
      <c r="L25" s="5">
        <f t="shared" si="2"/>
        <v>0</v>
      </c>
      <c r="M25">
        <f t="shared" si="1"/>
        <v>0</v>
      </c>
    </row>
    <row r="26" spans="11:13" x14ac:dyDescent="0.25">
      <c r="K26" s="7">
        <f t="shared" si="0"/>
        <v>0</v>
      </c>
      <c r="L26" s="5">
        <f t="shared" si="2"/>
        <v>0</v>
      </c>
      <c r="M26">
        <f t="shared" si="1"/>
        <v>0</v>
      </c>
    </row>
    <row r="27" spans="11:13" x14ac:dyDescent="0.25">
      <c r="K27" s="7">
        <f t="shared" si="0"/>
        <v>0</v>
      </c>
      <c r="L27" s="5">
        <f t="shared" si="2"/>
        <v>0</v>
      </c>
      <c r="M27">
        <f t="shared" si="1"/>
        <v>0</v>
      </c>
    </row>
    <row r="28" spans="11:13" x14ac:dyDescent="0.25">
      <c r="K28" s="7">
        <f t="shared" si="0"/>
        <v>0</v>
      </c>
      <c r="L28" s="5">
        <f t="shared" si="2"/>
        <v>0</v>
      </c>
      <c r="M28">
        <f t="shared" si="1"/>
        <v>0</v>
      </c>
    </row>
    <row r="29" spans="11:13" x14ac:dyDescent="0.25">
      <c r="K29" s="7">
        <f t="shared" si="0"/>
        <v>0</v>
      </c>
      <c r="L29" s="5">
        <f t="shared" si="2"/>
        <v>0</v>
      </c>
      <c r="M29">
        <f t="shared" si="1"/>
        <v>0</v>
      </c>
    </row>
    <row r="30" spans="11:13" x14ac:dyDescent="0.25">
      <c r="K30" s="7">
        <f t="shared" si="0"/>
        <v>0</v>
      </c>
      <c r="L30" s="5">
        <f t="shared" si="2"/>
        <v>0</v>
      </c>
      <c r="M30">
        <f t="shared" si="1"/>
        <v>0</v>
      </c>
    </row>
    <row r="31" spans="11:13" x14ac:dyDescent="0.25">
      <c r="K31" s="7">
        <f t="shared" si="0"/>
        <v>0</v>
      </c>
      <c r="L31" s="5">
        <f t="shared" si="2"/>
        <v>0</v>
      </c>
      <c r="M31">
        <f t="shared" si="1"/>
        <v>0</v>
      </c>
    </row>
    <row r="32" spans="11:13" x14ac:dyDescent="0.25">
      <c r="K32" s="7">
        <f t="shared" si="0"/>
        <v>0</v>
      </c>
      <c r="L32" s="5">
        <f t="shared" si="2"/>
        <v>0</v>
      </c>
      <c r="M32">
        <f t="shared" si="1"/>
        <v>0</v>
      </c>
    </row>
    <row r="33" spans="11:13" x14ac:dyDescent="0.25">
      <c r="K33" s="7">
        <f t="shared" si="0"/>
        <v>0</v>
      </c>
      <c r="L33" s="5">
        <f t="shared" si="2"/>
        <v>0</v>
      </c>
      <c r="M33">
        <f t="shared" si="1"/>
        <v>0</v>
      </c>
    </row>
    <row r="34" spans="11:13" x14ac:dyDescent="0.25">
      <c r="K34" s="7">
        <f t="shared" si="0"/>
        <v>0</v>
      </c>
      <c r="L34" s="5">
        <f t="shared" si="2"/>
        <v>0</v>
      </c>
      <c r="M34">
        <f t="shared" si="1"/>
        <v>0</v>
      </c>
    </row>
    <row r="35" spans="11:13" x14ac:dyDescent="0.25">
      <c r="K35" s="7">
        <f t="shared" si="0"/>
        <v>0</v>
      </c>
      <c r="L35" s="5">
        <f t="shared" si="2"/>
        <v>0</v>
      </c>
      <c r="M35">
        <f t="shared" si="1"/>
        <v>0</v>
      </c>
    </row>
    <row r="36" spans="11:13" x14ac:dyDescent="0.25">
      <c r="K36" s="7">
        <f t="shared" si="0"/>
        <v>0</v>
      </c>
      <c r="L36" s="5">
        <f t="shared" si="2"/>
        <v>0</v>
      </c>
      <c r="M36">
        <f t="shared" si="1"/>
        <v>0</v>
      </c>
    </row>
    <row r="37" spans="11:13" x14ac:dyDescent="0.25">
      <c r="K37" s="7">
        <f t="shared" si="0"/>
        <v>0</v>
      </c>
      <c r="L37" s="5">
        <f t="shared" si="2"/>
        <v>0</v>
      </c>
      <c r="M37">
        <f t="shared" si="1"/>
        <v>0</v>
      </c>
    </row>
    <row r="38" spans="11:13" x14ac:dyDescent="0.25">
      <c r="K38" s="7">
        <f t="shared" si="0"/>
        <v>0</v>
      </c>
      <c r="L38" s="5">
        <f t="shared" si="2"/>
        <v>0</v>
      </c>
      <c r="M38">
        <f t="shared" si="1"/>
        <v>0</v>
      </c>
    </row>
    <row r="39" spans="11:13" x14ac:dyDescent="0.25">
      <c r="K39" s="7">
        <f t="shared" si="0"/>
        <v>0</v>
      </c>
      <c r="L39" s="5">
        <f t="shared" si="2"/>
        <v>0</v>
      </c>
      <c r="M39">
        <f t="shared" si="1"/>
        <v>0</v>
      </c>
    </row>
    <row r="40" spans="11:13" x14ac:dyDescent="0.25">
      <c r="K40" s="7">
        <f t="shared" si="0"/>
        <v>0</v>
      </c>
      <c r="L40" s="5">
        <f t="shared" si="2"/>
        <v>0</v>
      </c>
      <c r="M40">
        <f t="shared" si="1"/>
        <v>0</v>
      </c>
    </row>
    <row r="41" spans="11:13" x14ac:dyDescent="0.25">
      <c r="K41" s="7">
        <f t="shared" si="0"/>
        <v>0</v>
      </c>
      <c r="L41" s="5">
        <f t="shared" si="2"/>
        <v>0</v>
      </c>
      <c r="M41">
        <f t="shared" si="1"/>
        <v>0</v>
      </c>
    </row>
    <row r="42" spans="11:13" x14ac:dyDescent="0.25">
      <c r="K42" s="7">
        <f t="shared" si="0"/>
        <v>0</v>
      </c>
      <c r="L42" s="5">
        <f t="shared" si="2"/>
        <v>0</v>
      </c>
      <c r="M42">
        <f t="shared" si="1"/>
        <v>0</v>
      </c>
    </row>
    <row r="43" spans="11:13" x14ac:dyDescent="0.25">
      <c r="K43" s="7">
        <f t="shared" si="0"/>
        <v>0</v>
      </c>
      <c r="L43" s="5">
        <f t="shared" si="2"/>
        <v>0</v>
      </c>
      <c r="M43">
        <f t="shared" si="1"/>
        <v>0</v>
      </c>
    </row>
    <row r="44" spans="11:13" x14ac:dyDescent="0.25">
      <c r="K44" s="7">
        <f t="shared" si="0"/>
        <v>0</v>
      </c>
      <c r="L44" s="5">
        <f t="shared" si="2"/>
        <v>0</v>
      </c>
      <c r="M44">
        <f t="shared" si="1"/>
        <v>0</v>
      </c>
    </row>
    <row r="45" spans="11:13" x14ac:dyDescent="0.25">
      <c r="K45" s="7">
        <f t="shared" si="0"/>
        <v>0</v>
      </c>
      <c r="L45" s="5">
        <f t="shared" si="2"/>
        <v>0</v>
      </c>
      <c r="M45">
        <f t="shared" si="1"/>
        <v>0</v>
      </c>
    </row>
    <row r="46" spans="11:13" x14ac:dyDescent="0.25">
      <c r="K46" s="7">
        <f t="shared" si="0"/>
        <v>0</v>
      </c>
      <c r="L46" s="5">
        <f t="shared" si="2"/>
        <v>0</v>
      </c>
      <c r="M46">
        <f t="shared" si="1"/>
        <v>0</v>
      </c>
    </row>
    <row r="47" spans="11:13" x14ac:dyDescent="0.25">
      <c r="K47" s="7">
        <f t="shared" si="0"/>
        <v>0</v>
      </c>
      <c r="L47" s="5">
        <f t="shared" si="2"/>
        <v>0</v>
      </c>
      <c r="M47">
        <f t="shared" si="1"/>
        <v>0</v>
      </c>
    </row>
    <row r="48" spans="11:13" x14ac:dyDescent="0.25">
      <c r="K48" s="7">
        <f t="shared" si="0"/>
        <v>0</v>
      </c>
      <c r="L48" s="5">
        <f t="shared" si="2"/>
        <v>0</v>
      </c>
      <c r="M48">
        <f t="shared" si="1"/>
        <v>0</v>
      </c>
    </row>
    <row r="49" spans="11:13" x14ac:dyDescent="0.25">
      <c r="K49" s="7">
        <f t="shared" si="0"/>
        <v>0</v>
      </c>
      <c r="L49" s="5">
        <f t="shared" si="2"/>
        <v>0</v>
      </c>
      <c r="M49">
        <f t="shared" si="1"/>
        <v>0</v>
      </c>
    </row>
    <row r="50" spans="11:13" x14ac:dyDescent="0.25">
      <c r="K50" s="7">
        <f t="shared" si="0"/>
        <v>0</v>
      </c>
      <c r="L50" s="5">
        <f t="shared" si="2"/>
        <v>0</v>
      </c>
      <c r="M50">
        <f t="shared" si="1"/>
        <v>0</v>
      </c>
    </row>
    <row r="51" spans="11:13" x14ac:dyDescent="0.25">
      <c r="K51" s="7">
        <f t="shared" si="0"/>
        <v>0</v>
      </c>
      <c r="L51" s="5">
        <f t="shared" si="2"/>
        <v>0</v>
      </c>
      <c r="M51">
        <f t="shared" si="1"/>
        <v>0</v>
      </c>
    </row>
    <row r="52" spans="11:13" x14ac:dyDescent="0.25">
      <c r="K52" s="7">
        <f t="shared" si="0"/>
        <v>0</v>
      </c>
      <c r="L52" s="5">
        <f t="shared" si="2"/>
        <v>0</v>
      </c>
      <c r="M52">
        <f t="shared" si="1"/>
        <v>0</v>
      </c>
    </row>
    <row r="53" spans="11:13" x14ac:dyDescent="0.25">
      <c r="K53" s="7">
        <f t="shared" si="0"/>
        <v>0</v>
      </c>
      <c r="L53" s="5">
        <f t="shared" si="2"/>
        <v>0</v>
      </c>
      <c r="M53">
        <f t="shared" si="1"/>
        <v>0</v>
      </c>
    </row>
    <row r="54" spans="11:13" x14ac:dyDescent="0.25">
      <c r="K54" s="7">
        <f t="shared" si="0"/>
        <v>0</v>
      </c>
      <c r="L54" s="5">
        <f t="shared" si="2"/>
        <v>0</v>
      </c>
      <c r="M54">
        <f t="shared" si="1"/>
        <v>0</v>
      </c>
    </row>
    <row r="55" spans="11:13" x14ac:dyDescent="0.25">
      <c r="K55" s="7">
        <f t="shared" si="0"/>
        <v>0</v>
      </c>
      <c r="L55" s="5">
        <f t="shared" si="2"/>
        <v>0</v>
      </c>
      <c r="M55">
        <f t="shared" si="1"/>
        <v>0</v>
      </c>
    </row>
    <row r="56" spans="11:13" x14ac:dyDescent="0.25">
      <c r="K56" s="7">
        <f t="shared" si="0"/>
        <v>0</v>
      </c>
      <c r="L56" s="5">
        <f t="shared" si="2"/>
        <v>0</v>
      </c>
      <c r="M56">
        <f t="shared" si="1"/>
        <v>0</v>
      </c>
    </row>
    <row r="57" spans="11:13" x14ac:dyDescent="0.25">
      <c r="K57" s="7">
        <f t="shared" si="0"/>
        <v>0</v>
      </c>
      <c r="L57" s="5">
        <f t="shared" si="2"/>
        <v>0</v>
      </c>
      <c r="M57">
        <f t="shared" si="1"/>
        <v>0</v>
      </c>
    </row>
    <row r="58" spans="11:13" x14ac:dyDescent="0.25">
      <c r="K58" s="7">
        <f t="shared" si="0"/>
        <v>0</v>
      </c>
      <c r="L58" s="5">
        <f t="shared" si="2"/>
        <v>0</v>
      </c>
      <c r="M58">
        <f t="shared" si="1"/>
        <v>0</v>
      </c>
    </row>
    <row r="59" spans="11:13" x14ac:dyDescent="0.25">
      <c r="K59" s="7">
        <f t="shared" si="0"/>
        <v>0</v>
      </c>
      <c r="L59" s="5">
        <f t="shared" si="2"/>
        <v>0</v>
      </c>
      <c r="M59">
        <f t="shared" si="1"/>
        <v>0</v>
      </c>
    </row>
    <row r="60" spans="11:13" x14ac:dyDescent="0.25">
      <c r="K60" s="7">
        <f t="shared" si="0"/>
        <v>0</v>
      </c>
      <c r="L60" s="5">
        <f t="shared" si="2"/>
        <v>0</v>
      </c>
      <c r="M60">
        <f t="shared" si="1"/>
        <v>0</v>
      </c>
    </row>
    <row r="61" spans="11:13" x14ac:dyDescent="0.25">
      <c r="K61" s="7">
        <f t="shared" si="0"/>
        <v>0</v>
      </c>
      <c r="L61" s="5">
        <f t="shared" si="2"/>
        <v>0</v>
      </c>
      <c r="M61">
        <f t="shared" si="1"/>
        <v>0</v>
      </c>
    </row>
    <row r="62" spans="11:13" x14ac:dyDescent="0.25">
      <c r="K62" s="7">
        <f t="shared" si="0"/>
        <v>0</v>
      </c>
      <c r="L62" s="5">
        <f t="shared" si="2"/>
        <v>0</v>
      </c>
      <c r="M62">
        <f t="shared" si="1"/>
        <v>0</v>
      </c>
    </row>
    <row r="63" spans="11:13" x14ac:dyDescent="0.25">
      <c r="K63" s="7">
        <f t="shared" si="0"/>
        <v>0</v>
      </c>
      <c r="L63" s="5">
        <f t="shared" si="2"/>
        <v>0</v>
      </c>
      <c r="M63">
        <f t="shared" si="1"/>
        <v>0</v>
      </c>
    </row>
    <row r="64" spans="11:13" x14ac:dyDescent="0.25">
      <c r="K64" s="7">
        <f t="shared" si="0"/>
        <v>0</v>
      </c>
      <c r="L64" s="5">
        <f t="shared" si="2"/>
        <v>0</v>
      </c>
      <c r="M64">
        <f t="shared" si="1"/>
        <v>0</v>
      </c>
    </row>
    <row r="65" spans="11:13" x14ac:dyDescent="0.25">
      <c r="K65" s="7">
        <f t="shared" si="0"/>
        <v>0</v>
      </c>
      <c r="L65" s="5">
        <f t="shared" si="2"/>
        <v>0</v>
      </c>
      <c r="M65">
        <f t="shared" si="1"/>
        <v>0</v>
      </c>
    </row>
    <row r="66" spans="11:13" x14ac:dyDescent="0.25">
      <c r="K66" s="7">
        <f t="shared" si="0"/>
        <v>0</v>
      </c>
      <c r="L66" s="5">
        <f t="shared" si="2"/>
        <v>0</v>
      </c>
      <c r="M66">
        <f t="shared" si="1"/>
        <v>0</v>
      </c>
    </row>
    <row r="67" spans="11:13" x14ac:dyDescent="0.25">
      <c r="K67" s="7">
        <f t="shared" si="0"/>
        <v>0</v>
      </c>
      <c r="L67" s="5">
        <f t="shared" si="2"/>
        <v>0</v>
      </c>
      <c r="M67">
        <f t="shared" si="1"/>
        <v>0</v>
      </c>
    </row>
    <row r="68" spans="11:13" x14ac:dyDescent="0.25">
      <c r="K68" s="7">
        <f t="shared" si="0"/>
        <v>0</v>
      </c>
      <c r="L68" s="5">
        <f t="shared" si="2"/>
        <v>0</v>
      </c>
      <c r="M68">
        <f t="shared" si="1"/>
        <v>0</v>
      </c>
    </row>
    <row r="69" spans="11:13" x14ac:dyDescent="0.25">
      <c r="K69" s="7">
        <f t="shared" ref="K69:K132" si="3">SUM(F69:J69)</f>
        <v>0</v>
      </c>
      <c r="L69" s="5">
        <f t="shared" si="2"/>
        <v>0</v>
      </c>
      <c r="M69">
        <f t="shared" ref="M69:M132" si="4">SUM(K69*L69)</f>
        <v>0</v>
      </c>
    </row>
    <row r="70" spans="11:13" x14ac:dyDescent="0.25">
      <c r="K70" s="7">
        <f t="shared" si="3"/>
        <v>0</v>
      </c>
      <c r="L70" s="5">
        <f t="shared" ref="L70:L133" si="5">IF(D70="X",0,IF(E70="",0,IF(E70="H",0,VLOOKUP(E70,$F$539:$G$553,2))))</f>
        <v>0</v>
      </c>
      <c r="M70">
        <f t="shared" si="4"/>
        <v>0</v>
      </c>
    </row>
    <row r="71" spans="11:13" x14ac:dyDescent="0.25">
      <c r="K71" s="7">
        <f t="shared" si="3"/>
        <v>0</v>
      </c>
      <c r="L71" s="5">
        <f t="shared" si="5"/>
        <v>0</v>
      </c>
      <c r="M71">
        <f t="shared" si="4"/>
        <v>0</v>
      </c>
    </row>
    <row r="72" spans="11:13" x14ac:dyDescent="0.25">
      <c r="K72" s="7">
        <f t="shared" si="3"/>
        <v>0</v>
      </c>
      <c r="L72" s="5">
        <f t="shared" si="5"/>
        <v>0</v>
      </c>
      <c r="M72">
        <f t="shared" si="4"/>
        <v>0</v>
      </c>
    </row>
    <row r="73" spans="11:13" x14ac:dyDescent="0.25">
      <c r="K73" s="7">
        <f t="shared" si="3"/>
        <v>0</v>
      </c>
      <c r="L73" s="5">
        <f t="shared" si="5"/>
        <v>0</v>
      </c>
      <c r="M73">
        <f t="shared" si="4"/>
        <v>0</v>
      </c>
    </row>
    <row r="74" spans="11:13" x14ac:dyDescent="0.25">
      <c r="K74" s="7">
        <f t="shared" si="3"/>
        <v>0</v>
      </c>
      <c r="L74" s="5">
        <f t="shared" si="5"/>
        <v>0</v>
      </c>
      <c r="M74">
        <f t="shared" si="4"/>
        <v>0</v>
      </c>
    </row>
    <row r="75" spans="11:13" x14ac:dyDescent="0.25">
      <c r="K75" s="7">
        <f t="shared" si="3"/>
        <v>0</v>
      </c>
      <c r="L75" s="5">
        <f t="shared" si="5"/>
        <v>0</v>
      </c>
      <c r="M75">
        <f t="shared" si="4"/>
        <v>0</v>
      </c>
    </row>
    <row r="76" spans="11:13" x14ac:dyDescent="0.25">
      <c r="K76" s="7">
        <f t="shared" si="3"/>
        <v>0</v>
      </c>
      <c r="L76" s="5">
        <f t="shared" si="5"/>
        <v>0</v>
      </c>
      <c r="M76">
        <f t="shared" si="4"/>
        <v>0</v>
      </c>
    </row>
    <row r="77" spans="11:13" x14ac:dyDescent="0.25">
      <c r="K77" s="7">
        <f t="shared" si="3"/>
        <v>0</v>
      </c>
      <c r="L77" s="5">
        <f t="shared" si="5"/>
        <v>0</v>
      </c>
      <c r="M77">
        <f t="shared" si="4"/>
        <v>0</v>
      </c>
    </row>
    <row r="78" spans="11:13" x14ac:dyDescent="0.25">
      <c r="K78" s="7">
        <f t="shared" si="3"/>
        <v>0</v>
      </c>
      <c r="L78" s="5">
        <f t="shared" si="5"/>
        <v>0</v>
      </c>
      <c r="M78">
        <f t="shared" si="4"/>
        <v>0</v>
      </c>
    </row>
    <row r="79" spans="11:13" x14ac:dyDescent="0.25">
      <c r="K79" s="7">
        <f t="shared" si="3"/>
        <v>0</v>
      </c>
      <c r="L79" s="5">
        <f t="shared" si="5"/>
        <v>0</v>
      </c>
      <c r="M79">
        <f t="shared" si="4"/>
        <v>0</v>
      </c>
    </row>
    <row r="80" spans="11:13" x14ac:dyDescent="0.25">
      <c r="K80" s="7">
        <f t="shared" si="3"/>
        <v>0</v>
      </c>
      <c r="L80" s="5">
        <f t="shared" si="5"/>
        <v>0</v>
      </c>
      <c r="M80">
        <f t="shared" si="4"/>
        <v>0</v>
      </c>
    </row>
    <row r="81" spans="11:13" x14ac:dyDescent="0.25">
      <c r="K81" s="7">
        <f t="shared" si="3"/>
        <v>0</v>
      </c>
      <c r="L81" s="5">
        <f t="shared" si="5"/>
        <v>0</v>
      </c>
      <c r="M81">
        <f t="shared" si="4"/>
        <v>0</v>
      </c>
    </row>
    <row r="82" spans="11:13" x14ac:dyDescent="0.25">
      <c r="K82" s="7">
        <f t="shared" si="3"/>
        <v>0</v>
      </c>
      <c r="L82" s="5">
        <f t="shared" si="5"/>
        <v>0</v>
      </c>
      <c r="M82">
        <f t="shared" si="4"/>
        <v>0</v>
      </c>
    </row>
    <row r="83" spans="11:13" x14ac:dyDescent="0.25">
      <c r="K83" s="7">
        <f t="shared" si="3"/>
        <v>0</v>
      </c>
      <c r="L83" s="5">
        <f t="shared" si="5"/>
        <v>0</v>
      </c>
      <c r="M83">
        <f t="shared" si="4"/>
        <v>0</v>
      </c>
    </row>
    <row r="84" spans="11:13" x14ac:dyDescent="0.25">
      <c r="K84" s="7">
        <f t="shared" si="3"/>
        <v>0</v>
      </c>
      <c r="L84" s="5">
        <f t="shared" si="5"/>
        <v>0</v>
      </c>
      <c r="M84">
        <f t="shared" si="4"/>
        <v>0</v>
      </c>
    </row>
    <row r="85" spans="11:13" x14ac:dyDescent="0.25">
      <c r="K85" s="7">
        <f t="shared" si="3"/>
        <v>0</v>
      </c>
      <c r="L85" s="5">
        <f t="shared" si="5"/>
        <v>0</v>
      </c>
      <c r="M85">
        <f t="shared" si="4"/>
        <v>0</v>
      </c>
    </row>
    <row r="86" spans="11:13" x14ac:dyDescent="0.25">
      <c r="K86" s="7">
        <f t="shared" si="3"/>
        <v>0</v>
      </c>
      <c r="L86" s="5">
        <f t="shared" si="5"/>
        <v>0</v>
      </c>
      <c r="M86">
        <f t="shared" si="4"/>
        <v>0</v>
      </c>
    </row>
    <row r="87" spans="11:13" x14ac:dyDescent="0.25">
      <c r="K87" s="7">
        <f t="shared" si="3"/>
        <v>0</v>
      </c>
      <c r="L87" s="5">
        <f t="shared" si="5"/>
        <v>0</v>
      </c>
      <c r="M87">
        <f t="shared" si="4"/>
        <v>0</v>
      </c>
    </row>
    <row r="88" spans="11:13" x14ac:dyDescent="0.25">
      <c r="K88" s="7">
        <f t="shared" si="3"/>
        <v>0</v>
      </c>
      <c r="L88" s="5">
        <f t="shared" si="5"/>
        <v>0</v>
      </c>
      <c r="M88">
        <f t="shared" si="4"/>
        <v>0</v>
      </c>
    </row>
    <row r="89" spans="11:13" x14ac:dyDescent="0.25">
      <c r="K89" s="7">
        <f t="shared" si="3"/>
        <v>0</v>
      </c>
      <c r="L89" s="5">
        <f t="shared" si="5"/>
        <v>0</v>
      </c>
      <c r="M89">
        <f t="shared" si="4"/>
        <v>0</v>
      </c>
    </row>
    <row r="90" spans="11:13" x14ac:dyDescent="0.25">
      <c r="K90" s="7">
        <f t="shared" si="3"/>
        <v>0</v>
      </c>
      <c r="L90" s="5">
        <f t="shared" si="5"/>
        <v>0</v>
      </c>
      <c r="M90">
        <f t="shared" si="4"/>
        <v>0</v>
      </c>
    </row>
    <row r="91" spans="11:13" x14ac:dyDescent="0.25">
      <c r="K91" s="7">
        <f t="shared" si="3"/>
        <v>0</v>
      </c>
      <c r="L91" s="5">
        <f t="shared" si="5"/>
        <v>0</v>
      </c>
      <c r="M91">
        <f t="shared" si="4"/>
        <v>0</v>
      </c>
    </row>
    <row r="92" spans="11:13" x14ac:dyDescent="0.25">
      <c r="K92" s="7">
        <f t="shared" si="3"/>
        <v>0</v>
      </c>
      <c r="L92" s="5">
        <f t="shared" si="5"/>
        <v>0</v>
      </c>
      <c r="M92">
        <f t="shared" si="4"/>
        <v>0</v>
      </c>
    </row>
    <row r="93" spans="11:13" x14ac:dyDescent="0.25">
      <c r="K93" s="7">
        <f t="shared" si="3"/>
        <v>0</v>
      </c>
      <c r="L93" s="5">
        <f t="shared" si="5"/>
        <v>0</v>
      </c>
      <c r="M93">
        <f t="shared" si="4"/>
        <v>0</v>
      </c>
    </row>
    <row r="94" spans="11:13" x14ac:dyDescent="0.25">
      <c r="K94" s="7">
        <f t="shared" si="3"/>
        <v>0</v>
      </c>
      <c r="L94" s="5">
        <f t="shared" si="5"/>
        <v>0</v>
      </c>
      <c r="M94">
        <f t="shared" si="4"/>
        <v>0</v>
      </c>
    </row>
    <row r="95" spans="11:13" x14ac:dyDescent="0.25">
      <c r="K95" s="7">
        <f t="shared" si="3"/>
        <v>0</v>
      </c>
      <c r="L95" s="5">
        <f t="shared" si="5"/>
        <v>0</v>
      </c>
      <c r="M95">
        <f t="shared" si="4"/>
        <v>0</v>
      </c>
    </row>
    <row r="96" spans="11:13" x14ac:dyDescent="0.25">
      <c r="K96" s="7">
        <f t="shared" si="3"/>
        <v>0</v>
      </c>
      <c r="L96" s="5">
        <f t="shared" si="5"/>
        <v>0</v>
      </c>
      <c r="M96">
        <f t="shared" si="4"/>
        <v>0</v>
      </c>
    </row>
    <row r="97" spans="11:13" x14ac:dyDescent="0.25">
      <c r="K97" s="7">
        <f t="shared" si="3"/>
        <v>0</v>
      </c>
      <c r="L97" s="5">
        <f t="shared" si="5"/>
        <v>0</v>
      </c>
      <c r="M97">
        <f t="shared" si="4"/>
        <v>0</v>
      </c>
    </row>
    <row r="98" spans="11:13" x14ac:dyDescent="0.25">
      <c r="K98" s="7">
        <f t="shared" si="3"/>
        <v>0</v>
      </c>
      <c r="L98" s="5">
        <f t="shared" si="5"/>
        <v>0</v>
      </c>
      <c r="M98">
        <f t="shared" si="4"/>
        <v>0</v>
      </c>
    </row>
    <row r="99" spans="11:13" x14ac:dyDescent="0.25">
      <c r="K99" s="7">
        <f t="shared" si="3"/>
        <v>0</v>
      </c>
      <c r="L99" s="5">
        <f t="shared" si="5"/>
        <v>0</v>
      </c>
      <c r="M99">
        <f t="shared" si="4"/>
        <v>0</v>
      </c>
    </row>
    <row r="100" spans="11:13" x14ac:dyDescent="0.25">
      <c r="K100" s="7">
        <f t="shared" si="3"/>
        <v>0</v>
      </c>
      <c r="L100" s="5">
        <f t="shared" si="5"/>
        <v>0</v>
      </c>
      <c r="M100">
        <f t="shared" si="4"/>
        <v>0</v>
      </c>
    </row>
    <row r="101" spans="11:13" x14ac:dyDescent="0.25">
      <c r="K101" s="7">
        <f t="shared" si="3"/>
        <v>0</v>
      </c>
      <c r="L101" s="5">
        <f t="shared" si="5"/>
        <v>0</v>
      </c>
      <c r="M101">
        <f t="shared" si="4"/>
        <v>0</v>
      </c>
    </row>
    <row r="102" spans="11:13" x14ac:dyDescent="0.25">
      <c r="K102" s="7">
        <f t="shared" si="3"/>
        <v>0</v>
      </c>
      <c r="L102" s="5">
        <f t="shared" si="5"/>
        <v>0</v>
      </c>
      <c r="M102">
        <f t="shared" si="4"/>
        <v>0</v>
      </c>
    </row>
    <row r="103" spans="11:13" x14ac:dyDescent="0.25">
      <c r="K103" s="7">
        <f t="shared" si="3"/>
        <v>0</v>
      </c>
      <c r="L103" s="5">
        <f t="shared" si="5"/>
        <v>0</v>
      </c>
      <c r="M103">
        <f t="shared" si="4"/>
        <v>0</v>
      </c>
    </row>
    <row r="104" spans="11:13" x14ac:dyDescent="0.25">
      <c r="K104" s="7">
        <f t="shared" si="3"/>
        <v>0</v>
      </c>
      <c r="L104" s="5">
        <f t="shared" si="5"/>
        <v>0</v>
      </c>
      <c r="M104">
        <f t="shared" si="4"/>
        <v>0</v>
      </c>
    </row>
    <row r="105" spans="11:13" x14ac:dyDescent="0.25">
      <c r="K105" s="7">
        <f t="shared" si="3"/>
        <v>0</v>
      </c>
      <c r="L105" s="5">
        <f t="shared" si="5"/>
        <v>0</v>
      </c>
      <c r="M105">
        <f t="shared" si="4"/>
        <v>0</v>
      </c>
    </row>
    <row r="106" spans="11:13" x14ac:dyDescent="0.25">
      <c r="K106" s="7">
        <f t="shared" si="3"/>
        <v>0</v>
      </c>
      <c r="L106" s="5">
        <f t="shared" si="5"/>
        <v>0</v>
      </c>
      <c r="M106">
        <f t="shared" si="4"/>
        <v>0</v>
      </c>
    </row>
    <row r="107" spans="11:13" x14ac:dyDescent="0.25">
      <c r="K107" s="7">
        <f t="shared" si="3"/>
        <v>0</v>
      </c>
      <c r="L107" s="5">
        <f t="shared" si="5"/>
        <v>0</v>
      </c>
      <c r="M107">
        <f t="shared" si="4"/>
        <v>0</v>
      </c>
    </row>
    <row r="108" spans="11:13" x14ac:dyDescent="0.25">
      <c r="K108" s="7">
        <f t="shared" si="3"/>
        <v>0</v>
      </c>
      <c r="L108" s="5">
        <f t="shared" si="5"/>
        <v>0</v>
      </c>
      <c r="M108">
        <f t="shared" si="4"/>
        <v>0</v>
      </c>
    </row>
    <row r="109" spans="11:13" x14ac:dyDescent="0.25">
      <c r="K109" s="7">
        <f t="shared" si="3"/>
        <v>0</v>
      </c>
      <c r="L109" s="5">
        <f t="shared" si="5"/>
        <v>0</v>
      </c>
      <c r="M109">
        <f t="shared" si="4"/>
        <v>0</v>
      </c>
    </row>
    <row r="110" spans="11:13" x14ac:dyDescent="0.25">
      <c r="K110" s="7">
        <f t="shared" si="3"/>
        <v>0</v>
      </c>
      <c r="L110" s="5">
        <f t="shared" si="5"/>
        <v>0</v>
      </c>
      <c r="M110">
        <f t="shared" si="4"/>
        <v>0</v>
      </c>
    </row>
    <row r="111" spans="11:13" x14ac:dyDescent="0.25">
      <c r="K111" s="7">
        <f t="shared" si="3"/>
        <v>0</v>
      </c>
      <c r="L111" s="5">
        <f t="shared" si="5"/>
        <v>0</v>
      </c>
      <c r="M111">
        <f t="shared" si="4"/>
        <v>0</v>
      </c>
    </row>
    <row r="112" spans="11:13" x14ac:dyDescent="0.25">
      <c r="K112" s="7">
        <f t="shared" si="3"/>
        <v>0</v>
      </c>
      <c r="L112" s="5">
        <f t="shared" si="5"/>
        <v>0</v>
      </c>
      <c r="M112">
        <f t="shared" si="4"/>
        <v>0</v>
      </c>
    </row>
    <row r="113" spans="11:13" x14ac:dyDescent="0.25">
      <c r="K113" s="7">
        <f t="shared" si="3"/>
        <v>0</v>
      </c>
      <c r="L113" s="5">
        <f t="shared" si="5"/>
        <v>0</v>
      </c>
      <c r="M113">
        <f t="shared" si="4"/>
        <v>0</v>
      </c>
    </row>
    <row r="114" spans="11:13" x14ac:dyDescent="0.25">
      <c r="K114" s="7">
        <f t="shared" si="3"/>
        <v>0</v>
      </c>
      <c r="L114" s="5">
        <f t="shared" si="5"/>
        <v>0</v>
      </c>
      <c r="M114">
        <f t="shared" si="4"/>
        <v>0</v>
      </c>
    </row>
    <row r="115" spans="11:13" x14ac:dyDescent="0.25">
      <c r="K115" s="7">
        <f t="shared" si="3"/>
        <v>0</v>
      </c>
      <c r="L115" s="5">
        <f t="shared" si="5"/>
        <v>0</v>
      </c>
      <c r="M115">
        <f t="shared" si="4"/>
        <v>0</v>
      </c>
    </row>
    <row r="116" spans="11:13" x14ac:dyDescent="0.25">
      <c r="K116" s="7">
        <f t="shared" si="3"/>
        <v>0</v>
      </c>
      <c r="L116" s="5">
        <f t="shared" si="5"/>
        <v>0</v>
      </c>
      <c r="M116">
        <f t="shared" si="4"/>
        <v>0</v>
      </c>
    </row>
    <row r="117" spans="11:13" x14ac:dyDescent="0.25">
      <c r="K117" s="7">
        <f t="shared" si="3"/>
        <v>0</v>
      </c>
      <c r="L117" s="5">
        <f t="shared" si="5"/>
        <v>0</v>
      </c>
      <c r="M117">
        <f t="shared" si="4"/>
        <v>0</v>
      </c>
    </row>
    <row r="118" spans="11:13" x14ac:dyDescent="0.25">
      <c r="K118" s="7">
        <f t="shared" si="3"/>
        <v>0</v>
      </c>
      <c r="L118" s="5">
        <f t="shared" si="5"/>
        <v>0</v>
      </c>
      <c r="M118">
        <f t="shared" si="4"/>
        <v>0</v>
      </c>
    </row>
    <row r="119" spans="11:13" x14ac:dyDescent="0.25">
      <c r="K119" s="7">
        <f t="shared" si="3"/>
        <v>0</v>
      </c>
      <c r="L119" s="5">
        <f t="shared" si="5"/>
        <v>0</v>
      </c>
      <c r="M119">
        <f t="shared" si="4"/>
        <v>0</v>
      </c>
    </row>
    <row r="120" spans="11:13" x14ac:dyDescent="0.25">
      <c r="K120" s="7">
        <f t="shared" si="3"/>
        <v>0</v>
      </c>
      <c r="L120" s="5">
        <f t="shared" si="5"/>
        <v>0</v>
      </c>
      <c r="M120">
        <f t="shared" si="4"/>
        <v>0</v>
      </c>
    </row>
    <row r="121" spans="11:13" x14ac:dyDescent="0.25">
      <c r="K121" s="7">
        <f t="shared" si="3"/>
        <v>0</v>
      </c>
      <c r="L121" s="5">
        <f t="shared" si="5"/>
        <v>0</v>
      </c>
      <c r="M121">
        <f t="shared" si="4"/>
        <v>0</v>
      </c>
    </row>
    <row r="122" spans="11:13" x14ac:dyDescent="0.25">
      <c r="K122" s="7">
        <f t="shared" si="3"/>
        <v>0</v>
      </c>
      <c r="L122" s="5">
        <f t="shared" si="5"/>
        <v>0</v>
      </c>
      <c r="M122">
        <f t="shared" si="4"/>
        <v>0</v>
      </c>
    </row>
    <row r="123" spans="11:13" x14ac:dyDescent="0.25">
      <c r="K123" s="7">
        <f t="shared" si="3"/>
        <v>0</v>
      </c>
      <c r="L123" s="5">
        <f t="shared" si="5"/>
        <v>0</v>
      </c>
      <c r="M123">
        <f t="shared" si="4"/>
        <v>0</v>
      </c>
    </row>
    <row r="124" spans="11:13" x14ac:dyDescent="0.25">
      <c r="K124" s="7">
        <f t="shared" si="3"/>
        <v>0</v>
      </c>
      <c r="L124" s="5">
        <f t="shared" si="5"/>
        <v>0</v>
      </c>
      <c r="M124">
        <f t="shared" si="4"/>
        <v>0</v>
      </c>
    </row>
    <row r="125" spans="11:13" x14ac:dyDescent="0.25">
      <c r="K125" s="7">
        <f t="shared" si="3"/>
        <v>0</v>
      </c>
      <c r="L125" s="5">
        <f t="shared" si="5"/>
        <v>0</v>
      </c>
      <c r="M125">
        <f t="shared" si="4"/>
        <v>0</v>
      </c>
    </row>
    <row r="126" spans="11:13" x14ac:dyDescent="0.25">
      <c r="K126" s="7">
        <f t="shared" si="3"/>
        <v>0</v>
      </c>
      <c r="L126" s="5">
        <f t="shared" si="5"/>
        <v>0</v>
      </c>
      <c r="M126">
        <f t="shared" si="4"/>
        <v>0</v>
      </c>
    </row>
    <row r="127" spans="11:13" x14ac:dyDescent="0.25">
      <c r="K127" s="7">
        <f t="shared" si="3"/>
        <v>0</v>
      </c>
      <c r="L127" s="5">
        <f t="shared" si="5"/>
        <v>0</v>
      </c>
      <c r="M127">
        <f t="shared" si="4"/>
        <v>0</v>
      </c>
    </row>
    <row r="128" spans="11:13" x14ac:dyDescent="0.25">
      <c r="K128" s="7">
        <f t="shared" si="3"/>
        <v>0</v>
      </c>
      <c r="L128" s="5">
        <f t="shared" si="5"/>
        <v>0</v>
      </c>
      <c r="M128">
        <f t="shared" si="4"/>
        <v>0</v>
      </c>
    </row>
    <row r="129" spans="11:13" x14ac:dyDescent="0.25">
      <c r="K129" s="7">
        <f t="shared" si="3"/>
        <v>0</v>
      </c>
      <c r="L129" s="5">
        <f t="shared" si="5"/>
        <v>0</v>
      </c>
      <c r="M129">
        <f t="shared" si="4"/>
        <v>0</v>
      </c>
    </row>
    <row r="130" spans="11:13" x14ac:dyDescent="0.25">
      <c r="K130" s="7">
        <f t="shared" si="3"/>
        <v>0</v>
      </c>
      <c r="L130" s="5">
        <f t="shared" si="5"/>
        <v>0</v>
      </c>
      <c r="M130">
        <f t="shared" si="4"/>
        <v>0</v>
      </c>
    </row>
    <row r="131" spans="11:13" x14ac:dyDescent="0.25">
      <c r="K131" s="7">
        <f t="shared" si="3"/>
        <v>0</v>
      </c>
      <c r="L131" s="5">
        <f t="shared" si="5"/>
        <v>0</v>
      </c>
      <c r="M131">
        <f t="shared" si="4"/>
        <v>0</v>
      </c>
    </row>
    <row r="132" spans="11:13" x14ac:dyDescent="0.25">
      <c r="K132" s="7">
        <f t="shared" si="3"/>
        <v>0</v>
      </c>
      <c r="L132" s="5">
        <f t="shared" si="5"/>
        <v>0</v>
      </c>
      <c r="M132">
        <f t="shared" si="4"/>
        <v>0</v>
      </c>
    </row>
    <row r="133" spans="11:13" x14ac:dyDescent="0.25">
      <c r="K133" s="7">
        <f t="shared" ref="K133:K196" si="6">SUM(F133:J133)</f>
        <v>0</v>
      </c>
      <c r="L133" s="5">
        <f t="shared" si="5"/>
        <v>0</v>
      </c>
      <c r="M133">
        <f t="shared" ref="M133:M196" si="7">SUM(K133*L133)</f>
        <v>0</v>
      </c>
    </row>
    <row r="134" spans="11:13" x14ac:dyDescent="0.25">
      <c r="K134" s="7">
        <f t="shared" si="6"/>
        <v>0</v>
      </c>
      <c r="L134" s="5">
        <f t="shared" ref="L134:L197" si="8">IF(D134="X",0,IF(E134="",0,IF(E134="H",0,VLOOKUP(E134,$F$539:$G$553,2))))</f>
        <v>0</v>
      </c>
      <c r="M134">
        <f t="shared" si="7"/>
        <v>0</v>
      </c>
    </row>
    <row r="135" spans="11:13" x14ac:dyDescent="0.25">
      <c r="K135" s="7">
        <f t="shared" si="6"/>
        <v>0</v>
      </c>
      <c r="L135" s="5">
        <f t="shared" si="8"/>
        <v>0</v>
      </c>
      <c r="M135">
        <f t="shared" si="7"/>
        <v>0</v>
      </c>
    </row>
    <row r="136" spans="11:13" x14ac:dyDescent="0.25">
      <c r="K136" s="7">
        <f t="shared" si="6"/>
        <v>0</v>
      </c>
      <c r="L136" s="5">
        <f t="shared" si="8"/>
        <v>0</v>
      </c>
      <c r="M136">
        <f t="shared" si="7"/>
        <v>0</v>
      </c>
    </row>
    <row r="137" spans="11:13" x14ac:dyDescent="0.25">
      <c r="K137" s="7">
        <f t="shared" si="6"/>
        <v>0</v>
      </c>
      <c r="L137" s="5">
        <f t="shared" si="8"/>
        <v>0</v>
      </c>
      <c r="M137">
        <f t="shared" si="7"/>
        <v>0</v>
      </c>
    </row>
    <row r="138" spans="11:13" x14ac:dyDescent="0.25">
      <c r="K138" s="7">
        <f t="shared" si="6"/>
        <v>0</v>
      </c>
      <c r="L138" s="5">
        <f t="shared" si="8"/>
        <v>0</v>
      </c>
      <c r="M138">
        <f t="shared" si="7"/>
        <v>0</v>
      </c>
    </row>
    <row r="139" spans="11:13" x14ac:dyDescent="0.25">
      <c r="K139" s="7">
        <f t="shared" si="6"/>
        <v>0</v>
      </c>
      <c r="L139" s="5">
        <f t="shared" si="8"/>
        <v>0</v>
      </c>
      <c r="M139">
        <f t="shared" si="7"/>
        <v>0</v>
      </c>
    </row>
    <row r="140" spans="11:13" x14ac:dyDescent="0.25">
      <c r="K140" s="7">
        <f t="shared" si="6"/>
        <v>0</v>
      </c>
      <c r="L140" s="5">
        <f t="shared" si="8"/>
        <v>0</v>
      </c>
      <c r="M140">
        <f t="shared" si="7"/>
        <v>0</v>
      </c>
    </row>
    <row r="141" spans="11:13" x14ac:dyDescent="0.25">
      <c r="K141" s="7">
        <f t="shared" si="6"/>
        <v>0</v>
      </c>
      <c r="L141" s="5">
        <f t="shared" si="8"/>
        <v>0</v>
      </c>
      <c r="M141">
        <f t="shared" si="7"/>
        <v>0</v>
      </c>
    </row>
    <row r="142" spans="11:13" x14ac:dyDescent="0.25">
      <c r="K142" s="7">
        <f t="shared" si="6"/>
        <v>0</v>
      </c>
      <c r="L142" s="5">
        <f t="shared" si="8"/>
        <v>0</v>
      </c>
      <c r="M142">
        <f t="shared" si="7"/>
        <v>0</v>
      </c>
    </row>
    <row r="143" spans="11:13" x14ac:dyDescent="0.25">
      <c r="K143" s="7">
        <f t="shared" si="6"/>
        <v>0</v>
      </c>
      <c r="L143" s="5">
        <f t="shared" si="8"/>
        <v>0</v>
      </c>
      <c r="M143">
        <f t="shared" si="7"/>
        <v>0</v>
      </c>
    </row>
    <row r="144" spans="11:13" x14ac:dyDescent="0.25">
      <c r="K144" s="7">
        <f t="shared" si="6"/>
        <v>0</v>
      </c>
      <c r="L144" s="5">
        <f t="shared" si="8"/>
        <v>0</v>
      </c>
      <c r="M144">
        <f t="shared" si="7"/>
        <v>0</v>
      </c>
    </row>
    <row r="145" spans="11:13" x14ac:dyDescent="0.25">
      <c r="K145" s="7">
        <f t="shared" si="6"/>
        <v>0</v>
      </c>
      <c r="L145" s="5">
        <f t="shared" si="8"/>
        <v>0</v>
      </c>
      <c r="M145">
        <f t="shared" si="7"/>
        <v>0</v>
      </c>
    </row>
    <row r="146" spans="11:13" x14ac:dyDescent="0.25">
      <c r="K146" s="7">
        <f t="shared" si="6"/>
        <v>0</v>
      </c>
      <c r="L146" s="5">
        <f t="shared" si="8"/>
        <v>0</v>
      </c>
      <c r="M146">
        <f t="shared" si="7"/>
        <v>0</v>
      </c>
    </row>
    <row r="147" spans="11:13" x14ac:dyDescent="0.25">
      <c r="K147" s="7">
        <f t="shared" si="6"/>
        <v>0</v>
      </c>
      <c r="L147" s="5">
        <f t="shared" si="8"/>
        <v>0</v>
      </c>
      <c r="M147">
        <f t="shared" si="7"/>
        <v>0</v>
      </c>
    </row>
    <row r="148" spans="11:13" x14ac:dyDescent="0.25">
      <c r="K148" s="7">
        <f t="shared" si="6"/>
        <v>0</v>
      </c>
      <c r="L148" s="5">
        <f t="shared" si="8"/>
        <v>0</v>
      </c>
      <c r="M148">
        <f t="shared" si="7"/>
        <v>0</v>
      </c>
    </row>
    <row r="149" spans="11:13" x14ac:dyDescent="0.25">
      <c r="K149" s="7">
        <f t="shared" si="6"/>
        <v>0</v>
      </c>
      <c r="L149" s="5">
        <f t="shared" si="8"/>
        <v>0</v>
      </c>
      <c r="M149">
        <f t="shared" si="7"/>
        <v>0</v>
      </c>
    </row>
    <row r="150" spans="11:13" x14ac:dyDescent="0.25">
      <c r="K150" s="7">
        <f t="shared" si="6"/>
        <v>0</v>
      </c>
      <c r="L150" s="5">
        <f t="shared" si="8"/>
        <v>0</v>
      </c>
      <c r="M150">
        <f t="shared" si="7"/>
        <v>0</v>
      </c>
    </row>
    <row r="151" spans="11:13" x14ac:dyDescent="0.25">
      <c r="K151" s="7">
        <f t="shared" si="6"/>
        <v>0</v>
      </c>
      <c r="L151" s="5">
        <f t="shared" si="8"/>
        <v>0</v>
      </c>
      <c r="M151">
        <f t="shared" si="7"/>
        <v>0</v>
      </c>
    </row>
    <row r="152" spans="11:13" x14ac:dyDescent="0.25">
      <c r="K152" s="7">
        <f t="shared" si="6"/>
        <v>0</v>
      </c>
      <c r="L152" s="5">
        <f t="shared" si="8"/>
        <v>0</v>
      </c>
      <c r="M152">
        <f t="shared" si="7"/>
        <v>0</v>
      </c>
    </row>
    <row r="153" spans="11:13" x14ac:dyDescent="0.25">
      <c r="K153" s="7">
        <f t="shared" si="6"/>
        <v>0</v>
      </c>
      <c r="L153" s="5">
        <f t="shared" si="8"/>
        <v>0</v>
      </c>
      <c r="M153">
        <f t="shared" si="7"/>
        <v>0</v>
      </c>
    </row>
    <row r="154" spans="11:13" x14ac:dyDescent="0.25">
      <c r="K154" s="7">
        <f t="shared" si="6"/>
        <v>0</v>
      </c>
      <c r="L154" s="5">
        <f t="shared" si="8"/>
        <v>0</v>
      </c>
      <c r="M154">
        <f t="shared" si="7"/>
        <v>0</v>
      </c>
    </row>
    <row r="155" spans="11:13" x14ac:dyDescent="0.25">
      <c r="K155" s="7">
        <f t="shared" si="6"/>
        <v>0</v>
      </c>
      <c r="L155" s="5">
        <f t="shared" si="8"/>
        <v>0</v>
      </c>
      <c r="M155">
        <f t="shared" si="7"/>
        <v>0</v>
      </c>
    </row>
    <row r="156" spans="11:13" x14ac:dyDescent="0.25">
      <c r="K156" s="7">
        <f t="shared" si="6"/>
        <v>0</v>
      </c>
      <c r="L156" s="5">
        <f t="shared" si="8"/>
        <v>0</v>
      </c>
      <c r="M156">
        <f t="shared" si="7"/>
        <v>0</v>
      </c>
    </row>
    <row r="157" spans="11:13" x14ac:dyDescent="0.25">
      <c r="K157" s="7">
        <f t="shared" si="6"/>
        <v>0</v>
      </c>
      <c r="L157" s="5">
        <f t="shared" si="8"/>
        <v>0</v>
      </c>
      <c r="M157">
        <f t="shared" si="7"/>
        <v>0</v>
      </c>
    </row>
    <row r="158" spans="11:13" x14ac:dyDescent="0.25">
      <c r="K158" s="7">
        <f t="shared" si="6"/>
        <v>0</v>
      </c>
      <c r="L158" s="5">
        <f t="shared" si="8"/>
        <v>0</v>
      </c>
      <c r="M158">
        <f t="shared" si="7"/>
        <v>0</v>
      </c>
    </row>
    <row r="159" spans="11:13" x14ac:dyDescent="0.25">
      <c r="K159" s="7">
        <f t="shared" si="6"/>
        <v>0</v>
      </c>
      <c r="L159" s="5">
        <f t="shared" si="8"/>
        <v>0</v>
      </c>
      <c r="M159">
        <f t="shared" si="7"/>
        <v>0</v>
      </c>
    </row>
    <row r="160" spans="11:13" x14ac:dyDescent="0.25">
      <c r="K160" s="7">
        <f t="shared" si="6"/>
        <v>0</v>
      </c>
      <c r="L160" s="5">
        <f t="shared" si="8"/>
        <v>0</v>
      </c>
      <c r="M160">
        <f t="shared" si="7"/>
        <v>0</v>
      </c>
    </row>
    <row r="161" spans="11:13" x14ac:dyDescent="0.25">
      <c r="K161" s="7">
        <f t="shared" si="6"/>
        <v>0</v>
      </c>
      <c r="L161" s="5">
        <f t="shared" si="8"/>
        <v>0</v>
      </c>
      <c r="M161">
        <f t="shared" si="7"/>
        <v>0</v>
      </c>
    </row>
    <row r="162" spans="11:13" x14ac:dyDescent="0.25">
      <c r="K162" s="7">
        <f t="shared" si="6"/>
        <v>0</v>
      </c>
      <c r="L162" s="5">
        <f t="shared" si="8"/>
        <v>0</v>
      </c>
      <c r="M162">
        <f t="shared" si="7"/>
        <v>0</v>
      </c>
    </row>
    <row r="163" spans="11:13" x14ac:dyDescent="0.25">
      <c r="K163" s="7">
        <f t="shared" si="6"/>
        <v>0</v>
      </c>
      <c r="L163" s="5">
        <f t="shared" si="8"/>
        <v>0</v>
      </c>
      <c r="M163">
        <f t="shared" si="7"/>
        <v>0</v>
      </c>
    </row>
    <row r="164" spans="11:13" x14ac:dyDescent="0.25">
      <c r="K164" s="7">
        <f t="shared" si="6"/>
        <v>0</v>
      </c>
      <c r="L164" s="5">
        <f t="shared" si="8"/>
        <v>0</v>
      </c>
      <c r="M164">
        <f t="shared" si="7"/>
        <v>0</v>
      </c>
    </row>
    <row r="165" spans="11:13" x14ac:dyDescent="0.25">
      <c r="K165" s="7">
        <f t="shared" si="6"/>
        <v>0</v>
      </c>
      <c r="L165" s="5">
        <f t="shared" si="8"/>
        <v>0</v>
      </c>
      <c r="M165">
        <f t="shared" si="7"/>
        <v>0</v>
      </c>
    </row>
    <row r="166" spans="11:13" x14ac:dyDescent="0.25">
      <c r="K166" s="7">
        <f t="shared" si="6"/>
        <v>0</v>
      </c>
      <c r="L166" s="5">
        <f t="shared" si="8"/>
        <v>0</v>
      </c>
      <c r="M166">
        <f t="shared" si="7"/>
        <v>0</v>
      </c>
    </row>
    <row r="167" spans="11:13" x14ac:dyDescent="0.25">
      <c r="K167" s="7">
        <f t="shared" si="6"/>
        <v>0</v>
      </c>
      <c r="L167" s="5">
        <f t="shared" si="8"/>
        <v>0</v>
      </c>
      <c r="M167">
        <f t="shared" si="7"/>
        <v>0</v>
      </c>
    </row>
    <row r="168" spans="11:13" x14ac:dyDescent="0.25">
      <c r="K168" s="7">
        <f t="shared" si="6"/>
        <v>0</v>
      </c>
      <c r="L168" s="5">
        <f t="shared" si="8"/>
        <v>0</v>
      </c>
      <c r="M168">
        <f t="shared" si="7"/>
        <v>0</v>
      </c>
    </row>
    <row r="169" spans="11:13" x14ac:dyDescent="0.25">
      <c r="K169" s="7">
        <f t="shared" si="6"/>
        <v>0</v>
      </c>
      <c r="L169" s="5">
        <f t="shared" si="8"/>
        <v>0</v>
      </c>
      <c r="M169">
        <f t="shared" si="7"/>
        <v>0</v>
      </c>
    </row>
    <row r="170" spans="11:13" x14ac:dyDescent="0.25">
      <c r="K170" s="7">
        <f t="shared" si="6"/>
        <v>0</v>
      </c>
      <c r="L170" s="5">
        <f t="shared" si="8"/>
        <v>0</v>
      </c>
      <c r="M170">
        <f t="shared" si="7"/>
        <v>0</v>
      </c>
    </row>
    <row r="171" spans="11:13" x14ac:dyDescent="0.25">
      <c r="K171" s="7">
        <f t="shared" si="6"/>
        <v>0</v>
      </c>
      <c r="L171" s="5">
        <f t="shared" si="8"/>
        <v>0</v>
      </c>
      <c r="M171">
        <f t="shared" si="7"/>
        <v>0</v>
      </c>
    </row>
    <row r="172" spans="11:13" x14ac:dyDescent="0.25">
      <c r="K172" s="7">
        <f t="shared" si="6"/>
        <v>0</v>
      </c>
      <c r="L172" s="5">
        <f t="shared" si="8"/>
        <v>0</v>
      </c>
      <c r="M172">
        <f t="shared" si="7"/>
        <v>0</v>
      </c>
    </row>
    <row r="173" spans="11:13" x14ac:dyDescent="0.25">
      <c r="K173" s="7">
        <f t="shared" si="6"/>
        <v>0</v>
      </c>
      <c r="L173" s="5">
        <f t="shared" si="8"/>
        <v>0</v>
      </c>
      <c r="M173">
        <f t="shared" si="7"/>
        <v>0</v>
      </c>
    </row>
    <row r="174" spans="11:13" x14ac:dyDescent="0.25">
      <c r="K174" s="7">
        <f t="shared" si="6"/>
        <v>0</v>
      </c>
      <c r="L174" s="5">
        <f t="shared" si="8"/>
        <v>0</v>
      </c>
      <c r="M174">
        <f t="shared" si="7"/>
        <v>0</v>
      </c>
    </row>
    <row r="175" spans="11:13" x14ac:dyDescent="0.25">
      <c r="K175" s="7">
        <f t="shared" si="6"/>
        <v>0</v>
      </c>
      <c r="L175" s="5">
        <f t="shared" si="8"/>
        <v>0</v>
      </c>
      <c r="M175">
        <f t="shared" si="7"/>
        <v>0</v>
      </c>
    </row>
    <row r="176" spans="11:13" x14ac:dyDescent="0.25">
      <c r="K176" s="7">
        <f t="shared" si="6"/>
        <v>0</v>
      </c>
      <c r="L176" s="5">
        <f t="shared" si="8"/>
        <v>0</v>
      </c>
      <c r="M176">
        <f t="shared" si="7"/>
        <v>0</v>
      </c>
    </row>
    <row r="177" spans="11:13" x14ac:dyDescent="0.25">
      <c r="K177" s="7">
        <f t="shared" si="6"/>
        <v>0</v>
      </c>
      <c r="L177" s="5">
        <f t="shared" si="8"/>
        <v>0</v>
      </c>
      <c r="M177">
        <f t="shared" si="7"/>
        <v>0</v>
      </c>
    </row>
    <row r="178" spans="11:13" x14ac:dyDescent="0.25">
      <c r="K178" s="7">
        <f t="shared" si="6"/>
        <v>0</v>
      </c>
      <c r="L178" s="5">
        <f t="shared" si="8"/>
        <v>0</v>
      </c>
      <c r="M178">
        <f t="shared" si="7"/>
        <v>0</v>
      </c>
    </row>
    <row r="179" spans="11:13" x14ac:dyDescent="0.25">
      <c r="K179" s="7">
        <f t="shared" si="6"/>
        <v>0</v>
      </c>
      <c r="L179" s="5">
        <f t="shared" si="8"/>
        <v>0</v>
      </c>
      <c r="M179">
        <f t="shared" si="7"/>
        <v>0</v>
      </c>
    </row>
    <row r="180" spans="11:13" x14ac:dyDescent="0.25">
      <c r="K180" s="7">
        <f t="shared" si="6"/>
        <v>0</v>
      </c>
      <c r="L180" s="5">
        <f t="shared" si="8"/>
        <v>0</v>
      </c>
      <c r="M180">
        <f t="shared" si="7"/>
        <v>0</v>
      </c>
    </row>
    <row r="181" spans="11:13" x14ac:dyDescent="0.25">
      <c r="K181" s="7">
        <f t="shared" si="6"/>
        <v>0</v>
      </c>
      <c r="L181" s="5">
        <f t="shared" si="8"/>
        <v>0</v>
      </c>
      <c r="M181">
        <f t="shared" si="7"/>
        <v>0</v>
      </c>
    </row>
    <row r="182" spans="11:13" x14ac:dyDescent="0.25">
      <c r="K182" s="7">
        <f t="shared" si="6"/>
        <v>0</v>
      </c>
      <c r="L182" s="5">
        <f t="shared" si="8"/>
        <v>0</v>
      </c>
      <c r="M182">
        <f t="shared" si="7"/>
        <v>0</v>
      </c>
    </row>
    <row r="183" spans="11:13" x14ac:dyDescent="0.25">
      <c r="K183" s="7">
        <f t="shared" si="6"/>
        <v>0</v>
      </c>
      <c r="L183" s="5">
        <f t="shared" si="8"/>
        <v>0</v>
      </c>
      <c r="M183">
        <f t="shared" si="7"/>
        <v>0</v>
      </c>
    </row>
    <row r="184" spans="11:13" x14ac:dyDescent="0.25">
      <c r="K184" s="7">
        <f t="shared" si="6"/>
        <v>0</v>
      </c>
      <c r="L184" s="5">
        <f t="shared" si="8"/>
        <v>0</v>
      </c>
      <c r="M184">
        <f t="shared" si="7"/>
        <v>0</v>
      </c>
    </row>
    <row r="185" spans="11:13" x14ac:dyDescent="0.25">
      <c r="K185" s="7">
        <f t="shared" si="6"/>
        <v>0</v>
      </c>
      <c r="L185" s="5">
        <f t="shared" si="8"/>
        <v>0</v>
      </c>
      <c r="M185">
        <f t="shared" si="7"/>
        <v>0</v>
      </c>
    </row>
    <row r="186" spans="11:13" x14ac:dyDescent="0.25">
      <c r="K186" s="7">
        <f t="shared" si="6"/>
        <v>0</v>
      </c>
      <c r="L186" s="5">
        <f t="shared" si="8"/>
        <v>0</v>
      </c>
      <c r="M186">
        <f t="shared" si="7"/>
        <v>0</v>
      </c>
    </row>
    <row r="187" spans="11:13" x14ac:dyDescent="0.25">
      <c r="K187" s="7">
        <f t="shared" si="6"/>
        <v>0</v>
      </c>
      <c r="L187" s="5">
        <f t="shared" si="8"/>
        <v>0</v>
      </c>
      <c r="M187">
        <f t="shared" si="7"/>
        <v>0</v>
      </c>
    </row>
    <row r="188" spans="11:13" x14ac:dyDescent="0.25">
      <c r="K188" s="7">
        <f t="shared" si="6"/>
        <v>0</v>
      </c>
      <c r="L188" s="5">
        <f t="shared" si="8"/>
        <v>0</v>
      </c>
      <c r="M188">
        <f t="shared" si="7"/>
        <v>0</v>
      </c>
    </row>
    <row r="189" spans="11:13" x14ac:dyDescent="0.25">
      <c r="K189" s="7">
        <f t="shared" si="6"/>
        <v>0</v>
      </c>
      <c r="L189" s="5">
        <f t="shared" si="8"/>
        <v>0</v>
      </c>
      <c r="M189">
        <f t="shared" si="7"/>
        <v>0</v>
      </c>
    </row>
    <row r="190" spans="11:13" x14ac:dyDescent="0.25">
      <c r="K190" s="7">
        <f t="shared" si="6"/>
        <v>0</v>
      </c>
      <c r="L190" s="5">
        <f t="shared" si="8"/>
        <v>0</v>
      </c>
      <c r="M190">
        <f t="shared" si="7"/>
        <v>0</v>
      </c>
    </row>
    <row r="191" spans="11:13" x14ac:dyDescent="0.25">
      <c r="K191" s="7">
        <f t="shared" si="6"/>
        <v>0</v>
      </c>
      <c r="L191" s="5">
        <f t="shared" si="8"/>
        <v>0</v>
      </c>
      <c r="M191">
        <f t="shared" si="7"/>
        <v>0</v>
      </c>
    </row>
    <row r="192" spans="11:13" x14ac:dyDescent="0.25">
      <c r="K192" s="7">
        <f t="shared" si="6"/>
        <v>0</v>
      </c>
      <c r="L192" s="5">
        <f t="shared" si="8"/>
        <v>0</v>
      </c>
      <c r="M192">
        <f t="shared" si="7"/>
        <v>0</v>
      </c>
    </row>
    <row r="193" spans="11:13" x14ac:dyDescent="0.25">
      <c r="K193" s="7">
        <f t="shared" si="6"/>
        <v>0</v>
      </c>
      <c r="L193" s="5">
        <f t="shared" si="8"/>
        <v>0</v>
      </c>
      <c r="M193">
        <f t="shared" si="7"/>
        <v>0</v>
      </c>
    </row>
    <row r="194" spans="11:13" x14ac:dyDescent="0.25">
      <c r="K194" s="7">
        <f t="shared" si="6"/>
        <v>0</v>
      </c>
      <c r="L194" s="5">
        <f t="shared" si="8"/>
        <v>0</v>
      </c>
      <c r="M194">
        <f t="shared" si="7"/>
        <v>0</v>
      </c>
    </row>
    <row r="195" spans="11:13" x14ac:dyDescent="0.25">
      <c r="K195" s="7">
        <f t="shared" si="6"/>
        <v>0</v>
      </c>
      <c r="L195" s="5">
        <f t="shared" si="8"/>
        <v>0</v>
      </c>
      <c r="M195">
        <f t="shared" si="7"/>
        <v>0</v>
      </c>
    </row>
    <row r="196" spans="11:13" x14ac:dyDescent="0.25">
      <c r="K196" s="7">
        <f t="shared" si="6"/>
        <v>0</v>
      </c>
      <c r="L196" s="5">
        <f t="shared" si="8"/>
        <v>0</v>
      </c>
      <c r="M196">
        <f t="shared" si="7"/>
        <v>0</v>
      </c>
    </row>
    <row r="197" spans="11:13" x14ac:dyDescent="0.25">
      <c r="K197" s="7">
        <f t="shared" ref="K197:K260" si="9">SUM(F197:J197)</f>
        <v>0</v>
      </c>
      <c r="L197" s="5">
        <f t="shared" si="8"/>
        <v>0</v>
      </c>
      <c r="M197">
        <f t="shared" ref="M197:M260" si="10">SUM(K197*L197)</f>
        <v>0</v>
      </c>
    </row>
    <row r="198" spans="11:13" x14ac:dyDescent="0.25">
      <c r="K198" s="7">
        <f t="shared" si="9"/>
        <v>0</v>
      </c>
      <c r="L198" s="5">
        <f t="shared" ref="L198:L261" si="11">IF(D198="X",0,IF(E198="",0,IF(E198="H",0,VLOOKUP(E198,$F$539:$G$553,2))))</f>
        <v>0</v>
      </c>
      <c r="M198">
        <f t="shared" si="10"/>
        <v>0</v>
      </c>
    </row>
    <row r="199" spans="11:13" x14ac:dyDescent="0.25">
      <c r="K199" s="7">
        <f t="shared" si="9"/>
        <v>0</v>
      </c>
      <c r="L199" s="5">
        <f t="shared" si="11"/>
        <v>0</v>
      </c>
      <c r="M199">
        <f t="shared" si="10"/>
        <v>0</v>
      </c>
    </row>
    <row r="200" spans="11:13" x14ac:dyDescent="0.25">
      <c r="K200" s="7">
        <f t="shared" si="9"/>
        <v>0</v>
      </c>
      <c r="L200" s="5">
        <f t="shared" si="11"/>
        <v>0</v>
      </c>
      <c r="M200">
        <f t="shared" si="10"/>
        <v>0</v>
      </c>
    </row>
    <row r="201" spans="11:13" x14ac:dyDescent="0.25">
      <c r="K201" s="7">
        <f t="shared" si="9"/>
        <v>0</v>
      </c>
      <c r="L201" s="5">
        <f t="shared" si="11"/>
        <v>0</v>
      </c>
      <c r="M201">
        <f t="shared" si="10"/>
        <v>0</v>
      </c>
    </row>
    <row r="202" spans="11:13" x14ac:dyDescent="0.25">
      <c r="K202" s="7">
        <f t="shared" si="9"/>
        <v>0</v>
      </c>
      <c r="L202" s="5">
        <f t="shared" si="11"/>
        <v>0</v>
      </c>
      <c r="M202">
        <f t="shared" si="10"/>
        <v>0</v>
      </c>
    </row>
    <row r="203" spans="11:13" x14ac:dyDescent="0.25">
      <c r="K203" s="7">
        <f t="shared" si="9"/>
        <v>0</v>
      </c>
      <c r="L203" s="5">
        <f t="shared" si="11"/>
        <v>0</v>
      </c>
      <c r="M203">
        <f t="shared" si="10"/>
        <v>0</v>
      </c>
    </row>
    <row r="204" spans="11:13" x14ac:dyDescent="0.25">
      <c r="K204" s="7">
        <f t="shared" si="9"/>
        <v>0</v>
      </c>
      <c r="L204" s="5">
        <f t="shared" si="11"/>
        <v>0</v>
      </c>
      <c r="M204">
        <f t="shared" si="10"/>
        <v>0</v>
      </c>
    </row>
    <row r="205" spans="11:13" x14ac:dyDescent="0.25">
      <c r="K205" s="7">
        <f t="shared" si="9"/>
        <v>0</v>
      </c>
      <c r="L205" s="5">
        <f t="shared" si="11"/>
        <v>0</v>
      </c>
      <c r="M205">
        <f t="shared" si="10"/>
        <v>0</v>
      </c>
    </row>
    <row r="206" spans="11:13" x14ac:dyDescent="0.25">
      <c r="K206" s="7">
        <f t="shared" si="9"/>
        <v>0</v>
      </c>
      <c r="L206" s="5">
        <f t="shared" si="11"/>
        <v>0</v>
      </c>
      <c r="M206">
        <f t="shared" si="10"/>
        <v>0</v>
      </c>
    </row>
    <row r="207" spans="11:13" x14ac:dyDescent="0.25">
      <c r="K207" s="7">
        <f t="shared" si="9"/>
        <v>0</v>
      </c>
      <c r="L207" s="5">
        <f t="shared" si="11"/>
        <v>0</v>
      </c>
      <c r="M207">
        <f t="shared" si="10"/>
        <v>0</v>
      </c>
    </row>
    <row r="208" spans="11:13" x14ac:dyDescent="0.25">
      <c r="K208" s="7">
        <f t="shared" si="9"/>
        <v>0</v>
      </c>
      <c r="L208" s="5">
        <f t="shared" si="11"/>
        <v>0</v>
      </c>
      <c r="M208">
        <f t="shared" si="10"/>
        <v>0</v>
      </c>
    </row>
    <row r="209" spans="11:13" x14ac:dyDescent="0.25">
      <c r="K209" s="7">
        <f t="shared" si="9"/>
        <v>0</v>
      </c>
      <c r="L209" s="5">
        <f t="shared" si="11"/>
        <v>0</v>
      </c>
      <c r="M209">
        <f t="shared" si="10"/>
        <v>0</v>
      </c>
    </row>
    <row r="210" spans="11:13" x14ac:dyDescent="0.25">
      <c r="K210" s="7">
        <f t="shared" si="9"/>
        <v>0</v>
      </c>
      <c r="L210" s="5">
        <f t="shared" si="11"/>
        <v>0</v>
      </c>
      <c r="M210">
        <f t="shared" si="10"/>
        <v>0</v>
      </c>
    </row>
    <row r="211" spans="11:13" x14ac:dyDescent="0.25">
      <c r="K211" s="7">
        <f t="shared" si="9"/>
        <v>0</v>
      </c>
      <c r="L211" s="5">
        <f t="shared" si="11"/>
        <v>0</v>
      </c>
      <c r="M211">
        <f t="shared" si="10"/>
        <v>0</v>
      </c>
    </row>
    <row r="212" spans="11:13" x14ac:dyDescent="0.25">
      <c r="K212" s="7">
        <f t="shared" si="9"/>
        <v>0</v>
      </c>
      <c r="L212" s="5">
        <f t="shared" si="11"/>
        <v>0</v>
      </c>
      <c r="M212">
        <f t="shared" si="10"/>
        <v>0</v>
      </c>
    </row>
    <row r="213" spans="11:13" x14ac:dyDescent="0.25">
      <c r="K213" s="7">
        <f t="shared" si="9"/>
        <v>0</v>
      </c>
      <c r="L213" s="5">
        <f t="shared" si="11"/>
        <v>0</v>
      </c>
      <c r="M213">
        <f t="shared" si="10"/>
        <v>0</v>
      </c>
    </row>
    <row r="214" spans="11:13" x14ac:dyDescent="0.25">
      <c r="K214" s="7">
        <f t="shared" si="9"/>
        <v>0</v>
      </c>
      <c r="L214" s="5">
        <f t="shared" si="11"/>
        <v>0</v>
      </c>
      <c r="M214">
        <f t="shared" si="10"/>
        <v>0</v>
      </c>
    </row>
    <row r="215" spans="11:13" x14ac:dyDescent="0.25">
      <c r="K215" s="7">
        <f t="shared" si="9"/>
        <v>0</v>
      </c>
      <c r="L215" s="5">
        <f t="shared" si="11"/>
        <v>0</v>
      </c>
      <c r="M215">
        <f t="shared" si="10"/>
        <v>0</v>
      </c>
    </row>
    <row r="216" spans="11:13" x14ac:dyDescent="0.25">
      <c r="K216" s="7">
        <f t="shared" si="9"/>
        <v>0</v>
      </c>
      <c r="L216" s="5">
        <f t="shared" si="11"/>
        <v>0</v>
      </c>
      <c r="M216">
        <f t="shared" si="10"/>
        <v>0</v>
      </c>
    </row>
    <row r="217" spans="11:13" x14ac:dyDescent="0.25">
      <c r="K217" s="7">
        <f t="shared" si="9"/>
        <v>0</v>
      </c>
      <c r="L217" s="5">
        <f t="shared" si="11"/>
        <v>0</v>
      </c>
      <c r="M217">
        <f t="shared" si="10"/>
        <v>0</v>
      </c>
    </row>
    <row r="218" spans="11:13" x14ac:dyDescent="0.25">
      <c r="K218" s="7">
        <f t="shared" si="9"/>
        <v>0</v>
      </c>
      <c r="L218" s="5">
        <f t="shared" si="11"/>
        <v>0</v>
      </c>
      <c r="M218">
        <f t="shared" si="10"/>
        <v>0</v>
      </c>
    </row>
    <row r="219" spans="11:13" x14ac:dyDescent="0.25">
      <c r="K219" s="7">
        <f t="shared" si="9"/>
        <v>0</v>
      </c>
      <c r="L219" s="5">
        <f t="shared" si="11"/>
        <v>0</v>
      </c>
      <c r="M219">
        <f t="shared" si="10"/>
        <v>0</v>
      </c>
    </row>
    <row r="220" spans="11:13" x14ac:dyDescent="0.25">
      <c r="K220" s="7">
        <f t="shared" si="9"/>
        <v>0</v>
      </c>
      <c r="L220" s="5">
        <f t="shared" si="11"/>
        <v>0</v>
      </c>
      <c r="M220">
        <f t="shared" si="10"/>
        <v>0</v>
      </c>
    </row>
    <row r="221" spans="11:13" x14ac:dyDescent="0.25">
      <c r="K221" s="7">
        <f t="shared" si="9"/>
        <v>0</v>
      </c>
      <c r="L221" s="5">
        <f t="shared" si="11"/>
        <v>0</v>
      </c>
      <c r="M221">
        <f t="shared" si="10"/>
        <v>0</v>
      </c>
    </row>
    <row r="222" spans="11:13" x14ac:dyDescent="0.25">
      <c r="K222" s="7">
        <f t="shared" si="9"/>
        <v>0</v>
      </c>
      <c r="L222" s="5">
        <f t="shared" si="11"/>
        <v>0</v>
      </c>
      <c r="M222">
        <f t="shared" si="10"/>
        <v>0</v>
      </c>
    </row>
    <row r="223" spans="11:13" x14ac:dyDescent="0.25">
      <c r="K223" s="7">
        <f t="shared" si="9"/>
        <v>0</v>
      </c>
      <c r="L223" s="5">
        <f t="shared" si="11"/>
        <v>0</v>
      </c>
      <c r="M223">
        <f t="shared" si="10"/>
        <v>0</v>
      </c>
    </row>
    <row r="224" spans="11:13" x14ac:dyDescent="0.25">
      <c r="K224" s="7">
        <f t="shared" si="9"/>
        <v>0</v>
      </c>
      <c r="L224" s="5">
        <f t="shared" si="11"/>
        <v>0</v>
      </c>
      <c r="M224">
        <f t="shared" si="10"/>
        <v>0</v>
      </c>
    </row>
    <row r="225" spans="11:13" x14ac:dyDescent="0.25">
      <c r="K225" s="7">
        <f t="shared" si="9"/>
        <v>0</v>
      </c>
      <c r="L225" s="5">
        <f t="shared" si="11"/>
        <v>0</v>
      </c>
      <c r="M225">
        <f t="shared" si="10"/>
        <v>0</v>
      </c>
    </row>
    <row r="226" spans="11:13" x14ac:dyDescent="0.25">
      <c r="K226" s="7">
        <f t="shared" si="9"/>
        <v>0</v>
      </c>
      <c r="L226" s="5">
        <f t="shared" si="11"/>
        <v>0</v>
      </c>
      <c r="M226">
        <f t="shared" si="10"/>
        <v>0</v>
      </c>
    </row>
    <row r="227" spans="11:13" x14ac:dyDescent="0.25">
      <c r="K227" s="7">
        <f t="shared" si="9"/>
        <v>0</v>
      </c>
      <c r="L227" s="5">
        <f t="shared" si="11"/>
        <v>0</v>
      </c>
      <c r="M227">
        <f t="shared" si="10"/>
        <v>0</v>
      </c>
    </row>
    <row r="228" spans="11:13" x14ac:dyDescent="0.25">
      <c r="K228" s="7">
        <f t="shared" si="9"/>
        <v>0</v>
      </c>
      <c r="L228" s="5">
        <f t="shared" si="11"/>
        <v>0</v>
      </c>
      <c r="M228">
        <f t="shared" si="10"/>
        <v>0</v>
      </c>
    </row>
    <row r="229" spans="11:13" x14ac:dyDescent="0.25">
      <c r="K229" s="7">
        <f t="shared" si="9"/>
        <v>0</v>
      </c>
      <c r="L229" s="5">
        <f t="shared" si="11"/>
        <v>0</v>
      </c>
      <c r="M229">
        <f t="shared" si="10"/>
        <v>0</v>
      </c>
    </row>
    <row r="230" spans="11:13" x14ac:dyDescent="0.25">
      <c r="K230" s="7">
        <f t="shared" si="9"/>
        <v>0</v>
      </c>
      <c r="L230" s="5">
        <f t="shared" si="11"/>
        <v>0</v>
      </c>
      <c r="M230">
        <f t="shared" si="10"/>
        <v>0</v>
      </c>
    </row>
    <row r="231" spans="11:13" x14ac:dyDescent="0.25">
      <c r="K231" s="7">
        <f t="shared" si="9"/>
        <v>0</v>
      </c>
      <c r="L231" s="5">
        <f t="shared" si="11"/>
        <v>0</v>
      </c>
      <c r="M231">
        <f t="shared" si="10"/>
        <v>0</v>
      </c>
    </row>
    <row r="232" spans="11:13" x14ac:dyDescent="0.25">
      <c r="K232" s="7">
        <f t="shared" si="9"/>
        <v>0</v>
      </c>
      <c r="L232" s="5">
        <f t="shared" si="11"/>
        <v>0</v>
      </c>
      <c r="M232">
        <f t="shared" si="10"/>
        <v>0</v>
      </c>
    </row>
    <row r="233" spans="11:13" x14ac:dyDescent="0.25">
      <c r="K233" s="7">
        <f t="shared" si="9"/>
        <v>0</v>
      </c>
      <c r="L233" s="5">
        <f t="shared" si="11"/>
        <v>0</v>
      </c>
      <c r="M233">
        <f t="shared" si="10"/>
        <v>0</v>
      </c>
    </row>
    <row r="234" spans="11:13" x14ac:dyDescent="0.25">
      <c r="K234" s="7">
        <f t="shared" si="9"/>
        <v>0</v>
      </c>
      <c r="L234" s="5">
        <f t="shared" si="11"/>
        <v>0</v>
      </c>
      <c r="M234">
        <f t="shared" si="10"/>
        <v>0</v>
      </c>
    </row>
    <row r="235" spans="11:13" x14ac:dyDescent="0.25">
      <c r="K235" s="7">
        <f t="shared" si="9"/>
        <v>0</v>
      </c>
      <c r="L235" s="5">
        <f t="shared" si="11"/>
        <v>0</v>
      </c>
      <c r="M235">
        <f t="shared" si="10"/>
        <v>0</v>
      </c>
    </row>
    <row r="236" spans="11:13" x14ac:dyDescent="0.25">
      <c r="K236" s="7">
        <f t="shared" si="9"/>
        <v>0</v>
      </c>
      <c r="L236" s="5">
        <f t="shared" si="11"/>
        <v>0</v>
      </c>
      <c r="M236">
        <f t="shared" si="10"/>
        <v>0</v>
      </c>
    </row>
    <row r="237" spans="11:13" x14ac:dyDescent="0.25">
      <c r="K237" s="7">
        <f t="shared" si="9"/>
        <v>0</v>
      </c>
      <c r="L237" s="5">
        <f t="shared" si="11"/>
        <v>0</v>
      </c>
      <c r="M237">
        <f t="shared" si="10"/>
        <v>0</v>
      </c>
    </row>
    <row r="238" spans="11:13" x14ac:dyDescent="0.25">
      <c r="K238" s="7">
        <f t="shared" si="9"/>
        <v>0</v>
      </c>
      <c r="L238" s="5">
        <f t="shared" si="11"/>
        <v>0</v>
      </c>
      <c r="M238">
        <f t="shared" si="10"/>
        <v>0</v>
      </c>
    </row>
    <row r="239" spans="11:13" x14ac:dyDescent="0.25">
      <c r="K239" s="7">
        <f t="shared" si="9"/>
        <v>0</v>
      </c>
      <c r="L239" s="5">
        <f t="shared" si="11"/>
        <v>0</v>
      </c>
      <c r="M239">
        <f t="shared" si="10"/>
        <v>0</v>
      </c>
    </row>
    <row r="240" spans="11:13" x14ac:dyDescent="0.25">
      <c r="K240" s="7">
        <f t="shared" si="9"/>
        <v>0</v>
      </c>
      <c r="L240" s="5">
        <f t="shared" si="11"/>
        <v>0</v>
      </c>
      <c r="M240">
        <f t="shared" si="10"/>
        <v>0</v>
      </c>
    </row>
    <row r="241" spans="11:13" x14ac:dyDescent="0.25">
      <c r="K241" s="7">
        <f t="shared" si="9"/>
        <v>0</v>
      </c>
      <c r="L241" s="5">
        <f t="shared" si="11"/>
        <v>0</v>
      </c>
      <c r="M241">
        <f t="shared" si="10"/>
        <v>0</v>
      </c>
    </row>
    <row r="242" spans="11:13" x14ac:dyDescent="0.25">
      <c r="K242" s="7">
        <f t="shared" si="9"/>
        <v>0</v>
      </c>
      <c r="L242" s="5">
        <f t="shared" si="11"/>
        <v>0</v>
      </c>
      <c r="M242">
        <f t="shared" si="10"/>
        <v>0</v>
      </c>
    </row>
    <row r="243" spans="11:13" x14ac:dyDescent="0.25">
      <c r="K243" s="7">
        <f t="shared" si="9"/>
        <v>0</v>
      </c>
      <c r="L243" s="5">
        <f t="shared" si="11"/>
        <v>0</v>
      </c>
      <c r="M243">
        <f t="shared" si="10"/>
        <v>0</v>
      </c>
    </row>
    <row r="244" spans="11:13" x14ac:dyDescent="0.25">
      <c r="K244" s="7">
        <f t="shared" si="9"/>
        <v>0</v>
      </c>
      <c r="L244" s="5">
        <f t="shared" si="11"/>
        <v>0</v>
      </c>
      <c r="M244">
        <f t="shared" si="10"/>
        <v>0</v>
      </c>
    </row>
    <row r="245" spans="11:13" x14ac:dyDescent="0.25">
      <c r="K245" s="7">
        <f t="shared" si="9"/>
        <v>0</v>
      </c>
      <c r="L245" s="5">
        <f t="shared" si="11"/>
        <v>0</v>
      </c>
      <c r="M245">
        <f t="shared" si="10"/>
        <v>0</v>
      </c>
    </row>
    <row r="246" spans="11:13" x14ac:dyDescent="0.25">
      <c r="K246" s="7">
        <f t="shared" si="9"/>
        <v>0</v>
      </c>
      <c r="L246" s="5">
        <f t="shared" si="11"/>
        <v>0</v>
      </c>
      <c r="M246">
        <f t="shared" si="10"/>
        <v>0</v>
      </c>
    </row>
    <row r="247" spans="11:13" x14ac:dyDescent="0.25">
      <c r="K247" s="7">
        <f t="shared" si="9"/>
        <v>0</v>
      </c>
      <c r="L247" s="5">
        <f t="shared" si="11"/>
        <v>0</v>
      </c>
      <c r="M247">
        <f t="shared" si="10"/>
        <v>0</v>
      </c>
    </row>
    <row r="248" spans="11:13" x14ac:dyDescent="0.25">
      <c r="K248" s="7">
        <f t="shared" si="9"/>
        <v>0</v>
      </c>
      <c r="L248" s="5">
        <f t="shared" si="11"/>
        <v>0</v>
      </c>
      <c r="M248">
        <f t="shared" si="10"/>
        <v>0</v>
      </c>
    </row>
    <row r="249" spans="11:13" x14ac:dyDescent="0.25">
      <c r="K249" s="7">
        <f t="shared" si="9"/>
        <v>0</v>
      </c>
      <c r="L249" s="5">
        <f t="shared" si="11"/>
        <v>0</v>
      </c>
      <c r="M249">
        <f t="shared" si="10"/>
        <v>0</v>
      </c>
    </row>
    <row r="250" spans="11:13" x14ac:dyDescent="0.25">
      <c r="K250" s="7">
        <f t="shared" si="9"/>
        <v>0</v>
      </c>
      <c r="L250" s="5">
        <f t="shared" si="11"/>
        <v>0</v>
      </c>
      <c r="M250">
        <f t="shared" si="10"/>
        <v>0</v>
      </c>
    </row>
    <row r="251" spans="11:13" x14ac:dyDescent="0.25">
      <c r="K251" s="7">
        <f t="shared" si="9"/>
        <v>0</v>
      </c>
      <c r="L251" s="5">
        <f t="shared" si="11"/>
        <v>0</v>
      </c>
      <c r="M251">
        <f t="shared" si="10"/>
        <v>0</v>
      </c>
    </row>
    <row r="252" spans="11:13" x14ac:dyDescent="0.25">
      <c r="K252" s="7">
        <f t="shared" si="9"/>
        <v>0</v>
      </c>
      <c r="L252" s="5">
        <f t="shared" si="11"/>
        <v>0</v>
      </c>
      <c r="M252">
        <f t="shared" si="10"/>
        <v>0</v>
      </c>
    </row>
    <row r="253" spans="11:13" x14ac:dyDescent="0.25">
      <c r="K253" s="7">
        <f t="shared" si="9"/>
        <v>0</v>
      </c>
      <c r="L253" s="5">
        <f t="shared" si="11"/>
        <v>0</v>
      </c>
      <c r="M253">
        <f t="shared" si="10"/>
        <v>0</v>
      </c>
    </row>
    <row r="254" spans="11:13" x14ac:dyDescent="0.25">
      <c r="K254" s="7">
        <f t="shared" si="9"/>
        <v>0</v>
      </c>
      <c r="L254" s="5">
        <f t="shared" si="11"/>
        <v>0</v>
      </c>
      <c r="M254">
        <f t="shared" si="10"/>
        <v>0</v>
      </c>
    </row>
    <row r="255" spans="11:13" x14ac:dyDescent="0.25">
      <c r="K255" s="7">
        <f t="shared" si="9"/>
        <v>0</v>
      </c>
      <c r="L255" s="5">
        <f t="shared" si="11"/>
        <v>0</v>
      </c>
      <c r="M255">
        <f t="shared" si="10"/>
        <v>0</v>
      </c>
    </row>
    <row r="256" spans="11:13" x14ac:dyDescent="0.25">
      <c r="K256" s="7">
        <f t="shared" si="9"/>
        <v>0</v>
      </c>
      <c r="L256" s="5">
        <f t="shared" si="11"/>
        <v>0</v>
      </c>
      <c r="M256">
        <f t="shared" si="10"/>
        <v>0</v>
      </c>
    </row>
    <row r="257" spans="11:13" x14ac:dyDescent="0.25">
      <c r="K257" s="7">
        <f t="shared" si="9"/>
        <v>0</v>
      </c>
      <c r="L257" s="5">
        <f t="shared" si="11"/>
        <v>0</v>
      </c>
      <c r="M257">
        <f t="shared" si="10"/>
        <v>0</v>
      </c>
    </row>
    <row r="258" spans="11:13" x14ac:dyDescent="0.25">
      <c r="K258" s="7">
        <f t="shared" si="9"/>
        <v>0</v>
      </c>
      <c r="L258" s="5">
        <f t="shared" si="11"/>
        <v>0</v>
      </c>
      <c r="M258">
        <f t="shared" si="10"/>
        <v>0</v>
      </c>
    </row>
    <row r="259" spans="11:13" x14ac:dyDescent="0.25">
      <c r="K259" s="7">
        <f t="shared" si="9"/>
        <v>0</v>
      </c>
      <c r="L259" s="5">
        <f t="shared" si="11"/>
        <v>0</v>
      </c>
      <c r="M259">
        <f t="shared" si="10"/>
        <v>0</v>
      </c>
    </row>
    <row r="260" spans="11:13" x14ac:dyDescent="0.25">
      <c r="K260" s="7">
        <f t="shared" si="9"/>
        <v>0</v>
      </c>
      <c r="L260" s="5">
        <f t="shared" si="11"/>
        <v>0</v>
      </c>
      <c r="M260">
        <f t="shared" si="10"/>
        <v>0</v>
      </c>
    </row>
    <row r="261" spans="11:13" x14ac:dyDescent="0.25">
      <c r="K261" s="7">
        <f t="shared" ref="K261:K324" si="12">SUM(F261:J261)</f>
        <v>0</v>
      </c>
      <c r="L261" s="5">
        <f t="shared" si="11"/>
        <v>0</v>
      </c>
      <c r="M261">
        <f t="shared" ref="M261:M324" si="13">SUM(K261*L261)</f>
        <v>0</v>
      </c>
    </row>
    <row r="262" spans="11:13" x14ac:dyDescent="0.25">
      <c r="K262" s="7">
        <f t="shared" si="12"/>
        <v>0</v>
      </c>
      <c r="L262" s="5">
        <f t="shared" ref="L262:L325" si="14">IF(D262="X",0,IF(E262="",0,IF(E262="H",0,VLOOKUP(E262,$F$539:$G$553,2))))</f>
        <v>0</v>
      </c>
      <c r="M262">
        <f t="shared" si="13"/>
        <v>0</v>
      </c>
    </row>
    <row r="263" spans="11:13" x14ac:dyDescent="0.25">
      <c r="K263" s="7">
        <f t="shared" si="12"/>
        <v>0</v>
      </c>
      <c r="L263" s="5">
        <f t="shared" si="14"/>
        <v>0</v>
      </c>
      <c r="M263">
        <f t="shared" si="13"/>
        <v>0</v>
      </c>
    </row>
    <row r="264" spans="11:13" x14ac:dyDescent="0.25">
      <c r="K264" s="7">
        <f t="shared" si="12"/>
        <v>0</v>
      </c>
      <c r="L264" s="5">
        <f t="shared" si="14"/>
        <v>0</v>
      </c>
      <c r="M264">
        <f t="shared" si="13"/>
        <v>0</v>
      </c>
    </row>
    <row r="265" spans="11:13" x14ac:dyDescent="0.25">
      <c r="K265" s="7">
        <f t="shared" si="12"/>
        <v>0</v>
      </c>
      <c r="L265" s="5">
        <f t="shared" si="14"/>
        <v>0</v>
      </c>
      <c r="M265">
        <f t="shared" si="13"/>
        <v>0</v>
      </c>
    </row>
    <row r="266" spans="11:13" x14ac:dyDescent="0.25">
      <c r="K266" s="7">
        <f t="shared" si="12"/>
        <v>0</v>
      </c>
      <c r="L266" s="5">
        <f t="shared" si="14"/>
        <v>0</v>
      </c>
      <c r="M266">
        <f t="shared" si="13"/>
        <v>0</v>
      </c>
    </row>
    <row r="267" spans="11:13" x14ac:dyDescent="0.25">
      <c r="K267" s="7">
        <f t="shared" si="12"/>
        <v>0</v>
      </c>
      <c r="L267" s="5">
        <f t="shared" si="14"/>
        <v>0</v>
      </c>
      <c r="M267">
        <f t="shared" si="13"/>
        <v>0</v>
      </c>
    </row>
    <row r="268" spans="11:13" x14ac:dyDescent="0.25">
      <c r="K268" s="7">
        <f t="shared" si="12"/>
        <v>0</v>
      </c>
      <c r="L268" s="5">
        <f t="shared" si="14"/>
        <v>0</v>
      </c>
      <c r="M268">
        <f t="shared" si="13"/>
        <v>0</v>
      </c>
    </row>
    <row r="269" spans="11:13" x14ac:dyDescent="0.25">
      <c r="K269" s="7">
        <f t="shared" si="12"/>
        <v>0</v>
      </c>
      <c r="L269" s="5">
        <f t="shared" si="14"/>
        <v>0</v>
      </c>
      <c r="M269">
        <f t="shared" si="13"/>
        <v>0</v>
      </c>
    </row>
    <row r="270" spans="11:13" x14ac:dyDescent="0.25">
      <c r="K270" s="7">
        <f t="shared" si="12"/>
        <v>0</v>
      </c>
      <c r="L270" s="5">
        <f t="shared" si="14"/>
        <v>0</v>
      </c>
      <c r="M270">
        <f t="shared" si="13"/>
        <v>0</v>
      </c>
    </row>
    <row r="271" spans="11:13" x14ac:dyDescent="0.25">
      <c r="K271" s="7">
        <f t="shared" si="12"/>
        <v>0</v>
      </c>
      <c r="L271" s="5">
        <f t="shared" si="14"/>
        <v>0</v>
      </c>
      <c r="M271">
        <f t="shared" si="13"/>
        <v>0</v>
      </c>
    </row>
    <row r="272" spans="11:13" x14ac:dyDescent="0.25">
      <c r="K272" s="7">
        <f t="shared" si="12"/>
        <v>0</v>
      </c>
      <c r="L272" s="5">
        <f t="shared" si="14"/>
        <v>0</v>
      </c>
      <c r="M272">
        <f t="shared" si="13"/>
        <v>0</v>
      </c>
    </row>
    <row r="273" spans="11:13" x14ac:dyDescent="0.25">
      <c r="K273" s="7">
        <f t="shared" si="12"/>
        <v>0</v>
      </c>
      <c r="L273" s="5">
        <f t="shared" si="14"/>
        <v>0</v>
      </c>
      <c r="M273">
        <f t="shared" si="13"/>
        <v>0</v>
      </c>
    </row>
    <row r="274" spans="11:13" x14ac:dyDescent="0.25">
      <c r="K274" s="7">
        <f t="shared" si="12"/>
        <v>0</v>
      </c>
      <c r="L274" s="5">
        <f t="shared" si="14"/>
        <v>0</v>
      </c>
      <c r="M274">
        <f t="shared" si="13"/>
        <v>0</v>
      </c>
    </row>
    <row r="275" spans="11:13" x14ac:dyDescent="0.25">
      <c r="K275" s="7">
        <f t="shared" si="12"/>
        <v>0</v>
      </c>
      <c r="L275" s="5">
        <f t="shared" si="14"/>
        <v>0</v>
      </c>
      <c r="M275">
        <f t="shared" si="13"/>
        <v>0</v>
      </c>
    </row>
    <row r="276" spans="11:13" x14ac:dyDescent="0.25">
      <c r="K276" s="7">
        <f t="shared" si="12"/>
        <v>0</v>
      </c>
      <c r="L276" s="5">
        <f t="shared" si="14"/>
        <v>0</v>
      </c>
      <c r="M276">
        <f t="shared" si="13"/>
        <v>0</v>
      </c>
    </row>
    <row r="277" spans="11:13" x14ac:dyDescent="0.25">
      <c r="K277" s="7">
        <f t="shared" si="12"/>
        <v>0</v>
      </c>
      <c r="L277" s="5">
        <f t="shared" si="14"/>
        <v>0</v>
      </c>
      <c r="M277">
        <f t="shared" si="13"/>
        <v>0</v>
      </c>
    </row>
    <row r="278" spans="11:13" x14ac:dyDescent="0.25">
      <c r="K278" s="7">
        <f t="shared" si="12"/>
        <v>0</v>
      </c>
      <c r="L278" s="5">
        <f t="shared" si="14"/>
        <v>0</v>
      </c>
      <c r="M278">
        <f t="shared" si="13"/>
        <v>0</v>
      </c>
    </row>
    <row r="279" spans="11:13" x14ac:dyDescent="0.25">
      <c r="K279" s="7">
        <f t="shared" si="12"/>
        <v>0</v>
      </c>
      <c r="L279" s="5">
        <f t="shared" si="14"/>
        <v>0</v>
      </c>
      <c r="M279">
        <f t="shared" si="13"/>
        <v>0</v>
      </c>
    </row>
    <row r="280" spans="11:13" x14ac:dyDescent="0.25">
      <c r="K280" s="7">
        <f t="shared" si="12"/>
        <v>0</v>
      </c>
      <c r="L280" s="5">
        <f t="shared" si="14"/>
        <v>0</v>
      </c>
      <c r="M280">
        <f t="shared" si="13"/>
        <v>0</v>
      </c>
    </row>
    <row r="281" spans="11:13" x14ac:dyDescent="0.25">
      <c r="K281" s="7">
        <f t="shared" si="12"/>
        <v>0</v>
      </c>
      <c r="L281" s="5">
        <f t="shared" si="14"/>
        <v>0</v>
      </c>
      <c r="M281">
        <f t="shared" si="13"/>
        <v>0</v>
      </c>
    </row>
    <row r="282" spans="11:13" x14ac:dyDescent="0.25">
      <c r="K282" s="7">
        <f t="shared" si="12"/>
        <v>0</v>
      </c>
      <c r="L282" s="5">
        <f t="shared" si="14"/>
        <v>0</v>
      </c>
      <c r="M282">
        <f t="shared" si="13"/>
        <v>0</v>
      </c>
    </row>
    <row r="283" spans="11:13" x14ac:dyDescent="0.25">
      <c r="K283" s="7">
        <f t="shared" si="12"/>
        <v>0</v>
      </c>
      <c r="L283" s="5">
        <f t="shared" si="14"/>
        <v>0</v>
      </c>
      <c r="M283">
        <f t="shared" si="13"/>
        <v>0</v>
      </c>
    </row>
    <row r="284" spans="11:13" x14ac:dyDescent="0.25">
      <c r="K284" s="7">
        <f t="shared" si="12"/>
        <v>0</v>
      </c>
      <c r="L284" s="5">
        <f t="shared" si="14"/>
        <v>0</v>
      </c>
      <c r="M284">
        <f t="shared" si="13"/>
        <v>0</v>
      </c>
    </row>
    <row r="285" spans="11:13" x14ac:dyDescent="0.25">
      <c r="K285" s="7">
        <f t="shared" si="12"/>
        <v>0</v>
      </c>
      <c r="L285" s="5">
        <f t="shared" si="14"/>
        <v>0</v>
      </c>
      <c r="M285">
        <f t="shared" si="13"/>
        <v>0</v>
      </c>
    </row>
    <row r="286" spans="11:13" x14ac:dyDescent="0.25">
      <c r="K286" s="7">
        <f t="shared" si="12"/>
        <v>0</v>
      </c>
      <c r="L286" s="5">
        <f t="shared" si="14"/>
        <v>0</v>
      </c>
      <c r="M286">
        <f t="shared" si="13"/>
        <v>0</v>
      </c>
    </row>
    <row r="287" spans="11:13" x14ac:dyDescent="0.25">
      <c r="K287" s="7">
        <f t="shared" si="12"/>
        <v>0</v>
      </c>
      <c r="L287" s="5">
        <f t="shared" si="14"/>
        <v>0</v>
      </c>
      <c r="M287">
        <f t="shared" si="13"/>
        <v>0</v>
      </c>
    </row>
    <row r="288" spans="11:13" x14ac:dyDescent="0.25">
      <c r="K288" s="7">
        <f t="shared" si="12"/>
        <v>0</v>
      </c>
      <c r="L288" s="5">
        <f t="shared" si="14"/>
        <v>0</v>
      </c>
      <c r="M288">
        <f t="shared" si="13"/>
        <v>0</v>
      </c>
    </row>
    <row r="289" spans="11:13" x14ac:dyDescent="0.25">
      <c r="K289" s="7">
        <f t="shared" si="12"/>
        <v>0</v>
      </c>
      <c r="L289" s="5">
        <f t="shared" si="14"/>
        <v>0</v>
      </c>
      <c r="M289">
        <f t="shared" si="13"/>
        <v>0</v>
      </c>
    </row>
    <row r="290" spans="11:13" x14ac:dyDescent="0.25">
      <c r="K290" s="7">
        <f t="shared" si="12"/>
        <v>0</v>
      </c>
      <c r="L290" s="5">
        <f t="shared" si="14"/>
        <v>0</v>
      </c>
      <c r="M290">
        <f t="shared" si="13"/>
        <v>0</v>
      </c>
    </row>
    <row r="291" spans="11:13" x14ac:dyDescent="0.25">
      <c r="K291" s="7">
        <f t="shared" si="12"/>
        <v>0</v>
      </c>
      <c r="L291" s="5">
        <f t="shared" si="14"/>
        <v>0</v>
      </c>
      <c r="M291">
        <f t="shared" si="13"/>
        <v>0</v>
      </c>
    </row>
    <row r="292" spans="11:13" x14ac:dyDescent="0.25">
      <c r="K292" s="7">
        <f t="shared" si="12"/>
        <v>0</v>
      </c>
      <c r="L292" s="5">
        <f t="shared" si="14"/>
        <v>0</v>
      </c>
      <c r="M292">
        <f t="shared" si="13"/>
        <v>0</v>
      </c>
    </row>
    <row r="293" spans="11:13" x14ac:dyDescent="0.25">
      <c r="K293" s="7">
        <f t="shared" si="12"/>
        <v>0</v>
      </c>
      <c r="L293" s="5">
        <f t="shared" si="14"/>
        <v>0</v>
      </c>
      <c r="M293">
        <f t="shared" si="13"/>
        <v>0</v>
      </c>
    </row>
    <row r="294" spans="11:13" x14ac:dyDescent="0.25">
      <c r="K294" s="7">
        <f t="shared" si="12"/>
        <v>0</v>
      </c>
      <c r="L294" s="5">
        <f t="shared" si="14"/>
        <v>0</v>
      </c>
      <c r="M294">
        <f t="shared" si="13"/>
        <v>0</v>
      </c>
    </row>
    <row r="295" spans="11:13" x14ac:dyDescent="0.25">
      <c r="K295" s="7">
        <f t="shared" si="12"/>
        <v>0</v>
      </c>
      <c r="L295" s="5">
        <f t="shared" si="14"/>
        <v>0</v>
      </c>
      <c r="M295">
        <f t="shared" si="13"/>
        <v>0</v>
      </c>
    </row>
    <row r="296" spans="11:13" x14ac:dyDescent="0.25">
      <c r="K296" s="7">
        <f t="shared" si="12"/>
        <v>0</v>
      </c>
      <c r="L296" s="5">
        <f t="shared" si="14"/>
        <v>0</v>
      </c>
      <c r="M296">
        <f t="shared" si="13"/>
        <v>0</v>
      </c>
    </row>
    <row r="297" spans="11:13" x14ac:dyDescent="0.25">
      <c r="K297" s="7">
        <f t="shared" si="12"/>
        <v>0</v>
      </c>
      <c r="L297" s="5">
        <f t="shared" si="14"/>
        <v>0</v>
      </c>
      <c r="M297">
        <f t="shared" si="13"/>
        <v>0</v>
      </c>
    </row>
    <row r="298" spans="11:13" x14ac:dyDescent="0.25">
      <c r="K298" s="7">
        <f t="shared" si="12"/>
        <v>0</v>
      </c>
      <c r="L298" s="5">
        <f t="shared" si="14"/>
        <v>0</v>
      </c>
      <c r="M298">
        <f t="shared" si="13"/>
        <v>0</v>
      </c>
    </row>
    <row r="299" spans="11:13" x14ac:dyDescent="0.25">
      <c r="K299" s="7">
        <f t="shared" si="12"/>
        <v>0</v>
      </c>
      <c r="L299" s="5">
        <f t="shared" si="14"/>
        <v>0</v>
      </c>
      <c r="M299">
        <f t="shared" si="13"/>
        <v>0</v>
      </c>
    </row>
    <row r="300" spans="11:13" x14ac:dyDescent="0.25">
      <c r="K300" s="7">
        <f t="shared" si="12"/>
        <v>0</v>
      </c>
      <c r="L300" s="5">
        <f t="shared" si="14"/>
        <v>0</v>
      </c>
      <c r="M300">
        <f t="shared" si="13"/>
        <v>0</v>
      </c>
    </row>
    <row r="301" spans="11:13" x14ac:dyDescent="0.25">
      <c r="K301" s="7">
        <f t="shared" si="12"/>
        <v>0</v>
      </c>
      <c r="L301" s="5">
        <f t="shared" si="14"/>
        <v>0</v>
      </c>
      <c r="M301">
        <f t="shared" si="13"/>
        <v>0</v>
      </c>
    </row>
    <row r="302" spans="11:13" x14ac:dyDescent="0.25">
      <c r="K302" s="7">
        <f t="shared" si="12"/>
        <v>0</v>
      </c>
      <c r="L302" s="5">
        <f t="shared" si="14"/>
        <v>0</v>
      </c>
      <c r="M302">
        <f t="shared" si="13"/>
        <v>0</v>
      </c>
    </row>
    <row r="303" spans="11:13" x14ac:dyDescent="0.25">
      <c r="K303" s="7">
        <f t="shared" si="12"/>
        <v>0</v>
      </c>
      <c r="L303" s="5">
        <f t="shared" si="14"/>
        <v>0</v>
      </c>
      <c r="M303">
        <f t="shared" si="13"/>
        <v>0</v>
      </c>
    </row>
    <row r="304" spans="11:13" x14ac:dyDescent="0.25">
      <c r="K304" s="7">
        <f t="shared" si="12"/>
        <v>0</v>
      </c>
      <c r="L304" s="5">
        <f t="shared" si="14"/>
        <v>0</v>
      </c>
      <c r="M304">
        <f t="shared" si="13"/>
        <v>0</v>
      </c>
    </row>
    <row r="305" spans="11:13" x14ac:dyDescent="0.25">
      <c r="K305" s="7">
        <f t="shared" si="12"/>
        <v>0</v>
      </c>
      <c r="L305" s="5">
        <f t="shared" si="14"/>
        <v>0</v>
      </c>
      <c r="M305">
        <f t="shared" si="13"/>
        <v>0</v>
      </c>
    </row>
    <row r="306" spans="11:13" x14ac:dyDescent="0.25">
      <c r="K306" s="7">
        <f t="shared" si="12"/>
        <v>0</v>
      </c>
      <c r="L306" s="5">
        <f t="shared" si="14"/>
        <v>0</v>
      </c>
      <c r="M306">
        <f t="shared" si="13"/>
        <v>0</v>
      </c>
    </row>
    <row r="307" spans="11:13" x14ac:dyDescent="0.25">
      <c r="K307" s="7">
        <f t="shared" si="12"/>
        <v>0</v>
      </c>
      <c r="L307" s="5">
        <f t="shared" si="14"/>
        <v>0</v>
      </c>
      <c r="M307">
        <f t="shared" si="13"/>
        <v>0</v>
      </c>
    </row>
    <row r="308" spans="11:13" x14ac:dyDescent="0.25">
      <c r="K308" s="7">
        <f t="shared" si="12"/>
        <v>0</v>
      </c>
      <c r="L308" s="5">
        <f t="shared" si="14"/>
        <v>0</v>
      </c>
      <c r="M308">
        <f t="shared" si="13"/>
        <v>0</v>
      </c>
    </row>
    <row r="309" spans="11:13" x14ac:dyDescent="0.25">
      <c r="K309" s="7">
        <f t="shared" si="12"/>
        <v>0</v>
      </c>
      <c r="L309" s="5">
        <f t="shared" si="14"/>
        <v>0</v>
      </c>
      <c r="M309">
        <f t="shared" si="13"/>
        <v>0</v>
      </c>
    </row>
    <row r="310" spans="11:13" x14ac:dyDescent="0.25">
      <c r="K310" s="7">
        <f t="shared" si="12"/>
        <v>0</v>
      </c>
      <c r="L310" s="5">
        <f t="shared" si="14"/>
        <v>0</v>
      </c>
      <c r="M310">
        <f t="shared" si="13"/>
        <v>0</v>
      </c>
    </row>
    <row r="311" spans="11:13" x14ac:dyDescent="0.25">
      <c r="K311" s="7">
        <f t="shared" si="12"/>
        <v>0</v>
      </c>
      <c r="L311" s="5">
        <f t="shared" si="14"/>
        <v>0</v>
      </c>
      <c r="M311">
        <f t="shared" si="13"/>
        <v>0</v>
      </c>
    </row>
    <row r="312" spans="11:13" x14ac:dyDescent="0.25">
      <c r="K312" s="7">
        <f t="shared" si="12"/>
        <v>0</v>
      </c>
      <c r="L312" s="5">
        <f t="shared" si="14"/>
        <v>0</v>
      </c>
      <c r="M312">
        <f t="shared" si="13"/>
        <v>0</v>
      </c>
    </row>
    <row r="313" spans="11:13" x14ac:dyDescent="0.25">
      <c r="K313" s="7">
        <f t="shared" si="12"/>
        <v>0</v>
      </c>
      <c r="L313" s="5">
        <f t="shared" si="14"/>
        <v>0</v>
      </c>
      <c r="M313">
        <f t="shared" si="13"/>
        <v>0</v>
      </c>
    </row>
    <row r="314" spans="11:13" x14ac:dyDescent="0.25">
      <c r="K314" s="7">
        <f t="shared" si="12"/>
        <v>0</v>
      </c>
      <c r="L314" s="5">
        <f t="shared" si="14"/>
        <v>0</v>
      </c>
      <c r="M314">
        <f t="shared" si="13"/>
        <v>0</v>
      </c>
    </row>
    <row r="315" spans="11:13" x14ac:dyDescent="0.25">
      <c r="K315" s="7">
        <f t="shared" si="12"/>
        <v>0</v>
      </c>
      <c r="L315" s="5">
        <f t="shared" si="14"/>
        <v>0</v>
      </c>
      <c r="M315">
        <f t="shared" si="13"/>
        <v>0</v>
      </c>
    </row>
    <row r="316" spans="11:13" x14ac:dyDescent="0.25">
      <c r="K316" s="7">
        <f t="shared" si="12"/>
        <v>0</v>
      </c>
      <c r="L316" s="5">
        <f t="shared" si="14"/>
        <v>0</v>
      </c>
      <c r="M316">
        <f t="shared" si="13"/>
        <v>0</v>
      </c>
    </row>
    <row r="317" spans="11:13" x14ac:dyDescent="0.25">
      <c r="K317" s="7">
        <f t="shared" si="12"/>
        <v>0</v>
      </c>
      <c r="L317" s="5">
        <f t="shared" si="14"/>
        <v>0</v>
      </c>
      <c r="M317">
        <f t="shared" si="13"/>
        <v>0</v>
      </c>
    </row>
    <row r="318" spans="11:13" x14ac:dyDescent="0.25">
      <c r="K318" s="7">
        <f t="shared" si="12"/>
        <v>0</v>
      </c>
      <c r="L318" s="5">
        <f t="shared" si="14"/>
        <v>0</v>
      </c>
      <c r="M318">
        <f t="shared" si="13"/>
        <v>0</v>
      </c>
    </row>
    <row r="319" spans="11:13" x14ac:dyDescent="0.25">
      <c r="K319" s="7">
        <f t="shared" si="12"/>
        <v>0</v>
      </c>
      <c r="L319" s="5">
        <f t="shared" si="14"/>
        <v>0</v>
      </c>
      <c r="M319">
        <f t="shared" si="13"/>
        <v>0</v>
      </c>
    </row>
    <row r="320" spans="11:13" x14ac:dyDescent="0.25">
      <c r="K320" s="7">
        <f t="shared" si="12"/>
        <v>0</v>
      </c>
      <c r="L320" s="5">
        <f t="shared" si="14"/>
        <v>0</v>
      </c>
      <c r="M320">
        <f t="shared" si="13"/>
        <v>0</v>
      </c>
    </row>
    <row r="321" spans="11:13" x14ac:dyDescent="0.25">
      <c r="K321" s="7">
        <f t="shared" si="12"/>
        <v>0</v>
      </c>
      <c r="L321" s="5">
        <f t="shared" si="14"/>
        <v>0</v>
      </c>
      <c r="M321">
        <f t="shared" si="13"/>
        <v>0</v>
      </c>
    </row>
    <row r="322" spans="11:13" x14ac:dyDescent="0.25">
      <c r="K322" s="7">
        <f t="shared" si="12"/>
        <v>0</v>
      </c>
      <c r="L322" s="5">
        <f t="shared" si="14"/>
        <v>0</v>
      </c>
      <c r="M322">
        <f t="shared" si="13"/>
        <v>0</v>
      </c>
    </row>
    <row r="323" spans="11:13" x14ac:dyDescent="0.25">
      <c r="K323" s="7">
        <f t="shared" si="12"/>
        <v>0</v>
      </c>
      <c r="L323" s="5">
        <f t="shared" si="14"/>
        <v>0</v>
      </c>
      <c r="M323">
        <f t="shared" si="13"/>
        <v>0</v>
      </c>
    </row>
    <row r="324" spans="11:13" x14ac:dyDescent="0.25">
      <c r="K324" s="7">
        <f t="shared" si="12"/>
        <v>0</v>
      </c>
      <c r="L324" s="5">
        <f t="shared" si="14"/>
        <v>0</v>
      </c>
      <c r="M324">
        <f t="shared" si="13"/>
        <v>0</v>
      </c>
    </row>
    <row r="325" spans="11:13" x14ac:dyDescent="0.25">
      <c r="K325" s="7">
        <f t="shared" ref="K325:K388" si="15">SUM(F325:J325)</f>
        <v>0</v>
      </c>
      <c r="L325" s="5">
        <f t="shared" si="14"/>
        <v>0</v>
      </c>
      <c r="M325">
        <f t="shared" ref="M325:M388" si="16">SUM(K325*L325)</f>
        <v>0</v>
      </c>
    </row>
    <row r="326" spans="11:13" x14ac:dyDescent="0.25">
      <c r="K326" s="7">
        <f t="shared" si="15"/>
        <v>0</v>
      </c>
      <c r="L326" s="5">
        <f t="shared" ref="L326:L389" si="17">IF(D326="X",0,IF(E326="",0,IF(E326="H",0,VLOOKUP(E326,$F$539:$G$553,2))))</f>
        <v>0</v>
      </c>
      <c r="M326">
        <f t="shared" si="16"/>
        <v>0</v>
      </c>
    </row>
    <row r="327" spans="11:13" x14ac:dyDescent="0.25">
      <c r="K327" s="7">
        <f t="shared" si="15"/>
        <v>0</v>
      </c>
      <c r="L327" s="5">
        <f t="shared" si="17"/>
        <v>0</v>
      </c>
      <c r="M327">
        <f t="shared" si="16"/>
        <v>0</v>
      </c>
    </row>
    <row r="328" spans="11:13" x14ac:dyDescent="0.25">
      <c r="K328" s="7">
        <f t="shared" si="15"/>
        <v>0</v>
      </c>
      <c r="L328" s="5">
        <f t="shared" si="17"/>
        <v>0</v>
      </c>
      <c r="M328">
        <f t="shared" si="16"/>
        <v>0</v>
      </c>
    </row>
    <row r="329" spans="11:13" x14ac:dyDescent="0.25">
      <c r="K329" s="7">
        <f t="shared" si="15"/>
        <v>0</v>
      </c>
      <c r="L329" s="5">
        <f t="shared" si="17"/>
        <v>0</v>
      </c>
      <c r="M329">
        <f t="shared" si="16"/>
        <v>0</v>
      </c>
    </row>
    <row r="330" spans="11:13" x14ac:dyDescent="0.25">
      <c r="K330" s="7">
        <f t="shared" si="15"/>
        <v>0</v>
      </c>
      <c r="L330" s="5">
        <f t="shared" si="17"/>
        <v>0</v>
      </c>
      <c r="M330">
        <f t="shared" si="16"/>
        <v>0</v>
      </c>
    </row>
    <row r="331" spans="11:13" x14ac:dyDescent="0.25">
      <c r="K331" s="7">
        <f t="shared" si="15"/>
        <v>0</v>
      </c>
      <c r="L331" s="5">
        <f t="shared" si="17"/>
        <v>0</v>
      </c>
      <c r="M331">
        <f t="shared" si="16"/>
        <v>0</v>
      </c>
    </row>
    <row r="332" spans="11:13" x14ac:dyDescent="0.25">
      <c r="K332" s="7">
        <f t="shared" si="15"/>
        <v>0</v>
      </c>
      <c r="L332" s="5">
        <f t="shared" si="17"/>
        <v>0</v>
      </c>
      <c r="M332">
        <f t="shared" si="16"/>
        <v>0</v>
      </c>
    </row>
    <row r="333" spans="11:13" x14ac:dyDescent="0.25">
      <c r="K333" s="7">
        <f t="shared" si="15"/>
        <v>0</v>
      </c>
      <c r="L333" s="5">
        <f t="shared" si="17"/>
        <v>0</v>
      </c>
      <c r="M333">
        <f t="shared" si="16"/>
        <v>0</v>
      </c>
    </row>
    <row r="334" spans="11:13" x14ac:dyDescent="0.25">
      <c r="K334" s="7">
        <f t="shared" si="15"/>
        <v>0</v>
      </c>
      <c r="L334" s="5">
        <f t="shared" si="17"/>
        <v>0</v>
      </c>
      <c r="M334">
        <f t="shared" si="16"/>
        <v>0</v>
      </c>
    </row>
    <row r="335" spans="11:13" x14ac:dyDescent="0.25">
      <c r="K335" s="7">
        <f t="shared" si="15"/>
        <v>0</v>
      </c>
      <c r="L335" s="5">
        <f t="shared" si="17"/>
        <v>0</v>
      </c>
      <c r="M335">
        <f t="shared" si="16"/>
        <v>0</v>
      </c>
    </row>
    <row r="336" spans="11:13" x14ac:dyDescent="0.25">
      <c r="K336" s="7">
        <f t="shared" si="15"/>
        <v>0</v>
      </c>
      <c r="L336" s="5">
        <f t="shared" si="17"/>
        <v>0</v>
      </c>
      <c r="M336">
        <f t="shared" si="16"/>
        <v>0</v>
      </c>
    </row>
    <row r="337" spans="11:13" x14ac:dyDescent="0.25">
      <c r="K337" s="7">
        <f t="shared" si="15"/>
        <v>0</v>
      </c>
      <c r="L337" s="5">
        <f t="shared" si="17"/>
        <v>0</v>
      </c>
      <c r="M337">
        <f t="shared" si="16"/>
        <v>0</v>
      </c>
    </row>
    <row r="338" spans="11:13" x14ac:dyDescent="0.25">
      <c r="K338" s="7">
        <f t="shared" si="15"/>
        <v>0</v>
      </c>
      <c r="L338" s="5">
        <f t="shared" si="17"/>
        <v>0</v>
      </c>
      <c r="M338">
        <f t="shared" si="16"/>
        <v>0</v>
      </c>
    </row>
    <row r="339" spans="11:13" x14ac:dyDescent="0.25">
      <c r="K339" s="7">
        <f t="shared" si="15"/>
        <v>0</v>
      </c>
      <c r="L339" s="5">
        <f t="shared" si="17"/>
        <v>0</v>
      </c>
      <c r="M339">
        <f t="shared" si="16"/>
        <v>0</v>
      </c>
    </row>
    <row r="340" spans="11:13" x14ac:dyDescent="0.25">
      <c r="K340" s="7">
        <f t="shared" si="15"/>
        <v>0</v>
      </c>
      <c r="L340" s="5">
        <f t="shared" si="17"/>
        <v>0</v>
      </c>
      <c r="M340">
        <f t="shared" si="16"/>
        <v>0</v>
      </c>
    </row>
    <row r="341" spans="11:13" x14ac:dyDescent="0.25">
      <c r="K341" s="7">
        <f t="shared" si="15"/>
        <v>0</v>
      </c>
      <c r="L341" s="5">
        <f t="shared" si="17"/>
        <v>0</v>
      </c>
      <c r="M341">
        <f t="shared" si="16"/>
        <v>0</v>
      </c>
    </row>
    <row r="342" spans="11:13" x14ac:dyDescent="0.25">
      <c r="K342" s="7">
        <f t="shared" si="15"/>
        <v>0</v>
      </c>
      <c r="L342" s="5">
        <f t="shared" si="17"/>
        <v>0</v>
      </c>
      <c r="M342">
        <f t="shared" si="16"/>
        <v>0</v>
      </c>
    </row>
    <row r="343" spans="11:13" x14ac:dyDescent="0.25">
      <c r="K343" s="7">
        <f t="shared" si="15"/>
        <v>0</v>
      </c>
      <c r="L343" s="5">
        <f t="shared" si="17"/>
        <v>0</v>
      </c>
      <c r="M343">
        <f t="shared" si="16"/>
        <v>0</v>
      </c>
    </row>
    <row r="344" spans="11:13" x14ac:dyDescent="0.25">
      <c r="K344" s="7">
        <f t="shared" si="15"/>
        <v>0</v>
      </c>
      <c r="L344" s="5">
        <f t="shared" si="17"/>
        <v>0</v>
      </c>
      <c r="M344">
        <f t="shared" si="16"/>
        <v>0</v>
      </c>
    </row>
    <row r="345" spans="11:13" x14ac:dyDescent="0.25">
      <c r="K345" s="7">
        <f t="shared" si="15"/>
        <v>0</v>
      </c>
      <c r="L345" s="5">
        <f t="shared" si="17"/>
        <v>0</v>
      </c>
      <c r="M345">
        <f t="shared" si="16"/>
        <v>0</v>
      </c>
    </row>
    <row r="346" spans="11:13" x14ac:dyDescent="0.25">
      <c r="K346" s="7">
        <f t="shared" si="15"/>
        <v>0</v>
      </c>
      <c r="L346" s="5">
        <f t="shared" si="17"/>
        <v>0</v>
      </c>
      <c r="M346">
        <f t="shared" si="16"/>
        <v>0</v>
      </c>
    </row>
    <row r="347" spans="11:13" x14ac:dyDescent="0.25">
      <c r="K347" s="7">
        <f t="shared" si="15"/>
        <v>0</v>
      </c>
      <c r="L347" s="5">
        <f t="shared" si="17"/>
        <v>0</v>
      </c>
      <c r="M347">
        <f t="shared" si="16"/>
        <v>0</v>
      </c>
    </row>
    <row r="348" spans="11:13" x14ac:dyDescent="0.25">
      <c r="K348" s="7">
        <f t="shared" si="15"/>
        <v>0</v>
      </c>
      <c r="L348" s="5">
        <f t="shared" si="17"/>
        <v>0</v>
      </c>
      <c r="M348">
        <f t="shared" si="16"/>
        <v>0</v>
      </c>
    </row>
    <row r="349" spans="11:13" x14ac:dyDescent="0.25">
      <c r="K349" s="7">
        <f t="shared" si="15"/>
        <v>0</v>
      </c>
      <c r="L349" s="5">
        <f t="shared" si="17"/>
        <v>0</v>
      </c>
      <c r="M349">
        <f t="shared" si="16"/>
        <v>0</v>
      </c>
    </row>
    <row r="350" spans="11:13" x14ac:dyDescent="0.25">
      <c r="K350" s="7">
        <f t="shared" si="15"/>
        <v>0</v>
      </c>
      <c r="L350" s="5">
        <f t="shared" si="17"/>
        <v>0</v>
      </c>
      <c r="M350">
        <f t="shared" si="16"/>
        <v>0</v>
      </c>
    </row>
    <row r="351" spans="11:13" x14ac:dyDescent="0.25">
      <c r="K351" s="7">
        <f t="shared" si="15"/>
        <v>0</v>
      </c>
      <c r="L351" s="5">
        <f t="shared" si="17"/>
        <v>0</v>
      </c>
      <c r="M351">
        <f t="shared" si="16"/>
        <v>0</v>
      </c>
    </row>
    <row r="352" spans="11:13" x14ac:dyDescent="0.25">
      <c r="K352" s="7">
        <f t="shared" si="15"/>
        <v>0</v>
      </c>
      <c r="L352" s="5">
        <f t="shared" si="17"/>
        <v>0</v>
      </c>
      <c r="M352">
        <f t="shared" si="16"/>
        <v>0</v>
      </c>
    </row>
    <row r="353" spans="11:13" x14ac:dyDescent="0.25">
      <c r="K353" s="7">
        <f t="shared" si="15"/>
        <v>0</v>
      </c>
      <c r="L353" s="5">
        <f t="shared" si="17"/>
        <v>0</v>
      </c>
      <c r="M353">
        <f t="shared" si="16"/>
        <v>0</v>
      </c>
    </row>
    <row r="354" spans="11:13" x14ac:dyDescent="0.25">
      <c r="K354" s="7">
        <f t="shared" si="15"/>
        <v>0</v>
      </c>
      <c r="L354" s="5">
        <f t="shared" si="17"/>
        <v>0</v>
      </c>
      <c r="M354">
        <f t="shared" si="16"/>
        <v>0</v>
      </c>
    </row>
    <row r="355" spans="11:13" x14ac:dyDescent="0.25">
      <c r="K355" s="7">
        <f t="shared" si="15"/>
        <v>0</v>
      </c>
      <c r="L355" s="5">
        <f t="shared" si="17"/>
        <v>0</v>
      </c>
      <c r="M355">
        <f t="shared" si="16"/>
        <v>0</v>
      </c>
    </row>
    <row r="356" spans="11:13" x14ac:dyDescent="0.25">
      <c r="K356" s="7">
        <f t="shared" si="15"/>
        <v>0</v>
      </c>
      <c r="L356" s="5">
        <f t="shared" si="17"/>
        <v>0</v>
      </c>
      <c r="M356">
        <f t="shared" si="16"/>
        <v>0</v>
      </c>
    </row>
    <row r="357" spans="11:13" x14ac:dyDescent="0.25">
      <c r="K357" s="7">
        <f t="shared" si="15"/>
        <v>0</v>
      </c>
      <c r="L357" s="5">
        <f t="shared" si="17"/>
        <v>0</v>
      </c>
      <c r="M357">
        <f t="shared" si="16"/>
        <v>0</v>
      </c>
    </row>
    <row r="358" spans="11:13" x14ac:dyDescent="0.25">
      <c r="K358" s="7">
        <f t="shared" si="15"/>
        <v>0</v>
      </c>
      <c r="L358" s="5">
        <f t="shared" si="17"/>
        <v>0</v>
      </c>
      <c r="M358">
        <f t="shared" si="16"/>
        <v>0</v>
      </c>
    </row>
    <row r="359" spans="11:13" x14ac:dyDescent="0.25">
      <c r="K359" s="7">
        <f t="shared" si="15"/>
        <v>0</v>
      </c>
      <c r="L359" s="5">
        <f t="shared" si="17"/>
        <v>0</v>
      </c>
      <c r="M359">
        <f t="shared" si="16"/>
        <v>0</v>
      </c>
    </row>
    <row r="360" spans="11:13" x14ac:dyDescent="0.25">
      <c r="K360" s="7">
        <f t="shared" si="15"/>
        <v>0</v>
      </c>
      <c r="L360" s="5">
        <f t="shared" si="17"/>
        <v>0</v>
      </c>
      <c r="M360">
        <f t="shared" si="16"/>
        <v>0</v>
      </c>
    </row>
    <row r="361" spans="11:13" x14ac:dyDescent="0.25">
      <c r="K361" s="7">
        <f t="shared" si="15"/>
        <v>0</v>
      </c>
      <c r="L361" s="5">
        <f t="shared" si="17"/>
        <v>0</v>
      </c>
      <c r="M361">
        <f t="shared" si="16"/>
        <v>0</v>
      </c>
    </row>
    <row r="362" spans="11:13" x14ac:dyDescent="0.25">
      <c r="K362" s="7">
        <f t="shared" si="15"/>
        <v>0</v>
      </c>
      <c r="L362" s="5">
        <f t="shared" si="17"/>
        <v>0</v>
      </c>
      <c r="M362">
        <f t="shared" si="16"/>
        <v>0</v>
      </c>
    </row>
    <row r="363" spans="11:13" x14ac:dyDescent="0.25">
      <c r="K363" s="7">
        <f t="shared" si="15"/>
        <v>0</v>
      </c>
      <c r="L363" s="5">
        <f t="shared" si="17"/>
        <v>0</v>
      </c>
      <c r="M363">
        <f t="shared" si="16"/>
        <v>0</v>
      </c>
    </row>
    <row r="364" spans="11:13" x14ac:dyDescent="0.25">
      <c r="K364" s="7">
        <f t="shared" si="15"/>
        <v>0</v>
      </c>
      <c r="L364" s="5">
        <f t="shared" si="17"/>
        <v>0</v>
      </c>
      <c r="M364">
        <f t="shared" si="16"/>
        <v>0</v>
      </c>
    </row>
    <row r="365" spans="11:13" x14ac:dyDescent="0.25">
      <c r="K365" s="7">
        <f t="shared" si="15"/>
        <v>0</v>
      </c>
      <c r="L365" s="5">
        <f t="shared" si="17"/>
        <v>0</v>
      </c>
      <c r="M365">
        <f t="shared" si="16"/>
        <v>0</v>
      </c>
    </row>
    <row r="366" spans="11:13" x14ac:dyDescent="0.25">
      <c r="K366" s="7">
        <f t="shared" si="15"/>
        <v>0</v>
      </c>
      <c r="L366" s="5">
        <f t="shared" si="17"/>
        <v>0</v>
      </c>
      <c r="M366">
        <f t="shared" si="16"/>
        <v>0</v>
      </c>
    </row>
    <row r="367" spans="11:13" x14ac:dyDescent="0.25">
      <c r="K367" s="7">
        <f t="shared" si="15"/>
        <v>0</v>
      </c>
      <c r="L367" s="5">
        <f t="shared" si="17"/>
        <v>0</v>
      </c>
      <c r="M367">
        <f t="shared" si="16"/>
        <v>0</v>
      </c>
    </row>
    <row r="368" spans="11:13" x14ac:dyDescent="0.25">
      <c r="K368" s="7">
        <f t="shared" si="15"/>
        <v>0</v>
      </c>
      <c r="L368" s="5">
        <f t="shared" si="17"/>
        <v>0</v>
      </c>
      <c r="M368">
        <f t="shared" si="16"/>
        <v>0</v>
      </c>
    </row>
    <row r="369" spans="11:13" x14ac:dyDescent="0.25">
      <c r="K369" s="7">
        <f t="shared" si="15"/>
        <v>0</v>
      </c>
      <c r="L369" s="5">
        <f t="shared" si="17"/>
        <v>0</v>
      </c>
      <c r="M369">
        <f t="shared" si="16"/>
        <v>0</v>
      </c>
    </row>
    <row r="370" spans="11:13" x14ac:dyDescent="0.25">
      <c r="K370" s="7">
        <f t="shared" si="15"/>
        <v>0</v>
      </c>
      <c r="L370" s="5">
        <f t="shared" si="17"/>
        <v>0</v>
      </c>
      <c r="M370">
        <f t="shared" si="16"/>
        <v>0</v>
      </c>
    </row>
    <row r="371" spans="11:13" x14ac:dyDescent="0.25">
      <c r="K371" s="7">
        <f t="shared" si="15"/>
        <v>0</v>
      </c>
      <c r="L371" s="5">
        <f t="shared" si="17"/>
        <v>0</v>
      </c>
      <c r="M371">
        <f t="shared" si="16"/>
        <v>0</v>
      </c>
    </row>
    <row r="372" spans="11:13" x14ac:dyDescent="0.25">
      <c r="K372" s="7">
        <f t="shared" si="15"/>
        <v>0</v>
      </c>
      <c r="L372" s="5">
        <f t="shared" si="17"/>
        <v>0</v>
      </c>
      <c r="M372">
        <f t="shared" si="16"/>
        <v>0</v>
      </c>
    </row>
    <row r="373" spans="11:13" x14ac:dyDescent="0.25">
      <c r="K373" s="7">
        <f t="shared" si="15"/>
        <v>0</v>
      </c>
      <c r="L373" s="5">
        <f t="shared" si="17"/>
        <v>0</v>
      </c>
      <c r="M373">
        <f t="shared" si="16"/>
        <v>0</v>
      </c>
    </row>
    <row r="374" spans="11:13" x14ac:dyDescent="0.25">
      <c r="K374" s="7">
        <f t="shared" si="15"/>
        <v>0</v>
      </c>
      <c r="L374" s="5">
        <f t="shared" si="17"/>
        <v>0</v>
      </c>
      <c r="M374">
        <f t="shared" si="16"/>
        <v>0</v>
      </c>
    </row>
    <row r="375" spans="11:13" x14ac:dyDescent="0.25">
      <c r="K375" s="7">
        <f t="shared" si="15"/>
        <v>0</v>
      </c>
      <c r="L375" s="5">
        <f t="shared" si="17"/>
        <v>0</v>
      </c>
      <c r="M375">
        <f t="shared" si="16"/>
        <v>0</v>
      </c>
    </row>
    <row r="376" spans="11:13" x14ac:dyDescent="0.25">
      <c r="K376" s="7">
        <f t="shared" si="15"/>
        <v>0</v>
      </c>
      <c r="L376" s="5">
        <f t="shared" si="17"/>
        <v>0</v>
      </c>
      <c r="M376">
        <f t="shared" si="16"/>
        <v>0</v>
      </c>
    </row>
    <row r="377" spans="11:13" x14ac:dyDescent="0.25">
      <c r="K377" s="7">
        <f t="shared" si="15"/>
        <v>0</v>
      </c>
      <c r="L377" s="5">
        <f t="shared" si="17"/>
        <v>0</v>
      </c>
      <c r="M377">
        <f t="shared" si="16"/>
        <v>0</v>
      </c>
    </row>
    <row r="378" spans="11:13" x14ac:dyDescent="0.25">
      <c r="K378" s="7">
        <f t="shared" si="15"/>
        <v>0</v>
      </c>
      <c r="L378" s="5">
        <f t="shared" si="17"/>
        <v>0</v>
      </c>
      <c r="M378">
        <f t="shared" si="16"/>
        <v>0</v>
      </c>
    </row>
    <row r="379" spans="11:13" x14ac:dyDescent="0.25">
      <c r="K379" s="7">
        <f t="shared" si="15"/>
        <v>0</v>
      </c>
      <c r="L379" s="5">
        <f t="shared" si="17"/>
        <v>0</v>
      </c>
      <c r="M379">
        <f t="shared" si="16"/>
        <v>0</v>
      </c>
    </row>
    <row r="380" spans="11:13" x14ac:dyDescent="0.25">
      <c r="K380" s="7">
        <f t="shared" si="15"/>
        <v>0</v>
      </c>
      <c r="L380" s="5">
        <f t="shared" si="17"/>
        <v>0</v>
      </c>
      <c r="M380">
        <f t="shared" si="16"/>
        <v>0</v>
      </c>
    </row>
    <row r="381" spans="11:13" x14ac:dyDescent="0.25">
      <c r="K381" s="7">
        <f t="shared" si="15"/>
        <v>0</v>
      </c>
      <c r="L381" s="5">
        <f t="shared" si="17"/>
        <v>0</v>
      </c>
      <c r="M381">
        <f t="shared" si="16"/>
        <v>0</v>
      </c>
    </row>
    <row r="382" spans="11:13" x14ac:dyDescent="0.25">
      <c r="K382" s="7">
        <f t="shared" si="15"/>
        <v>0</v>
      </c>
      <c r="L382" s="5">
        <f t="shared" si="17"/>
        <v>0</v>
      </c>
      <c r="M382">
        <f t="shared" si="16"/>
        <v>0</v>
      </c>
    </row>
    <row r="383" spans="11:13" x14ac:dyDescent="0.25">
      <c r="K383" s="7">
        <f t="shared" si="15"/>
        <v>0</v>
      </c>
      <c r="L383" s="5">
        <f t="shared" si="17"/>
        <v>0</v>
      </c>
      <c r="M383">
        <f t="shared" si="16"/>
        <v>0</v>
      </c>
    </row>
    <row r="384" spans="11:13" x14ac:dyDescent="0.25">
      <c r="K384" s="7">
        <f t="shared" si="15"/>
        <v>0</v>
      </c>
      <c r="L384" s="5">
        <f t="shared" si="17"/>
        <v>0</v>
      </c>
      <c r="M384">
        <f t="shared" si="16"/>
        <v>0</v>
      </c>
    </row>
    <row r="385" spans="11:13" x14ac:dyDescent="0.25">
      <c r="K385" s="7">
        <f t="shared" si="15"/>
        <v>0</v>
      </c>
      <c r="L385" s="5">
        <f t="shared" si="17"/>
        <v>0</v>
      </c>
      <c r="M385">
        <f t="shared" si="16"/>
        <v>0</v>
      </c>
    </row>
    <row r="386" spans="11:13" x14ac:dyDescent="0.25">
      <c r="K386" s="7">
        <f t="shared" si="15"/>
        <v>0</v>
      </c>
      <c r="L386" s="5">
        <f t="shared" si="17"/>
        <v>0</v>
      </c>
      <c r="M386">
        <f t="shared" si="16"/>
        <v>0</v>
      </c>
    </row>
    <row r="387" spans="11:13" x14ac:dyDescent="0.25">
      <c r="K387" s="7">
        <f t="shared" si="15"/>
        <v>0</v>
      </c>
      <c r="L387" s="5">
        <f t="shared" si="17"/>
        <v>0</v>
      </c>
      <c r="M387">
        <f t="shared" si="16"/>
        <v>0</v>
      </c>
    </row>
    <row r="388" spans="11:13" x14ac:dyDescent="0.25">
      <c r="K388" s="7">
        <f t="shared" si="15"/>
        <v>0</v>
      </c>
      <c r="L388" s="5">
        <f t="shared" si="17"/>
        <v>0</v>
      </c>
      <c r="M388">
        <f t="shared" si="16"/>
        <v>0</v>
      </c>
    </row>
    <row r="389" spans="11:13" x14ac:dyDescent="0.25">
      <c r="K389" s="7">
        <f t="shared" ref="K389:K452" si="18">SUM(F389:J389)</f>
        <v>0</v>
      </c>
      <c r="L389" s="5">
        <f t="shared" si="17"/>
        <v>0</v>
      </c>
      <c r="M389">
        <f t="shared" ref="M389:M452" si="19">SUM(K389*L389)</f>
        <v>0</v>
      </c>
    </row>
    <row r="390" spans="11:13" x14ac:dyDescent="0.25">
      <c r="K390" s="7">
        <f t="shared" si="18"/>
        <v>0</v>
      </c>
      <c r="L390" s="5">
        <f t="shared" ref="L390:L453" si="20">IF(D390="X",0,IF(E390="",0,IF(E390="H",0,VLOOKUP(E390,$F$539:$G$553,2))))</f>
        <v>0</v>
      </c>
      <c r="M390">
        <f t="shared" si="19"/>
        <v>0</v>
      </c>
    </row>
    <row r="391" spans="11:13" x14ac:dyDescent="0.25">
      <c r="K391" s="7">
        <f t="shared" si="18"/>
        <v>0</v>
      </c>
      <c r="L391" s="5">
        <f t="shared" si="20"/>
        <v>0</v>
      </c>
      <c r="M391">
        <f t="shared" si="19"/>
        <v>0</v>
      </c>
    </row>
    <row r="392" spans="11:13" x14ac:dyDescent="0.25">
      <c r="K392" s="7">
        <f t="shared" si="18"/>
        <v>0</v>
      </c>
      <c r="L392" s="5">
        <f t="shared" si="20"/>
        <v>0</v>
      </c>
      <c r="M392">
        <f t="shared" si="19"/>
        <v>0</v>
      </c>
    </row>
    <row r="393" spans="11:13" x14ac:dyDescent="0.25">
      <c r="K393" s="7">
        <f t="shared" si="18"/>
        <v>0</v>
      </c>
      <c r="L393" s="5">
        <f t="shared" si="20"/>
        <v>0</v>
      </c>
      <c r="M393">
        <f t="shared" si="19"/>
        <v>0</v>
      </c>
    </row>
    <row r="394" spans="11:13" x14ac:dyDescent="0.25">
      <c r="K394" s="7">
        <f t="shared" si="18"/>
        <v>0</v>
      </c>
      <c r="L394" s="5">
        <f t="shared" si="20"/>
        <v>0</v>
      </c>
      <c r="M394">
        <f t="shared" si="19"/>
        <v>0</v>
      </c>
    </row>
    <row r="395" spans="11:13" x14ac:dyDescent="0.25">
      <c r="K395" s="7">
        <f t="shared" si="18"/>
        <v>0</v>
      </c>
      <c r="L395" s="5">
        <f t="shared" si="20"/>
        <v>0</v>
      </c>
      <c r="M395">
        <f t="shared" si="19"/>
        <v>0</v>
      </c>
    </row>
    <row r="396" spans="11:13" x14ac:dyDescent="0.25">
      <c r="K396" s="7">
        <f t="shared" si="18"/>
        <v>0</v>
      </c>
      <c r="L396" s="5">
        <f t="shared" si="20"/>
        <v>0</v>
      </c>
      <c r="M396">
        <f t="shared" si="19"/>
        <v>0</v>
      </c>
    </row>
    <row r="397" spans="11:13" x14ac:dyDescent="0.25">
      <c r="K397" s="7">
        <f t="shared" si="18"/>
        <v>0</v>
      </c>
      <c r="L397" s="5">
        <f t="shared" si="20"/>
        <v>0</v>
      </c>
      <c r="M397">
        <f t="shared" si="19"/>
        <v>0</v>
      </c>
    </row>
    <row r="398" spans="11:13" x14ac:dyDescent="0.25">
      <c r="K398" s="7">
        <f t="shared" si="18"/>
        <v>0</v>
      </c>
      <c r="L398" s="5">
        <f t="shared" si="20"/>
        <v>0</v>
      </c>
      <c r="M398">
        <f t="shared" si="19"/>
        <v>0</v>
      </c>
    </row>
    <row r="399" spans="11:13" x14ac:dyDescent="0.25">
      <c r="K399" s="7">
        <f t="shared" si="18"/>
        <v>0</v>
      </c>
      <c r="L399" s="5">
        <f t="shared" si="20"/>
        <v>0</v>
      </c>
      <c r="M399">
        <f t="shared" si="19"/>
        <v>0</v>
      </c>
    </row>
    <row r="400" spans="11:13" x14ac:dyDescent="0.25">
      <c r="K400" s="7">
        <f t="shared" si="18"/>
        <v>0</v>
      </c>
      <c r="L400" s="5">
        <f t="shared" si="20"/>
        <v>0</v>
      </c>
      <c r="M400">
        <f t="shared" si="19"/>
        <v>0</v>
      </c>
    </row>
    <row r="401" spans="11:13" x14ac:dyDescent="0.25">
      <c r="K401" s="7">
        <f t="shared" si="18"/>
        <v>0</v>
      </c>
      <c r="L401" s="5">
        <f t="shared" si="20"/>
        <v>0</v>
      </c>
      <c r="M401">
        <f t="shared" si="19"/>
        <v>0</v>
      </c>
    </row>
    <row r="402" spans="11:13" x14ac:dyDescent="0.25">
      <c r="K402" s="7">
        <f t="shared" si="18"/>
        <v>0</v>
      </c>
      <c r="L402" s="5">
        <f t="shared" si="20"/>
        <v>0</v>
      </c>
      <c r="M402">
        <f t="shared" si="19"/>
        <v>0</v>
      </c>
    </row>
    <row r="403" spans="11:13" x14ac:dyDescent="0.25">
      <c r="K403" s="7">
        <f t="shared" si="18"/>
        <v>0</v>
      </c>
      <c r="L403" s="5">
        <f t="shared" si="20"/>
        <v>0</v>
      </c>
      <c r="M403">
        <f t="shared" si="19"/>
        <v>0</v>
      </c>
    </row>
    <row r="404" spans="11:13" x14ac:dyDescent="0.25">
      <c r="K404" s="7">
        <f t="shared" si="18"/>
        <v>0</v>
      </c>
      <c r="L404" s="5">
        <f t="shared" si="20"/>
        <v>0</v>
      </c>
      <c r="M404">
        <f t="shared" si="19"/>
        <v>0</v>
      </c>
    </row>
    <row r="405" spans="11:13" x14ac:dyDescent="0.25">
      <c r="K405" s="7">
        <f t="shared" si="18"/>
        <v>0</v>
      </c>
      <c r="L405" s="5">
        <f t="shared" si="20"/>
        <v>0</v>
      </c>
      <c r="M405">
        <f t="shared" si="19"/>
        <v>0</v>
      </c>
    </row>
    <row r="406" spans="11:13" x14ac:dyDescent="0.25">
      <c r="K406" s="7">
        <f t="shared" si="18"/>
        <v>0</v>
      </c>
      <c r="L406" s="5">
        <f t="shared" si="20"/>
        <v>0</v>
      </c>
      <c r="M406">
        <f t="shared" si="19"/>
        <v>0</v>
      </c>
    </row>
    <row r="407" spans="11:13" x14ac:dyDescent="0.25">
      <c r="K407" s="7">
        <f t="shared" si="18"/>
        <v>0</v>
      </c>
      <c r="L407" s="5">
        <f t="shared" si="20"/>
        <v>0</v>
      </c>
      <c r="M407">
        <f t="shared" si="19"/>
        <v>0</v>
      </c>
    </row>
    <row r="408" spans="11:13" x14ac:dyDescent="0.25">
      <c r="K408" s="7">
        <f t="shared" si="18"/>
        <v>0</v>
      </c>
      <c r="L408" s="5">
        <f t="shared" si="20"/>
        <v>0</v>
      </c>
      <c r="M408">
        <f t="shared" si="19"/>
        <v>0</v>
      </c>
    </row>
    <row r="409" spans="11:13" x14ac:dyDescent="0.25">
      <c r="K409" s="7">
        <f t="shared" si="18"/>
        <v>0</v>
      </c>
      <c r="L409" s="5">
        <f t="shared" si="20"/>
        <v>0</v>
      </c>
      <c r="M409">
        <f t="shared" si="19"/>
        <v>0</v>
      </c>
    </row>
    <row r="410" spans="11:13" x14ac:dyDescent="0.25">
      <c r="K410" s="7">
        <f t="shared" si="18"/>
        <v>0</v>
      </c>
      <c r="L410" s="5">
        <f t="shared" si="20"/>
        <v>0</v>
      </c>
      <c r="M410">
        <f t="shared" si="19"/>
        <v>0</v>
      </c>
    </row>
    <row r="411" spans="11:13" x14ac:dyDescent="0.25">
      <c r="K411" s="7">
        <f t="shared" si="18"/>
        <v>0</v>
      </c>
      <c r="L411" s="5">
        <f t="shared" si="20"/>
        <v>0</v>
      </c>
      <c r="M411">
        <f t="shared" si="19"/>
        <v>0</v>
      </c>
    </row>
    <row r="412" spans="11:13" x14ac:dyDescent="0.25">
      <c r="K412" s="7">
        <f t="shared" si="18"/>
        <v>0</v>
      </c>
      <c r="L412" s="5">
        <f t="shared" si="20"/>
        <v>0</v>
      </c>
      <c r="M412">
        <f t="shared" si="19"/>
        <v>0</v>
      </c>
    </row>
    <row r="413" spans="11:13" x14ac:dyDescent="0.25">
      <c r="K413" s="7">
        <f t="shared" si="18"/>
        <v>0</v>
      </c>
      <c r="L413" s="5">
        <f t="shared" si="20"/>
        <v>0</v>
      </c>
      <c r="M413">
        <f t="shared" si="19"/>
        <v>0</v>
      </c>
    </row>
    <row r="414" spans="11:13" x14ac:dyDescent="0.25">
      <c r="K414" s="7">
        <f t="shared" si="18"/>
        <v>0</v>
      </c>
      <c r="L414" s="5">
        <f t="shared" si="20"/>
        <v>0</v>
      </c>
      <c r="M414">
        <f t="shared" si="19"/>
        <v>0</v>
      </c>
    </row>
    <row r="415" spans="11:13" x14ac:dyDescent="0.25">
      <c r="K415" s="7">
        <f t="shared" si="18"/>
        <v>0</v>
      </c>
      <c r="L415" s="5">
        <f t="shared" si="20"/>
        <v>0</v>
      </c>
      <c r="M415">
        <f t="shared" si="19"/>
        <v>0</v>
      </c>
    </row>
    <row r="416" spans="11:13" x14ac:dyDescent="0.25">
      <c r="K416" s="7">
        <f t="shared" si="18"/>
        <v>0</v>
      </c>
      <c r="L416" s="5">
        <f t="shared" si="20"/>
        <v>0</v>
      </c>
      <c r="M416">
        <f t="shared" si="19"/>
        <v>0</v>
      </c>
    </row>
    <row r="417" spans="11:13" x14ac:dyDescent="0.25">
      <c r="K417" s="7">
        <f t="shared" si="18"/>
        <v>0</v>
      </c>
      <c r="L417" s="5">
        <f t="shared" si="20"/>
        <v>0</v>
      </c>
      <c r="M417">
        <f t="shared" si="19"/>
        <v>0</v>
      </c>
    </row>
    <row r="418" spans="11:13" x14ac:dyDescent="0.25">
      <c r="K418" s="7">
        <f t="shared" si="18"/>
        <v>0</v>
      </c>
      <c r="L418" s="5">
        <f t="shared" si="20"/>
        <v>0</v>
      </c>
      <c r="M418">
        <f t="shared" si="19"/>
        <v>0</v>
      </c>
    </row>
    <row r="419" spans="11:13" x14ac:dyDescent="0.25">
      <c r="K419" s="7">
        <f t="shared" si="18"/>
        <v>0</v>
      </c>
      <c r="L419" s="5">
        <f t="shared" si="20"/>
        <v>0</v>
      </c>
      <c r="M419">
        <f t="shared" si="19"/>
        <v>0</v>
      </c>
    </row>
    <row r="420" spans="11:13" x14ac:dyDescent="0.25">
      <c r="K420" s="7">
        <f t="shared" si="18"/>
        <v>0</v>
      </c>
      <c r="L420" s="5">
        <f t="shared" si="20"/>
        <v>0</v>
      </c>
      <c r="M420">
        <f t="shared" si="19"/>
        <v>0</v>
      </c>
    </row>
    <row r="421" spans="11:13" x14ac:dyDescent="0.25">
      <c r="K421" s="7">
        <f t="shared" si="18"/>
        <v>0</v>
      </c>
      <c r="L421" s="5">
        <f t="shared" si="20"/>
        <v>0</v>
      </c>
      <c r="M421">
        <f t="shared" si="19"/>
        <v>0</v>
      </c>
    </row>
    <row r="422" spans="11:13" x14ac:dyDescent="0.25">
      <c r="K422" s="7">
        <f t="shared" si="18"/>
        <v>0</v>
      </c>
      <c r="L422" s="5">
        <f t="shared" si="20"/>
        <v>0</v>
      </c>
      <c r="M422">
        <f t="shared" si="19"/>
        <v>0</v>
      </c>
    </row>
    <row r="423" spans="11:13" x14ac:dyDescent="0.25">
      <c r="K423" s="7">
        <f t="shared" si="18"/>
        <v>0</v>
      </c>
      <c r="L423" s="5">
        <f t="shared" si="20"/>
        <v>0</v>
      </c>
      <c r="M423">
        <f t="shared" si="19"/>
        <v>0</v>
      </c>
    </row>
    <row r="424" spans="11:13" x14ac:dyDescent="0.25">
      <c r="K424" s="7">
        <f t="shared" si="18"/>
        <v>0</v>
      </c>
      <c r="L424" s="5">
        <f t="shared" si="20"/>
        <v>0</v>
      </c>
      <c r="M424">
        <f t="shared" si="19"/>
        <v>0</v>
      </c>
    </row>
    <row r="425" spans="11:13" x14ac:dyDescent="0.25">
      <c r="K425" s="7">
        <f t="shared" si="18"/>
        <v>0</v>
      </c>
      <c r="L425" s="5">
        <f t="shared" si="20"/>
        <v>0</v>
      </c>
      <c r="M425">
        <f t="shared" si="19"/>
        <v>0</v>
      </c>
    </row>
    <row r="426" spans="11:13" x14ac:dyDescent="0.25">
      <c r="K426" s="7">
        <f t="shared" si="18"/>
        <v>0</v>
      </c>
      <c r="L426" s="5">
        <f t="shared" si="20"/>
        <v>0</v>
      </c>
      <c r="M426">
        <f t="shared" si="19"/>
        <v>0</v>
      </c>
    </row>
    <row r="427" spans="11:13" x14ac:dyDescent="0.25">
      <c r="K427" s="7">
        <f t="shared" si="18"/>
        <v>0</v>
      </c>
      <c r="L427" s="5">
        <f t="shared" si="20"/>
        <v>0</v>
      </c>
      <c r="M427">
        <f t="shared" si="19"/>
        <v>0</v>
      </c>
    </row>
    <row r="428" spans="11:13" x14ac:dyDescent="0.25">
      <c r="K428" s="7">
        <f t="shared" si="18"/>
        <v>0</v>
      </c>
      <c r="L428" s="5">
        <f t="shared" si="20"/>
        <v>0</v>
      </c>
      <c r="M428">
        <f t="shared" si="19"/>
        <v>0</v>
      </c>
    </row>
    <row r="429" spans="11:13" x14ac:dyDescent="0.25">
      <c r="K429" s="7">
        <f t="shared" si="18"/>
        <v>0</v>
      </c>
      <c r="L429" s="5">
        <f t="shared" si="20"/>
        <v>0</v>
      </c>
      <c r="M429">
        <f t="shared" si="19"/>
        <v>0</v>
      </c>
    </row>
    <row r="430" spans="11:13" x14ac:dyDescent="0.25">
      <c r="K430" s="7">
        <f t="shared" si="18"/>
        <v>0</v>
      </c>
      <c r="L430" s="5">
        <f t="shared" si="20"/>
        <v>0</v>
      </c>
      <c r="M430">
        <f t="shared" si="19"/>
        <v>0</v>
      </c>
    </row>
    <row r="431" spans="11:13" x14ac:dyDescent="0.25">
      <c r="K431" s="7">
        <f t="shared" si="18"/>
        <v>0</v>
      </c>
      <c r="L431" s="5">
        <f t="shared" si="20"/>
        <v>0</v>
      </c>
      <c r="M431">
        <f t="shared" si="19"/>
        <v>0</v>
      </c>
    </row>
    <row r="432" spans="11:13" x14ac:dyDescent="0.25">
      <c r="K432" s="7">
        <f t="shared" si="18"/>
        <v>0</v>
      </c>
      <c r="L432" s="5">
        <f t="shared" si="20"/>
        <v>0</v>
      </c>
      <c r="M432">
        <f t="shared" si="19"/>
        <v>0</v>
      </c>
    </row>
    <row r="433" spans="11:13" x14ac:dyDescent="0.25">
      <c r="K433" s="7">
        <f t="shared" si="18"/>
        <v>0</v>
      </c>
      <c r="L433" s="5">
        <f t="shared" si="20"/>
        <v>0</v>
      </c>
      <c r="M433">
        <f t="shared" si="19"/>
        <v>0</v>
      </c>
    </row>
    <row r="434" spans="11:13" x14ac:dyDescent="0.25">
      <c r="K434" s="7">
        <f t="shared" si="18"/>
        <v>0</v>
      </c>
      <c r="L434" s="5">
        <f t="shared" si="20"/>
        <v>0</v>
      </c>
      <c r="M434">
        <f t="shared" si="19"/>
        <v>0</v>
      </c>
    </row>
    <row r="435" spans="11:13" x14ac:dyDescent="0.25">
      <c r="K435" s="7">
        <f t="shared" si="18"/>
        <v>0</v>
      </c>
      <c r="L435" s="5">
        <f t="shared" si="20"/>
        <v>0</v>
      </c>
      <c r="M435">
        <f t="shared" si="19"/>
        <v>0</v>
      </c>
    </row>
    <row r="436" spans="11:13" x14ac:dyDescent="0.25">
      <c r="K436" s="7">
        <f t="shared" si="18"/>
        <v>0</v>
      </c>
      <c r="L436" s="5">
        <f t="shared" si="20"/>
        <v>0</v>
      </c>
      <c r="M436">
        <f t="shared" si="19"/>
        <v>0</v>
      </c>
    </row>
    <row r="437" spans="11:13" x14ac:dyDescent="0.25">
      <c r="K437" s="7">
        <f t="shared" si="18"/>
        <v>0</v>
      </c>
      <c r="L437" s="5">
        <f t="shared" si="20"/>
        <v>0</v>
      </c>
      <c r="M437">
        <f t="shared" si="19"/>
        <v>0</v>
      </c>
    </row>
    <row r="438" spans="11:13" x14ac:dyDescent="0.25">
      <c r="K438" s="7">
        <f t="shared" si="18"/>
        <v>0</v>
      </c>
      <c r="L438" s="5">
        <f t="shared" si="20"/>
        <v>0</v>
      </c>
      <c r="M438">
        <f t="shared" si="19"/>
        <v>0</v>
      </c>
    </row>
    <row r="439" spans="11:13" x14ac:dyDescent="0.25">
      <c r="K439" s="7">
        <f t="shared" si="18"/>
        <v>0</v>
      </c>
      <c r="L439" s="5">
        <f t="shared" si="20"/>
        <v>0</v>
      </c>
      <c r="M439">
        <f t="shared" si="19"/>
        <v>0</v>
      </c>
    </row>
    <row r="440" spans="11:13" x14ac:dyDescent="0.25">
      <c r="K440" s="7">
        <f t="shared" si="18"/>
        <v>0</v>
      </c>
      <c r="L440" s="5">
        <f t="shared" si="20"/>
        <v>0</v>
      </c>
      <c r="M440">
        <f t="shared" si="19"/>
        <v>0</v>
      </c>
    </row>
    <row r="441" spans="11:13" x14ac:dyDescent="0.25">
      <c r="K441" s="7">
        <f t="shared" si="18"/>
        <v>0</v>
      </c>
      <c r="L441" s="5">
        <f t="shared" si="20"/>
        <v>0</v>
      </c>
      <c r="M441">
        <f t="shared" si="19"/>
        <v>0</v>
      </c>
    </row>
    <row r="442" spans="11:13" x14ac:dyDescent="0.25">
      <c r="K442" s="7">
        <f t="shared" si="18"/>
        <v>0</v>
      </c>
      <c r="L442" s="5">
        <f t="shared" si="20"/>
        <v>0</v>
      </c>
      <c r="M442">
        <f t="shared" si="19"/>
        <v>0</v>
      </c>
    </row>
    <row r="443" spans="11:13" x14ac:dyDescent="0.25">
      <c r="K443" s="7">
        <f t="shared" si="18"/>
        <v>0</v>
      </c>
      <c r="L443" s="5">
        <f t="shared" si="20"/>
        <v>0</v>
      </c>
      <c r="M443">
        <f t="shared" si="19"/>
        <v>0</v>
      </c>
    </row>
    <row r="444" spans="11:13" x14ac:dyDescent="0.25">
      <c r="K444" s="7">
        <f t="shared" si="18"/>
        <v>0</v>
      </c>
      <c r="L444" s="5">
        <f t="shared" si="20"/>
        <v>0</v>
      </c>
      <c r="M444">
        <f t="shared" si="19"/>
        <v>0</v>
      </c>
    </row>
    <row r="445" spans="11:13" x14ac:dyDescent="0.25">
      <c r="K445" s="7">
        <f t="shared" si="18"/>
        <v>0</v>
      </c>
      <c r="L445" s="5">
        <f t="shared" si="20"/>
        <v>0</v>
      </c>
      <c r="M445">
        <f t="shared" si="19"/>
        <v>0</v>
      </c>
    </row>
    <row r="446" spans="11:13" x14ac:dyDescent="0.25">
      <c r="K446" s="7">
        <f t="shared" si="18"/>
        <v>0</v>
      </c>
      <c r="L446" s="5">
        <f t="shared" si="20"/>
        <v>0</v>
      </c>
      <c r="M446">
        <f t="shared" si="19"/>
        <v>0</v>
      </c>
    </row>
    <row r="447" spans="11:13" x14ac:dyDescent="0.25">
      <c r="K447" s="7">
        <f t="shared" si="18"/>
        <v>0</v>
      </c>
      <c r="L447" s="5">
        <f t="shared" si="20"/>
        <v>0</v>
      </c>
      <c r="M447">
        <f t="shared" si="19"/>
        <v>0</v>
      </c>
    </row>
    <row r="448" spans="11:13" x14ac:dyDescent="0.25">
      <c r="K448" s="7">
        <f t="shared" si="18"/>
        <v>0</v>
      </c>
      <c r="L448" s="5">
        <f t="shared" si="20"/>
        <v>0</v>
      </c>
      <c r="M448">
        <f t="shared" si="19"/>
        <v>0</v>
      </c>
    </row>
    <row r="449" spans="11:13" x14ac:dyDescent="0.25">
      <c r="K449" s="7">
        <f t="shared" si="18"/>
        <v>0</v>
      </c>
      <c r="L449" s="5">
        <f t="shared" si="20"/>
        <v>0</v>
      </c>
      <c r="M449">
        <f t="shared" si="19"/>
        <v>0</v>
      </c>
    </row>
    <row r="450" spans="11:13" x14ac:dyDescent="0.25">
      <c r="K450" s="7">
        <f t="shared" si="18"/>
        <v>0</v>
      </c>
      <c r="L450" s="5">
        <f t="shared" si="20"/>
        <v>0</v>
      </c>
      <c r="M450">
        <f t="shared" si="19"/>
        <v>0</v>
      </c>
    </row>
    <row r="451" spans="11:13" x14ac:dyDescent="0.25">
      <c r="K451" s="7">
        <f t="shared" si="18"/>
        <v>0</v>
      </c>
      <c r="L451" s="5">
        <f t="shared" si="20"/>
        <v>0</v>
      </c>
      <c r="M451">
        <f t="shared" si="19"/>
        <v>0</v>
      </c>
    </row>
    <row r="452" spans="11:13" x14ac:dyDescent="0.25">
      <c r="K452" s="7">
        <f t="shared" si="18"/>
        <v>0</v>
      </c>
      <c r="L452" s="5">
        <f t="shared" si="20"/>
        <v>0</v>
      </c>
      <c r="M452">
        <f t="shared" si="19"/>
        <v>0</v>
      </c>
    </row>
    <row r="453" spans="11:13" x14ac:dyDescent="0.25">
      <c r="K453" s="7">
        <f t="shared" ref="K453:K498" si="21">SUM(F453:J453)</f>
        <v>0</v>
      </c>
      <c r="L453" s="5">
        <f t="shared" si="20"/>
        <v>0</v>
      </c>
      <c r="M453">
        <f t="shared" ref="M453:M498" si="22">SUM(K453*L453)</f>
        <v>0</v>
      </c>
    </row>
    <row r="454" spans="11:13" x14ac:dyDescent="0.25">
      <c r="K454" s="7">
        <f t="shared" si="21"/>
        <v>0</v>
      </c>
      <c r="L454" s="5">
        <f t="shared" ref="L454:L498" si="23">IF(D454="X",0,IF(E454="",0,IF(E454="H",0,VLOOKUP(E454,$F$539:$G$553,2))))</f>
        <v>0</v>
      </c>
      <c r="M454">
        <f t="shared" si="22"/>
        <v>0</v>
      </c>
    </row>
    <row r="455" spans="11:13" x14ac:dyDescent="0.25">
      <c r="K455" s="7">
        <f t="shared" si="21"/>
        <v>0</v>
      </c>
      <c r="L455" s="5">
        <f t="shared" si="23"/>
        <v>0</v>
      </c>
      <c r="M455">
        <f t="shared" si="22"/>
        <v>0</v>
      </c>
    </row>
    <row r="456" spans="11:13" x14ac:dyDescent="0.25">
      <c r="K456" s="7">
        <f t="shared" si="21"/>
        <v>0</v>
      </c>
      <c r="L456" s="5">
        <f t="shared" si="23"/>
        <v>0</v>
      </c>
      <c r="M456">
        <f t="shared" si="22"/>
        <v>0</v>
      </c>
    </row>
    <row r="457" spans="11:13" x14ac:dyDescent="0.25">
      <c r="K457" s="7">
        <f t="shared" si="21"/>
        <v>0</v>
      </c>
      <c r="L457" s="5">
        <f t="shared" si="23"/>
        <v>0</v>
      </c>
      <c r="M457">
        <f t="shared" si="22"/>
        <v>0</v>
      </c>
    </row>
    <row r="458" spans="11:13" x14ac:dyDescent="0.25">
      <c r="K458" s="7">
        <f t="shared" si="21"/>
        <v>0</v>
      </c>
      <c r="L458" s="5">
        <f t="shared" si="23"/>
        <v>0</v>
      </c>
      <c r="M458">
        <f t="shared" si="22"/>
        <v>0</v>
      </c>
    </row>
    <row r="459" spans="11:13" x14ac:dyDescent="0.25">
      <c r="K459" s="7">
        <f t="shared" si="21"/>
        <v>0</v>
      </c>
      <c r="L459" s="5">
        <f t="shared" si="23"/>
        <v>0</v>
      </c>
      <c r="M459">
        <f t="shared" si="22"/>
        <v>0</v>
      </c>
    </row>
    <row r="460" spans="11:13" x14ac:dyDescent="0.25">
      <c r="K460" s="7">
        <f t="shared" si="21"/>
        <v>0</v>
      </c>
      <c r="L460" s="5">
        <f t="shared" si="23"/>
        <v>0</v>
      </c>
      <c r="M460">
        <f t="shared" si="22"/>
        <v>0</v>
      </c>
    </row>
    <row r="461" spans="11:13" x14ac:dyDescent="0.25">
      <c r="K461" s="7">
        <f t="shared" si="21"/>
        <v>0</v>
      </c>
      <c r="L461" s="5">
        <f t="shared" si="23"/>
        <v>0</v>
      </c>
      <c r="M461">
        <f t="shared" si="22"/>
        <v>0</v>
      </c>
    </row>
    <row r="462" spans="11:13" x14ac:dyDescent="0.25">
      <c r="K462" s="7">
        <f t="shared" si="21"/>
        <v>0</v>
      </c>
      <c r="L462" s="5">
        <f t="shared" si="23"/>
        <v>0</v>
      </c>
      <c r="M462">
        <f t="shared" si="22"/>
        <v>0</v>
      </c>
    </row>
    <row r="463" spans="11:13" x14ac:dyDescent="0.25">
      <c r="K463" s="7">
        <f t="shared" si="21"/>
        <v>0</v>
      </c>
      <c r="L463" s="5">
        <f t="shared" si="23"/>
        <v>0</v>
      </c>
      <c r="M463">
        <f t="shared" si="22"/>
        <v>0</v>
      </c>
    </row>
    <row r="464" spans="11:13" x14ac:dyDescent="0.25">
      <c r="K464" s="7">
        <f t="shared" si="21"/>
        <v>0</v>
      </c>
      <c r="L464" s="5">
        <f t="shared" si="23"/>
        <v>0</v>
      </c>
      <c r="M464">
        <f t="shared" si="22"/>
        <v>0</v>
      </c>
    </row>
    <row r="465" spans="11:13" x14ac:dyDescent="0.25">
      <c r="K465" s="7">
        <f t="shared" si="21"/>
        <v>0</v>
      </c>
      <c r="L465" s="5">
        <f t="shared" si="23"/>
        <v>0</v>
      </c>
      <c r="M465">
        <f t="shared" si="22"/>
        <v>0</v>
      </c>
    </row>
    <row r="466" spans="11:13" x14ac:dyDescent="0.25">
      <c r="K466" s="7">
        <f t="shared" si="21"/>
        <v>0</v>
      </c>
      <c r="L466" s="5">
        <f t="shared" si="23"/>
        <v>0</v>
      </c>
      <c r="M466">
        <f t="shared" si="22"/>
        <v>0</v>
      </c>
    </row>
    <row r="467" spans="11:13" x14ac:dyDescent="0.25">
      <c r="K467" s="7">
        <f t="shared" si="21"/>
        <v>0</v>
      </c>
      <c r="L467" s="5">
        <f t="shared" si="23"/>
        <v>0</v>
      </c>
      <c r="M467">
        <f t="shared" si="22"/>
        <v>0</v>
      </c>
    </row>
    <row r="468" spans="11:13" x14ac:dyDescent="0.25">
      <c r="K468" s="7">
        <f t="shared" si="21"/>
        <v>0</v>
      </c>
      <c r="L468" s="5">
        <f t="shared" si="23"/>
        <v>0</v>
      </c>
      <c r="M468">
        <f t="shared" si="22"/>
        <v>0</v>
      </c>
    </row>
    <row r="469" spans="11:13" x14ac:dyDescent="0.25">
      <c r="K469" s="7">
        <f t="shared" si="21"/>
        <v>0</v>
      </c>
      <c r="L469" s="5">
        <f t="shared" si="23"/>
        <v>0</v>
      </c>
      <c r="M469">
        <f t="shared" si="22"/>
        <v>0</v>
      </c>
    </row>
    <row r="470" spans="11:13" x14ac:dyDescent="0.25">
      <c r="K470" s="7">
        <f t="shared" si="21"/>
        <v>0</v>
      </c>
      <c r="L470" s="5">
        <f t="shared" si="23"/>
        <v>0</v>
      </c>
      <c r="M470">
        <f t="shared" si="22"/>
        <v>0</v>
      </c>
    </row>
    <row r="471" spans="11:13" x14ac:dyDescent="0.25">
      <c r="K471" s="7">
        <f t="shared" si="21"/>
        <v>0</v>
      </c>
      <c r="L471" s="5">
        <f t="shared" si="23"/>
        <v>0</v>
      </c>
      <c r="M471">
        <f t="shared" si="22"/>
        <v>0</v>
      </c>
    </row>
    <row r="472" spans="11:13" x14ac:dyDescent="0.25">
      <c r="K472" s="7">
        <f t="shared" si="21"/>
        <v>0</v>
      </c>
      <c r="L472" s="5">
        <f t="shared" si="23"/>
        <v>0</v>
      </c>
      <c r="M472">
        <f t="shared" si="22"/>
        <v>0</v>
      </c>
    </row>
    <row r="473" spans="11:13" x14ac:dyDescent="0.25">
      <c r="K473" s="7">
        <f t="shared" si="21"/>
        <v>0</v>
      </c>
      <c r="L473" s="5">
        <f t="shared" si="23"/>
        <v>0</v>
      </c>
      <c r="M473">
        <f t="shared" si="22"/>
        <v>0</v>
      </c>
    </row>
    <row r="474" spans="11:13" x14ac:dyDescent="0.25">
      <c r="K474" s="7">
        <f t="shared" si="21"/>
        <v>0</v>
      </c>
      <c r="L474" s="5">
        <f t="shared" si="23"/>
        <v>0</v>
      </c>
      <c r="M474">
        <f t="shared" si="22"/>
        <v>0</v>
      </c>
    </row>
    <row r="475" spans="11:13" x14ac:dyDescent="0.25">
      <c r="K475" s="7">
        <f t="shared" si="21"/>
        <v>0</v>
      </c>
      <c r="L475" s="5">
        <f t="shared" si="23"/>
        <v>0</v>
      </c>
      <c r="M475">
        <f t="shared" si="22"/>
        <v>0</v>
      </c>
    </row>
    <row r="476" spans="11:13" x14ac:dyDescent="0.25">
      <c r="K476" s="7">
        <f t="shared" si="21"/>
        <v>0</v>
      </c>
      <c r="L476" s="5">
        <f t="shared" si="23"/>
        <v>0</v>
      </c>
      <c r="M476">
        <f t="shared" si="22"/>
        <v>0</v>
      </c>
    </row>
    <row r="477" spans="11:13" x14ac:dyDescent="0.25">
      <c r="K477" s="7">
        <f t="shared" si="21"/>
        <v>0</v>
      </c>
      <c r="L477" s="5">
        <f t="shared" si="23"/>
        <v>0</v>
      </c>
      <c r="M477">
        <f t="shared" si="22"/>
        <v>0</v>
      </c>
    </row>
    <row r="478" spans="11:13" x14ac:dyDescent="0.25">
      <c r="K478" s="7">
        <f t="shared" si="21"/>
        <v>0</v>
      </c>
      <c r="L478" s="5">
        <f t="shared" si="23"/>
        <v>0</v>
      </c>
      <c r="M478">
        <f t="shared" si="22"/>
        <v>0</v>
      </c>
    </row>
    <row r="479" spans="11:13" x14ac:dyDescent="0.25">
      <c r="K479" s="7">
        <f t="shared" si="21"/>
        <v>0</v>
      </c>
      <c r="L479" s="5">
        <f t="shared" si="23"/>
        <v>0</v>
      </c>
      <c r="M479">
        <f t="shared" si="22"/>
        <v>0</v>
      </c>
    </row>
    <row r="480" spans="11:13" x14ac:dyDescent="0.25">
      <c r="K480" s="7">
        <f t="shared" si="21"/>
        <v>0</v>
      </c>
      <c r="L480" s="5">
        <f t="shared" si="23"/>
        <v>0</v>
      </c>
      <c r="M480">
        <f t="shared" si="22"/>
        <v>0</v>
      </c>
    </row>
    <row r="481" spans="11:13" x14ac:dyDescent="0.25">
      <c r="K481" s="7">
        <f t="shared" si="21"/>
        <v>0</v>
      </c>
      <c r="L481" s="5">
        <f t="shared" si="23"/>
        <v>0</v>
      </c>
      <c r="M481">
        <f t="shared" si="22"/>
        <v>0</v>
      </c>
    </row>
    <row r="482" spans="11:13" x14ac:dyDescent="0.25">
      <c r="K482" s="7">
        <f t="shared" si="21"/>
        <v>0</v>
      </c>
      <c r="L482" s="5">
        <f t="shared" si="23"/>
        <v>0</v>
      </c>
      <c r="M482">
        <f t="shared" si="22"/>
        <v>0</v>
      </c>
    </row>
    <row r="483" spans="11:13" x14ac:dyDescent="0.25">
      <c r="K483" s="7">
        <f t="shared" si="21"/>
        <v>0</v>
      </c>
      <c r="L483" s="5">
        <f t="shared" si="23"/>
        <v>0</v>
      </c>
      <c r="M483">
        <f t="shared" si="22"/>
        <v>0</v>
      </c>
    </row>
    <row r="484" spans="11:13" x14ac:dyDescent="0.25">
      <c r="K484" s="7">
        <f t="shared" si="21"/>
        <v>0</v>
      </c>
      <c r="L484" s="5">
        <f t="shared" si="23"/>
        <v>0</v>
      </c>
      <c r="M484">
        <f t="shared" si="22"/>
        <v>0</v>
      </c>
    </row>
    <row r="485" spans="11:13" x14ac:dyDescent="0.25">
      <c r="K485" s="7">
        <f t="shared" si="21"/>
        <v>0</v>
      </c>
      <c r="L485" s="5">
        <f t="shared" si="23"/>
        <v>0</v>
      </c>
      <c r="M485">
        <f t="shared" si="22"/>
        <v>0</v>
      </c>
    </row>
    <row r="486" spans="11:13" x14ac:dyDescent="0.25">
      <c r="K486" s="7">
        <f t="shared" si="21"/>
        <v>0</v>
      </c>
      <c r="L486" s="5">
        <f t="shared" si="23"/>
        <v>0</v>
      </c>
      <c r="M486">
        <f t="shared" si="22"/>
        <v>0</v>
      </c>
    </row>
    <row r="487" spans="11:13" x14ac:dyDescent="0.25">
      <c r="K487" s="7">
        <f t="shared" si="21"/>
        <v>0</v>
      </c>
      <c r="L487" s="5">
        <f t="shared" si="23"/>
        <v>0</v>
      </c>
      <c r="M487">
        <f t="shared" si="22"/>
        <v>0</v>
      </c>
    </row>
    <row r="488" spans="11:13" x14ac:dyDescent="0.25">
      <c r="K488" s="7">
        <f t="shared" si="21"/>
        <v>0</v>
      </c>
      <c r="L488" s="5">
        <f t="shared" si="23"/>
        <v>0</v>
      </c>
      <c r="M488">
        <f t="shared" si="22"/>
        <v>0</v>
      </c>
    </row>
    <row r="489" spans="11:13" x14ac:dyDescent="0.25">
      <c r="K489" s="7">
        <f t="shared" si="21"/>
        <v>0</v>
      </c>
      <c r="L489" s="5">
        <f t="shared" si="23"/>
        <v>0</v>
      </c>
      <c r="M489">
        <f t="shared" si="22"/>
        <v>0</v>
      </c>
    </row>
    <row r="490" spans="11:13" x14ac:dyDescent="0.25">
      <c r="K490" s="7">
        <f t="shared" si="21"/>
        <v>0</v>
      </c>
      <c r="L490" s="5">
        <f t="shared" si="23"/>
        <v>0</v>
      </c>
      <c r="M490">
        <f t="shared" si="22"/>
        <v>0</v>
      </c>
    </row>
    <row r="491" spans="11:13" x14ac:dyDescent="0.25">
      <c r="K491" s="7">
        <f t="shared" ref="K491:K494" si="24">SUM(F491:J491)</f>
        <v>0</v>
      </c>
      <c r="L491" s="5">
        <f t="shared" si="23"/>
        <v>0</v>
      </c>
      <c r="M491">
        <f t="shared" ref="M491:M494" si="25">SUM(K491*L491)</f>
        <v>0</v>
      </c>
    </row>
    <row r="492" spans="11:13" x14ac:dyDescent="0.25">
      <c r="K492" s="7">
        <f t="shared" si="24"/>
        <v>0</v>
      </c>
      <c r="L492" s="5">
        <f t="shared" si="23"/>
        <v>0</v>
      </c>
      <c r="M492">
        <f t="shared" si="25"/>
        <v>0</v>
      </c>
    </row>
    <row r="493" spans="11:13" x14ac:dyDescent="0.25">
      <c r="K493" s="7">
        <f t="shared" si="24"/>
        <v>0</v>
      </c>
      <c r="L493" s="5">
        <f t="shared" si="23"/>
        <v>0</v>
      </c>
      <c r="M493">
        <f t="shared" si="25"/>
        <v>0</v>
      </c>
    </row>
    <row r="494" spans="11:13" x14ac:dyDescent="0.25">
      <c r="K494" s="7">
        <f t="shared" si="24"/>
        <v>0</v>
      </c>
      <c r="L494" s="5">
        <f t="shared" si="23"/>
        <v>0</v>
      </c>
      <c r="M494">
        <f t="shared" si="25"/>
        <v>0</v>
      </c>
    </row>
    <row r="495" spans="11:13" x14ac:dyDescent="0.25">
      <c r="K495" s="7">
        <f t="shared" si="21"/>
        <v>0</v>
      </c>
      <c r="L495" s="5">
        <f t="shared" si="23"/>
        <v>0</v>
      </c>
      <c r="M495">
        <f t="shared" si="22"/>
        <v>0</v>
      </c>
    </row>
    <row r="496" spans="11:13" x14ac:dyDescent="0.25">
      <c r="K496" s="7">
        <f t="shared" si="21"/>
        <v>0</v>
      </c>
      <c r="L496" s="5">
        <f t="shared" si="23"/>
        <v>0</v>
      </c>
      <c r="M496">
        <f t="shared" si="22"/>
        <v>0</v>
      </c>
    </row>
    <row r="497" spans="3:13" x14ac:dyDescent="0.25">
      <c r="K497" s="7">
        <f t="shared" si="21"/>
        <v>0</v>
      </c>
      <c r="L497" s="5">
        <f t="shared" si="23"/>
        <v>0</v>
      </c>
      <c r="M497">
        <f t="shared" si="22"/>
        <v>0</v>
      </c>
    </row>
    <row r="498" spans="3:13" x14ac:dyDescent="0.25">
      <c r="K498" s="7">
        <f t="shared" si="21"/>
        <v>0</v>
      </c>
      <c r="L498" s="5">
        <f t="shared" si="23"/>
        <v>0</v>
      </c>
      <c r="M498">
        <f t="shared" si="22"/>
        <v>0</v>
      </c>
    </row>
    <row r="499" spans="3:13" x14ac:dyDescent="0.25">
      <c r="C499" s="100" t="s">
        <v>35</v>
      </c>
      <c r="D499" s="100"/>
      <c r="E499" s="100"/>
      <c r="F499" s="100"/>
      <c r="G499" s="100"/>
      <c r="H499" s="100"/>
      <c r="I499" s="100"/>
      <c r="J499" s="100"/>
      <c r="K499" s="100"/>
      <c r="L499" s="100"/>
      <c r="M499" s="100" t="s">
        <v>34</v>
      </c>
    </row>
    <row r="500" spans="3:13" x14ac:dyDescent="0.25">
      <c r="C500" s="100" t="str">
        <f>IF(F539="","Vrije categorie",F539)</f>
        <v>A</v>
      </c>
      <c r="D500" s="100"/>
      <c r="E500" s="100"/>
      <c r="F500" s="100">
        <f t="shared" ref="F500:F514" si="26">SUMPRODUCT(--($E$4:$E$498=C500),--($D$4:$D$498=""),$F$4:$F$498)</f>
        <v>0</v>
      </c>
      <c r="G500" s="100">
        <f t="shared" ref="G500:G514" si="27">SUMPRODUCT(--($E$4:$E$498=C500),--($D$4:$D$498=""),$G$4:$G$498)</f>
        <v>0</v>
      </c>
      <c r="H500" s="100">
        <f t="shared" ref="H500:H514" si="28">SUMPRODUCT(--($E$4:$E$498=C500),--($D$4:$D$498=""),$H$4:$H$498)</f>
        <v>0</v>
      </c>
      <c r="I500" s="100">
        <f t="shared" ref="I500:I514" si="29">SUMPRODUCT(--($E$4:$E$498=C500),--($D$4:$D$498=""),$I$4:$I$498)</f>
        <v>0</v>
      </c>
      <c r="J500" s="100">
        <f t="shared" ref="J500:J514" si="30">SUMPRODUCT(--($E$4:$E$498=C500),--($D$4:$D$498=""),$J$4:$J$498)</f>
        <v>0</v>
      </c>
      <c r="K500" s="100">
        <f t="shared" ref="K500:K514" si="31">SUM(F500:J500)</f>
        <v>0</v>
      </c>
      <c r="L500" s="100"/>
      <c r="M500" s="100">
        <f t="shared" ref="M500:M507" si="32">SUMPRODUCT(--($E$4:$E$498=C500),--($D$4:$D$498=""),$M$4:$M$498)</f>
        <v>0</v>
      </c>
    </row>
    <row r="501" spans="3:13" x14ac:dyDescent="0.25">
      <c r="C501" s="100" t="str">
        <f t="shared" ref="C501:C514" si="33">IF(F540="","Vrije categorie",F540)</f>
        <v>B</v>
      </c>
      <c r="D501" s="100"/>
      <c r="E501" s="100"/>
      <c r="F501" s="100">
        <f t="shared" si="26"/>
        <v>0</v>
      </c>
      <c r="G501" s="100">
        <f t="shared" si="27"/>
        <v>0</v>
      </c>
      <c r="H501" s="100">
        <f t="shared" si="28"/>
        <v>0</v>
      </c>
      <c r="I501" s="100">
        <f t="shared" si="29"/>
        <v>0</v>
      </c>
      <c r="J501" s="100">
        <f t="shared" si="30"/>
        <v>0</v>
      </c>
      <c r="K501" s="100">
        <f t="shared" si="31"/>
        <v>0</v>
      </c>
      <c r="L501" s="100"/>
      <c r="M501" s="100">
        <f t="shared" si="32"/>
        <v>0</v>
      </c>
    </row>
    <row r="502" spans="3:13" x14ac:dyDescent="0.25">
      <c r="C502" s="100" t="str">
        <f t="shared" si="33"/>
        <v>C</v>
      </c>
      <c r="D502" s="100"/>
      <c r="E502" s="100"/>
      <c r="F502" s="100">
        <f t="shared" si="26"/>
        <v>0</v>
      </c>
      <c r="G502" s="100">
        <f t="shared" si="27"/>
        <v>0</v>
      </c>
      <c r="H502" s="100">
        <f t="shared" si="28"/>
        <v>0</v>
      </c>
      <c r="I502" s="100">
        <f t="shared" si="29"/>
        <v>0</v>
      </c>
      <c r="J502" s="100">
        <f t="shared" si="30"/>
        <v>0</v>
      </c>
      <c r="K502" s="100">
        <f t="shared" si="31"/>
        <v>0</v>
      </c>
      <c r="L502" s="100"/>
      <c r="M502" s="100">
        <f t="shared" si="32"/>
        <v>0</v>
      </c>
    </row>
    <row r="503" spans="3:13" x14ac:dyDescent="0.25">
      <c r="C503" s="100" t="str">
        <f t="shared" si="33"/>
        <v>D</v>
      </c>
      <c r="D503" s="100"/>
      <c r="E503" s="100"/>
      <c r="F503" s="100">
        <f t="shared" si="26"/>
        <v>0</v>
      </c>
      <c r="G503" s="100">
        <f t="shared" si="27"/>
        <v>0</v>
      </c>
      <c r="H503" s="100">
        <f t="shared" si="28"/>
        <v>0</v>
      </c>
      <c r="I503" s="100">
        <f t="shared" si="29"/>
        <v>0</v>
      </c>
      <c r="J503" s="100">
        <f t="shared" si="30"/>
        <v>0</v>
      </c>
      <c r="K503" s="100">
        <f t="shared" si="31"/>
        <v>0</v>
      </c>
      <c r="L503" s="100"/>
      <c r="M503" s="100">
        <f t="shared" si="32"/>
        <v>0</v>
      </c>
    </row>
    <row r="504" spans="3:13" x14ac:dyDescent="0.25">
      <c r="C504" s="100" t="str">
        <f t="shared" si="33"/>
        <v>E</v>
      </c>
      <c r="D504" s="100"/>
      <c r="E504" s="100"/>
      <c r="F504" s="100">
        <f t="shared" si="26"/>
        <v>0</v>
      </c>
      <c r="G504" s="100">
        <f t="shared" si="27"/>
        <v>0</v>
      </c>
      <c r="H504" s="100">
        <f t="shared" si="28"/>
        <v>0</v>
      </c>
      <c r="I504" s="100">
        <f t="shared" si="29"/>
        <v>0</v>
      </c>
      <c r="J504" s="100">
        <f t="shared" si="30"/>
        <v>0</v>
      </c>
      <c r="K504" s="100">
        <f t="shared" si="31"/>
        <v>0</v>
      </c>
      <c r="L504" s="100"/>
      <c r="M504" s="100">
        <f t="shared" si="32"/>
        <v>0</v>
      </c>
    </row>
    <row r="505" spans="3:13" x14ac:dyDescent="0.25">
      <c r="C505" s="100" t="str">
        <f t="shared" si="33"/>
        <v>F</v>
      </c>
      <c r="D505" s="100"/>
      <c r="E505" s="100"/>
      <c r="F505" s="100">
        <f t="shared" si="26"/>
        <v>0</v>
      </c>
      <c r="G505" s="100">
        <f t="shared" si="27"/>
        <v>0</v>
      </c>
      <c r="H505" s="100">
        <f t="shared" si="28"/>
        <v>0</v>
      </c>
      <c r="I505" s="100">
        <f t="shared" si="29"/>
        <v>0</v>
      </c>
      <c r="J505" s="100">
        <f t="shared" si="30"/>
        <v>0</v>
      </c>
      <c r="K505" s="100">
        <f t="shared" si="31"/>
        <v>0</v>
      </c>
      <c r="L505" s="100"/>
      <c r="M505" s="100">
        <f t="shared" si="32"/>
        <v>0</v>
      </c>
    </row>
    <row r="506" spans="3:13" x14ac:dyDescent="0.25">
      <c r="C506" s="100" t="str">
        <f t="shared" si="33"/>
        <v>G</v>
      </c>
      <c r="D506" s="100"/>
      <c r="E506" s="100"/>
      <c r="F506" s="100">
        <f t="shared" si="26"/>
        <v>0</v>
      </c>
      <c r="G506" s="100">
        <f t="shared" si="27"/>
        <v>0</v>
      </c>
      <c r="H506" s="100">
        <f t="shared" si="28"/>
        <v>0</v>
      </c>
      <c r="I506" s="100">
        <f t="shared" si="29"/>
        <v>0</v>
      </c>
      <c r="J506" s="100">
        <f t="shared" si="30"/>
        <v>0</v>
      </c>
      <c r="K506" s="100">
        <f t="shared" si="31"/>
        <v>0</v>
      </c>
      <c r="L506" s="100"/>
      <c r="M506" s="100">
        <f t="shared" si="32"/>
        <v>0</v>
      </c>
    </row>
    <row r="507" spans="3:13" x14ac:dyDescent="0.25">
      <c r="C507" s="100" t="str">
        <f t="shared" si="33"/>
        <v>H</v>
      </c>
      <c r="D507" s="100"/>
      <c r="E507" s="100"/>
      <c r="F507" s="100">
        <f t="shared" si="26"/>
        <v>0</v>
      </c>
      <c r="G507" s="100">
        <f t="shared" si="27"/>
        <v>0</v>
      </c>
      <c r="H507" s="100">
        <f t="shared" si="28"/>
        <v>0</v>
      </c>
      <c r="I507" s="100">
        <f t="shared" si="29"/>
        <v>0</v>
      </c>
      <c r="J507" s="100">
        <f t="shared" si="30"/>
        <v>0</v>
      </c>
      <c r="K507" s="100">
        <f t="shared" si="31"/>
        <v>0</v>
      </c>
      <c r="L507" s="100"/>
      <c r="M507" s="100">
        <f t="shared" si="32"/>
        <v>0</v>
      </c>
    </row>
    <row r="508" spans="3:13" x14ac:dyDescent="0.25">
      <c r="C508" s="100" t="str">
        <f t="shared" si="33"/>
        <v>I</v>
      </c>
      <c r="D508" s="100"/>
      <c r="E508" s="100"/>
      <c r="F508" s="100">
        <f t="shared" si="26"/>
        <v>0</v>
      </c>
      <c r="G508" s="100">
        <f t="shared" si="27"/>
        <v>0</v>
      </c>
      <c r="H508" s="100">
        <f t="shared" si="28"/>
        <v>0</v>
      </c>
      <c r="I508" s="100">
        <f t="shared" si="29"/>
        <v>0</v>
      </c>
      <c r="J508" s="100">
        <f t="shared" si="30"/>
        <v>0</v>
      </c>
      <c r="K508" s="100">
        <f t="shared" si="31"/>
        <v>0</v>
      </c>
      <c r="L508" s="100"/>
      <c r="M508" s="100">
        <f t="shared" ref="M508:M513" si="34">SUMPRODUCT(--($E$4:$E$498=C508),--($D$4:$D$498=""),$M$4:$M$498)</f>
        <v>0</v>
      </c>
    </row>
    <row r="509" spans="3:13" x14ac:dyDescent="0.25">
      <c r="C509" s="100" t="str">
        <f t="shared" si="33"/>
        <v>J</v>
      </c>
      <c r="D509" s="100"/>
      <c r="E509" s="100"/>
      <c r="F509" s="100">
        <f t="shared" si="26"/>
        <v>0</v>
      </c>
      <c r="G509" s="100">
        <f t="shared" si="27"/>
        <v>0</v>
      </c>
      <c r="H509" s="100">
        <f t="shared" si="28"/>
        <v>0</v>
      </c>
      <c r="I509" s="100">
        <f t="shared" si="29"/>
        <v>0</v>
      </c>
      <c r="J509" s="100">
        <f t="shared" si="30"/>
        <v>0</v>
      </c>
      <c r="K509" s="100">
        <f t="shared" si="31"/>
        <v>0</v>
      </c>
      <c r="L509" s="100"/>
      <c r="M509" s="100">
        <f t="shared" si="34"/>
        <v>0</v>
      </c>
    </row>
    <row r="510" spans="3:13" x14ac:dyDescent="0.25">
      <c r="C510" s="100" t="str">
        <f t="shared" si="33"/>
        <v>K</v>
      </c>
      <c r="D510" s="100"/>
      <c r="E510" s="100"/>
      <c r="F510" s="100">
        <f t="shared" si="26"/>
        <v>0</v>
      </c>
      <c r="G510" s="100">
        <f t="shared" si="27"/>
        <v>0</v>
      </c>
      <c r="H510" s="100">
        <f t="shared" si="28"/>
        <v>0</v>
      </c>
      <c r="I510" s="100">
        <f t="shared" si="29"/>
        <v>0</v>
      </c>
      <c r="J510" s="100">
        <f t="shared" si="30"/>
        <v>0</v>
      </c>
      <c r="K510" s="100">
        <f t="shared" si="31"/>
        <v>0</v>
      </c>
      <c r="L510" s="100"/>
      <c r="M510" s="100">
        <f t="shared" si="34"/>
        <v>0</v>
      </c>
    </row>
    <row r="511" spans="3:13" x14ac:dyDescent="0.25">
      <c r="C511" s="100" t="str">
        <f t="shared" si="33"/>
        <v>X</v>
      </c>
      <c r="D511" s="100"/>
      <c r="E511" s="100"/>
      <c r="F511" s="100">
        <f t="shared" si="26"/>
        <v>0</v>
      </c>
      <c r="G511" s="100">
        <f t="shared" si="27"/>
        <v>0</v>
      </c>
      <c r="H511" s="100">
        <f t="shared" si="28"/>
        <v>0</v>
      </c>
      <c r="I511" s="100">
        <f t="shared" si="29"/>
        <v>0</v>
      </c>
      <c r="J511" s="100">
        <f t="shared" si="30"/>
        <v>0</v>
      </c>
      <c r="K511" s="100">
        <f t="shared" si="31"/>
        <v>0</v>
      </c>
      <c r="L511" s="100"/>
      <c r="M511" s="100">
        <f t="shared" si="34"/>
        <v>0</v>
      </c>
    </row>
    <row r="512" spans="3:13" x14ac:dyDescent="0.25">
      <c r="C512" s="100" t="str">
        <f t="shared" si="33"/>
        <v>Vrije categorie</v>
      </c>
      <c r="D512" s="100"/>
      <c r="E512" s="100"/>
      <c r="F512" s="100">
        <f t="shared" si="26"/>
        <v>0</v>
      </c>
      <c r="G512" s="100">
        <f t="shared" si="27"/>
        <v>0</v>
      </c>
      <c r="H512" s="100">
        <f t="shared" si="28"/>
        <v>0</v>
      </c>
      <c r="I512" s="100">
        <f t="shared" si="29"/>
        <v>0</v>
      </c>
      <c r="J512" s="100">
        <f t="shared" si="30"/>
        <v>0</v>
      </c>
      <c r="K512" s="100">
        <f t="shared" si="31"/>
        <v>0</v>
      </c>
      <c r="L512" s="100"/>
      <c r="M512" s="100">
        <f t="shared" si="34"/>
        <v>0</v>
      </c>
    </row>
    <row r="513" spans="3:13" x14ac:dyDescent="0.25">
      <c r="C513" s="100" t="str">
        <f t="shared" si="33"/>
        <v>Vrije categorie</v>
      </c>
      <c r="D513" s="100"/>
      <c r="E513" s="100"/>
      <c r="F513" s="100">
        <f t="shared" si="26"/>
        <v>0</v>
      </c>
      <c r="G513" s="100">
        <f t="shared" si="27"/>
        <v>0</v>
      </c>
      <c r="H513" s="100">
        <f t="shared" si="28"/>
        <v>0</v>
      </c>
      <c r="I513" s="100">
        <f t="shared" si="29"/>
        <v>0</v>
      </c>
      <c r="J513" s="100">
        <f t="shared" si="30"/>
        <v>0</v>
      </c>
      <c r="K513" s="100">
        <f t="shared" si="31"/>
        <v>0</v>
      </c>
      <c r="L513" s="100"/>
      <c r="M513" s="100">
        <f t="shared" si="34"/>
        <v>0</v>
      </c>
    </row>
    <row r="514" spans="3:13" x14ac:dyDescent="0.25">
      <c r="C514" s="100" t="str">
        <f t="shared" si="33"/>
        <v>Vrije categorie</v>
      </c>
      <c r="D514" s="100"/>
      <c r="E514" s="100"/>
      <c r="F514" s="100">
        <f t="shared" si="26"/>
        <v>0</v>
      </c>
      <c r="G514" s="100">
        <f t="shared" si="27"/>
        <v>0</v>
      </c>
      <c r="H514" s="100">
        <f t="shared" si="28"/>
        <v>0</v>
      </c>
      <c r="I514" s="100">
        <f t="shared" si="29"/>
        <v>0</v>
      </c>
      <c r="J514" s="100">
        <f t="shared" si="30"/>
        <v>0</v>
      </c>
      <c r="K514" s="100">
        <f t="shared" si="31"/>
        <v>0</v>
      </c>
      <c r="L514" s="100"/>
      <c r="M514" s="100">
        <f>SUMPRODUCT(--($E$4:$E$498=C514),--($D$4:$D$498=""),$M$4:$M$498)</f>
        <v>0</v>
      </c>
    </row>
    <row r="515" spans="3:13" ht="15.75" thickBot="1" x14ac:dyDescent="0.3">
      <c r="C515" s="101" t="s">
        <v>38</v>
      </c>
      <c r="D515" s="101"/>
      <c r="E515" s="101"/>
      <c r="F515" s="101">
        <f>SUM(F500:F514)</f>
        <v>0</v>
      </c>
      <c r="G515" s="101">
        <f t="shared" ref="G515:K515" si="35">SUM(G500:G514)</f>
        <v>0</v>
      </c>
      <c r="H515" s="101">
        <f t="shared" si="35"/>
        <v>0</v>
      </c>
      <c r="I515" s="101">
        <f t="shared" si="35"/>
        <v>0</v>
      </c>
      <c r="J515" s="101">
        <f t="shared" si="35"/>
        <v>0</v>
      </c>
      <c r="K515" s="101">
        <f t="shared" si="35"/>
        <v>0</v>
      </c>
      <c r="L515" s="101"/>
      <c r="M515" s="101">
        <f>SUM(M499:M514)</f>
        <v>0</v>
      </c>
    </row>
    <row r="516" spans="3:13" ht="15.75" thickTop="1" x14ac:dyDescent="0.25">
      <c r="C516" s="102"/>
      <c r="D516" s="102"/>
      <c r="E516" s="102"/>
      <c r="F516" s="103"/>
      <c r="G516" s="103"/>
      <c r="H516" s="103"/>
      <c r="I516" s="103"/>
      <c r="J516" s="103"/>
      <c r="K516" s="104"/>
      <c r="L516" s="105"/>
      <c r="M516" s="103"/>
    </row>
    <row r="517" spans="3:13" ht="15.75" thickBot="1" x14ac:dyDescent="0.3">
      <c r="C517" s="101" t="s">
        <v>39</v>
      </c>
      <c r="D517" s="101"/>
      <c r="E517" s="101"/>
      <c r="F517" s="101">
        <f>SUMPRODUCT(--($E$4:$E$498="H"),$F$4:$F$498)</f>
        <v>0</v>
      </c>
      <c r="G517" s="101">
        <f>SUMPRODUCT(--($E$4:$E$498="H"),G4:G498)</f>
        <v>0</v>
      </c>
      <c r="H517" s="101">
        <f>SUMPRODUCT(--($E$4:$E$498="H"),H4:H498)</f>
        <v>0</v>
      </c>
      <c r="I517" s="101">
        <f>SUMPRODUCT(--($E$4:$E$498="H"),I4:I498)</f>
        <v>0</v>
      </c>
      <c r="J517" s="101">
        <f>SUMPRODUCT(--($E$4:$E$498="H"),J4:J498)</f>
        <v>0</v>
      </c>
      <c r="K517" s="101">
        <f>SUM(F517:J517)</f>
        <v>0</v>
      </c>
      <c r="L517" s="106"/>
      <c r="M517" s="107"/>
    </row>
    <row r="518" spans="3:13" ht="15.75" thickTop="1" x14ac:dyDescent="0.25"/>
    <row r="519" spans="3:13" x14ac:dyDescent="0.25">
      <c r="C519" s="9" t="s">
        <v>127</v>
      </c>
      <c r="D519" s="9"/>
      <c r="E519" s="9"/>
      <c r="F519" s="9"/>
      <c r="G519" s="9"/>
      <c r="H519" s="9"/>
      <c r="I519" s="9"/>
      <c r="J519" s="9"/>
      <c r="K519" s="9"/>
    </row>
    <row r="520" spans="3:13" x14ac:dyDescent="0.25">
      <c r="C520" s="9" t="str">
        <f t="shared" ref="C520:C534" si="36">C500</f>
        <v>A</v>
      </c>
      <c r="D520" s="9"/>
      <c r="E520" s="9"/>
      <c r="F520" s="9">
        <f t="shared" ref="F520:F534" si="37">SUMPRODUCT(--($E$4:$E$498=C520),--($D$4:$D$498="X"),$F$4:$F$498)</f>
        <v>0</v>
      </c>
      <c r="G520" s="9">
        <f t="shared" ref="G520:G534" si="38">SUMPRODUCT(--($E$4:$E$498=C520),--($D$4:$D$498="X"),$G$4:$G$498)</f>
        <v>0</v>
      </c>
      <c r="H520" s="9">
        <f t="shared" ref="H520:H534" si="39">SUMPRODUCT(--($E$4:$E$498=C520),--($D$4:$D$498="X"),$H$4:$H$498)</f>
        <v>0</v>
      </c>
      <c r="I520" s="9">
        <f t="shared" ref="I520:I534" si="40">SUMPRODUCT(--($E$4:$E$498=C520),--($D$4:$D$498="X"),$I$4:$I$498)</f>
        <v>0</v>
      </c>
      <c r="J520" s="9">
        <f t="shared" ref="J520:J534" si="41">SUMPRODUCT(--($E$4:$E$498=C520),--($D$4:$D$498="X"),$J$4:$J$498)</f>
        <v>0</v>
      </c>
      <c r="K520" s="9">
        <f t="shared" ref="K520:K534" si="42">SUM(F520:J520)</f>
        <v>0</v>
      </c>
    </row>
    <row r="521" spans="3:13" x14ac:dyDescent="0.25">
      <c r="C521" s="9" t="str">
        <f t="shared" si="36"/>
        <v>B</v>
      </c>
      <c r="D521" s="9"/>
      <c r="E521" s="9"/>
      <c r="F521" s="9">
        <f t="shared" si="37"/>
        <v>0</v>
      </c>
      <c r="G521" s="9">
        <f t="shared" si="38"/>
        <v>0</v>
      </c>
      <c r="H521" s="9">
        <f t="shared" si="39"/>
        <v>0</v>
      </c>
      <c r="I521" s="9">
        <f t="shared" si="40"/>
        <v>0</v>
      </c>
      <c r="J521" s="9">
        <f t="shared" si="41"/>
        <v>0</v>
      </c>
      <c r="K521" s="9">
        <f t="shared" si="42"/>
        <v>0</v>
      </c>
    </row>
    <row r="522" spans="3:13" x14ac:dyDescent="0.25">
      <c r="C522" s="9" t="str">
        <f t="shared" si="36"/>
        <v>C</v>
      </c>
      <c r="D522" s="9"/>
      <c r="E522" s="9"/>
      <c r="F522" s="9">
        <f t="shared" si="37"/>
        <v>0</v>
      </c>
      <c r="G522" s="9">
        <f t="shared" si="38"/>
        <v>0</v>
      </c>
      <c r="H522" s="9">
        <f t="shared" si="39"/>
        <v>0</v>
      </c>
      <c r="I522" s="9">
        <f t="shared" si="40"/>
        <v>0</v>
      </c>
      <c r="J522" s="9">
        <f t="shared" si="41"/>
        <v>0</v>
      </c>
      <c r="K522" s="9">
        <f t="shared" si="42"/>
        <v>0</v>
      </c>
    </row>
    <row r="523" spans="3:13" x14ac:dyDescent="0.25">
      <c r="C523" s="9" t="str">
        <f t="shared" si="36"/>
        <v>D</v>
      </c>
      <c r="D523" s="9"/>
      <c r="E523" s="9"/>
      <c r="F523" s="9">
        <f t="shared" si="37"/>
        <v>0</v>
      </c>
      <c r="G523" s="9">
        <f t="shared" si="38"/>
        <v>0</v>
      </c>
      <c r="H523" s="9">
        <f t="shared" si="39"/>
        <v>0</v>
      </c>
      <c r="I523" s="9">
        <f t="shared" si="40"/>
        <v>0</v>
      </c>
      <c r="J523" s="9">
        <f t="shared" si="41"/>
        <v>0</v>
      </c>
      <c r="K523" s="9">
        <f t="shared" si="42"/>
        <v>0</v>
      </c>
    </row>
    <row r="524" spans="3:13" x14ac:dyDescent="0.25">
      <c r="C524" s="9" t="str">
        <f t="shared" si="36"/>
        <v>E</v>
      </c>
      <c r="D524" s="9"/>
      <c r="E524" s="9"/>
      <c r="F524" s="9">
        <f t="shared" si="37"/>
        <v>0</v>
      </c>
      <c r="G524" s="9">
        <f t="shared" si="38"/>
        <v>0</v>
      </c>
      <c r="H524" s="9">
        <f t="shared" si="39"/>
        <v>0</v>
      </c>
      <c r="I524" s="9">
        <f t="shared" si="40"/>
        <v>0</v>
      </c>
      <c r="J524" s="9">
        <f t="shared" si="41"/>
        <v>0</v>
      </c>
      <c r="K524" s="9">
        <f t="shared" si="42"/>
        <v>0</v>
      </c>
    </row>
    <row r="525" spans="3:13" x14ac:dyDescent="0.25">
      <c r="C525" s="9" t="str">
        <f t="shared" si="36"/>
        <v>F</v>
      </c>
      <c r="D525" s="9"/>
      <c r="E525" s="9"/>
      <c r="F525" s="9">
        <f t="shared" si="37"/>
        <v>0</v>
      </c>
      <c r="G525" s="9">
        <f t="shared" si="38"/>
        <v>0</v>
      </c>
      <c r="H525" s="9">
        <f t="shared" si="39"/>
        <v>0</v>
      </c>
      <c r="I525" s="9">
        <f t="shared" si="40"/>
        <v>0</v>
      </c>
      <c r="J525" s="9">
        <f t="shared" si="41"/>
        <v>0</v>
      </c>
      <c r="K525" s="9">
        <f t="shared" si="42"/>
        <v>0</v>
      </c>
    </row>
    <row r="526" spans="3:13" x14ac:dyDescent="0.25">
      <c r="C526" s="9" t="str">
        <f t="shared" si="36"/>
        <v>G</v>
      </c>
      <c r="D526" s="9"/>
      <c r="E526" s="9"/>
      <c r="F526" s="9">
        <f t="shared" si="37"/>
        <v>0</v>
      </c>
      <c r="G526" s="9">
        <f t="shared" si="38"/>
        <v>0</v>
      </c>
      <c r="H526" s="9">
        <f t="shared" si="39"/>
        <v>0</v>
      </c>
      <c r="I526" s="9">
        <f t="shared" si="40"/>
        <v>0</v>
      </c>
      <c r="J526" s="9">
        <f t="shared" si="41"/>
        <v>0</v>
      </c>
      <c r="K526" s="9">
        <f t="shared" si="42"/>
        <v>0</v>
      </c>
    </row>
    <row r="527" spans="3:13" x14ac:dyDescent="0.25">
      <c r="C527" s="9" t="str">
        <f t="shared" si="36"/>
        <v>H</v>
      </c>
      <c r="D527" s="9"/>
      <c r="E527" s="9"/>
      <c r="F527" s="9">
        <f t="shared" si="37"/>
        <v>0</v>
      </c>
      <c r="G527" s="9">
        <f t="shared" si="38"/>
        <v>0</v>
      </c>
      <c r="H527" s="9">
        <f t="shared" si="39"/>
        <v>0</v>
      </c>
      <c r="I527" s="9">
        <f t="shared" si="40"/>
        <v>0</v>
      </c>
      <c r="J527" s="9">
        <f t="shared" si="41"/>
        <v>0</v>
      </c>
      <c r="K527" s="9">
        <f t="shared" si="42"/>
        <v>0</v>
      </c>
    </row>
    <row r="528" spans="3:13" x14ac:dyDescent="0.25">
      <c r="C528" s="9" t="str">
        <f t="shared" si="36"/>
        <v>I</v>
      </c>
      <c r="D528" s="9"/>
      <c r="E528" s="9"/>
      <c r="F528" s="9">
        <f t="shared" si="37"/>
        <v>0</v>
      </c>
      <c r="G528" s="9">
        <f t="shared" si="38"/>
        <v>0</v>
      </c>
      <c r="H528" s="9">
        <f t="shared" si="39"/>
        <v>0</v>
      </c>
      <c r="I528" s="9">
        <f t="shared" si="40"/>
        <v>0</v>
      </c>
      <c r="J528" s="9">
        <f t="shared" si="41"/>
        <v>0</v>
      </c>
      <c r="K528" s="9">
        <f t="shared" si="42"/>
        <v>0</v>
      </c>
    </row>
    <row r="529" spans="3:12" x14ac:dyDescent="0.25">
      <c r="C529" s="9" t="str">
        <f t="shared" si="36"/>
        <v>J</v>
      </c>
      <c r="D529" s="9"/>
      <c r="E529" s="9"/>
      <c r="F529" s="9">
        <f t="shared" si="37"/>
        <v>0</v>
      </c>
      <c r="G529" s="9">
        <f t="shared" si="38"/>
        <v>0</v>
      </c>
      <c r="H529" s="9">
        <f t="shared" si="39"/>
        <v>0</v>
      </c>
      <c r="I529" s="9">
        <f t="shared" si="40"/>
        <v>0</v>
      </c>
      <c r="J529" s="9">
        <f t="shared" si="41"/>
        <v>0</v>
      </c>
      <c r="K529" s="9">
        <f t="shared" si="42"/>
        <v>0</v>
      </c>
    </row>
    <row r="530" spans="3:12" x14ac:dyDescent="0.25">
      <c r="C530" s="9" t="str">
        <f t="shared" si="36"/>
        <v>K</v>
      </c>
      <c r="D530" s="9"/>
      <c r="E530" s="9"/>
      <c r="F530" s="9">
        <f t="shared" si="37"/>
        <v>0</v>
      </c>
      <c r="G530" s="9">
        <f t="shared" si="38"/>
        <v>0</v>
      </c>
      <c r="H530" s="9">
        <f t="shared" si="39"/>
        <v>0</v>
      </c>
      <c r="I530" s="9">
        <f t="shared" si="40"/>
        <v>0</v>
      </c>
      <c r="J530" s="9">
        <f t="shared" si="41"/>
        <v>0</v>
      </c>
      <c r="K530" s="9">
        <f t="shared" si="42"/>
        <v>0</v>
      </c>
    </row>
    <row r="531" spans="3:12" x14ac:dyDescent="0.25">
      <c r="C531" s="9" t="str">
        <f t="shared" si="36"/>
        <v>X</v>
      </c>
      <c r="D531" s="9"/>
      <c r="E531" s="9"/>
      <c r="F531" s="9">
        <f t="shared" si="37"/>
        <v>0</v>
      </c>
      <c r="G531" s="9">
        <f t="shared" si="38"/>
        <v>0</v>
      </c>
      <c r="H531" s="9">
        <f t="shared" si="39"/>
        <v>0</v>
      </c>
      <c r="I531" s="9">
        <f t="shared" si="40"/>
        <v>0</v>
      </c>
      <c r="J531" s="9">
        <f t="shared" si="41"/>
        <v>0</v>
      </c>
      <c r="K531" s="9">
        <f t="shared" si="42"/>
        <v>0</v>
      </c>
    </row>
    <row r="532" spans="3:12" x14ac:dyDescent="0.25">
      <c r="C532" s="9" t="str">
        <f t="shared" si="36"/>
        <v>Vrije categorie</v>
      </c>
      <c r="D532" s="9"/>
      <c r="E532" s="9"/>
      <c r="F532" s="9">
        <f t="shared" si="37"/>
        <v>0</v>
      </c>
      <c r="G532" s="9">
        <f t="shared" si="38"/>
        <v>0</v>
      </c>
      <c r="H532" s="9">
        <f t="shared" si="39"/>
        <v>0</v>
      </c>
      <c r="I532" s="9">
        <f t="shared" si="40"/>
        <v>0</v>
      </c>
      <c r="J532" s="9">
        <f t="shared" si="41"/>
        <v>0</v>
      </c>
      <c r="K532" s="9">
        <f t="shared" si="42"/>
        <v>0</v>
      </c>
    </row>
    <row r="533" spans="3:12" x14ac:dyDescent="0.25">
      <c r="C533" s="9" t="str">
        <f t="shared" si="36"/>
        <v>Vrije categorie</v>
      </c>
      <c r="D533" s="9"/>
      <c r="E533" s="9"/>
      <c r="F533" s="9">
        <f t="shared" si="37"/>
        <v>0</v>
      </c>
      <c r="G533" s="9">
        <f t="shared" si="38"/>
        <v>0</v>
      </c>
      <c r="H533" s="9">
        <f t="shared" si="39"/>
        <v>0</v>
      </c>
      <c r="I533" s="9">
        <f t="shared" si="40"/>
        <v>0</v>
      </c>
      <c r="J533" s="9">
        <f t="shared" si="41"/>
        <v>0</v>
      </c>
      <c r="K533" s="9">
        <f t="shared" si="42"/>
        <v>0</v>
      </c>
    </row>
    <row r="534" spans="3:12" x14ac:dyDescent="0.25">
      <c r="C534" s="9" t="str">
        <f t="shared" si="36"/>
        <v>Vrije categorie</v>
      </c>
      <c r="D534" s="9"/>
      <c r="E534" s="9"/>
      <c r="F534" s="9">
        <f t="shared" si="37"/>
        <v>0</v>
      </c>
      <c r="G534" s="9">
        <f t="shared" si="38"/>
        <v>0</v>
      </c>
      <c r="H534" s="9">
        <f t="shared" si="39"/>
        <v>0</v>
      </c>
      <c r="I534" s="9">
        <f t="shared" si="40"/>
        <v>0</v>
      </c>
      <c r="J534" s="9">
        <f t="shared" si="41"/>
        <v>0</v>
      </c>
      <c r="K534" s="9">
        <f t="shared" si="42"/>
        <v>0</v>
      </c>
    </row>
    <row r="535" spans="3:12" ht="15.75" thickBot="1" x14ac:dyDescent="0.3">
      <c r="C535" s="10" t="s">
        <v>126</v>
      </c>
      <c r="D535" s="10"/>
      <c r="E535" s="10"/>
      <c r="F535" s="10">
        <f t="shared" ref="F535:K535" si="43">SUM(F520:F534)</f>
        <v>0</v>
      </c>
      <c r="G535" s="10">
        <f t="shared" si="43"/>
        <v>0</v>
      </c>
      <c r="H535" s="10">
        <f t="shared" si="43"/>
        <v>0</v>
      </c>
      <c r="I535" s="10">
        <f t="shared" si="43"/>
        <v>0</v>
      </c>
      <c r="J535" s="10">
        <f t="shared" si="43"/>
        <v>0</v>
      </c>
      <c r="K535" s="10">
        <f t="shared" si="43"/>
        <v>0</v>
      </c>
    </row>
    <row r="536" spans="3:12" ht="15.75" thickTop="1" x14ac:dyDescent="0.25">
      <c r="C536" s="18"/>
    </row>
    <row r="537" spans="3:12" x14ac:dyDescent="0.25">
      <c r="C537" s="18"/>
    </row>
    <row r="538" spans="3:12" x14ac:dyDescent="0.25">
      <c r="F538" s="123" t="s">
        <v>36</v>
      </c>
      <c r="G538" s="124" t="s">
        <v>37</v>
      </c>
      <c r="I538" s="507" t="s">
        <v>251</v>
      </c>
      <c r="J538" s="508"/>
      <c r="K538" s="202" t="s">
        <v>206</v>
      </c>
      <c r="L538"/>
    </row>
    <row r="539" spans="3:12" x14ac:dyDescent="0.25">
      <c r="F539" s="183" t="str">
        <f>IF('1a'!F539=0,"",'1a'!F539)</f>
        <v>A</v>
      </c>
      <c r="G539" s="168">
        <f>IF('1a'!G539=0,"",'1a'!G539)</f>
        <v>104</v>
      </c>
      <c r="I539" s="509" t="s">
        <v>252</v>
      </c>
      <c r="J539" s="510"/>
      <c r="K539" s="203"/>
      <c r="L539"/>
    </row>
    <row r="540" spans="3:12" x14ac:dyDescent="0.25">
      <c r="F540" s="183" t="str">
        <f>IF('1a'!F540=0,"",'1a'!F540)</f>
        <v>B</v>
      </c>
      <c r="G540" s="168">
        <f>IF('1a'!G540=0,"",'1a'!G540)</f>
        <v>260</v>
      </c>
      <c r="I540" s="509" t="s">
        <v>253</v>
      </c>
      <c r="J540" s="510"/>
      <c r="K540" s="203"/>
      <c r="L540"/>
    </row>
    <row r="541" spans="3:12" x14ac:dyDescent="0.25">
      <c r="F541" s="183" t="str">
        <f>IF('1a'!F541=0,"",'1a'!F541)</f>
        <v>C</v>
      </c>
      <c r="G541" s="168">
        <f>IF('1a'!G541=0,"",'1a'!G541)</f>
        <v>260</v>
      </c>
      <c r="I541" s="509" t="s">
        <v>254</v>
      </c>
      <c r="J541" s="510"/>
      <c r="K541" s="203"/>
      <c r="L541"/>
    </row>
    <row r="542" spans="3:12" x14ac:dyDescent="0.25">
      <c r="F542" s="183" t="str">
        <f>IF('1a'!F542=0,"",'1a'!F542)</f>
        <v>D</v>
      </c>
      <c r="G542" s="168">
        <f>IF('1a'!G542=0,"",'1a'!G542)</f>
        <v>260</v>
      </c>
      <c r="I542" s="509" t="s">
        <v>255</v>
      </c>
      <c r="J542" s="510"/>
      <c r="K542" s="203"/>
      <c r="L542"/>
    </row>
    <row r="543" spans="3:12" x14ac:dyDescent="0.25">
      <c r="F543" s="183" t="str">
        <f>IF('1a'!F543=0,"",'1a'!F543)</f>
        <v>E</v>
      </c>
      <c r="G543" s="168">
        <f>IF('1a'!G543=0,"",'1a'!G543)</f>
        <v>260</v>
      </c>
      <c r="I543" s="509" t="s">
        <v>167</v>
      </c>
      <c r="J543" s="510"/>
      <c r="K543" s="203"/>
      <c r="L543"/>
    </row>
    <row r="544" spans="3:12" x14ac:dyDescent="0.25">
      <c r="F544" s="183" t="str">
        <f>IF('1a'!F544=0,"",'1a'!F544)</f>
        <v>F</v>
      </c>
      <c r="G544" s="168">
        <f>IF('1a'!G544=0,"",'1a'!G544)</f>
        <v>260</v>
      </c>
      <c r="I544" s="505" t="s">
        <v>168</v>
      </c>
      <c r="J544" s="506"/>
      <c r="K544" s="204"/>
      <c r="L544"/>
    </row>
    <row r="545" spans="6:7" x14ac:dyDescent="0.25">
      <c r="F545" s="183" t="str">
        <f>IF('1a'!F545=0,"",'1a'!F545)</f>
        <v>G</v>
      </c>
      <c r="G545" s="168">
        <f>IF('1a'!G545=0,"",'1a'!G545)</f>
        <v>260</v>
      </c>
    </row>
    <row r="546" spans="6:7" x14ac:dyDescent="0.25">
      <c r="F546" s="183" t="str">
        <f>IF('1a'!F546=0,"",'1a'!F546)</f>
        <v>H</v>
      </c>
      <c r="G546" s="168">
        <f>IF('1a'!G546=0,"",'1a'!G546)</f>
        <v>260</v>
      </c>
    </row>
    <row r="547" spans="6:7" x14ac:dyDescent="0.25">
      <c r="F547" s="183" t="str">
        <f>IF('1a'!F547=0,"",'1a'!F547)</f>
        <v>I</v>
      </c>
      <c r="G547" s="168">
        <f>IF('1a'!G547=0,"",'1a'!G547)</f>
        <v>260</v>
      </c>
    </row>
    <row r="548" spans="6:7" x14ac:dyDescent="0.25">
      <c r="F548" s="183" t="str">
        <f>IF('1a'!F548=0,"",'1a'!F548)</f>
        <v>J</v>
      </c>
      <c r="G548" s="168">
        <f>IF('1a'!G548=0,"",'1a'!G548)</f>
        <v>260</v>
      </c>
    </row>
    <row r="549" spans="6:7" x14ac:dyDescent="0.25">
      <c r="F549" s="183" t="str">
        <f>IF('1a'!F549=0,"",'1a'!F549)</f>
        <v>K</v>
      </c>
      <c r="G549" s="168">
        <f>IF('1a'!G549=0,"",'1a'!G549)</f>
        <v>12</v>
      </c>
    </row>
    <row r="550" spans="6:7" x14ac:dyDescent="0.25">
      <c r="F550" s="184" t="str">
        <f>IF('1a'!F550=0,"",'1a'!F550)</f>
        <v>X</v>
      </c>
      <c r="G550" s="98" t="str">
        <f>IF('1a'!G550=0,"",'1a'!G550)</f>
        <v/>
      </c>
    </row>
    <row r="551" spans="6:7" x14ac:dyDescent="0.25">
      <c r="F551" s="184" t="str">
        <f>IF('1a'!F551=0,"",'1a'!F551)</f>
        <v>Vrije categorie</v>
      </c>
      <c r="G551" s="98" t="str">
        <f>IF('1a'!G551=0,"",'1a'!G551)</f>
        <v/>
      </c>
    </row>
    <row r="552" spans="6:7" x14ac:dyDescent="0.25">
      <c r="F552" s="184" t="str">
        <f>IF('1a'!F552=0,"",'1a'!F552)</f>
        <v>Vrije categorie</v>
      </c>
      <c r="G552" s="98" t="str">
        <f>IF('1a'!G552=0,"",'1a'!G552)</f>
        <v/>
      </c>
    </row>
    <row r="553" spans="6:7" x14ac:dyDescent="0.25">
      <c r="F553" s="185" t="str">
        <f>IF('1a'!F553=0,"",'1a'!F553)</f>
        <v>Vrije categorie</v>
      </c>
      <c r="G553" s="99" t="str">
        <f>IF('1a'!G553=0,"",'1a'!G553)</f>
        <v/>
      </c>
    </row>
  </sheetData>
  <mergeCells count="7">
    <mergeCell ref="I543:J543"/>
    <mergeCell ref="I544:J544"/>
    <mergeCell ref="I538:J538"/>
    <mergeCell ref="I539:J539"/>
    <mergeCell ref="I540:J540"/>
    <mergeCell ref="I541:J541"/>
    <mergeCell ref="I542:J542"/>
  </mergeCells>
  <printOptions gridLines="1"/>
  <pageMargins left="0.70866141732283472" right="0.70866141732283472" top="0.94488188976377963" bottom="0.74803149606299213" header="0.31496062992125984" footer="0.31496062992125984"/>
  <pageSetup paperSize="9" scale="87" orientation="portrait" cellComments="asDisplayed" r:id="rId1"/>
  <headerFooter>
    <oddHeader>&amp;L&amp;G</oddHead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Blad65"/>
  <dimension ref="A1:N102"/>
  <sheetViews>
    <sheetView zoomScaleNormal="100" workbookViewId="0">
      <selection activeCell="D5" sqref="D5"/>
    </sheetView>
  </sheetViews>
  <sheetFormatPr defaultRowHeight="15" x14ac:dyDescent="0.25"/>
  <cols>
    <col min="1" max="1" width="9.28515625" customWidth="1"/>
    <col min="2" max="2" width="15.140625" style="3" customWidth="1"/>
    <col min="3" max="3" width="17.42578125" style="112" customWidth="1"/>
    <col min="4" max="4" width="17" style="112" bestFit="1" customWidth="1"/>
    <col min="5" max="5" width="27.42578125" customWidth="1"/>
    <col min="6" max="6" width="50.140625" customWidth="1"/>
    <col min="7" max="7" width="17.140625" style="31" customWidth="1"/>
    <col min="8" max="9" width="18" style="31" customWidth="1"/>
    <col min="10" max="10" width="11.42578125" customWidth="1"/>
  </cols>
  <sheetData>
    <row r="1" spans="1:14" ht="26.25" customHeight="1" x14ac:dyDescent="0.4">
      <c r="A1" s="547" t="str">
        <f>CONCATENATE("Wijzigingenblad, ",'Algemene gegevens'!opdrachtnemer,", onderdeel van ",bestekcontract," ",besteknr,)</f>
        <v xml:space="preserve">Wijzigingenblad, , onderdeel van Bestek </v>
      </c>
      <c r="B1" s="547"/>
      <c r="C1" s="547"/>
      <c r="D1" s="547"/>
      <c r="E1" s="547"/>
      <c r="F1" s="547"/>
      <c r="G1" s="547"/>
      <c r="H1" s="547"/>
      <c r="I1" s="547"/>
      <c r="J1" s="547"/>
    </row>
    <row r="2" spans="1:14" s="111" customFormat="1" ht="31.5" customHeight="1" x14ac:dyDescent="0.25">
      <c r="A2" s="212" t="s">
        <v>129</v>
      </c>
      <c r="B2" s="213" t="s">
        <v>235</v>
      </c>
      <c r="C2" s="214" t="s">
        <v>130</v>
      </c>
      <c r="D2" s="214" t="s">
        <v>236</v>
      </c>
      <c r="E2" s="213" t="s">
        <v>131</v>
      </c>
      <c r="F2" s="213" t="s">
        <v>132</v>
      </c>
      <c r="G2" s="215" t="s">
        <v>133</v>
      </c>
      <c r="H2" s="215" t="s">
        <v>134</v>
      </c>
      <c r="I2" s="215" t="s">
        <v>155</v>
      </c>
      <c r="J2" s="216" t="s">
        <v>237</v>
      </c>
      <c r="K2" s="114"/>
      <c r="L2"/>
      <c r="M2"/>
      <c r="N2"/>
    </row>
    <row r="3" spans="1:14" x14ac:dyDescent="0.25">
      <c r="A3" s="114">
        <v>1</v>
      </c>
      <c r="B3" s="135"/>
      <c r="C3" s="166"/>
      <c r="D3" s="166"/>
      <c r="E3" s="114" t="str">
        <f>IFERROR(IF(B3="Alle","Alle locaties",CONCATENATE((CONCATENATE(VLOOKUP(B3,Verzamelblad!$A$5:$E$9,3),", ",(VLOOKUP(B3,Verzamelblad!$A$5:$E$9,4)))),(CONCATENATE(" te ",(VLOOKUP(B3,Verzamelblad!$A$5:$E$9,5)))))),"")</f>
        <v/>
      </c>
      <c r="F3" s="177"/>
      <c r="G3" s="176"/>
      <c r="H3" s="176"/>
      <c r="I3" s="167" t="str">
        <f>IF(H3-G3=0,"",H3-G3)</f>
        <v/>
      </c>
      <c r="J3" s="114"/>
      <c r="K3" s="114"/>
    </row>
    <row r="4" spans="1:14" x14ac:dyDescent="0.25">
      <c r="A4" s="114">
        <v>2</v>
      </c>
      <c r="B4" s="135"/>
      <c r="C4" s="166"/>
      <c r="D4" s="166"/>
      <c r="E4" s="114" t="str">
        <f>IFERROR(IF(B4="Alle","Alle locaties",CONCATENATE((CONCATENATE(VLOOKUP(B4,Verzamelblad!$A$5:$E$9,3),", ",(VLOOKUP(B4,Verzamelblad!$A$5:$E$9,4)))),(CONCATENATE(" te ",(VLOOKUP(B4,Verzamelblad!$A$5:$E$9,5)))))),"")</f>
        <v/>
      </c>
      <c r="F4" s="177"/>
      <c r="G4" s="176"/>
      <c r="H4" s="176"/>
      <c r="I4" s="167" t="str">
        <f t="shared" ref="I4:I67" si="0">IF(H4-G4=0,"",H4-G4)</f>
        <v/>
      </c>
      <c r="J4" s="114"/>
      <c r="K4" s="114"/>
    </row>
    <row r="5" spans="1:14" x14ac:dyDescent="0.25">
      <c r="A5" s="114">
        <v>3</v>
      </c>
      <c r="B5" s="135"/>
      <c r="C5" s="166"/>
      <c r="D5" s="166"/>
      <c r="E5" s="114" t="str">
        <f>IFERROR(IF(B5="Alle","Alle locaties",CONCATENATE((CONCATENATE(VLOOKUP(B5,Verzamelblad!$A$5:$E$9,3),", ",(VLOOKUP(B5,Verzamelblad!$A$5:$E$9,4)))),(CONCATENATE(" te ",(VLOOKUP(B5,Verzamelblad!$A$5:$E$9,5)))))),"")</f>
        <v/>
      </c>
      <c r="F5" s="177"/>
      <c r="G5" s="176"/>
      <c r="H5" s="176"/>
      <c r="I5" s="167" t="str">
        <f t="shared" si="0"/>
        <v/>
      </c>
      <c r="J5" s="114"/>
      <c r="K5" s="114"/>
    </row>
    <row r="6" spans="1:14" x14ac:dyDescent="0.25">
      <c r="A6" s="114">
        <v>4</v>
      </c>
      <c r="B6" s="135"/>
      <c r="C6" s="166"/>
      <c r="D6" s="166"/>
      <c r="E6" s="114" t="str">
        <f>IFERROR(IF(B6="Alle","Alle locaties",CONCATENATE((CONCATENATE(VLOOKUP(B6,Verzamelblad!$A$5:$E$9,3),", ",(VLOOKUP(B6,Verzamelblad!$A$5:$E$9,4)))),(CONCATENATE(" te ",(VLOOKUP(B6,Verzamelblad!$A$5:$E$9,5)))))),"")</f>
        <v/>
      </c>
      <c r="F6" s="177"/>
      <c r="G6" s="176"/>
      <c r="H6" s="176"/>
      <c r="I6" s="167" t="str">
        <f t="shared" si="0"/>
        <v/>
      </c>
      <c r="J6" s="114"/>
      <c r="K6" s="114"/>
    </row>
    <row r="7" spans="1:14" x14ac:dyDescent="0.25">
      <c r="A7" s="114">
        <v>5</v>
      </c>
      <c r="B7" s="135"/>
      <c r="C7" s="166"/>
      <c r="D7" s="166"/>
      <c r="E7" s="114" t="str">
        <f>IFERROR(IF(B7="Alle","Alle locaties",CONCATENATE((CONCATENATE(VLOOKUP(B7,Verzamelblad!$A$5:$E$9,3),", ",(VLOOKUP(B7,Verzamelblad!$A$5:$E$9,4)))),(CONCATENATE(" te ",(VLOOKUP(B7,Verzamelblad!$A$5:$E$9,5)))))),"")</f>
        <v/>
      </c>
      <c r="F7" s="177"/>
      <c r="G7" s="176"/>
      <c r="H7" s="176"/>
      <c r="I7" s="167" t="str">
        <f t="shared" si="0"/>
        <v/>
      </c>
      <c r="J7" s="114"/>
      <c r="K7" s="114"/>
    </row>
    <row r="8" spans="1:14" x14ac:dyDescent="0.25">
      <c r="A8" s="114">
        <v>6</v>
      </c>
      <c r="B8" s="135"/>
      <c r="C8" s="166"/>
      <c r="D8" s="166"/>
      <c r="E8" s="114" t="str">
        <f>IFERROR(IF(B8="Alle","Alle locaties",CONCATENATE((CONCATENATE(VLOOKUP(B8,Verzamelblad!$A$5:$E$9,3),", ",(VLOOKUP(B8,Verzamelblad!$A$5:$E$9,4)))),(CONCATENATE(" te ",(VLOOKUP(B8,Verzamelblad!$A$5:$E$9,5)))))),"")</f>
        <v/>
      </c>
      <c r="F8" s="177"/>
      <c r="G8" s="176"/>
      <c r="H8" s="176"/>
      <c r="I8" s="167" t="str">
        <f t="shared" si="0"/>
        <v/>
      </c>
      <c r="J8" s="114"/>
      <c r="K8" s="114"/>
    </row>
    <row r="9" spans="1:14" x14ac:dyDescent="0.25">
      <c r="A9" s="114">
        <v>7</v>
      </c>
      <c r="B9" s="135"/>
      <c r="C9" s="166"/>
      <c r="D9" s="166"/>
      <c r="E9" s="114" t="str">
        <f>IFERROR(IF(B9="Alle","Alle locaties",CONCATENATE((CONCATENATE(VLOOKUP(B9,Verzamelblad!$A$5:$E$9,3),", ",(VLOOKUP(B9,Verzamelblad!$A$5:$E$9,4)))),(CONCATENATE(" te ",(VLOOKUP(B9,Verzamelblad!$A$5:$E$9,5)))))),"")</f>
        <v/>
      </c>
      <c r="F9" s="177"/>
      <c r="G9" s="176"/>
      <c r="H9" s="176"/>
      <c r="I9" s="167" t="str">
        <f t="shared" si="0"/>
        <v/>
      </c>
      <c r="J9" s="114"/>
      <c r="K9" s="114"/>
    </row>
    <row r="10" spans="1:14" x14ac:dyDescent="0.25">
      <c r="A10" s="114">
        <v>8</v>
      </c>
      <c r="B10" s="135"/>
      <c r="C10" s="166"/>
      <c r="D10" s="166"/>
      <c r="E10" s="114" t="str">
        <f>IFERROR(IF(B10="Alle","Alle locaties",CONCATENATE((CONCATENATE(VLOOKUP(B10,Verzamelblad!$A$5:$E$9,3),", ",(VLOOKUP(B10,Verzamelblad!$A$5:$E$9,4)))),(CONCATENATE(" te ",(VLOOKUP(B10,Verzamelblad!$A$5:$E$9,5)))))),"")</f>
        <v/>
      </c>
      <c r="F10" s="177"/>
      <c r="G10" s="176"/>
      <c r="H10" s="176"/>
      <c r="I10" s="167" t="str">
        <f t="shared" si="0"/>
        <v/>
      </c>
      <c r="J10" s="114"/>
      <c r="K10" s="114"/>
    </row>
    <row r="11" spans="1:14" x14ac:dyDescent="0.25">
      <c r="A11" s="114">
        <v>9</v>
      </c>
      <c r="B11" s="135"/>
      <c r="C11" s="166"/>
      <c r="D11" s="166"/>
      <c r="E11" s="114" t="str">
        <f>IFERROR(IF(B11="Alle","Alle locaties",CONCATENATE((CONCATENATE(VLOOKUP(B11,Verzamelblad!$A$5:$E$9,3),", ",(VLOOKUP(B11,Verzamelblad!$A$5:$E$9,4)))),(CONCATENATE(" te ",(VLOOKUP(B11,Verzamelblad!$A$5:$E$9,5)))))),"")</f>
        <v/>
      </c>
      <c r="F11" s="177"/>
      <c r="G11" s="176"/>
      <c r="H11" s="176"/>
      <c r="I11" s="167" t="str">
        <f t="shared" si="0"/>
        <v/>
      </c>
      <c r="J11" s="114"/>
      <c r="K11" s="114"/>
    </row>
    <row r="12" spans="1:14" x14ac:dyDescent="0.25">
      <c r="A12" s="114">
        <v>10</v>
      </c>
      <c r="B12" s="135"/>
      <c r="C12" s="166"/>
      <c r="D12" s="166"/>
      <c r="E12" s="114" t="str">
        <f>IFERROR(IF(B12="Alle","Alle locaties",CONCATENATE((CONCATENATE(VLOOKUP(B12,Verzamelblad!$A$5:$E$9,3),", ",(VLOOKUP(B12,Verzamelblad!$A$5:$E$9,4)))),(CONCATENATE(" te ",(VLOOKUP(B12,Verzamelblad!$A$5:$E$9,5)))))),"")</f>
        <v/>
      </c>
      <c r="F12" s="177"/>
      <c r="G12" s="176"/>
      <c r="H12" s="176"/>
      <c r="I12" s="167" t="str">
        <f t="shared" si="0"/>
        <v/>
      </c>
      <c r="J12" s="114"/>
      <c r="K12" s="114"/>
    </row>
    <row r="13" spans="1:14" x14ac:dyDescent="0.25">
      <c r="A13" s="114">
        <v>11</v>
      </c>
      <c r="B13" s="135"/>
      <c r="C13" s="166"/>
      <c r="D13" s="166"/>
      <c r="E13" s="114" t="str">
        <f>IFERROR(IF(B13="Alle","Alle locaties",CONCATENATE((CONCATENATE(VLOOKUP(B13,Verzamelblad!$A$5:$E$9,3),", ",(VLOOKUP(B13,Verzamelblad!$A$5:$E$9,4)))),(CONCATENATE(" te ",(VLOOKUP(B13,Verzamelblad!$A$5:$E$9,5)))))),"")</f>
        <v/>
      </c>
      <c r="F13" s="177"/>
      <c r="G13" s="176"/>
      <c r="H13" s="176"/>
      <c r="I13" s="167" t="str">
        <f t="shared" si="0"/>
        <v/>
      </c>
      <c r="J13" s="114"/>
      <c r="K13" s="114"/>
    </row>
    <row r="14" spans="1:14" x14ac:dyDescent="0.25">
      <c r="A14" s="114">
        <v>12</v>
      </c>
      <c r="B14" s="135"/>
      <c r="C14" s="166"/>
      <c r="D14" s="166"/>
      <c r="E14" s="114" t="str">
        <f>IFERROR(IF(B14="Alle","Alle locaties",CONCATENATE((CONCATENATE(VLOOKUP(B14,Verzamelblad!$A$5:$E$9,3),", ",(VLOOKUP(B14,Verzamelblad!$A$5:$E$9,4)))),(CONCATENATE(" te ",(VLOOKUP(B14,Verzamelblad!$A$5:$E$9,5)))))),"")</f>
        <v/>
      </c>
      <c r="F14" s="177"/>
      <c r="G14" s="176"/>
      <c r="H14" s="176"/>
      <c r="I14" s="167" t="str">
        <f t="shared" si="0"/>
        <v/>
      </c>
      <c r="J14" s="114"/>
      <c r="K14" s="114"/>
    </row>
    <row r="15" spans="1:14" x14ac:dyDescent="0.25">
      <c r="A15" s="114">
        <v>13</v>
      </c>
      <c r="B15" s="135"/>
      <c r="C15" s="166"/>
      <c r="D15" s="166"/>
      <c r="E15" s="114" t="str">
        <f>IFERROR(IF(B15="Alle","Alle locaties",CONCATENATE((CONCATENATE(VLOOKUP(B15,Verzamelblad!$A$5:$E$9,3),", ",(VLOOKUP(B15,Verzamelblad!$A$5:$E$9,4)))),(CONCATENATE(" te ",(VLOOKUP(B15,Verzamelblad!$A$5:$E$9,5)))))),"")</f>
        <v/>
      </c>
      <c r="F15" s="177"/>
      <c r="G15" s="176"/>
      <c r="H15" s="176"/>
      <c r="I15" s="167" t="str">
        <f t="shared" si="0"/>
        <v/>
      </c>
      <c r="J15" s="114"/>
      <c r="K15" s="114"/>
    </row>
    <row r="16" spans="1:14" x14ac:dyDescent="0.25">
      <c r="A16" s="114">
        <v>14</v>
      </c>
      <c r="B16" s="135"/>
      <c r="C16" s="166"/>
      <c r="D16" s="166"/>
      <c r="E16" s="114" t="str">
        <f>IFERROR(IF(B16="Alle","Alle locaties",CONCATENATE((CONCATENATE(VLOOKUP(B16,Verzamelblad!$A$5:$E$9,3),", ",(VLOOKUP(B16,Verzamelblad!$A$5:$E$9,4)))),(CONCATENATE(" te ",(VLOOKUP(B16,Verzamelblad!$A$5:$E$9,5)))))),"")</f>
        <v/>
      </c>
      <c r="F16" s="177"/>
      <c r="G16" s="176"/>
      <c r="H16" s="176"/>
      <c r="I16" s="167" t="str">
        <f t="shared" si="0"/>
        <v/>
      </c>
      <c r="J16" s="114"/>
      <c r="K16" s="114"/>
    </row>
    <row r="17" spans="1:11" x14ac:dyDescent="0.25">
      <c r="A17" s="114">
        <v>15</v>
      </c>
      <c r="B17" s="135"/>
      <c r="C17" s="166"/>
      <c r="D17" s="166"/>
      <c r="E17" s="114" t="str">
        <f>IFERROR(IF(B17="Alle","Alle locaties",CONCATENATE((CONCATENATE(VLOOKUP(B17,Verzamelblad!$A$5:$E$9,3),", ",(VLOOKUP(B17,Verzamelblad!$A$5:$E$9,4)))),(CONCATENATE(" te ",(VLOOKUP(B17,Verzamelblad!$A$5:$E$9,5)))))),"")</f>
        <v/>
      </c>
      <c r="F17" s="177"/>
      <c r="G17" s="176"/>
      <c r="H17" s="176"/>
      <c r="I17" s="167" t="str">
        <f t="shared" si="0"/>
        <v/>
      </c>
      <c r="J17" s="114"/>
      <c r="K17" s="114"/>
    </row>
    <row r="18" spans="1:11" x14ac:dyDescent="0.25">
      <c r="A18" s="114">
        <v>16</v>
      </c>
      <c r="B18" s="135"/>
      <c r="C18" s="166"/>
      <c r="D18" s="166"/>
      <c r="E18" s="114" t="str">
        <f>IFERROR(IF(B18="Alle","Alle locaties",CONCATENATE((CONCATENATE(VLOOKUP(B18,Verzamelblad!$A$5:$E$9,3),", ",(VLOOKUP(B18,Verzamelblad!$A$5:$E$9,4)))),(CONCATENATE(" te ",(VLOOKUP(B18,Verzamelblad!$A$5:$E$9,5)))))),"")</f>
        <v/>
      </c>
      <c r="F18" s="177"/>
      <c r="G18" s="176"/>
      <c r="H18" s="176"/>
      <c r="I18" s="167" t="str">
        <f t="shared" si="0"/>
        <v/>
      </c>
      <c r="J18" s="114"/>
      <c r="K18" s="114"/>
    </row>
    <row r="19" spans="1:11" x14ac:dyDescent="0.25">
      <c r="A19" s="114">
        <v>17</v>
      </c>
      <c r="E19" s="114" t="str">
        <f>IFERROR(IF(B19="Alle","Alle locaties",CONCATENATE((CONCATENATE(VLOOKUP(B19,Verzamelblad!$A$5:$E$9,3),", ",(VLOOKUP(B19,Verzamelblad!$A$5:$E$9,4)))),(CONCATENATE(" te ",(VLOOKUP(B19,Verzamelblad!$A$5:$E$9,5)))))),"")</f>
        <v/>
      </c>
      <c r="F19" s="111"/>
      <c r="G19" s="176"/>
      <c r="H19" s="176"/>
      <c r="I19" s="167" t="str">
        <f t="shared" si="0"/>
        <v/>
      </c>
    </row>
    <row r="20" spans="1:11" x14ac:dyDescent="0.25">
      <c r="A20" s="114">
        <v>18</v>
      </c>
      <c r="E20" s="114" t="str">
        <f>IFERROR(IF(B20="Alle","Alle locaties",CONCATENATE((CONCATENATE(VLOOKUP(B20,Verzamelblad!$A$5:$E$9,3),", ",(VLOOKUP(B20,Verzamelblad!$A$5:$E$9,4)))),(CONCATENATE(" te ",(VLOOKUP(B20,Verzamelblad!$A$5:$E$9,5)))))),"")</f>
        <v/>
      </c>
      <c r="F20" s="111"/>
      <c r="G20" s="176"/>
      <c r="H20" s="176"/>
      <c r="I20" s="167" t="str">
        <f t="shared" si="0"/>
        <v/>
      </c>
    </row>
    <row r="21" spans="1:11" x14ac:dyDescent="0.25">
      <c r="A21" s="114">
        <v>19</v>
      </c>
      <c r="E21" s="114" t="str">
        <f>IFERROR(IF(B21="Alle","Alle locaties",CONCATENATE((CONCATENATE(VLOOKUP(B21,Verzamelblad!$A$5:$E$9,3),", ",(VLOOKUP(B21,Verzamelblad!$A$5:$E$9,4)))),(CONCATENATE(" te ",(VLOOKUP(B21,Verzamelblad!$A$5:$E$9,5)))))),"")</f>
        <v/>
      </c>
      <c r="F21" s="111"/>
      <c r="G21" s="176"/>
      <c r="H21" s="176"/>
      <c r="I21" s="167" t="str">
        <f t="shared" si="0"/>
        <v/>
      </c>
    </row>
    <row r="22" spans="1:11" x14ac:dyDescent="0.25">
      <c r="A22" s="114">
        <v>20</v>
      </c>
      <c r="E22" s="114" t="str">
        <f>IFERROR(IF(B22="Alle","Alle locaties",CONCATENATE((CONCATENATE(VLOOKUP(B22,Verzamelblad!$A$5:$E$9,3),", ",(VLOOKUP(B22,Verzamelblad!$A$5:$E$9,4)))),(CONCATENATE(" te ",(VLOOKUP(B22,Verzamelblad!$A$5:$E$9,5)))))),"")</f>
        <v/>
      </c>
      <c r="F22" s="111"/>
      <c r="G22" s="176"/>
      <c r="H22" s="176"/>
      <c r="I22" s="167" t="str">
        <f t="shared" si="0"/>
        <v/>
      </c>
    </row>
    <row r="23" spans="1:11" x14ac:dyDescent="0.25">
      <c r="A23" s="114">
        <v>21</v>
      </c>
      <c r="E23" s="114" t="str">
        <f>IFERROR(IF(B23="Alle","Alle locaties",CONCATENATE((CONCATENATE(VLOOKUP(B23,Verzamelblad!$A$5:$E$9,3),", ",(VLOOKUP(B23,Verzamelblad!$A$5:$E$9,4)))),(CONCATENATE(" te ",(VLOOKUP(B23,Verzamelblad!$A$5:$E$9,5)))))),"")</f>
        <v/>
      </c>
      <c r="F23" s="111"/>
      <c r="G23" s="176"/>
      <c r="H23" s="176"/>
      <c r="I23" s="167" t="str">
        <f t="shared" si="0"/>
        <v/>
      </c>
    </row>
    <row r="24" spans="1:11" x14ac:dyDescent="0.25">
      <c r="A24" s="114">
        <v>22</v>
      </c>
      <c r="E24" s="114" t="str">
        <f>IFERROR(IF(B24="Alle","Alle locaties",CONCATENATE((CONCATENATE(VLOOKUP(B24,Verzamelblad!$A$5:$E$9,3),", ",(VLOOKUP(B24,Verzamelblad!$A$5:$E$9,4)))),(CONCATENATE(" te ",(VLOOKUP(B24,Verzamelblad!$A$5:$E$9,5)))))),"")</f>
        <v/>
      </c>
      <c r="F24" s="111"/>
      <c r="G24" s="176"/>
      <c r="H24" s="176"/>
      <c r="I24" s="167" t="str">
        <f t="shared" si="0"/>
        <v/>
      </c>
    </row>
    <row r="25" spans="1:11" x14ac:dyDescent="0.25">
      <c r="A25" s="114">
        <v>23</v>
      </c>
      <c r="E25" s="114" t="str">
        <f>IFERROR(IF(B25="Alle","Alle locaties",CONCATENATE((CONCATENATE(VLOOKUP(B25,Verzamelblad!$A$5:$E$9,3),", ",(VLOOKUP(B25,Verzamelblad!$A$5:$E$9,4)))),(CONCATENATE(" te ",(VLOOKUP(B25,Verzamelblad!$A$5:$E$9,5)))))),"")</f>
        <v/>
      </c>
      <c r="F25" s="111"/>
      <c r="G25" s="176"/>
      <c r="H25" s="176"/>
      <c r="I25" s="167" t="str">
        <f t="shared" si="0"/>
        <v/>
      </c>
    </row>
    <row r="26" spans="1:11" x14ac:dyDescent="0.25">
      <c r="A26" s="114">
        <v>24</v>
      </c>
      <c r="E26" s="114" t="str">
        <f>IFERROR(IF(B26="Alle","Alle locaties",CONCATENATE((CONCATENATE(VLOOKUP(B26,Verzamelblad!$A$5:$E$9,3),", ",(VLOOKUP(B26,Verzamelblad!$A$5:$E$9,4)))),(CONCATENATE(" te ",(VLOOKUP(B26,Verzamelblad!$A$5:$E$9,5)))))),"")</f>
        <v/>
      </c>
      <c r="F26" s="111"/>
      <c r="G26" s="176"/>
      <c r="H26" s="176"/>
      <c r="I26" s="167" t="str">
        <f t="shared" si="0"/>
        <v/>
      </c>
    </row>
    <row r="27" spans="1:11" x14ac:dyDescent="0.25">
      <c r="A27" s="114">
        <v>25</v>
      </c>
      <c r="E27" s="114" t="str">
        <f>IFERROR(IF(B27="Alle","Alle locaties",CONCATENATE((CONCATENATE(VLOOKUP(B27,Verzamelblad!$A$5:$E$9,3),", ",(VLOOKUP(B27,Verzamelblad!$A$5:$E$9,4)))),(CONCATENATE(" te ",(VLOOKUP(B27,Verzamelblad!$A$5:$E$9,5)))))),"")</f>
        <v/>
      </c>
      <c r="F27" s="111"/>
      <c r="G27" s="176"/>
      <c r="H27" s="176"/>
      <c r="I27" s="167" t="str">
        <f t="shared" si="0"/>
        <v/>
      </c>
    </row>
    <row r="28" spans="1:11" x14ac:dyDescent="0.25">
      <c r="A28" s="114">
        <v>26</v>
      </c>
      <c r="E28" s="114" t="str">
        <f>IFERROR(IF(B28="Alle","Alle locaties",CONCATENATE((CONCATENATE(VLOOKUP(B28,Verzamelblad!$A$5:$E$9,3),", ",(VLOOKUP(B28,Verzamelblad!$A$5:$E$9,4)))),(CONCATENATE(" te ",(VLOOKUP(B28,Verzamelblad!$A$5:$E$9,5)))))),"")</f>
        <v/>
      </c>
      <c r="F28" s="111"/>
      <c r="G28" s="176"/>
      <c r="H28" s="176"/>
      <c r="I28" s="167" t="str">
        <f t="shared" si="0"/>
        <v/>
      </c>
    </row>
    <row r="29" spans="1:11" x14ac:dyDescent="0.25">
      <c r="A29" s="114">
        <v>27</v>
      </c>
      <c r="E29" s="114" t="str">
        <f>IFERROR(IF(B29="Alle","Alle locaties",CONCATENATE((CONCATENATE(VLOOKUP(B29,Verzamelblad!$A$5:$E$9,3),", ",(VLOOKUP(B29,Verzamelblad!$A$5:$E$9,4)))),(CONCATENATE(" te ",(VLOOKUP(B29,Verzamelblad!$A$5:$E$9,5)))))),"")</f>
        <v/>
      </c>
      <c r="F29" s="111"/>
      <c r="G29" s="176"/>
      <c r="H29" s="176"/>
      <c r="I29" s="167" t="str">
        <f t="shared" si="0"/>
        <v/>
      </c>
    </row>
    <row r="30" spans="1:11" x14ac:dyDescent="0.25">
      <c r="A30" s="114">
        <v>28</v>
      </c>
      <c r="E30" s="114" t="str">
        <f>IFERROR(IF(B30="Alle","Alle locaties",CONCATENATE((CONCATENATE(VLOOKUP(B30,Verzamelblad!$A$5:$E$9,3),", ",(VLOOKUP(B30,Verzamelblad!$A$5:$E$9,4)))),(CONCATENATE(" te ",(VLOOKUP(B30,Verzamelblad!$A$5:$E$9,5)))))),"")</f>
        <v/>
      </c>
      <c r="F30" s="111"/>
      <c r="G30" s="176"/>
      <c r="H30" s="176"/>
      <c r="I30" s="167" t="str">
        <f t="shared" si="0"/>
        <v/>
      </c>
    </row>
    <row r="31" spans="1:11" x14ac:dyDescent="0.25">
      <c r="A31" s="114">
        <v>29</v>
      </c>
      <c r="E31" s="114" t="str">
        <f>IFERROR(IF(B31="Alle","Alle locaties",CONCATENATE((CONCATENATE(VLOOKUP(B31,Verzamelblad!$A$5:$E$9,3),", ",(VLOOKUP(B31,Verzamelblad!$A$5:$E$9,4)))),(CONCATENATE(" te ",(VLOOKUP(B31,Verzamelblad!$A$5:$E$9,5)))))),"")</f>
        <v/>
      </c>
      <c r="F31" s="111"/>
      <c r="G31" s="176"/>
      <c r="H31" s="176"/>
      <c r="I31" s="167" t="str">
        <f t="shared" si="0"/>
        <v/>
      </c>
    </row>
    <row r="32" spans="1:11" x14ac:dyDescent="0.25">
      <c r="A32" s="114">
        <v>30</v>
      </c>
      <c r="E32" s="114" t="str">
        <f>IFERROR(IF(B32="Alle","Alle locaties",CONCATENATE((CONCATENATE(VLOOKUP(B32,Verzamelblad!$A$5:$E$9,3),", ",(VLOOKUP(B32,Verzamelblad!$A$5:$E$9,4)))),(CONCATENATE(" te ",(VLOOKUP(B32,Verzamelblad!$A$5:$E$9,5)))))),"")</f>
        <v/>
      </c>
      <c r="F32" s="111"/>
      <c r="G32" s="176"/>
      <c r="H32" s="176"/>
      <c r="I32" s="167" t="str">
        <f t="shared" si="0"/>
        <v/>
      </c>
    </row>
    <row r="33" spans="1:9" x14ac:dyDescent="0.25">
      <c r="A33" s="114">
        <v>31</v>
      </c>
      <c r="E33" s="114" t="str">
        <f>IFERROR(IF(B33="Alle","Alle locaties",CONCATENATE((CONCATENATE(VLOOKUP(B33,Verzamelblad!$A$5:$E$9,3),", ",(VLOOKUP(B33,Verzamelblad!$A$5:$E$9,4)))),(CONCATENATE(" te ",(VLOOKUP(B33,Verzamelblad!$A$5:$E$9,5)))))),"")</f>
        <v/>
      </c>
      <c r="F33" s="111"/>
      <c r="G33" s="176"/>
      <c r="H33" s="176"/>
      <c r="I33" s="167" t="str">
        <f t="shared" si="0"/>
        <v/>
      </c>
    </row>
    <row r="34" spans="1:9" x14ac:dyDescent="0.25">
      <c r="A34" s="114">
        <v>32</v>
      </c>
      <c r="E34" s="114" t="str">
        <f>IFERROR(IF(B34="Alle","Alle locaties",CONCATENATE((CONCATENATE(VLOOKUP(B34,Verzamelblad!$A$5:$E$9,3),", ",(VLOOKUP(B34,Verzamelblad!$A$5:$E$9,4)))),(CONCATENATE(" te ",(VLOOKUP(B34,Verzamelblad!$A$5:$E$9,5)))))),"")</f>
        <v/>
      </c>
      <c r="F34" s="111"/>
      <c r="G34" s="176"/>
      <c r="H34" s="176"/>
      <c r="I34" s="167" t="str">
        <f t="shared" si="0"/>
        <v/>
      </c>
    </row>
    <row r="35" spans="1:9" x14ac:dyDescent="0.25">
      <c r="A35" s="114">
        <v>33</v>
      </c>
      <c r="E35" s="114" t="str">
        <f>IFERROR(IF(B35="Alle","Alle locaties",CONCATENATE((CONCATENATE(VLOOKUP(B35,Verzamelblad!$A$5:$E$9,3),", ",(VLOOKUP(B35,Verzamelblad!$A$5:$E$9,4)))),(CONCATENATE(" te ",(VLOOKUP(B35,Verzamelblad!$A$5:$E$9,5)))))),"")</f>
        <v/>
      </c>
      <c r="F35" s="111"/>
      <c r="G35" s="176"/>
      <c r="H35" s="176"/>
      <c r="I35" s="167" t="str">
        <f t="shared" si="0"/>
        <v/>
      </c>
    </row>
    <row r="36" spans="1:9" x14ac:dyDescent="0.25">
      <c r="A36" s="114">
        <v>34</v>
      </c>
      <c r="E36" s="114" t="str">
        <f>IFERROR(IF(B36="Alle","Alle locaties",CONCATENATE((CONCATENATE(VLOOKUP(B36,Verzamelblad!$A$5:$E$9,3),", ",(VLOOKUP(B36,Verzamelblad!$A$5:$E$9,4)))),(CONCATENATE(" te ",(VLOOKUP(B36,Verzamelblad!$A$5:$E$9,5)))))),"")</f>
        <v/>
      </c>
      <c r="F36" s="111"/>
      <c r="G36" s="176"/>
      <c r="H36" s="176"/>
      <c r="I36" s="167" t="str">
        <f t="shared" si="0"/>
        <v/>
      </c>
    </row>
    <row r="37" spans="1:9" x14ac:dyDescent="0.25">
      <c r="A37" s="114">
        <v>35</v>
      </c>
      <c r="E37" s="114" t="str">
        <f>IFERROR(IF(B37="Alle","Alle locaties",CONCATENATE((CONCATENATE(VLOOKUP(B37,Verzamelblad!$A$5:$E$9,3),", ",(VLOOKUP(B37,Verzamelblad!$A$5:$E$9,4)))),(CONCATENATE(" te ",(VLOOKUP(B37,Verzamelblad!$A$5:$E$9,5)))))),"")</f>
        <v/>
      </c>
      <c r="F37" s="111"/>
      <c r="G37" s="176"/>
      <c r="H37" s="176"/>
      <c r="I37" s="167" t="str">
        <f t="shared" si="0"/>
        <v/>
      </c>
    </row>
    <row r="38" spans="1:9" x14ac:dyDescent="0.25">
      <c r="A38" s="114">
        <v>36</v>
      </c>
      <c r="E38" s="114" t="str">
        <f>IFERROR(IF(B38="Alle","Alle locaties",CONCATENATE((CONCATENATE(VLOOKUP(B38,Verzamelblad!$A$5:$E$9,3),", ",(VLOOKUP(B38,Verzamelblad!$A$5:$E$9,4)))),(CONCATENATE(" te ",(VLOOKUP(B38,Verzamelblad!$A$5:$E$9,5)))))),"")</f>
        <v/>
      </c>
      <c r="F38" s="111"/>
      <c r="G38" s="176"/>
      <c r="H38" s="176"/>
      <c r="I38" s="167" t="str">
        <f t="shared" si="0"/>
        <v/>
      </c>
    </row>
    <row r="39" spans="1:9" x14ac:dyDescent="0.25">
      <c r="A39" s="114">
        <v>37</v>
      </c>
      <c r="E39" s="114" t="str">
        <f>IFERROR(IF(B39="Alle","Alle locaties",CONCATENATE((CONCATENATE(VLOOKUP(B39,Verzamelblad!$A$5:$E$9,3),", ",(VLOOKUP(B39,Verzamelblad!$A$5:$E$9,4)))),(CONCATENATE(" te ",(VLOOKUP(B39,Verzamelblad!$A$5:$E$9,5)))))),"")</f>
        <v/>
      </c>
      <c r="F39" s="111"/>
      <c r="G39" s="176"/>
      <c r="H39" s="176"/>
      <c r="I39" s="167" t="str">
        <f t="shared" si="0"/>
        <v/>
      </c>
    </row>
    <row r="40" spans="1:9" x14ac:dyDescent="0.25">
      <c r="A40" s="114">
        <v>38</v>
      </c>
      <c r="E40" s="114" t="str">
        <f>IFERROR(IF(B40="Alle","Alle locaties",CONCATENATE((CONCATENATE(VLOOKUP(B40,Verzamelblad!$A$5:$E$9,3),", ",(VLOOKUP(B40,Verzamelblad!$A$5:$E$9,4)))),(CONCATENATE(" te ",(VLOOKUP(B40,Verzamelblad!$A$5:$E$9,5)))))),"")</f>
        <v/>
      </c>
      <c r="F40" s="111"/>
      <c r="G40" s="176"/>
      <c r="H40" s="176"/>
      <c r="I40" s="167" t="str">
        <f t="shared" si="0"/>
        <v/>
      </c>
    </row>
    <row r="41" spans="1:9" x14ac:dyDescent="0.25">
      <c r="A41" s="114">
        <v>39</v>
      </c>
      <c r="E41" s="114" t="str">
        <f>IFERROR(IF(B41="Alle","Alle locaties",CONCATENATE((CONCATENATE(VLOOKUP(B41,Verzamelblad!$A$5:$E$9,3),", ",(VLOOKUP(B41,Verzamelblad!$A$5:$E$9,4)))),(CONCATENATE(" te ",(VLOOKUP(B41,Verzamelblad!$A$5:$E$9,5)))))),"")</f>
        <v/>
      </c>
      <c r="F41" s="111"/>
      <c r="G41" s="176"/>
      <c r="H41" s="176"/>
      <c r="I41" s="167" t="str">
        <f t="shared" si="0"/>
        <v/>
      </c>
    </row>
    <row r="42" spans="1:9" x14ac:dyDescent="0.25">
      <c r="A42" s="114">
        <v>40</v>
      </c>
      <c r="E42" s="114" t="str">
        <f>IFERROR(IF(B42="Alle","Alle locaties",CONCATENATE((CONCATENATE(VLOOKUP(B42,Verzamelblad!$A$5:$E$9,3),", ",(VLOOKUP(B42,Verzamelblad!$A$5:$E$9,4)))),(CONCATENATE(" te ",(VLOOKUP(B42,Verzamelblad!$A$5:$E$9,5)))))),"")</f>
        <v/>
      </c>
      <c r="F42" s="111"/>
      <c r="G42" s="176"/>
      <c r="H42" s="176"/>
      <c r="I42" s="167" t="str">
        <f t="shared" si="0"/>
        <v/>
      </c>
    </row>
    <row r="43" spans="1:9" x14ac:dyDescent="0.25">
      <c r="A43" s="114">
        <v>41</v>
      </c>
      <c r="E43" s="114" t="str">
        <f>IFERROR(IF(B43="Alle","Alle locaties",CONCATENATE((CONCATENATE(VLOOKUP(B43,Verzamelblad!$A$5:$E$9,3),", ",(VLOOKUP(B43,Verzamelblad!$A$5:$E$9,4)))),(CONCATENATE(" te ",(VLOOKUP(B43,Verzamelblad!$A$5:$E$9,5)))))),"")</f>
        <v/>
      </c>
      <c r="F43" s="111"/>
      <c r="G43" s="176"/>
      <c r="H43" s="176"/>
      <c r="I43" s="167" t="str">
        <f t="shared" si="0"/>
        <v/>
      </c>
    </row>
    <row r="44" spans="1:9" x14ac:dyDescent="0.25">
      <c r="A44" s="114">
        <v>42</v>
      </c>
      <c r="E44" s="114" t="str">
        <f>IFERROR(IF(B44="Alle","Alle locaties",CONCATENATE((CONCATENATE(VLOOKUP(B44,Verzamelblad!$A$5:$E$9,3),", ",(VLOOKUP(B44,Verzamelblad!$A$5:$E$9,4)))),(CONCATENATE(" te ",(VLOOKUP(B44,Verzamelblad!$A$5:$E$9,5)))))),"")</f>
        <v/>
      </c>
      <c r="F44" s="111"/>
      <c r="G44" s="176"/>
      <c r="H44" s="176"/>
      <c r="I44" s="167" t="str">
        <f t="shared" si="0"/>
        <v/>
      </c>
    </row>
    <row r="45" spans="1:9" x14ac:dyDescent="0.25">
      <c r="A45" s="114">
        <v>43</v>
      </c>
      <c r="E45" s="114" t="str">
        <f>IFERROR(IF(B45="Alle","Alle locaties",CONCATENATE((CONCATENATE(VLOOKUP(B45,Verzamelblad!$A$5:$E$9,3),", ",(VLOOKUP(B45,Verzamelblad!$A$5:$E$9,4)))),(CONCATENATE(" te ",(VLOOKUP(B45,Verzamelblad!$A$5:$E$9,5)))))),"")</f>
        <v/>
      </c>
      <c r="F45" s="111"/>
      <c r="G45" s="176"/>
      <c r="H45" s="176"/>
      <c r="I45" s="167" t="str">
        <f t="shared" si="0"/>
        <v/>
      </c>
    </row>
    <row r="46" spans="1:9" x14ac:dyDescent="0.25">
      <c r="A46" s="114">
        <v>44</v>
      </c>
      <c r="E46" s="114" t="str">
        <f>IFERROR(IF(B46="Alle","Alle locaties",CONCATENATE((CONCATENATE(VLOOKUP(B46,Verzamelblad!$A$5:$E$9,3),", ",(VLOOKUP(B46,Verzamelblad!$A$5:$E$9,4)))),(CONCATENATE(" te ",(VLOOKUP(B46,Verzamelblad!$A$5:$E$9,5)))))),"")</f>
        <v/>
      </c>
      <c r="F46" s="111"/>
      <c r="G46" s="176"/>
      <c r="H46" s="176"/>
      <c r="I46" s="167" t="str">
        <f t="shared" si="0"/>
        <v/>
      </c>
    </row>
    <row r="47" spans="1:9" x14ac:dyDescent="0.25">
      <c r="A47" s="114">
        <v>45</v>
      </c>
      <c r="E47" s="114" t="str">
        <f>IFERROR(IF(B47="Alle","Alle locaties",CONCATENATE((CONCATENATE(VLOOKUP(B47,Verzamelblad!$A$5:$E$9,3),", ",(VLOOKUP(B47,Verzamelblad!$A$5:$E$9,4)))),(CONCATENATE(" te ",(VLOOKUP(B47,Verzamelblad!$A$5:$E$9,5)))))),"")</f>
        <v/>
      </c>
      <c r="F47" s="111"/>
      <c r="G47" s="176"/>
      <c r="H47" s="176"/>
      <c r="I47" s="167" t="str">
        <f t="shared" si="0"/>
        <v/>
      </c>
    </row>
    <row r="48" spans="1:9" x14ac:dyDescent="0.25">
      <c r="A48" s="114">
        <v>46</v>
      </c>
      <c r="E48" s="114" t="str">
        <f>IFERROR(IF(B48="Alle","Alle locaties",CONCATENATE((CONCATENATE(VLOOKUP(B48,Verzamelblad!$A$5:$E$9,3),", ",(VLOOKUP(B48,Verzamelblad!$A$5:$E$9,4)))),(CONCATENATE(" te ",(VLOOKUP(B48,Verzamelblad!$A$5:$E$9,5)))))),"")</f>
        <v/>
      </c>
      <c r="F48" s="111"/>
      <c r="G48" s="176"/>
      <c r="H48" s="176"/>
      <c r="I48" s="167" t="str">
        <f t="shared" si="0"/>
        <v/>
      </c>
    </row>
    <row r="49" spans="1:9" x14ac:dyDescent="0.25">
      <c r="A49" s="114">
        <v>47</v>
      </c>
      <c r="E49" s="114" t="str">
        <f>IFERROR(IF(B49="Alle","Alle locaties",CONCATENATE((CONCATENATE(VLOOKUP(B49,Verzamelblad!$A$5:$E$9,3),", ",(VLOOKUP(B49,Verzamelblad!$A$5:$E$9,4)))),(CONCATENATE(" te ",(VLOOKUP(B49,Verzamelblad!$A$5:$E$9,5)))))),"")</f>
        <v/>
      </c>
      <c r="F49" s="111"/>
      <c r="G49" s="176"/>
      <c r="H49" s="176"/>
      <c r="I49" s="167" t="str">
        <f t="shared" si="0"/>
        <v/>
      </c>
    </row>
    <row r="50" spans="1:9" x14ac:dyDescent="0.25">
      <c r="A50" s="114">
        <v>48</v>
      </c>
      <c r="E50" s="114" t="str">
        <f>IFERROR(IF(B50="Alle","Alle locaties",CONCATENATE((CONCATENATE(VLOOKUP(B50,Verzamelblad!$A$5:$E$9,3),", ",(VLOOKUP(B50,Verzamelblad!$A$5:$E$9,4)))),(CONCATENATE(" te ",(VLOOKUP(B50,Verzamelblad!$A$5:$E$9,5)))))),"")</f>
        <v/>
      </c>
      <c r="F50" s="111"/>
      <c r="G50" s="176"/>
      <c r="H50" s="176"/>
      <c r="I50" s="167" t="str">
        <f t="shared" si="0"/>
        <v/>
      </c>
    </row>
    <row r="51" spans="1:9" x14ac:dyDescent="0.25">
      <c r="A51" s="114">
        <v>49</v>
      </c>
      <c r="E51" s="114" t="str">
        <f>IFERROR(IF(B51="Alle","Alle locaties",CONCATENATE((CONCATENATE(VLOOKUP(B51,Verzamelblad!$A$5:$E$9,3),", ",(VLOOKUP(B51,Verzamelblad!$A$5:$E$9,4)))),(CONCATENATE(" te ",(VLOOKUP(B51,Verzamelblad!$A$5:$E$9,5)))))),"")</f>
        <v/>
      </c>
      <c r="F51" s="111"/>
      <c r="G51" s="176"/>
      <c r="H51" s="176"/>
      <c r="I51" s="167" t="str">
        <f t="shared" si="0"/>
        <v/>
      </c>
    </row>
    <row r="52" spans="1:9" x14ac:dyDescent="0.25">
      <c r="A52" s="114">
        <v>50</v>
      </c>
      <c r="E52" s="114" t="str">
        <f>IFERROR(IF(B52="Alle","Alle locaties",CONCATENATE((CONCATENATE(VLOOKUP(B52,Verzamelblad!$A$5:$E$9,3),", ",(VLOOKUP(B52,Verzamelblad!$A$5:$E$9,4)))),(CONCATENATE(" te ",(VLOOKUP(B52,Verzamelblad!$A$5:$E$9,5)))))),"")</f>
        <v/>
      </c>
      <c r="F52" s="111"/>
      <c r="G52" s="176"/>
      <c r="H52" s="176"/>
      <c r="I52" s="167" t="str">
        <f t="shared" si="0"/>
        <v/>
      </c>
    </row>
    <row r="53" spans="1:9" x14ac:dyDescent="0.25">
      <c r="A53" s="114">
        <v>51</v>
      </c>
      <c r="E53" s="114" t="str">
        <f>IFERROR(IF(B53="Alle","Alle locaties",CONCATENATE((CONCATENATE(VLOOKUP(B53,Verzamelblad!$A$5:$E$9,3),", ",(VLOOKUP(B53,Verzamelblad!$A$5:$E$9,4)))),(CONCATENATE(" te ",(VLOOKUP(B53,Verzamelblad!$A$5:$E$9,5)))))),"")</f>
        <v/>
      </c>
      <c r="F53" s="111"/>
      <c r="G53" s="176"/>
      <c r="H53" s="176"/>
      <c r="I53" s="167" t="str">
        <f t="shared" si="0"/>
        <v/>
      </c>
    </row>
    <row r="54" spans="1:9" x14ac:dyDescent="0.25">
      <c r="A54" s="114">
        <v>52</v>
      </c>
      <c r="E54" s="114" t="str">
        <f>IFERROR(IF(B54="Alle","Alle locaties",CONCATENATE((CONCATENATE(VLOOKUP(B54,Verzamelblad!$A$5:$E$9,3),", ",(VLOOKUP(B54,Verzamelblad!$A$5:$E$9,4)))),(CONCATENATE(" te ",(VLOOKUP(B54,Verzamelblad!$A$5:$E$9,5)))))),"")</f>
        <v/>
      </c>
      <c r="F54" s="111"/>
      <c r="G54" s="176"/>
      <c r="H54" s="176"/>
      <c r="I54" s="167" t="str">
        <f t="shared" si="0"/>
        <v/>
      </c>
    </row>
    <row r="55" spans="1:9" x14ac:dyDescent="0.25">
      <c r="A55" s="114">
        <v>53</v>
      </c>
      <c r="E55" s="114" t="str">
        <f>IFERROR(IF(B55="Alle","Alle locaties",CONCATENATE((CONCATENATE(VLOOKUP(B55,Verzamelblad!$A$5:$E$9,3),", ",(VLOOKUP(B55,Verzamelblad!$A$5:$E$9,4)))),(CONCATENATE(" te ",(VLOOKUP(B55,Verzamelblad!$A$5:$E$9,5)))))),"")</f>
        <v/>
      </c>
      <c r="F55" s="111"/>
      <c r="G55" s="176"/>
      <c r="H55" s="176"/>
      <c r="I55" s="167" t="str">
        <f t="shared" si="0"/>
        <v/>
      </c>
    </row>
    <row r="56" spans="1:9" x14ac:dyDescent="0.25">
      <c r="A56" s="114">
        <v>54</v>
      </c>
      <c r="E56" s="114" t="str">
        <f>IFERROR(IF(B56="Alle","Alle locaties",CONCATENATE((CONCATENATE(VLOOKUP(B56,Verzamelblad!$A$5:$E$9,3),", ",(VLOOKUP(B56,Verzamelblad!$A$5:$E$9,4)))),(CONCATENATE(" te ",(VLOOKUP(B56,Verzamelblad!$A$5:$E$9,5)))))),"")</f>
        <v/>
      </c>
      <c r="F56" s="111"/>
      <c r="G56" s="176"/>
      <c r="H56" s="176"/>
      <c r="I56" s="167" t="str">
        <f t="shared" si="0"/>
        <v/>
      </c>
    </row>
    <row r="57" spans="1:9" x14ac:dyDescent="0.25">
      <c r="A57" s="114">
        <v>55</v>
      </c>
      <c r="E57" s="114" t="str">
        <f>IFERROR(IF(B57="Alle","Alle locaties",CONCATENATE((CONCATENATE(VLOOKUP(B57,Verzamelblad!$A$5:$E$9,3),", ",(VLOOKUP(B57,Verzamelblad!$A$5:$E$9,4)))),(CONCATENATE(" te ",(VLOOKUP(B57,Verzamelblad!$A$5:$E$9,5)))))),"")</f>
        <v/>
      </c>
      <c r="F57" s="111"/>
      <c r="G57" s="176"/>
      <c r="H57" s="176"/>
      <c r="I57" s="167" t="str">
        <f t="shared" si="0"/>
        <v/>
      </c>
    </row>
    <row r="58" spans="1:9" x14ac:dyDescent="0.25">
      <c r="A58" s="114">
        <v>56</v>
      </c>
      <c r="E58" s="114" t="str">
        <f>IFERROR(IF(B58="Alle","Alle locaties",CONCATENATE((CONCATENATE(VLOOKUP(B58,Verzamelblad!$A$5:$E$9,3),", ",(VLOOKUP(B58,Verzamelblad!$A$5:$E$9,4)))),(CONCATENATE(" te ",(VLOOKUP(B58,Verzamelblad!$A$5:$E$9,5)))))),"")</f>
        <v/>
      </c>
      <c r="F58" s="111"/>
      <c r="G58" s="176"/>
      <c r="H58" s="176"/>
      <c r="I58" s="167" t="str">
        <f t="shared" si="0"/>
        <v/>
      </c>
    </row>
    <row r="59" spans="1:9" x14ac:dyDescent="0.25">
      <c r="A59" s="114">
        <v>57</v>
      </c>
      <c r="E59" s="114" t="str">
        <f>IFERROR(IF(B59="Alle","Alle locaties",CONCATENATE((CONCATENATE(VLOOKUP(B59,Verzamelblad!$A$5:$E$9,3),", ",(VLOOKUP(B59,Verzamelblad!$A$5:$E$9,4)))),(CONCATENATE(" te ",(VLOOKUP(B59,Verzamelblad!$A$5:$E$9,5)))))),"")</f>
        <v/>
      </c>
      <c r="F59" s="111"/>
      <c r="G59" s="176"/>
      <c r="H59" s="176"/>
      <c r="I59" s="167" t="str">
        <f t="shared" si="0"/>
        <v/>
      </c>
    </row>
    <row r="60" spans="1:9" x14ac:dyDescent="0.25">
      <c r="A60" s="114">
        <v>58</v>
      </c>
      <c r="E60" s="114" t="str">
        <f>IFERROR(IF(B60="Alle","Alle locaties",CONCATENATE((CONCATENATE(VLOOKUP(B60,Verzamelblad!$A$5:$E$9,3),", ",(VLOOKUP(B60,Verzamelblad!$A$5:$E$9,4)))),(CONCATENATE(" te ",(VLOOKUP(B60,Verzamelblad!$A$5:$E$9,5)))))),"")</f>
        <v/>
      </c>
      <c r="F60" s="111"/>
      <c r="G60" s="176"/>
      <c r="H60" s="176"/>
      <c r="I60" s="167" t="str">
        <f t="shared" si="0"/>
        <v/>
      </c>
    </row>
    <row r="61" spans="1:9" x14ac:dyDescent="0.25">
      <c r="A61" s="114">
        <v>59</v>
      </c>
      <c r="E61" s="114" t="str">
        <f>IFERROR(IF(B61="Alle","Alle locaties",CONCATENATE((CONCATENATE(VLOOKUP(B61,Verzamelblad!$A$5:$E$9,3),", ",(VLOOKUP(B61,Verzamelblad!$A$5:$E$9,4)))),(CONCATENATE(" te ",(VLOOKUP(B61,Verzamelblad!$A$5:$E$9,5)))))),"")</f>
        <v/>
      </c>
      <c r="F61" s="111"/>
      <c r="G61" s="176"/>
      <c r="H61" s="176"/>
      <c r="I61" s="167" t="str">
        <f t="shared" si="0"/>
        <v/>
      </c>
    </row>
    <row r="62" spans="1:9" x14ac:dyDescent="0.25">
      <c r="A62" s="114">
        <v>60</v>
      </c>
      <c r="E62" s="114" t="str">
        <f>IFERROR(IF(B62="Alle","Alle locaties",CONCATENATE((CONCATENATE(VLOOKUP(B62,Verzamelblad!$A$5:$E$9,3),", ",(VLOOKUP(B62,Verzamelblad!$A$5:$E$9,4)))),(CONCATENATE(" te ",(VLOOKUP(B62,Verzamelblad!$A$5:$E$9,5)))))),"")</f>
        <v/>
      </c>
      <c r="F62" s="111"/>
      <c r="G62" s="176"/>
      <c r="H62" s="176"/>
      <c r="I62" s="167" t="str">
        <f t="shared" si="0"/>
        <v/>
      </c>
    </row>
    <row r="63" spans="1:9" x14ac:dyDescent="0.25">
      <c r="A63" s="114">
        <v>61</v>
      </c>
      <c r="E63" s="114" t="str">
        <f>IFERROR(IF(B63="Alle","Alle locaties",CONCATENATE((CONCATENATE(VLOOKUP(B63,Verzamelblad!$A$5:$E$9,3),", ",(VLOOKUP(B63,Verzamelblad!$A$5:$E$9,4)))),(CONCATENATE(" te ",(VLOOKUP(B63,Verzamelblad!$A$5:$E$9,5)))))),"")</f>
        <v/>
      </c>
      <c r="F63" s="111"/>
      <c r="G63" s="176"/>
      <c r="H63" s="176"/>
      <c r="I63" s="167" t="str">
        <f t="shared" si="0"/>
        <v/>
      </c>
    </row>
    <row r="64" spans="1:9" x14ac:dyDescent="0.25">
      <c r="A64" s="114">
        <v>62</v>
      </c>
      <c r="E64" s="114" t="str">
        <f>IFERROR(IF(B64="Alle","Alle locaties",CONCATENATE((CONCATENATE(VLOOKUP(B64,Verzamelblad!$A$5:$E$9,3),", ",(VLOOKUP(B64,Verzamelblad!$A$5:$E$9,4)))),(CONCATENATE(" te ",(VLOOKUP(B64,Verzamelblad!$A$5:$E$9,5)))))),"")</f>
        <v/>
      </c>
      <c r="F64" s="111"/>
      <c r="G64" s="176"/>
      <c r="H64" s="176"/>
      <c r="I64" s="167" t="str">
        <f t="shared" si="0"/>
        <v/>
      </c>
    </row>
    <row r="65" spans="1:9" x14ac:dyDescent="0.25">
      <c r="A65" s="114">
        <v>63</v>
      </c>
      <c r="E65" s="114" t="str">
        <f>IFERROR(IF(B65="Alle","Alle locaties",CONCATENATE((CONCATENATE(VLOOKUP(B65,Verzamelblad!$A$5:$E$9,3),", ",(VLOOKUP(B65,Verzamelblad!$A$5:$E$9,4)))),(CONCATENATE(" te ",(VLOOKUP(B65,Verzamelblad!$A$5:$E$9,5)))))),"")</f>
        <v/>
      </c>
      <c r="F65" s="111"/>
      <c r="G65" s="176"/>
      <c r="H65" s="176"/>
      <c r="I65" s="167" t="str">
        <f t="shared" si="0"/>
        <v/>
      </c>
    </row>
    <row r="66" spans="1:9" x14ac:dyDescent="0.25">
      <c r="A66" s="114">
        <v>64</v>
      </c>
      <c r="E66" s="114" t="str">
        <f>IFERROR(IF(B66="Alle","Alle locaties",CONCATENATE((CONCATENATE(VLOOKUP(B66,Verzamelblad!$A$5:$E$9,3),", ",(VLOOKUP(B66,Verzamelblad!$A$5:$E$9,4)))),(CONCATENATE(" te ",(VLOOKUP(B66,Verzamelblad!$A$5:$E$9,5)))))),"")</f>
        <v/>
      </c>
      <c r="F66" s="111"/>
      <c r="G66" s="176"/>
      <c r="H66" s="176"/>
      <c r="I66" s="167" t="str">
        <f t="shared" si="0"/>
        <v/>
      </c>
    </row>
    <row r="67" spans="1:9" x14ac:dyDescent="0.25">
      <c r="A67" s="114">
        <v>65</v>
      </c>
      <c r="E67" s="114" t="str">
        <f>IFERROR(IF(B67="Alle","Alle locaties",CONCATENATE((CONCATENATE(VLOOKUP(B67,Verzamelblad!$A$5:$E$9,3),", ",(VLOOKUP(B67,Verzamelblad!$A$5:$E$9,4)))),(CONCATENATE(" te ",(VLOOKUP(B67,Verzamelblad!$A$5:$E$9,5)))))),"")</f>
        <v/>
      </c>
      <c r="F67" s="111"/>
      <c r="G67" s="176"/>
      <c r="H67" s="176"/>
      <c r="I67" s="167" t="str">
        <f t="shared" si="0"/>
        <v/>
      </c>
    </row>
    <row r="68" spans="1:9" x14ac:dyDescent="0.25">
      <c r="A68" s="114">
        <v>66</v>
      </c>
      <c r="E68" s="114" t="str">
        <f>IFERROR(IF(B68="Alle","Alle locaties",CONCATENATE((CONCATENATE(VLOOKUP(B68,Verzamelblad!$A$5:$E$9,3),", ",(VLOOKUP(B68,Verzamelblad!$A$5:$E$9,4)))),(CONCATENATE(" te ",(VLOOKUP(B68,Verzamelblad!$A$5:$E$9,5)))))),"")</f>
        <v/>
      </c>
      <c r="F68" s="111"/>
      <c r="G68" s="176"/>
      <c r="H68" s="176"/>
      <c r="I68" s="167" t="str">
        <f t="shared" ref="I68:I102" si="1">IF(H68-G68=0,"",H68-G68)</f>
        <v/>
      </c>
    </row>
    <row r="69" spans="1:9" x14ac:dyDescent="0.25">
      <c r="A69" s="114">
        <v>67</v>
      </c>
      <c r="E69" s="114" t="str">
        <f>IFERROR(IF(B69="Alle","Alle locaties",CONCATENATE((CONCATENATE(VLOOKUP(B69,Verzamelblad!$A$5:$E$9,3),", ",(VLOOKUP(B69,Verzamelblad!$A$5:$E$9,4)))),(CONCATENATE(" te ",(VLOOKUP(B69,Verzamelblad!$A$5:$E$9,5)))))),"")</f>
        <v/>
      </c>
      <c r="F69" s="111"/>
      <c r="G69" s="176"/>
      <c r="H69" s="176"/>
      <c r="I69" s="167" t="str">
        <f t="shared" si="1"/>
        <v/>
      </c>
    </row>
    <row r="70" spans="1:9" x14ac:dyDescent="0.25">
      <c r="A70" s="114">
        <v>68</v>
      </c>
      <c r="E70" s="114" t="str">
        <f>IFERROR(IF(B70="Alle","Alle locaties",CONCATENATE((CONCATENATE(VLOOKUP(B70,Verzamelblad!$A$5:$E$9,3),", ",(VLOOKUP(B70,Verzamelblad!$A$5:$E$9,4)))),(CONCATENATE(" te ",(VLOOKUP(B70,Verzamelblad!$A$5:$E$9,5)))))),"")</f>
        <v/>
      </c>
      <c r="F70" s="111"/>
      <c r="G70" s="176"/>
      <c r="H70" s="176"/>
      <c r="I70" s="167" t="str">
        <f t="shared" si="1"/>
        <v/>
      </c>
    </row>
    <row r="71" spans="1:9" x14ac:dyDescent="0.25">
      <c r="A71" s="114">
        <v>69</v>
      </c>
      <c r="E71" s="114" t="str">
        <f>IFERROR(IF(B71="Alle","Alle locaties",CONCATENATE((CONCATENATE(VLOOKUP(B71,Verzamelblad!$A$5:$E$9,3),", ",(VLOOKUP(B71,Verzamelblad!$A$5:$E$9,4)))),(CONCATENATE(" te ",(VLOOKUP(B71,Verzamelblad!$A$5:$E$9,5)))))),"")</f>
        <v/>
      </c>
      <c r="F71" s="111"/>
      <c r="G71" s="176"/>
      <c r="H71" s="176"/>
      <c r="I71" s="167" t="str">
        <f t="shared" si="1"/>
        <v/>
      </c>
    </row>
    <row r="72" spans="1:9" x14ac:dyDescent="0.25">
      <c r="A72" s="114">
        <v>70</v>
      </c>
      <c r="E72" s="114" t="str">
        <f>IFERROR(IF(B72="Alle","Alle locaties",CONCATENATE((CONCATENATE(VLOOKUP(B72,Verzamelblad!$A$5:$E$9,3),", ",(VLOOKUP(B72,Verzamelblad!$A$5:$E$9,4)))),(CONCATENATE(" te ",(VLOOKUP(B72,Verzamelblad!$A$5:$E$9,5)))))),"")</f>
        <v/>
      </c>
      <c r="F72" s="111"/>
      <c r="G72" s="176"/>
      <c r="H72" s="176"/>
      <c r="I72" s="167" t="str">
        <f t="shared" si="1"/>
        <v/>
      </c>
    </row>
    <row r="73" spans="1:9" x14ac:dyDescent="0.25">
      <c r="A73" s="114">
        <v>71</v>
      </c>
      <c r="E73" s="114" t="str">
        <f>IFERROR(IF(B73="Alle","Alle locaties",CONCATENATE((CONCATENATE(VLOOKUP(B73,Verzamelblad!$A$5:$E$9,3),", ",(VLOOKUP(B73,Verzamelblad!$A$5:$E$9,4)))),(CONCATENATE(" te ",(VLOOKUP(B73,Verzamelblad!$A$5:$E$9,5)))))),"")</f>
        <v/>
      </c>
      <c r="F73" s="111"/>
      <c r="G73" s="176"/>
      <c r="H73" s="176"/>
      <c r="I73" s="167" t="str">
        <f t="shared" si="1"/>
        <v/>
      </c>
    </row>
    <row r="74" spans="1:9" x14ac:dyDescent="0.25">
      <c r="A74" s="114">
        <v>72</v>
      </c>
      <c r="E74" s="114" t="str">
        <f>IFERROR(IF(B74="Alle","Alle locaties",CONCATENATE((CONCATENATE(VLOOKUP(B74,Verzamelblad!$A$5:$E$9,3),", ",(VLOOKUP(B74,Verzamelblad!$A$5:$E$9,4)))),(CONCATENATE(" te ",(VLOOKUP(B74,Verzamelblad!$A$5:$E$9,5)))))),"")</f>
        <v/>
      </c>
      <c r="F74" s="111"/>
      <c r="G74" s="176"/>
      <c r="H74" s="176"/>
      <c r="I74" s="167" t="str">
        <f t="shared" si="1"/>
        <v/>
      </c>
    </row>
    <row r="75" spans="1:9" x14ac:dyDescent="0.25">
      <c r="A75" s="114">
        <v>73</v>
      </c>
      <c r="E75" s="114" t="str">
        <f>IFERROR(IF(B75="Alle","Alle locaties",CONCATENATE((CONCATENATE(VLOOKUP(B75,Verzamelblad!$A$5:$E$9,3),", ",(VLOOKUP(B75,Verzamelblad!$A$5:$E$9,4)))),(CONCATENATE(" te ",(VLOOKUP(B75,Verzamelblad!$A$5:$E$9,5)))))),"")</f>
        <v/>
      </c>
      <c r="F75" s="111"/>
      <c r="G75" s="176"/>
      <c r="H75" s="176"/>
      <c r="I75" s="167" t="str">
        <f t="shared" si="1"/>
        <v/>
      </c>
    </row>
    <row r="76" spans="1:9" x14ac:dyDescent="0.25">
      <c r="A76" s="114">
        <v>74</v>
      </c>
      <c r="E76" s="114" t="str">
        <f>IFERROR(IF(B76="Alle","Alle locaties",CONCATENATE((CONCATENATE(VLOOKUP(B76,Verzamelblad!$A$5:$E$9,3),", ",(VLOOKUP(B76,Verzamelblad!$A$5:$E$9,4)))),(CONCATENATE(" te ",(VLOOKUP(B76,Verzamelblad!$A$5:$E$9,5)))))),"")</f>
        <v/>
      </c>
      <c r="F76" s="111"/>
      <c r="G76" s="176"/>
      <c r="H76" s="176"/>
      <c r="I76" s="167" t="str">
        <f t="shared" si="1"/>
        <v/>
      </c>
    </row>
    <row r="77" spans="1:9" x14ac:dyDescent="0.25">
      <c r="A77" s="114">
        <v>75</v>
      </c>
      <c r="E77" s="114" t="str">
        <f>IFERROR(IF(B77="Alle","Alle locaties",CONCATENATE((CONCATENATE(VLOOKUP(B77,Verzamelblad!$A$5:$E$9,3),", ",(VLOOKUP(B77,Verzamelblad!$A$5:$E$9,4)))),(CONCATENATE(" te ",(VLOOKUP(B77,Verzamelblad!$A$5:$E$9,5)))))),"")</f>
        <v/>
      </c>
      <c r="F77" s="111"/>
      <c r="G77" s="176"/>
      <c r="H77" s="176"/>
      <c r="I77" s="167" t="str">
        <f t="shared" si="1"/>
        <v/>
      </c>
    </row>
    <row r="78" spans="1:9" x14ac:dyDescent="0.25">
      <c r="A78" s="114">
        <v>76</v>
      </c>
      <c r="E78" s="114" t="str">
        <f>IFERROR(IF(B78="Alle","Alle locaties",CONCATENATE((CONCATENATE(VLOOKUP(B78,Verzamelblad!$A$5:$E$9,3),", ",(VLOOKUP(B78,Verzamelblad!$A$5:$E$9,4)))),(CONCATENATE(" te ",(VLOOKUP(B78,Verzamelblad!$A$5:$E$9,5)))))),"")</f>
        <v/>
      </c>
      <c r="F78" s="111"/>
      <c r="G78" s="176"/>
      <c r="H78" s="176"/>
      <c r="I78" s="167" t="str">
        <f t="shared" si="1"/>
        <v/>
      </c>
    </row>
    <row r="79" spans="1:9" x14ac:dyDescent="0.25">
      <c r="A79" s="114">
        <v>77</v>
      </c>
      <c r="E79" s="114" t="str">
        <f>IFERROR(IF(B79="Alle","Alle locaties",CONCATENATE((CONCATENATE(VLOOKUP(B79,Verzamelblad!$A$5:$E$9,3),", ",(VLOOKUP(B79,Verzamelblad!$A$5:$E$9,4)))),(CONCATENATE(" te ",(VLOOKUP(B79,Verzamelblad!$A$5:$E$9,5)))))),"")</f>
        <v/>
      </c>
      <c r="F79" s="111"/>
      <c r="G79" s="176"/>
      <c r="H79" s="176"/>
      <c r="I79" s="167" t="str">
        <f t="shared" si="1"/>
        <v/>
      </c>
    </row>
    <row r="80" spans="1:9" x14ac:dyDescent="0.25">
      <c r="A80" s="114">
        <v>78</v>
      </c>
      <c r="E80" s="114" t="str">
        <f>IFERROR(IF(B80="Alle","Alle locaties",CONCATENATE((CONCATENATE(VLOOKUP(B80,Verzamelblad!$A$5:$E$9,3),", ",(VLOOKUP(B80,Verzamelblad!$A$5:$E$9,4)))),(CONCATENATE(" te ",(VLOOKUP(B80,Verzamelblad!$A$5:$E$9,5)))))),"")</f>
        <v/>
      </c>
      <c r="F80" s="111"/>
      <c r="G80" s="176"/>
      <c r="H80" s="176"/>
      <c r="I80" s="167" t="str">
        <f t="shared" si="1"/>
        <v/>
      </c>
    </row>
    <row r="81" spans="1:9" x14ac:dyDescent="0.25">
      <c r="A81" s="114">
        <v>79</v>
      </c>
      <c r="E81" s="114" t="str">
        <f>IFERROR(IF(B81="Alle","Alle locaties",CONCATENATE((CONCATENATE(VLOOKUP(B81,Verzamelblad!$A$5:$E$9,3),", ",(VLOOKUP(B81,Verzamelblad!$A$5:$E$9,4)))),(CONCATENATE(" te ",(VLOOKUP(B81,Verzamelblad!$A$5:$E$9,5)))))),"")</f>
        <v/>
      </c>
      <c r="F81" s="111"/>
      <c r="G81" s="176"/>
      <c r="H81" s="176"/>
      <c r="I81" s="167" t="str">
        <f t="shared" si="1"/>
        <v/>
      </c>
    </row>
    <row r="82" spans="1:9" x14ac:dyDescent="0.25">
      <c r="A82" s="114">
        <v>80</v>
      </c>
      <c r="E82" s="114" t="str">
        <f>IFERROR(IF(B82="Alle","Alle locaties",CONCATENATE((CONCATENATE(VLOOKUP(B82,Verzamelblad!$A$5:$E$9,3),", ",(VLOOKUP(B82,Verzamelblad!$A$5:$E$9,4)))),(CONCATENATE(" te ",(VLOOKUP(B82,Verzamelblad!$A$5:$E$9,5)))))),"")</f>
        <v/>
      </c>
      <c r="F82" s="111"/>
      <c r="G82" s="176"/>
      <c r="H82" s="176"/>
      <c r="I82" s="167" t="str">
        <f t="shared" si="1"/>
        <v/>
      </c>
    </row>
    <row r="83" spans="1:9" x14ac:dyDescent="0.25">
      <c r="A83" s="114">
        <v>81</v>
      </c>
      <c r="E83" s="114" t="str">
        <f>IFERROR(IF(B83="Alle","Alle locaties",CONCATENATE((CONCATENATE(VLOOKUP(B83,Verzamelblad!$A$5:$E$9,3),", ",(VLOOKUP(B83,Verzamelblad!$A$5:$E$9,4)))),(CONCATENATE(" te ",(VLOOKUP(B83,Verzamelblad!$A$5:$E$9,5)))))),"")</f>
        <v/>
      </c>
      <c r="F83" s="111"/>
      <c r="G83" s="176"/>
      <c r="H83" s="176"/>
      <c r="I83" s="167" t="str">
        <f t="shared" si="1"/>
        <v/>
      </c>
    </row>
    <row r="84" spans="1:9" x14ac:dyDescent="0.25">
      <c r="A84" s="114">
        <v>82</v>
      </c>
      <c r="E84" s="114" t="str">
        <f>IFERROR(IF(B84="Alle","Alle locaties",CONCATENATE((CONCATENATE(VLOOKUP(B84,Verzamelblad!$A$5:$E$9,3),", ",(VLOOKUP(B84,Verzamelblad!$A$5:$E$9,4)))),(CONCATENATE(" te ",(VLOOKUP(B84,Verzamelblad!$A$5:$E$9,5)))))),"")</f>
        <v/>
      </c>
      <c r="F84" s="111"/>
      <c r="G84" s="176"/>
      <c r="H84" s="176"/>
      <c r="I84" s="167" t="str">
        <f t="shared" si="1"/>
        <v/>
      </c>
    </row>
    <row r="85" spans="1:9" x14ac:dyDescent="0.25">
      <c r="A85" s="114">
        <v>83</v>
      </c>
      <c r="E85" s="114" t="str">
        <f>IFERROR(IF(B85="Alle","Alle locaties",CONCATENATE((CONCATENATE(VLOOKUP(B85,Verzamelblad!$A$5:$E$9,3),", ",(VLOOKUP(B85,Verzamelblad!$A$5:$E$9,4)))),(CONCATENATE(" te ",(VLOOKUP(B85,Verzamelblad!$A$5:$E$9,5)))))),"")</f>
        <v/>
      </c>
      <c r="F85" s="111"/>
      <c r="G85" s="176"/>
      <c r="H85" s="176"/>
      <c r="I85" s="167" t="str">
        <f t="shared" si="1"/>
        <v/>
      </c>
    </row>
    <row r="86" spans="1:9" x14ac:dyDescent="0.25">
      <c r="A86" s="114">
        <v>84</v>
      </c>
      <c r="E86" s="114" t="str">
        <f>IFERROR(IF(B86="Alle","Alle locaties",CONCATENATE((CONCATENATE(VLOOKUP(B86,Verzamelblad!$A$5:$E$9,3),", ",(VLOOKUP(B86,Verzamelblad!$A$5:$E$9,4)))),(CONCATENATE(" te ",(VLOOKUP(B86,Verzamelblad!$A$5:$E$9,5)))))),"")</f>
        <v/>
      </c>
      <c r="F86" s="111"/>
      <c r="G86" s="176"/>
      <c r="H86" s="176"/>
      <c r="I86" s="167" t="str">
        <f t="shared" si="1"/>
        <v/>
      </c>
    </row>
    <row r="87" spans="1:9" x14ac:dyDescent="0.25">
      <c r="A87" s="114">
        <v>85</v>
      </c>
      <c r="E87" s="114" t="str">
        <f>IFERROR(IF(B87="Alle","Alle locaties",CONCATENATE((CONCATENATE(VLOOKUP(B87,Verzamelblad!$A$5:$E$9,3),", ",(VLOOKUP(B87,Verzamelblad!$A$5:$E$9,4)))),(CONCATENATE(" te ",(VLOOKUP(B87,Verzamelblad!$A$5:$E$9,5)))))),"")</f>
        <v/>
      </c>
      <c r="F87" s="111"/>
      <c r="G87" s="176"/>
      <c r="H87" s="176"/>
      <c r="I87" s="167" t="str">
        <f t="shared" si="1"/>
        <v/>
      </c>
    </row>
    <row r="88" spans="1:9" x14ac:dyDescent="0.25">
      <c r="A88" s="114">
        <v>86</v>
      </c>
      <c r="E88" s="114" t="str">
        <f>IFERROR(IF(B88="Alle","Alle locaties",CONCATENATE((CONCATENATE(VLOOKUP(B88,Verzamelblad!$A$5:$E$9,3),", ",(VLOOKUP(B88,Verzamelblad!$A$5:$E$9,4)))),(CONCATENATE(" te ",(VLOOKUP(B88,Verzamelblad!$A$5:$E$9,5)))))),"")</f>
        <v/>
      </c>
      <c r="F88" s="111"/>
      <c r="G88" s="176"/>
      <c r="H88" s="176"/>
      <c r="I88" s="167" t="str">
        <f t="shared" si="1"/>
        <v/>
      </c>
    </row>
    <row r="89" spans="1:9" x14ac:dyDescent="0.25">
      <c r="A89" s="114">
        <v>87</v>
      </c>
      <c r="E89" s="114" t="str">
        <f>IFERROR(IF(B89="Alle","Alle locaties",CONCATENATE((CONCATENATE(VLOOKUP(B89,Verzamelblad!$A$5:$E$9,3),", ",(VLOOKUP(B89,Verzamelblad!$A$5:$E$9,4)))),(CONCATENATE(" te ",(VLOOKUP(B89,Verzamelblad!$A$5:$E$9,5)))))),"")</f>
        <v/>
      </c>
      <c r="F89" s="111"/>
      <c r="G89" s="176"/>
      <c r="H89" s="176"/>
      <c r="I89" s="167" t="str">
        <f t="shared" si="1"/>
        <v/>
      </c>
    </row>
    <row r="90" spans="1:9" x14ac:dyDescent="0.25">
      <c r="A90" s="114">
        <v>88</v>
      </c>
      <c r="E90" s="114" t="str">
        <f>IFERROR(IF(B90="Alle","Alle locaties",CONCATENATE((CONCATENATE(VLOOKUP(B90,Verzamelblad!$A$5:$E$9,3),", ",(VLOOKUP(B90,Verzamelblad!$A$5:$E$9,4)))),(CONCATENATE(" te ",(VLOOKUP(B90,Verzamelblad!$A$5:$E$9,5)))))),"")</f>
        <v/>
      </c>
      <c r="F90" s="111"/>
      <c r="G90" s="176"/>
      <c r="H90" s="176"/>
      <c r="I90" s="167" t="str">
        <f t="shared" si="1"/>
        <v/>
      </c>
    </row>
    <row r="91" spans="1:9" x14ac:dyDescent="0.25">
      <c r="A91" s="114">
        <v>89</v>
      </c>
      <c r="E91" s="114" t="str">
        <f>IFERROR(IF(B91="Alle","Alle locaties",CONCATENATE((CONCATENATE(VLOOKUP(B91,Verzamelblad!$A$5:$E$9,3),", ",(VLOOKUP(B91,Verzamelblad!$A$5:$E$9,4)))),(CONCATENATE(" te ",(VLOOKUP(B91,Verzamelblad!$A$5:$E$9,5)))))),"")</f>
        <v/>
      </c>
      <c r="F91" s="111"/>
      <c r="G91" s="176"/>
      <c r="H91" s="176"/>
      <c r="I91" s="167" t="str">
        <f t="shared" si="1"/>
        <v/>
      </c>
    </row>
    <row r="92" spans="1:9" x14ac:dyDescent="0.25">
      <c r="A92" s="114">
        <v>90</v>
      </c>
      <c r="E92" s="114" t="str">
        <f>IFERROR(IF(B92="Alle","Alle locaties",CONCATENATE((CONCATENATE(VLOOKUP(B92,Verzamelblad!$A$5:$E$9,3),", ",(VLOOKUP(B92,Verzamelblad!$A$5:$E$9,4)))),(CONCATENATE(" te ",(VLOOKUP(B92,Verzamelblad!$A$5:$E$9,5)))))),"")</f>
        <v/>
      </c>
      <c r="F92" s="111"/>
      <c r="G92" s="176"/>
      <c r="H92" s="176"/>
      <c r="I92" s="167" t="str">
        <f t="shared" si="1"/>
        <v/>
      </c>
    </row>
    <row r="93" spans="1:9" x14ac:dyDescent="0.25">
      <c r="A93" s="114">
        <v>91</v>
      </c>
      <c r="E93" s="114" t="str">
        <f>IFERROR(IF(B93="Alle","Alle locaties",CONCATENATE((CONCATENATE(VLOOKUP(B93,Verzamelblad!$A$5:$E$9,3),", ",(VLOOKUP(B93,Verzamelblad!$A$5:$E$9,4)))),(CONCATENATE(" te ",(VLOOKUP(B93,Verzamelblad!$A$5:$E$9,5)))))),"")</f>
        <v/>
      </c>
      <c r="F93" s="111"/>
      <c r="G93" s="176"/>
      <c r="H93" s="176"/>
      <c r="I93" s="167" t="str">
        <f t="shared" si="1"/>
        <v/>
      </c>
    </row>
    <row r="94" spans="1:9" x14ac:dyDescent="0.25">
      <c r="A94" s="114">
        <v>92</v>
      </c>
      <c r="E94" s="114" t="str">
        <f>IFERROR(IF(B94="Alle","Alle locaties",CONCATENATE((CONCATENATE(VLOOKUP(B94,Verzamelblad!$A$5:$E$9,3),", ",(VLOOKUP(B94,Verzamelblad!$A$5:$E$9,4)))),(CONCATENATE(" te ",(VLOOKUP(B94,Verzamelblad!$A$5:$E$9,5)))))),"")</f>
        <v/>
      </c>
      <c r="F94" s="111"/>
      <c r="G94" s="176"/>
      <c r="H94" s="176"/>
      <c r="I94" s="167" t="str">
        <f t="shared" si="1"/>
        <v/>
      </c>
    </row>
    <row r="95" spans="1:9" x14ac:dyDescent="0.25">
      <c r="A95" s="114">
        <v>93</v>
      </c>
      <c r="E95" s="114" t="str">
        <f>IFERROR(IF(B95="Alle","Alle locaties",CONCATENATE((CONCATENATE(VLOOKUP(B95,Verzamelblad!$A$5:$E$9,3),", ",(VLOOKUP(B95,Verzamelblad!$A$5:$E$9,4)))),(CONCATENATE(" te ",(VLOOKUP(B95,Verzamelblad!$A$5:$E$9,5)))))),"")</f>
        <v/>
      </c>
      <c r="F95" s="111"/>
      <c r="G95" s="176"/>
      <c r="H95" s="176"/>
      <c r="I95" s="167" t="str">
        <f t="shared" si="1"/>
        <v/>
      </c>
    </row>
    <row r="96" spans="1:9" x14ac:dyDescent="0.25">
      <c r="A96" s="114">
        <v>94</v>
      </c>
      <c r="E96" s="114" t="str">
        <f>IFERROR(IF(B96="Alle","Alle locaties",CONCATENATE((CONCATENATE(VLOOKUP(B96,Verzamelblad!$A$5:$E$9,3),", ",(VLOOKUP(B96,Verzamelblad!$A$5:$E$9,4)))),(CONCATENATE(" te ",(VLOOKUP(B96,Verzamelblad!$A$5:$E$9,5)))))),"")</f>
        <v/>
      </c>
      <c r="F96" s="111"/>
      <c r="G96" s="176"/>
      <c r="H96" s="176"/>
      <c r="I96" s="167" t="str">
        <f t="shared" si="1"/>
        <v/>
      </c>
    </row>
    <row r="97" spans="1:9" x14ac:dyDescent="0.25">
      <c r="A97" s="114">
        <v>95</v>
      </c>
      <c r="E97" s="114" t="str">
        <f>IFERROR(IF(B97="Alle","Alle locaties",CONCATENATE((CONCATENATE(VLOOKUP(B97,Verzamelblad!$A$5:$E$9,3),", ",(VLOOKUP(B97,Verzamelblad!$A$5:$E$9,4)))),(CONCATENATE(" te ",(VLOOKUP(B97,Verzamelblad!$A$5:$E$9,5)))))),"")</f>
        <v/>
      </c>
      <c r="F97" s="111"/>
      <c r="G97" s="176"/>
      <c r="H97" s="176"/>
      <c r="I97" s="167" t="str">
        <f t="shared" si="1"/>
        <v/>
      </c>
    </row>
    <row r="98" spans="1:9" x14ac:dyDescent="0.25">
      <c r="A98" s="114">
        <v>96</v>
      </c>
      <c r="E98" s="114" t="str">
        <f>IFERROR(IF(B98="Alle","Alle locaties",CONCATENATE((CONCATENATE(VLOOKUP(B98,Verzamelblad!$A$5:$E$9,3),", ",(VLOOKUP(B98,Verzamelblad!$A$5:$E$9,4)))),(CONCATENATE(" te ",(VLOOKUP(B98,Verzamelblad!$A$5:$E$9,5)))))),"")</f>
        <v/>
      </c>
      <c r="F98" s="111"/>
      <c r="G98" s="176"/>
      <c r="H98" s="176"/>
      <c r="I98" s="167" t="str">
        <f t="shared" si="1"/>
        <v/>
      </c>
    </row>
    <row r="99" spans="1:9" x14ac:dyDescent="0.25">
      <c r="A99" s="114">
        <v>97</v>
      </c>
      <c r="E99" s="114" t="str">
        <f>IFERROR(IF(B99="Alle","Alle locaties",CONCATENATE((CONCATENATE(VLOOKUP(B99,Verzamelblad!$A$5:$E$9,3),", ",(VLOOKUP(B99,Verzamelblad!$A$5:$E$9,4)))),(CONCATENATE(" te ",(VLOOKUP(B99,Verzamelblad!$A$5:$E$9,5)))))),"")</f>
        <v/>
      </c>
      <c r="F99" s="111"/>
      <c r="G99" s="176"/>
      <c r="H99" s="176"/>
      <c r="I99" s="167" t="str">
        <f t="shared" si="1"/>
        <v/>
      </c>
    </row>
    <row r="100" spans="1:9" x14ac:dyDescent="0.25">
      <c r="A100" s="114">
        <v>98</v>
      </c>
      <c r="E100" s="114" t="str">
        <f>IFERROR(IF(B100="Alle","Alle locaties",CONCATENATE((CONCATENATE(VLOOKUP(B100,Verzamelblad!$A$5:$E$9,3),", ",(VLOOKUP(B100,Verzamelblad!$A$5:$E$9,4)))),(CONCATENATE(" te ",(VLOOKUP(B100,Verzamelblad!$A$5:$E$9,5)))))),"")</f>
        <v/>
      </c>
      <c r="F100" s="111"/>
      <c r="G100" s="176"/>
      <c r="H100" s="176"/>
      <c r="I100" s="167" t="str">
        <f t="shared" si="1"/>
        <v/>
      </c>
    </row>
    <row r="101" spans="1:9" x14ac:dyDescent="0.25">
      <c r="A101" s="114">
        <v>99</v>
      </c>
      <c r="E101" s="114" t="str">
        <f>IFERROR(IF(B101="Alle","Alle locaties",CONCATENATE((CONCATENATE(VLOOKUP(B101,Verzamelblad!$A$5:$E$9,3),", ",(VLOOKUP(B101,Verzamelblad!$A$5:$E$9,4)))),(CONCATENATE(" te ",(VLOOKUP(B101,Verzamelblad!$A$5:$E$9,5)))))),"")</f>
        <v/>
      </c>
      <c r="F101" s="111"/>
      <c r="G101" s="176"/>
      <c r="H101" s="176"/>
      <c r="I101" s="167" t="str">
        <f t="shared" si="1"/>
        <v/>
      </c>
    </row>
    <row r="102" spans="1:9" x14ac:dyDescent="0.25">
      <c r="A102" s="114">
        <v>100</v>
      </c>
      <c r="E102" s="114" t="str">
        <f>IFERROR(IF(B102="Alle","Alle locaties",CONCATENATE((CONCATENATE(VLOOKUP(B102,Verzamelblad!$A$5:$E$9,3),", ",(VLOOKUP(B102,Verzamelblad!$A$5:$E$9,4)))),(CONCATENATE(" te ",(VLOOKUP(B102,Verzamelblad!$A$5:$E$9,5)))))),"")</f>
        <v/>
      </c>
      <c r="F102" s="111"/>
      <c r="G102" s="176"/>
      <c r="H102" s="176"/>
      <c r="I102" s="167" t="str">
        <f t="shared" si="1"/>
        <v/>
      </c>
    </row>
  </sheetData>
  <mergeCells count="1">
    <mergeCell ref="A1:J1"/>
  </mergeCells>
  <pageMargins left="0.7" right="0.7" top="1.0132291666666666" bottom="0.75" header="0.3" footer="0.3"/>
  <pageSetup paperSize="9" scale="71" orientation="landscape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15</vt:i4>
      </vt:variant>
      <vt:variant>
        <vt:lpstr>Benoemde bereiken</vt:lpstr>
      </vt:variant>
      <vt:variant>
        <vt:i4>24</vt:i4>
      </vt:variant>
    </vt:vector>
  </HeadingPairs>
  <TitlesOfParts>
    <vt:vector size="39" baseType="lpstr">
      <vt:lpstr>Algemene gegevens</vt:lpstr>
      <vt:lpstr>Uurtariefopbouw</vt:lpstr>
      <vt:lpstr>Verzamelblad</vt:lpstr>
      <vt:lpstr>1</vt:lpstr>
      <vt:lpstr>1a</vt:lpstr>
      <vt:lpstr>2</vt:lpstr>
      <vt:lpstr>2a</vt:lpstr>
      <vt:lpstr>3</vt:lpstr>
      <vt:lpstr>3a</vt:lpstr>
      <vt:lpstr>4</vt:lpstr>
      <vt:lpstr>4a</vt:lpstr>
      <vt:lpstr>Totaalblad</vt:lpstr>
      <vt:lpstr>5</vt:lpstr>
      <vt:lpstr>5a</vt:lpstr>
      <vt:lpstr>Wijzigingenblad</vt:lpstr>
      <vt:lpstr>'1'!Afdrukbereik</vt:lpstr>
      <vt:lpstr>'1a'!Afdrukbereik</vt:lpstr>
      <vt:lpstr>'2'!Afdrukbereik</vt:lpstr>
      <vt:lpstr>'2a'!Afdrukbereik</vt:lpstr>
      <vt:lpstr>'3'!Afdrukbereik</vt:lpstr>
      <vt:lpstr>'3a'!Afdrukbereik</vt:lpstr>
      <vt:lpstr>'4'!Afdrukbereik</vt:lpstr>
      <vt:lpstr>'4a'!Afdrukbereik</vt:lpstr>
      <vt:lpstr>'5'!Afdrukbereik</vt:lpstr>
      <vt:lpstr>'5a'!Afdrukbereik</vt:lpstr>
      <vt:lpstr>'Algemene gegevens'!Afdrukbereik</vt:lpstr>
      <vt:lpstr>Uurtariefopbouw!Afdrukbereik</vt:lpstr>
      <vt:lpstr>Verzamelblad!Afdrukbereik</vt:lpstr>
      <vt:lpstr>Wijzigingenblad!Afdrukbereik</vt:lpstr>
      <vt:lpstr>bestekcontract</vt:lpstr>
      <vt:lpstr>besteknr</vt:lpstr>
      <vt:lpstr>directtoezicht</vt:lpstr>
      <vt:lpstr>offertetarief</vt:lpstr>
      <vt:lpstr>'Algemene gegevens'!opdrachtgever</vt:lpstr>
      <vt:lpstr>'Algemene gegevens'!opdrachtnemer</vt:lpstr>
      <vt:lpstr>'Algemene gegevens'!opdrachtnemerplaats</vt:lpstr>
      <vt:lpstr>'Algemene gegevens'!plaatsopdrnmr</vt:lpstr>
      <vt:lpstr>regietarief</vt:lpstr>
      <vt:lpstr>spectarief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Marieke Camron</dc:creator>
  <cp:lastModifiedBy>Vincent Noordhof</cp:lastModifiedBy>
  <cp:lastPrinted>2018-08-07T07:48:20Z</cp:lastPrinted>
  <dcterms:created xsi:type="dcterms:W3CDTF">2012-08-02T07:38:51Z</dcterms:created>
  <dcterms:modified xsi:type="dcterms:W3CDTF">2022-10-12T07:21:02Z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ynDocGuid">
    <vt:lpwstr>882ebafa-a245-4975-a90a-dab776e2bb97</vt:lpwstr>
  </property>
  <property fmtid="{D5CDD505-2E9C-101B-9397-08002B2CF9AE}" pid="3" name="eSynDocHID">
    <vt:i4>65812</vt:i4>
  </property>
  <property fmtid="{D5CDD505-2E9C-101B-9397-08002B2CF9AE}" pid="4" name="eSynDocSubject">
    <vt:lpwstr>Inventarisatie Pieter Sneeuwsplein 071118</vt:lpwstr>
  </property>
  <property fmtid="{D5CDD505-2E9C-101B-9397-08002B2CF9AE}" pid="5" name="eSynDocTypeID">
    <vt:i4>130</vt:i4>
  </property>
  <property fmtid="{D5CDD505-2E9C-101B-9397-08002B2CF9AE}" pid="6" name="eSynDocSummary">
    <vt:lpwstr/>
  </property>
  <property fmtid="{D5CDD505-2E9C-101B-9397-08002B2CF9AE}" pid="7" name="eSynDocNewsType">
    <vt:i4>0</vt:i4>
  </property>
  <property fmtid="{D5CDD505-2E9C-101B-9397-08002B2CF9AE}" pid="8" name="eSynDocParentDocument">
    <vt:lpwstr/>
  </property>
  <property fmtid="{D5CDD505-2E9C-101B-9397-08002B2CF9AE}" pid="9" name="eSynDocParentDocumentHID">
    <vt:lpwstr/>
  </property>
  <property fmtid="{D5CDD505-2E9C-101B-9397-08002B2CF9AE}" pid="10" name="eSynDocParentDocumentSubject">
    <vt:lpwstr/>
  </property>
  <property fmtid="{D5CDD505-2E9C-101B-9397-08002B2CF9AE}" pid="11" name="eSynDocAccountID">
    <vt:lpwstr>c0bc3a0d-6196-4c01-a276-0ed85ce45410</vt:lpwstr>
  </property>
  <property fmtid="{D5CDD505-2E9C-101B-9397-08002B2CF9AE}" pid="12" name="eSynDocAccount">
    <vt:lpwstr>             0000001</vt:lpwstr>
  </property>
  <property fmtid="{D5CDD505-2E9C-101B-9397-08002B2CF9AE}" pid="13" name="eSynDocAccountDesc">
    <vt:lpwstr>Alpha Adviesbureau</vt:lpwstr>
  </property>
  <property fmtid="{D5CDD505-2E9C-101B-9397-08002B2CF9AE}" pid="14" name="eSynDocContactID">
    <vt:lpwstr/>
  </property>
  <property fmtid="{D5CDD505-2E9C-101B-9397-08002B2CF9AE}" pid="15" name="eSynDocContactDesc">
    <vt:lpwstr/>
  </property>
  <property fmtid="{D5CDD505-2E9C-101B-9397-08002B2CF9AE}" pid="16" name="eSynDocAcctContact">
    <vt:lpwstr/>
  </property>
  <property fmtid="{D5CDD505-2E9C-101B-9397-08002B2CF9AE}" pid="17" name="eSynDocOpportunityID">
    <vt:lpwstr/>
  </property>
  <property fmtid="{D5CDD505-2E9C-101B-9397-08002B2CF9AE}" pid="18" name="eSynDocOpportunityDesc">
    <vt:lpwstr/>
  </property>
  <property fmtid="{D5CDD505-2E9C-101B-9397-08002B2CF9AE}" pid="19" name="eSynDocResource">
    <vt:lpwstr/>
  </property>
  <property fmtid="{D5CDD505-2E9C-101B-9397-08002B2CF9AE}" pid="20" name="eSynDocResourceDesc">
    <vt:lpwstr/>
  </property>
  <property fmtid="{D5CDD505-2E9C-101B-9397-08002B2CF9AE}" pid="21" name="eSynDocProjectNr">
    <vt:lpwstr/>
  </property>
  <property fmtid="{D5CDD505-2E9C-101B-9397-08002B2CF9AE}" pid="22" name="eSynDocProjectDesc">
    <vt:lpwstr/>
  </property>
  <property fmtid="{D5CDD505-2E9C-101B-9397-08002B2CF9AE}" pid="23" name="eSynDocDivision">
    <vt:lpwstr>300</vt:lpwstr>
  </property>
  <property fmtid="{D5CDD505-2E9C-101B-9397-08002B2CF9AE}" pid="24" name="eSynDocDivisionDesc">
    <vt:lpwstr>Alpha Adviesbureau</vt:lpwstr>
  </property>
  <property fmtid="{D5CDD505-2E9C-101B-9397-08002B2CF9AE}" pid="25" name="eSynDocAssortment">
    <vt:lpwstr/>
  </property>
  <property fmtid="{D5CDD505-2E9C-101B-9397-08002B2CF9AE}" pid="26" name="eSynDocItem">
    <vt:lpwstr/>
  </property>
  <property fmtid="{D5CDD505-2E9C-101B-9397-08002B2CF9AE}" pid="27" name="eSynDocItemDesc">
    <vt:lpwstr/>
  </property>
  <property fmtid="{D5CDD505-2E9C-101B-9397-08002B2CF9AE}" pid="28" name="eSynDocSerialNumber">
    <vt:lpwstr/>
  </property>
  <property fmtid="{D5CDD505-2E9C-101B-9397-08002B2CF9AE}" pid="29" name="eSynDocSerialDesc">
    <vt:lpwstr/>
  </property>
  <property fmtid="{D5CDD505-2E9C-101B-9397-08002B2CF9AE}" pid="30" name="eSynTransactionEntryKey">
    <vt:lpwstr/>
  </property>
  <property fmtid="{D5CDD505-2E9C-101B-9397-08002B2CF9AE}" pid="31" name="eSynDocTransactionDesc">
    <vt:lpwstr/>
  </property>
  <property fmtid="{D5CDD505-2E9C-101B-9397-08002B2CF9AE}" pid="32" name="eSynDocLanguageCode">
    <vt:lpwstr>NL</vt:lpwstr>
  </property>
  <property fmtid="{D5CDD505-2E9C-101B-9397-08002B2CF9AE}" pid="33" name="eSynDocSecurity">
    <vt:i4>3</vt:i4>
  </property>
  <property fmtid="{D5CDD505-2E9C-101B-9397-08002B2CF9AE}" pid="34" name="eSynDocbAttachment">
    <vt:bool>true</vt:bool>
  </property>
  <property fmtid="{D5CDD505-2E9C-101B-9397-08002B2CF9AE}" pid="35" name="eSynDocAttachmentID">
    <vt:lpwstr>c1ea7a10-790e-48c0-b38a-82e82a3f1377</vt:lpwstr>
  </property>
  <property fmtid="{D5CDD505-2E9C-101B-9397-08002B2CF9AE}" pid="36" name="eSynDocAttachFileName">
    <vt:lpwstr>Opmaak Inschrijfbiljetten Schoonmaak V3.xlsx</vt:lpwstr>
  </property>
  <property fmtid="{D5CDD505-2E9C-101B-9397-08002B2CF9AE}" pid="37" name="eSynDocVersionType">
    <vt:lpwstr>N</vt:lpwstr>
  </property>
  <property fmtid="{D5CDD505-2E9C-101B-9397-08002B2CF9AE}" pid="38" name="eSynDocURL">
    <vt:lpwstr>http://exact-server/synergy/</vt:lpwstr>
  </property>
  <property fmtid="{D5CDD505-2E9C-101B-9397-08002B2CF9AE}" pid="39" name="eSynDocIsMailDocument">
    <vt:bool>false</vt:bool>
  </property>
</Properties>
</file>